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305"/>
  </bookViews>
  <sheets>
    <sheet name="Rate Spread w bill deter" sheetId="1" r:id="rId1"/>
    <sheet name="Billing Determinants" sheetId="2" r:id="rId2"/>
    <sheet name="Bill Comp Sch 16" sheetId="3" r:id="rId3"/>
    <sheet name="Bill Comp Sch 24" sheetId="4" r:id="rId4"/>
    <sheet name="Bill Comp Sch 36" sheetId="5" r:id="rId5"/>
    <sheet name="Bill Comp Sch 40" sheetId="6" r:id="rId6"/>
    <sheet name="Bill Comp Sch 48 Sec" sheetId="7" r:id="rId7"/>
    <sheet name="Bill Comp Sch 48 Pri" sheetId="8" r:id="rId8"/>
    <sheet name="Bill Comp Sch 48 Ded" sheetId="9" r:id="rId9"/>
    <sheet name="Schedule 191 p1" sheetId="10" r:id="rId10"/>
    <sheet name="Schedule 191 p2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>[1]Jan!#REF!</definedName>
    <definedName name="\A" localSheetId="9">#REF!</definedName>
    <definedName name="\A">#REF!</definedName>
    <definedName name="\B" localSheetId="9">#REF!</definedName>
    <definedName name="\B">#REF!</definedName>
    <definedName name="\BACK1">#REF!</definedName>
    <definedName name="\BLOCK">#REF!</definedName>
    <definedName name="\BLOCKT">#REF!</definedName>
    <definedName name="\C" localSheetId="9">#REF!</definedName>
    <definedName name="\C">#REF!</definedName>
    <definedName name="\COMP" localSheetId="9">#REF!</definedName>
    <definedName name="\COMP">#REF!</definedName>
    <definedName name="\COMPT" localSheetId="9">#REF!</definedName>
    <definedName name="\COMPT">#REF!</definedName>
    <definedName name="\G" localSheetId="9">#REF!</definedName>
    <definedName name="\G">#REF!</definedName>
    <definedName name="\I" localSheetId="9">#REF!</definedName>
    <definedName name="\I">#REF!</definedName>
    <definedName name="\K" localSheetId="9">#REF!</definedName>
    <definedName name="\K">#REF!</definedName>
    <definedName name="\L" localSheetId="9">#REF!</definedName>
    <definedName name="\L">#REF!</definedName>
    <definedName name="\M" localSheetId="9">#REF!</definedName>
    <definedName name="\M">#REF!</definedName>
    <definedName name="\P" localSheetId="9">#REF!</definedName>
    <definedName name="\P">#REF!</definedName>
    <definedName name="\Q" localSheetId="9">[3]Actual!#REF!</definedName>
    <definedName name="\Q">[4]Actual!#REF!</definedName>
    <definedName name="\R" localSheetId="9">#REF!</definedName>
    <definedName name="\R">#REF!</definedName>
    <definedName name="\S" localSheetId="9">#REF!</definedName>
    <definedName name="\S">#REF!</definedName>
    <definedName name="\TABLE1" localSheetId="9">#REF!</definedName>
    <definedName name="\TABLE1">#REF!</definedName>
    <definedName name="\TABLE2" localSheetId="9">#REF!</definedName>
    <definedName name="\TABLE2">#REF!</definedName>
    <definedName name="\TABLEA" localSheetId="9">#REF!</definedName>
    <definedName name="\TABLEA">#REF!</definedName>
    <definedName name="\TBL2" localSheetId="9">#REF!</definedName>
    <definedName name="\TBL2">#REF!</definedName>
    <definedName name="\TBL3" localSheetId="9">#REF!</definedName>
    <definedName name="\TBL3">#REF!</definedName>
    <definedName name="\TBL4" localSheetId="9">#REF!</definedName>
    <definedName name="\TBL4">#REF!</definedName>
    <definedName name="\TBL5" localSheetId="9">#REF!</definedName>
    <definedName name="\TBL5">#REF!</definedName>
    <definedName name="\W" localSheetId="9">#REF!</definedName>
    <definedName name="\W">#REF!</definedName>
    <definedName name="\WORK1" localSheetId="9">#REF!</definedName>
    <definedName name="\WORK1">#REF!</definedName>
    <definedName name="\X">#REF!</definedName>
    <definedName name="\Z">#REF!</definedName>
    <definedName name="__123Graph_A" localSheetId="2" hidden="1">[5]Inputs!#REF!</definedName>
    <definedName name="__123Graph_A" localSheetId="3" hidden="1">[5]Inputs!#REF!</definedName>
    <definedName name="__123Graph_A" localSheetId="4" hidden="1">[5]Inputs!#REF!</definedName>
    <definedName name="__123Graph_A" localSheetId="5" hidden="1">[5]Inputs!#REF!</definedName>
    <definedName name="__123Graph_A" localSheetId="8" hidden="1">[5]Inputs!#REF!</definedName>
    <definedName name="__123Graph_A" localSheetId="7" hidden="1">[5]Inputs!#REF!</definedName>
    <definedName name="__123Graph_A" localSheetId="6" hidden="1">[5]Inputs!#REF!</definedName>
    <definedName name="__123Graph_A" localSheetId="1" hidden="1">[6]Inputs!#REF!</definedName>
    <definedName name="__123Graph_A" localSheetId="0" hidden="1">[7]Inputs!#REF!</definedName>
    <definedName name="__123Graph_A" hidden="1">[8]Inputs!#REF!</definedName>
    <definedName name="__123Graph_B" localSheetId="2" hidden="1">[5]Inputs!#REF!</definedName>
    <definedName name="__123Graph_B" localSheetId="3" hidden="1">[5]Inputs!#REF!</definedName>
    <definedName name="__123Graph_B" localSheetId="4" hidden="1">[5]Inputs!#REF!</definedName>
    <definedName name="__123Graph_B" localSheetId="5" hidden="1">[5]Inputs!#REF!</definedName>
    <definedName name="__123Graph_B" localSheetId="8" hidden="1">[5]Inputs!#REF!</definedName>
    <definedName name="__123Graph_B" localSheetId="7" hidden="1">[5]Inputs!#REF!</definedName>
    <definedName name="__123Graph_B" localSheetId="6" hidden="1">[5]Inputs!#REF!</definedName>
    <definedName name="__123Graph_B" localSheetId="1" hidden="1">[6]Inputs!#REF!</definedName>
    <definedName name="__123Graph_B" localSheetId="0" hidden="1">[7]Inputs!#REF!</definedName>
    <definedName name="__123Graph_B" hidden="1">[8]Inputs!#REF!</definedName>
    <definedName name="__123Graph_D" localSheetId="2" hidden="1">[5]Inputs!#REF!</definedName>
    <definedName name="__123Graph_D" localSheetId="3" hidden="1">[5]Inputs!#REF!</definedName>
    <definedName name="__123Graph_D" localSheetId="4" hidden="1">[5]Inputs!#REF!</definedName>
    <definedName name="__123Graph_D" localSheetId="5" hidden="1">[5]Inputs!#REF!</definedName>
    <definedName name="__123Graph_D" localSheetId="8" hidden="1">[5]Inputs!#REF!</definedName>
    <definedName name="__123Graph_D" localSheetId="7" hidden="1">[5]Inputs!#REF!</definedName>
    <definedName name="__123Graph_D" localSheetId="6" hidden="1">[5]Inputs!#REF!</definedName>
    <definedName name="__123Graph_D" localSheetId="1" hidden="1">[6]Inputs!#REF!</definedName>
    <definedName name="__123Graph_D" localSheetId="0" hidden="1">[7]Inputs!#REF!</definedName>
    <definedName name="__123Graph_D" hidden="1">[8]Inputs!#REF!</definedName>
    <definedName name="_2Price_Ta">#REF!</definedName>
    <definedName name="_B">'[9]Rate Design'!#REF!</definedName>
    <definedName name="_Fill" localSheetId="9" hidden="1">#REF!</definedName>
    <definedName name="_Fill" hidden="1">#REF!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0</definedName>
    <definedName name="_Order2" hidden="1">0</definedName>
    <definedName name="_P">#REF!</definedName>
    <definedName name="_Sort" hidden="1">#REF!</definedName>
    <definedName name="_TOP1">[1]Jan!#REF!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8" hidden="1">#REF!</definedName>
    <definedName name="a" localSheetId="7" hidden="1">#REF!</definedName>
    <definedName name="a" localSheetId="6" hidden="1">#REF!</definedName>
    <definedName name="a" localSheetId="1" hidden="1">#REF!</definedName>
    <definedName name="a" localSheetId="0" hidden="1">#REF!</definedName>
    <definedName name="a" hidden="1">'[8]DSM Output'!$J$21:$J$23</definedName>
    <definedName name="Acct108364">'[10]Func Study'!#REF!</definedName>
    <definedName name="Acct108364S">'[10]Func Study'!#REF!</definedName>
    <definedName name="Acct228.42TROJD">'[11]Func Study'!#REF!</definedName>
    <definedName name="Acct22842TROJD">'[11]Func Study'!#REF!</definedName>
    <definedName name="Acct41011" localSheetId="9">'[12]Functional Study'!#REF!</definedName>
    <definedName name="Acct41011">'[13]Functional Study'!#REF!</definedName>
    <definedName name="Acct41011BADDEBT" localSheetId="9">'[12]Functional Study'!#REF!</definedName>
    <definedName name="Acct41011BADDEBT">'[13]Functional Study'!#REF!</definedName>
    <definedName name="Acct41011DITEXP" localSheetId="9">'[12]Functional Study'!#REF!</definedName>
    <definedName name="Acct41011DITEXP">'[13]Functional Study'!#REF!</definedName>
    <definedName name="Acct41011S" localSheetId="9">'[12]Functional Study'!#REF!</definedName>
    <definedName name="Acct41011S">'[13]Functional Study'!#REF!</definedName>
    <definedName name="Acct41011SE" localSheetId="9">'[12]Functional Study'!#REF!</definedName>
    <definedName name="Acct41011SE">'[13]Functional Study'!#REF!</definedName>
    <definedName name="Acct41011SG1" localSheetId="9">'[12]Functional Study'!#REF!</definedName>
    <definedName name="Acct41011SG1">'[13]Functional Study'!#REF!</definedName>
    <definedName name="Acct41011SG2" localSheetId="9">'[12]Functional Study'!#REF!</definedName>
    <definedName name="Acct41011SG2">'[13]Functional Study'!#REF!</definedName>
    <definedName name="ACCT41011SGCT" localSheetId="9">'[12]Functional Study'!#REF!</definedName>
    <definedName name="ACCT41011SGCT">'[13]Functional Study'!#REF!</definedName>
    <definedName name="Acct41011SGPP" localSheetId="9">'[12]Functional Study'!#REF!</definedName>
    <definedName name="Acct41011SGPP">'[13]Functional Study'!#REF!</definedName>
    <definedName name="Acct41011SNP" localSheetId="9">'[12]Functional Study'!#REF!</definedName>
    <definedName name="Acct41011SNP">'[13]Functional Study'!#REF!</definedName>
    <definedName name="ACCT41011SNPD" localSheetId="9">'[12]Functional Study'!#REF!</definedName>
    <definedName name="ACCT41011SNPD">'[13]Functional Study'!#REF!</definedName>
    <definedName name="Acct41011SO" localSheetId="9">'[12]Functional Study'!#REF!</definedName>
    <definedName name="Acct41011SO">'[13]Functional Study'!#REF!</definedName>
    <definedName name="Acct41011TROJP" localSheetId="9">'[12]Functional Study'!#REF!</definedName>
    <definedName name="Acct41011TROJP">'[13]Functional Study'!#REF!</definedName>
    <definedName name="Acct41111" localSheetId="9">'[12]Functional Study'!#REF!</definedName>
    <definedName name="Acct41111">'[13]Functional Study'!#REF!</definedName>
    <definedName name="Acct41111BADDEBT" localSheetId="9">'[12]Functional Study'!#REF!</definedName>
    <definedName name="Acct41111BADDEBT">'[13]Functional Study'!#REF!</definedName>
    <definedName name="Acct41111DITEXP" localSheetId="9">'[12]Functional Study'!#REF!</definedName>
    <definedName name="Acct41111DITEXP">'[13]Functional Study'!#REF!</definedName>
    <definedName name="Acct41111S" localSheetId="9">'[12]Functional Study'!#REF!</definedName>
    <definedName name="Acct41111S">'[13]Functional Study'!#REF!</definedName>
    <definedName name="Acct41111SE" localSheetId="9">'[12]Functional Study'!#REF!</definedName>
    <definedName name="Acct41111SE">'[13]Functional Study'!#REF!</definedName>
    <definedName name="Acct41111SG1" localSheetId="9">'[12]Functional Study'!#REF!</definedName>
    <definedName name="Acct41111SG1">'[13]Functional Study'!#REF!</definedName>
    <definedName name="Acct41111SG2" localSheetId="9">'[12]Functional Study'!#REF!</definedName>
    <definedName name="Acct41111SG2">'[13]Functional Study'!#REF!</definedName>
    <definedName name="Acct41111SG3" localSheetId="9">'[12]Functional Study'!#REF!</definedName>
    <definedName name="Acct41111SG3">'[13]Functional Study'!#REF!</definedName>
    <definedName name="Acct41111SGPP" localSheetId="9">'[12]Functional Study'!#REF!</definedName>
    <definedName name="Acct41111SGPP">'[13]Functional Study'!#REF!</definedName>
    <definedName name="Acct41111SNP" localSheetId="9">'[12]Functional Study'!#REF!</definedName>
    <definedName name="Acct41111SNP">'[13]Functional Study'!#REF!</definedName>
    <definedName name="Acct41111SNTP" localSheetId="9">'[12]Functional Study'!#REF!</definedName>
    <definedName name="Acct41111SNTP">'[13]Functional Study'!#REF!</definedName>
    <definedName name="Acct41111SO" localSheetId="9">'[12]Functional Study'!#REF!</definedName>
    <definedName name="Acct41111SO">'[13]Functional Study'!#REF!</definedName>
    <definedName name="Acct41111TROJP" localSheetId="9">'[12]Functional Study'!#REF!</definedName>
    <definedName name="Acct41111TROJP">'[13]Functional Study'!#REF!</definedName>
    <definedName name="Acct411BADDEBT" localSheetId="9">'[12]Functional Study'!#REF!</definedName>
    <definedName name="Acct411BADDEBT">'[13]Functional Study'!#REF!</definedName>
    <definedName name="Acct411DGP" localSheetId="9">'[12]Functional Study'!#REF!</definedName>
    <definedName name="Acct411DGP">'[13]Functional Study'!#REF!</definedName>
    <definedName name="Acct411DGU" localSheetId="9">'[12]Functional Study'!#REF!</definedName>
    <definedName name="Acct411DGU">'[13]Functional Study'!#REF!</definedName>
    <definedName name="Acct411DITEXP" localSheetId="9">'[12]Functional Study'!#REF!</definedName>
    <definedName name="Acct411DITEXP">'[13]Functional Study'!#REF!</definedName>
    <definedName name="Acct411DNPP" localSheetId="9">'[12]Functional Study'!#REF!</definedName>
    <definedName name="Acct411DNPP">'[13]Functional Study'!#REF!</definedName>
    <definedName name="Acct411DNPTP" localSheetId="9">'[12]Functional Study'!#REF!</definedName>
    <definedName name="Acct411DNPTP">'[13]Functional Study'!#REF!</definedName>
    <definedName name="Acct411S" localSheetId="9">'[12]Functional Study'!#REF!</definedName>
    <definedName name="Acct411S">'[13]Functional Study'!#REF!</definedName>
    <definedName name="Acct411SE" localSheetId="9">'[12]Functional Study'!#REF!</definedName>
    <definedName name="Acct411SE">'[13]Functional Study'!#REF!</definedName>
    <definedName name="Acct411SG" localSheetId="9">'[12]Functional Study'!#REF!</definedName>
    <definedName name="Acct411SG">'[13]Functional Study'!#REF!</definedName>
    <definedName name="Acct411SGPP" localSheetId="9">'[12]Functional Study'!#REF!</definedName>
    <definedName name="Acct411SGPP">'[13]Functional Study'!#REF!</definedName>
    <definedName name="Acct411SO" localSheetId="9">'[12]Functional Study'!#REF!</definedName>
    <definedName name="Acct411SO">'[13]Functional Study'!#REF!</definedName>
    <definedName name="Acct411TROJP" localSheetId="9">'[12]Functional Study'!#REF!</definedName>
    <definedName name="Acct411TROJP">'[13]Functional Study'!#REF!</definedName>
    <definedName name="Acct447DGU">'[11]Func Study'!#REF!</definedName>
    <definedName name="ACCT904SG" localSheetId="9">'[14]Functional Study'!#REF!</definedName>
    <definedName name="ACCT904SG">'[15]Functional Study'!#REF!</definedName>
    <definedName name="AcctTable">[16]Variables!$AK$42:$AK$396</definedName>
    <definedName name="ActualROR">'[11]G+T+D+R+M'!$H$61</definedName>
    <definedName name="Adjs2avg">[17]Inputs!$L$255:'[17]Inputs'!$T$505</definedName>
    <definedName name="APR" localSheetId="1">#REF!</definedName>
    <definedName name="APR">[18]Backup!#REF!</definedName>
    <definedName name="APRT">#REF!</definedName>
    <definedName name="AUG" localSheetId="1">#REF!</definedName>
    <definedName name="AUG">[18]Backup!#REF!</definedName>
    <definedName name="AUGT">#REF!</definedName>
    <definedName name="AvgFactors">[16]Factors!$B$3:$P$99</definedName>
    <definedName name="BACK1">#REF!</definedName>
    <definedName name="BACK2">#REF!</definedName>
    <definedName name="BACK3">#REF!</definedName>
    <definedName name="BACKUP1">#REF!</definedName>
    <definedName name="BOOKADJ" localSheetId="9">#REF!</definedName>
    <definedName name="BOOKADJ">#REF!</definedName>
    <definedName name="cap">[19]Readings!$B$2</definedName>
    <definedName name="Check" localSheetId="9">#REF!</definedName>
    <definedName name="Check">#REF!</definedName>
    <definedName name="COMADJ" localSheetId="9">#REF!</definedName>
    <definedName name="COMADJ">#REF!</definedName>
    <definedName name="COMP">#REF!</definedName>
    <definedName name="COMPACTUAL" localSheetId="9">#REF!</definedName>
    <definedName name="COMPACTUAL">#REF!</definedName>
    <definedName name="COMPT">#REF!</definedName>
    <definedName name="COMPWEATHER" localSheetId="9">#REF!</definedName>
    <definedName name="COMPWEATHER">#REF!</definedName>
    <definedName name="_xlnm.Database">[20]Invoice!#REF!</definedName>
    <definedName name="DATE">[21]Jan!#REF!</definedName>
    <definedName name="DEC" localSheetId="1">#REF!</definedName>
    <definedName name="DEC">[18]Backup!#REF!</definedName>
    <definedName name="DECT">#REF!</definedName>
    <definedName name="Demand">[11]Inputs!$D$8</definedName>
    <definedName name="Dist_factor" localSheetId="9">#REF!</definedName>
    <definedName name="Dist_factor">#REF!</definedName>
    <definedName name="DistPeakMethod" localSheetId="9">[14]Inputs!#REF!</definedName>
    <definedName name="DistPeakMethod">[15]Inputs!#REF!</definedName>
    <definedName name="DUDE" hidden="1">#REF!</definedName>
    <definedName name="energy">[19]Readings!$B$3</definedName>
    <definedName name="Engy">[11]Inputs!$D$9</definedName>
    <definedName name="f101top" localSheetId="9">#REF!</definedName>
    <definedName name="f101top">#REF!</definedName>
    <definedName name="f104top" localSheetId="9">#REF!</definedName>
    <definedName name="f104top">#REF!</definedName>
    <definedName name="f138top" localSheetId="9">#REF!</definedName>
    <definedName name="f138top">#REF!</definedName>
    <definedName name="f140top" localSheetId="9">#REF!</definedName>
    <definedName name="f140top">#REF!</definedName>
    <definedName name="FactorType">[16]Variables!$AK$2:$AL$12</definedName>
    <definedName name="FACTP" localSheetId="9">#REF!</definedName>
    <definedName name="FACTP">#REF!</definedName>
    <definedName name="FEB" localSheetId="1">#REF!</definedName>
    <definedName name="FEB">[18]Backup!#REF!</definedName>
    <definedName name="FEBT">#REF!</definedName>
    <definedName name="FranchiseTax">[17]Variables!$D$26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REATER10MW" localSheetId="9">#REF!</definedName>
    <definedName name="GREATER10MW">#REF!</definedName>
    <definedName name="GTD_Percents">#REF!</definedName>
    <definedName name="HEIGHT">#REF!</definedName>
    <definedName name="ID_0303_RVN_data">#REF!</definedName>
    <definedName name="IDcontractsRVN">#REF!</definedName>
    <definedName name="INDADJ" localSheetId="9">#REF!</definedName>
    <definedName name="INDADJ">#REF!</definedName>
    <definedName name="INPUT" localSheetId="9">[22]Summary!#REF!</definedName>
    <definedName name="INPUT">[23]Summary!#REF!</definedName>
    <definedName name="Instructions" localSheetId="9">#REF!</definedName>
    <definedName name="Instructions">#REF!</definedName>
    <definedName name="JAN" localSheetId="1">#REF!</definedName>
    <definedName name="JAN">[18]Backup!#REF!</definedName>
    <definedName name="JANT">#REF!</definedName>
    <definedName name="jjj" localSheetId="9">[24]Inputs!$N$18</definedName>
    <definedName name="jjj">[25]Inputs!$N$18</definedName>
    <definedName name="JUL" localSheetId="1">#REF!</definedName>
    <definedName name="JUL">[18]Backup!#REF!</definedName>
    <definedName name="JULT">#REF!</definedName>
    <definedName name="JUN" localSheetId="1">#REF!</definedName>
    <definedName name="JUN">[18]Backup!#REF!</definedName>
    <definedName name="JUNT">#REF!</definedName>
    <definedName name="Jurisdiction">[16]Variables!$AK$15</definedName>
    <definedName name="JurisNumber">[16]Variables!$AL$15</definedName>
    <definedName name="LABORMOD">#REF!</definedName>
    <definedName name="LABORROLL">#REF!</definedName>
    <definedName name="limcount" hidden="1">1</definedName>
    <definedName name="Line_Ext_Credit">#REF!</definedName>
    <definedName name="LOG">[18]Backup!#REF!</definedName>
    <definedName name="LOSS">[18]Backup!#REF!</definedName>
    <definedName name="MACTIT" localSheetId="9">#REF!</definedName>
    <definedName name="MACTIT">#REF!</definedName>
    <definedName name="MAR" localSheetId="1">#REF!</definedName>
    <definedName name="MAR">[18]Backup!#REF!</definedName>
    <definedName name="MART">#REF!</definedName>
    <definedName name="MAY" localSheetId="1">#REF!</definedName>
    <definedName name="MAY">[18]Backup!#REF!</definedName>
    <definedName name="MAYT">#REF!</definedName>
    <definedName name="MCtoREV">#REF!</definedName>
    <definedName name="MEN">[1]Jan!#REF!</definedName>
    <definedName name="Menu_Begin" localSheetId="9">#REF!</definedName>
    <definedName name="Menu_Begin">#REF!</definedName>
    <definedName name="Menu_Caption" localSheetId="9">#REF!</definedName>
    <definedName name="Menu_Caption">#REF!</definedName>
    <definedName name="Menu_Large" localSheetId="9">#REF!</definedName>
    <definedName name="Menu_Large">#REF!</definedName>
    <definedName name="Menu_Name" localSheetId="9">#REF!</definedName>
    <definedName name="Menu_Name">#REF!</definedName>
    <definedName name="Menu_OnAction" localSheetId="9">#REF!</definedName>
    <definedName name="Menu_OnAction">#REF!</definedName>
    <definedName name="Menu_Parent" localSheetId="9">#REF!</definedName>
    <definedName name="Menu_Parent">#REF!</definedName>
    <definedName name="Menu_Small" localSheetId="9">#REF!</definedName>
    <definedName name="Menu_Small">#REF!</definedName>
    <definedName name="Method">[11]Inputs!$C$6</definedName>
    <definedName name="MONTH">[18]Backup!#REF!</definedName>
    <definedName name="monthlist">[26]Table!$R$2:$S$13</definedName>
    <definedName name="monthtotals">'[26]WA SBC'!$D$40:$O$40</definedName>
    <definedName name="MTKWH">#REF!</definedName>
    <definedName name="MTR_YR3">[27]Variables!$E$14</definedName>
    <definedName name="MTREV">#REF!</definedName>
    <definedName name="MULT">#REF!</definedName>
    <definedName name="NetToGross">[17]Variables!$D$23</definedName>
    <definedName name="NEWMO1">[1]Jan!#REF!</definedName>
    <definedName name="NEWMO2">[1]Jan!#REF!</definedName>
    <definedName name="NEWMONTH">[1]Jan!#REF!</definedName>
    <definedName name="NORMALIZE">#REF!</definedName>
    <definedName name="NOV" localSheetId="1">#REF!</definedName>
    <definedName name="NOV">[18]Backup!#REF!</definedName>
    <definedName name="NOVT">#REF!</definedName>
    <definedName name="NPC" localSheetId="9">[14]Inputs!$N$18</definedName>
    <definedName name="NPC">[15]Inputs!$N$18</definedName>
    <definedName name="NUM" localSheetId="9">#REF!</definedName>
    <definedName name="NUM">#REF!</definedName>
    <definedName name="OCT" localSheetId="1">#REF!</definedName>
    <definedName name="OCT">[18]Backup!#REF!</definedName>
    <definedName name="OCTT">#REF!</definedName>
    <definedName name="ONE">[1]Jan!#REF!</definedName>
    <definedName name="option">'[28]Dist Misc'!$F$120</definedName>
    <definedName name="Page1" localSheetId="9">#REF!</definedName>
    <definedName name="Page1">#REF!</definedName>
    <definedName name="Page110">#REF!</definedName>
    <definedName name="Page120">#REF!</definedName>
    <definedName name="Page2" localSheetId="9">#REF!</definedName>
    <definedName name="Page2">#REF!</definedName>
    <definedName name="PAGE3">#REF!</definedName>
    <definedName name="Page4" localSheetId="9">#REF!</definedName>
    <definedName name="Page4">#REF!</definedName>
    <definedName name="Page5" localSheetId="9">#REF!</definedName>
    <definedName name="Page5">#REF!</definedName>
    <definedName name="Page6">#REF!</definedName>
    <definedName name="Page62">[29]TransInvest!#REF!</definedName>
    <definedName name="page65" localSheetId="9">#REF!</definedName>
    <definedName name="page65">#REF!</definedName>
    <definedName name="page66" localSheetId="9">#REF!</definedName>
    <definedName name="page66">#REF!</definedName>
    <definedName name="page67" localSheetId="9">#REF!</definedName>
    <definedName name="page67">#REF!</definedName>
    <definedName name="page68" localSheetId="9">#REF!</definedName>
    <definedName name="page68">#REF!</definedName>
    <definedName name="page69" localSheetId="9">#REF!</definedName>
    <definedName name="page69">#REF!</definedName>
    <definedName name="Page7" localSheetId="9">#REF!</definedName>
    <definedName name="Page7">#REF!</definedName>
    <definedName name="page8" localSheetId="9">#REF!</definedName>
    <definedName name="page8">#REF!</definedName>
    <definedName name="PALL" localSheetId="9">#REF!</definedName>
    <definedName name="PALL">#REF!</definedName>
    <definedName name="PBLOCK" localSheetId="9">#REF!</definedName>
    <definedName name="PBLOCK">#REF!</definedName>
    <definedName name="PBLOCKWZ" localSheetId="9">#REF!</definedName>
    <definedName name="PBLOCKWZ">#REF!</definedName>
    <definedName name="PCOMP" localSheetId="9">#REF!</definedName>
    <definedName name="PCOMP">#REF!</definedName>
    <definedName name="PCOMPOSITES" localSheetId="9">#REF!</definedName>
    <definedName name="PCOMPOSITES">#REF!</definedName>
    <definedName name="PCOMPWZ" localSheetId="9">#REF!</definedName>
    <definedName name="PCOMPWZ">#REF!</definedName>
    <definedName name="PeakMethod">[11]Inputs!$T$5</definedName>
    <definedName name="PMAC">[18]Backup!#REF!</definedName>
    <definedName name="PRESENT">#REF!</definedName>
    <definedName name="PRICCHNG" localSheetId="9">#REF!</definedName>
    <definedName name="PRICCHNG">#REF!</definedName>
    <definedName name="_xlnm.Print_Area" localSheetId="2">'Bill Comp Sch 16'!$B$3:$J$41</definedName>
    <definedName name="_xlnm.Print_Area" localSheetId="3">'Bill Comp Sch 24'!$B$3:$U$35</definedName>
    <definedName name="_xlnm.Print_Area" localSheetId="4">'Bill Comp Sch 36'!$B$3:$K$45</definedName>
    <definedName name="_xlnm.Print_Area" localSheetId="5">'Bill Comp Sch 40'!$B$2:$Q$39</definedName>
    <definedName name="_xlnm.Print_Area" localSheetId="8">'Bill Comp Sch 48 Ded'!$B$2:$K$35</definedName>
    <definedName name="_xlnm.Print_Area" localSheetId="7">'Bill Comp Sch 48 Pri'!$B$2:$K$35</definedName>
    <definedName name="_xlnm.Print_Area" localSheetId="6">'Bill Comp Sch 48 Sec'!$B$2:$K$35</definedName>
    <definedName name="_xlnm.Print_Area" localSheetId="1">'Billing Determinants'!$A$1:$L$1201</definedName>
    <definedName name="_xlnm.Print_Area" localSheetId="0">'Rate Spread w bill deter'!$A$1:$AL$50</definedName>
    <definedName name="_xlnm.Print_Area" localSheetId="9">'Schedule 191 p1'!$A$1:$J$43</definedName>
    <definedName name="_xlnm.Print_Area" localSheetId="10">'Schedule 191 p2'!$A$1:$F$11</definedName>
    <definedName name="_xlnm.Print_Titles" localSheetId="1">'Billing Determinants'!$1:$11</definedName>
    <definedName name="PTABLES" localSheetId="9">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 localSheetId="9">#REF!</definedName>
    <definedName name="PWORKBACK">#REF!</definedName>
    <definedName name="Query1">#REF!</definedName>
    <definedName name="RC_ADJ" localSheetId="9">#REF!</definedName>
    <definedName name="RC_ADJ">#REF!</definedName>
    <definedName name="RESADJ" localSheetId="9">#REF!</definedName>
    <definedName name="RESADJ">#REF!</definedName>
    <definedName name="ResourceSupplier">[17]Variables!$D$28</definedName>
    <definedName name="retail_CC" localSheetId="8" hidden="1">{#N/A,#N/A,FALSE,"Loans";#N/A,#N/A,FALSE,"Program Costs";#N/A,#N/A,FALSE,"Measures";#N/A,#N/A,FALSE,"Net Lost Rev";#N/A,#N/A,FALSE,"Incentive"}</definedName>
    <definedName name="retail_CC" localSheetId="9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8" hidden="1">{#N/A,#N/A,FALSE,"Loans";#N/A,#N/A,FALSE,"Program Costs";#N/A,#N/A,FALSE,"Measures";#N/A,#N/A,FALSE,"Net Lost Rev";#N/A,#N/A,FALSE,"Incentive"}</definedName>
    <definedName name="retail_CC1" localSheetId="9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9">#REF!</definedName>
    <definedName name="REV_SCHD">#REF!</definedName>
    <definedName name="Revenue_by_month_take_2">#REF!</definedName>
    <definedName name="RevenueCheck">#REF!</definedName>
    <definedName name="RevReqSettle" localSheetId="9">#REF!</definedName>
    <definedName name="RevReqSettle">#REF!</definedName>
    <definedName name="REVVSTRS" localSheetId="9">#REF!</definedName>
    <definedName name="REVVSTRS">#REF!</definedName>
    <definedName name="RISFORM">#REF!</definedName>
    <definedName name="SCH33CUSTS" localSheetId="9">#REF!</definedName>
    <definedName name="SCH33CUSTS">#REF!</definedName>
    <definedName name="SCH48ADJ" localSheetId="9">#REF!</definedName>
    <definedName name="SCH48ADJ">#REF!</definedName>
    <definedName name="SCH98NOR" localSheetId="9">#REF!</definedName>
    <definedName name="SCH98NOR">#REF!</definedName>
    <definedName name="SCHED47" localSheetId="9">#REF!</definedName>
    <definedName name="SCHED47">#REF!</definedName>
    <definedName name="Schedule" localSheetId="9">[14]Inputs!$N$14</definedName>
    <definedName name="Schedule">[15]Inputs!$N$14</definedName>
    <definedName name="se">#REF!</definedName>
    <definedName name="SECOND">[1]Jan!#REF!</definedName>
    <definedName name="SEP" localSheetId="1">#REF!</definedName>
    <definedName name="SEP">[18]Backup!#REF!</definedName>
    <definedName name="SEPT">#REF!</definedName>
    <definedName name="SERVICES_3">#REF!</definedName>
    <definedName name="sg">#REF!</definedName>
    <definedName name="START">[1]Jan!#REF!</definedName>
    <definedName name="SUM_TAB1" localSheetId="9">#REF!</definedName>
    <definedName name="SUM_TAB1">#REF!</definedName>
    <definedName name="SUM_TAB2" localSheetId="9">#REF!</definedName>
    <definedName name="SUM_TAB2">#REF!</definedName>
    <definedName name="SUM_TAB3" localSheetId="9">#REF!</definedName>
    <definedName name="SUM_TAB3">#REF!</definedName>
    <definedName name="TABLE_1" localSheetId="1">#REF!</definedName>
    <definedName name="TABLE_1">#REF!</definedName>
    <definedName name="TABLE_2" localSheetId="1">#REF!</definedName>
    <definedName name="TABLE_2">#REF!</definedName>
    <definedName name="TABLE_3">#REF!</definedName>
    <definedName name="TABLE_4" localSheetId="1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 localSheetId="9">#REF!</definedName>
    <definedName name="TABLE1">#REF!</definedName>
    <definedName name="TABLE2" localSheetId="9">#REF!</definedName>
    <definedName name="TABLE2">#REF!</definedName>
    <definedName name="TABLEA" localSheetId="0">'Rate Spread w bill deter'!$B$3:$AR$46</definedName>
    <definedName name="TABLEA" localSheetId="9">#REF!</definedName>
    <definedName name="TABLEA">#REF!</definedName>
    <definedName name="TABLEONE">#REF!</definedName>
    <definedName name="TargetROR">[11]Inputs!$G$29</definedName>
    <definedName name="TDMOD">#REF!</definedName>
    <definedName name="TDROLL">#REF!</definedName>
    <definedName name="TEMPADJ" localSheetId="9">#REF!</definedName>
    <definedName name="TEMPADJ">#REF!</definedName>
    <definedName name="Test" localSheetId="9">#REF!</definedName>
    <definedName name="Test">#REF!</definedName>
    <definedName name="Test1" localSheetId="9">#REF!</definedName>
    <definedName name="Test1">#REF!</definedName>
    <definedName name="Test2" localSheetId="9">#REF!</definedName>
    <definedName name="Test2">#REF!</definedName>
    <definedName name="Test3" localSheetId="9">#REF!</definedName>
    <definedName name="Test3">#REF!</definedName>
    <definedName name="Test4" localSheetId="9">#REF!</definedName>
    <definedName name="Test4">#REF!</definedName>
    <definedName name="Test5" localSheetId="9">#REF!</definedName>
    <definedName name="Test5">#REF!</definedName>
    <definedName name="TRANSM_2">[30]Transm2!$A$1:$M$461:'[30]10 Yr FC'!$M$47</definedName>
    <definedName name="UAACT115S" localSheetId="9">'[14]Functional Study'!#REF!</definedName>
    <definedName name="UAACT115S">'[15]Functional Study'!#REF!</definedName>
    <definedName name="UACCT115" localSheetId="9">'[14]Functional Study'!#REF!</definedName>
    <definedName name="UACCT115">'[15]Functional Study'!#REF!</definedName>
    <definedName name="UACCT115DGP" localSheetId="9">'[14]Functional Study'!#REF!</definedName>
    <definedName name="UACCT115DGP">'[15]Functional Study'!#REF!</definedName>
    <definedName name="UACCT115SG" localSheetId="9">'[14]Functional Study'!#REF!</definedName>
    <definedName name="UACCT115SG">'[15]Functional Study'!#REF!</definedName>
    <definedName name="UAcct22842Trojd">'[11]Func Study'!#REF!</definedName>
    <definedName name="UACCT41020" localSheetId="9">'[12]Functional Study'!#REF!</definedName>
    <definedName name="UACCT41020">'[13]Functional Study'!#REF!</definedName>
    <definedName name="UACCT41020BADDEBT" localSheetId="9">'[12]Functional Study'!#REF!</definedName>
    <definedName name="UACCT41020BADDEBT">'[13]Functional Study'!#REF!</definedName>
    <definedName name="UACCT41020DITEXP" localSheetId="9">'[12]Functional Study'!#REF!</definedName>
    <definedName name="UACCT41020DITEXP">'[13]Functional Study'!#REF!</definedName>
    <definedName name="UACCT41020DNPU" localSheetId="9">'[12]Functional Study'!#REF!</definedName>
    <definedName name="UACCT41020DNPU">'[13]Functional Study'!#REF!</definedName>
    <definedName name="UACCT41020S" localSheetId="9">'[12]Functional Study'!#REF!</definedName>
    <definedName name="UACCT41020S">'[13]Functional Study'!#REF!</definedName>
    <definedName name="UACCT41020SE" localSheetId="9">'[12]Functional Study'!#REF!</definedName>
    <definedName name="UACCT41020SE">'[13]Functional Study'!#REF!</definedName>
    <definedName name="UACCT41020SG" localSheetId="9">'[12]Functional Study'!#REF!</definedName>
    <definedName name="UACCT41020SG">'[13]Functional Study'!#REF!</definedName>
    <definedName name="UACCT41020SGCT" localSheetId="9">'[12]Functional Study'!#REF!</definedName>
    <definedName name="UACCT41020SGCT">'[13]Functional Study'!#REF!</definedName>
    <definedName name="UACCT41020SGPP" localSheetId="9">'[12]Functional Study'!#REF!</definedName>
    <definedName name="UACCT41020SGPP">'[13]Functional Study'!#REF!</definedName>
    <definedName name="UACCT41020SO" localSheetId="9">'[12]Functional Study'!#REF!</definedName>
    <definedName name="UACCT41020SO">'[13]Functional Study'!#REF!</definedName>
    <definedName name="UACCT41020TROJP" localSheetId="9">'[12]Functional Study'!#REF!</definedName>
    <definedName name="UACCT41020TROJP">'[13]Functional Study'!#REF!</definedName>
    <definedName name="UACCT4102SNPD" localSheetId="9">'[12]Functional Study'!#REF!</definedName>
    <definedName name="UACCT4102SNPD">'[13]Functional Study'!#REF!</definedName>
    <definedName name="UAcct41111" localSheetId="9">'[12]Functional Study'!#REF!</definedName>
    <definedName name="UAcct41111">'[13]Functional Study'!#REF!</definedName>
    <definedName name="UAcct41111Baddebt" localSheetId="9">'[12]Functional Study'!#REF!</definedName>
    <definedName name="UAcct41111Baddebt">'[13]Functional Study'!#REF!</definedName>
    <definedName name="UAcct41111Dgp" localSheetId="9">'[12]Functional Study'!#REF!</definedName>
    <definedName name="UAcct41111Dgp">'[13]Functional Study'!#REF!</definedName>
    <definedName name="UAcct41111Dgu" localSheetId="9">'[12]Functional Study'!#REF!</definedName>
    <definedName name="UAcct41111Dgu">'[13]Functional Study'!#REF!</definedName>
    <definedName name="UAcct41111Ditexp" localSheetId="9">'[12]Functional Study'!#REF!</definedName>
    <definedName name="UAcct41111Ditexp">'[13]Functional Study'!#REF!</definedName>
    <definedName name="UAcct41111Dnpp" localSheetId="9">'[12]Functional Study'!#REF!</definedName>
    <definedName name="UAcct41111Dnpp">'[13]Functional Study'!#REF!</definedName>
    <definedName name="UAcct41111Dnptp" localSheetId="9">'[12]Functional Study'!#REF!</definedName>
    <definedName name="UAcct41111Dnptp">'[13]Functional Study'!#REF!</definedName>
    <definedName name="UAcct41111S" localSheetId="9">'[12]Functional Study'!#REF!</definedName>
    <definedName name="UAcct41111S">'[13]Functional Study'!#REF!</definedName>
    <definedName name="UAcct41111Se" localSheetId="9">'[12]Functional Study'!#REF!</definedName>
    <definedName name="UAcct41111Se">'[13]Functional Study'!#REF!</definedName>
    <definedName name="UAcct41111Sg" localSheetId="9">'[12]Functional Study'!#REF!</definedName>
    <definedName name="UAcct41111Sg">'[13]Functional Study'!#REF!</definedName>
    <definedName name="UAcct41111Sgpp" localSheetId="9">'[12]Functional Study'!#REF!</definedName>
    <definedName name="UAcct41111Sgpp">'[13]Functional Study'!#REF!</definedName>
    <definedName name="UAcct41111So" localSheetId="9">'[12]Functional Study'!#REF!</definedName>
    <definedName name="UAcct41111So">'[13]Functional Study'!#REF!</definedName>
    <definedName name="UAcct41111Trojp" localSheetId="9">'[12]Functional Study'!#REF!</definedName>
    <definedName name="UAcct41111Trojp">'[13]Functional Study'!#REF!</definedName>
    <definedName name="UAcct447CAEE">'[10]Func Study'!#REF!</definedName>
    <definedName name="UAcct447CAGE">'[10]Func Study'!#REF!</definedName>
    <definedName name="UAcct447Dgu">'[11]Func Study'!#REF!</definedName>
    <definedName name="UAcct453CAGE">'[10]Func Study'!#REF!</definedName>
    <definedName name="UAcct453CAGW">'[10]Func Study'!#REF!</definedName>
    <definedName name="UAcct502JBG">'[10]Func Study'!#REF!</definedName>
    <definedName name="UAcct505JBG">'[10]Func Study'!#REF!</definedName>
    <definedName name="UAcct506JBG">'[10]Func Study'!#REF!</definedName>
    <definedName name="UAcct507JBG">'[10]Func Study'!#REF!</definedName>
    <definedName name="UAcct510JBG">'[10]Func Study'!#REF!</definedName>
    <definedName name="UAcct511JBG">'[10]Func Study'!#REF!</definedName>
    <definedName name="UAcct512JBG">'[10]Func Study'!#REF!</definedName>
    <definedName name="UAcct513JBG">'[10]Func Study'!#REF!</definedName>
    <definedName name="UAcct514JBG">'[10]Func Study'!#REF!</definedName>
    <definedName name="UAcct5506SE">'[10]Func Study'!#REF!</definedName>
    <definedName name="UAcct555CAEE">'[10]Func Study'!#REF!</definedName>
    <definedName name="UAcct555CAGE">'[10]Func Study'!#REF!</definedName>
    <definedName name="Uacct904SG" localSheetId="9">'[14]Functional Study'!#REF!</definedName>
    <definedName name="Uacct904SG">'[15]Functional Study'!#REF!</definedName>
    <definedName name="UNBILREV" localSheetId="9">#REF!</definedName>
    <definedName name="UNBILREV">#REF!</definedName>
    <definedName name="UncollectibleAccounts">[17]Variables!$D$25</definedName>
    <definedName name="UtGrossReceipts">[17]Variables!$D$29</definedName>
    <definedName name="ValidAccount">[16]Variables!$AK$43:$AK$369</definedName>
    <definedName name="VAR">[18]Backup!#REF!</definedName>
    <definedName name="VARIABLE" localSheetId="9">[22]Summary!#REF!</definedName>
    <definedName name="VARIABLE">[23]Summary!#REF!</definedName>
    <definedName name="VOUCHER">#REF!</definedName>
    <definedName name="WaRevenueTax">[17]Variables!$D$27</definedName>
    <definedName name="WEATHER" localSheetId="9">#REF!</definedName>
    <definedName name="WEATHER">#REF!</definedName>
    <definedName name="WEATHRNORM" localSheetId="9">#REF!</definedName>
    <definedName name="WEATHRNORM">#REF!</definedName>
    <definedName name="WIDTH">#REF!</definedName>
    <definedName name="WinterPeak">'[31]Load Data'!$D$9:$H$12,'[31]Load Data'!$D$20:$H$22</definedName>
    <definedName name="WORK1">#REF!</definedName>
    <definedName name="WORK2">#REF!</definedName>
    <definedName name="WORK3">#REF!</definedName>
    <definedName name="wrn.OR._.Carrying._.Charge._.JV." localSheetId="8" hidden="1">{#N/A,#N/A,FALSE,"Loans";#N/A,#N/A,FALSE,"Program Costs";#N/A,#N/A,FALSE,"Measures";#N/A,#N/A,FALSE,"Net Lost Rev";#N/A,#N/A,FALSE,"Incentive"}</definedName>
    <definedName name="wrn.OR._.Carrying._.Charge._.JV." localSheetId="9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8" hidden="1">{#N/A,#N/A,FALSE,"Loans";#N/A,#N/A,FALSE,"Program Costs";#N/A,#N/A,FALSE,"Measures";#N/A,#N/A,FALSE,"Net Lost Rev";#N/A,#N/A,FALSE,"Incentive"}</definedName>
    <definedName name="wrn.OR._.Carrying._.Charge._.JV.1" localSheetId="9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'[32]Weather Present'!$K$7</definedName>
    <definedName name="y" localSheetId="2" hidden="1">#REF!</definedName>
    <definedName name="y" localSheetId="3" hidden="1">#REF!</definedName>
    <definedName name="y" localSheetId="4" hidden="1">#REF!</definedName>
    <definedName name="y" localSheetId="5" hidden="1">#REF!</definedName>
    <definedName name="y" localSheetId="8" hidden="1">#REF!</definedName>
    <definedName name="y" localSheetId="7" hidden="1">#REF!</definedName>
    <definedName name="y" localSheetId="6" hidden="1">#REF!</definedName>
    <definedName name="y" localSheetId="1" hidden="1">#REF!</definedName>
    <definedName name="y" localSheetId="0" hidden="1">#REF!</definedName>
    <definedName name="y" hidden="1">'[8]DSM Output'!$B$21:$B$23</definedName>
    <definedName name="Year">#REF!</definedName>
    <definedName name="YEFactors">[16]Factors!$S$3:$AG$99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8" hidden="1">#REF!</definedName>
    <definedName name="z" localSheetId="7" hidden="1">#REF!</definedName>
    <definedName name="z" localSheetId="6" hidden="1">#REF!</definedName>
    <definedName name="z" localSheetId="1" hidden="1">#REF!</definedName>
    <definedName name="z" localSheetId="0" hidden="1">#REF!</definedName>
    <definedName name="z" hidden="1">'[8]DSM Output'!$G$21:$G$23</definedName>
    <definedName name="ZA">'[33] annual balance '!#REF!</definedName>
  </definedNames>
  <calcPr calcId="125725"/>
</workbook>
</file>

<file path=xl/calcChain.xml><?xml version="1.0" encoding="utf-8"?>
<calcChain xmlns="http://schemas.openxmlformats.org/spreadsheetml/2006/main">
  <c r="E10" i="11"/>
  <c r="C10"/>
  <c r="D10" s="1"/>
  <c r="C9"/>
  <c r="D9" s="1"/>
  <c r="E9"/>
  <c r="F11"/>
  <c r="E8"/>
  <c r="C8"/>
  <c r="C11" s="1"/>
  <c r="F29" i="10"/>
  <c r="E29"/>
  <c r="B11" i="11" s="1"/>
  <c r="AB27" i="10"/>
  <c r="P26"/>
  <c r="S26" s="1"/>
  <c r="G26"/>
  <c r="E26"/>
  <c r="L26" s="1"/>
  <c r="S25"/>
  <c r="P25"/>
  <c r="E25"/>
  <c r="L25" s="1"/>
  <c r="P24"/>
  <c r="S24" s="1"/>
  <c r="G24"/>
  <c r="E24"/>
  <c r="L24" s="1"/>
  <c r="S23"/>
  <c r="P23"/>
  <c r="E23"/>
  <c r="L23" s="1"/>
  <c r="P22"/>
  <c r="S22" s="1"/>
  <c r="G22"/>
  <c r="E22"/>
  <c r="L22" s="1"/>
  <c r="S21"/>
  <c r="P21"/>
  <c r="E21"/>
  <c r="L21" s="1"/>
  <c r="P20"/>
  <c r="S20" s="1"/>
  <c r="G20"/>
  <c r="E20"/>
  <c r="L20" s="1"/>
  <c r="S19"/>
  <c r="P19"/>
  <c r="E19"/>
  <c r="L19" s="1"/>
  <c r="P18"/>
  <c r="S18" s="1"/>
  <c r="G18"/>
  <c r="E18"/>
  <c r="L18" s="1"/>
  <c r="X17"/>
  <c r="P17"/>
  <c r="S17" s="1"/>
  <c r="E17"/>
  <c r="T17" s="1"/>
  <c r="P16"/>
  <c r="S16" s="1"/>
  <c r="G16"/>
  <c r="E16"/>
  <c r="L16" s="1"/>
  <c r="S15"/>
  <c r="P15"/>
  <c r="E15"/>
  <c r="L15" s="1"/>
  <c r="P14"/>
  <c r="S14" s="1"/>
  <c r="G14"/>
  <c r="E14"/>
  <c r="L14" s="1"/>
  <c r="S13"/>
  <c r="P13"/>
  <c r="P27" s="1"/>
  <c r="E13"/>
  <c r="L13" s="1"/>
  <c r="E10"/>
  <c r="T10" s="1"/>
  <c r="D10"/>
  <c r="S10" s="1"/>
  <c r="T8"/>
  <c r="E29" i="9"/>
  <c r="E28"/>
  <c r="E27"/>
  <c r="R25"/>
  <c r="E25"/>
  <c r="E24"/>
  <c r="E23"/>
  <c r="E21"/>
  <c r="E20"/>
  <c r="E19"/>
  <c r="N18"/>
  <c r="N17"/>
  <c r="E17"/>
  <c r="O16"/>
  <c r="N16"/>
  <c r="E16"/>
  <c r="E15"/>
  <c r="E29" i="8"/>
  <c r="E28"/>
  <c r="E27"/>
  <c r="Q25"/>
  <c r="E25"/>
  <c r="E24"/>
  <c r="E23"/>
  <c r="E21"/>
  <c r="E20"/>
  <c r="E19"/>
  <c r="N18"/>
  <c r="N17"/>
  <c r="E17"/>
  <c r="O16"/>
  <c r="N16"/>
  <c r="E16"/>
  <c r="O15"/>
  <c r="N15"/>
  <c r="G15"/>
  <c r="E15"/>
  <c r="E29" i="7"/>
  <c r="E28"/>
  <c r="E27"/>
  <c r="Q25"/>
  <c r="E25"/>
  <c r="E24"/>
  <c r="E23"/>
  <c r="E21"/>
  <c r="E20"/>
  <c r="E19"/>
  <c r="N18"/>
  <c r="N17"/>
  <c r="E17"/>
  <c r="O16"/>
  <c r="N16"/>
  <c r="E16"/>
  <c r="O15"/>
  <c r="N15"/>
  <c r="E15"/>
  <c r="E33" i="6"/>
  <c r="E32"/>
  <c r="E31"/>
  <c r="E29"/>
  <c r="V28"/>
  <c r="E28"/>
  <c r="E27"/>
  <c r="E25"/>
  <c r="E24"/>
  <c r="E23"/>
  <c r="T21"/>
  <c r="T20"/>
  <c r="G20"/>
  <c r="E20"/>
  <c r="T19"/>
  <c r="E19"/>
  <c r="T18"/>
  <c r="I33" s="1"/>
  <c r="G18"/>
  <c r="E18"/>
  <c r="T17"/>
  <c r="I25" s="1"/>
  <c r="T14"/>
  <c r="G32" s="1"/>
  <c r="E40" i="5"/>
  <c r="E39"/>
  <c r="E38"/>
  <c r="E36"/>
  <c r="E35"/>
  <c r="E34"/>
  <c r="E32"/>
  <c r="E31"/>
  <c r="E30"/>
  <c r="E28"/>
  <c r="R27"/>
  <c r="E27"/>
  <c r="E26"/>
  <c r="E24"/>
  <c r="E23"/>
  <c r="E22"/>
  <c r="O20"/>
  <c r="E20"/>
  <c r="O19"/>
  <c r="E19"/>
  <c r="O18"/>
  <c r="E18"/>
  <c r="P16"/>
  <c r="O16"/>
  <c r="P15"/>
  <c r="O15"/>
  <c r="G15"/>
  <c r="O14"/>
  <c r="E32" i="4"/>
  <c r="E31"/>
  <c r="AA30"/>
  <c r="E30"/>
  <c r="E28"/>
  <c r="E27"/>
  <c r="E26"/>
  <c r="D24"/>
  <c r="E24" s="1"/>
  <c r="X23"/>
  <c r="Y23" s="1"/>
  <c r="D23"/>
  <c r="E23" s="1"/>
  <c r="X22"/>
  <c r="Y22" s="1"/>
  <c r="D22"/>
  <c r="E22" s="1"/>
  <c r="X21"/>
  <c r="Y21" s="1"/>
  <c r="X20"/>
  <c r="Y20" s="1"/>
  <c r="E20"/>
  <c r="E19"/>
  <c r="X18"/>
  <c r="Y18" s="1"/>
  <c r="E18"/>
  <c r="Y14"/>
  <c r="Y15" s="1"/>
  <c r="X14"/>
  <c r="X15" s="1"/>
  <c r="P19" i="3"/>
  <c r="N12"/>
  <c r="N11"/>
  <c r="D35" s="1"/>
  <c r="N10"/>
  <c r="L1200" i="2"/>
  <c r="I1194"/>
  <c r="C1193"/>
  <c r="C1195" s="1"/>
  <c r="C1192"/>
  <c r="J1191"/>
  <c r="L1191" s="1"/>
  <c r="F1191"/>
  <c r="C1191"/>
  <c r="I1191" s="1"/>
  <c r="J1189"/>
  <c r="L1189" s="1"/>
  <c r="I1189"/>
  <c r="F1189"/>
  <c r="J1188"/>
  <c r="N1188" s="1"/>
  <c r="C1188"/>
  <c r="F1188" s="1"/>
  <c r="J1187"/>
  <c r="N1187" s="1"/>
  <c r="C1187"/>
  <c r="F1187" s="1"/>
  <c r="J1185"/>
  <c r="N1185" s="1"/>
  <c r="I1185"/>
  <c r="F1185"/>
  <c r="J1184"/>
  <c r="L1184" s="1"/>
  <c r="I1184"/>
  <c r="F1184"/>
  <c r="J1182"/>
  <c r="N1182" s="1"/>
  <c r="I1182"/>
  <c r="F1182"/>
  <c r="J1181"/>
  <c r="L1181" s="1"/>
  <c r="I1181"/>
  <c r="F1181"/>
  <c r="J1180"/>
  <c r="N1180" s="1"/>
  <c r="I1180"/>
  <c r="F1180"/>
  <c r="L1177"/>
  <c r="J1177"/>
  <c r="N1177" s="1"/>
  <c r="I1177"/>
  <c r="F1177"/>
  <c r="J1176"/>
  <c r="N1176" s="1"/>
  <c r="I1176"/>
  <c r="F1176"/>
  <c r="L1174"/>
  <c r="J1174"/>
  <c r="N1174" s="1"/>
  <c r="I1174"/>
  <c r="F1174"/>
  <c r="J1173"/>
  <c r="N1173" s="1"/>
  <c r="F1173"/>
  <c r="C1173"/>
  <c r="I1173" s="1"/>
  <c r="J1172"/>
  <c r="N1172" s="1"/>
  <c r="F1172"/>
  <c r="C1172"/>
  <c r="I1172" s="1"/>
  <c r="J1169"/>
  <c r="N1169" s="1"/>
  <c r="I1169"/>
  <c r="F1169"/>
  <c r="J1168"/>
  <c r="N1168" s="1"/>
  <c r="C1168"/>
  <c r="L1168" s="1"/>
  <c r="L1166"/>
  <c r="J1166"/>
  <c r="N1166" s="1"/>
  <c r="I1166"/>
  <c r="F1166"/>
  <c r="J1165"/>
  <c r="N1165" s="1"/>
  <c r="F1165"/>
  <c r="C1165"/>
  <c r="I1165" s="1"/>
  <c r="J1164"/>
  <c r="N1164" s="1"/>
  <c r="N1193" s="1"/>
  <c r="F1164"/>
  <c r="C1164"/>
  <c r="I1164" s="1"/>
  <c r="I1157"/>
  <c r="L1157"/>
  <c r="N1155"/>
  <c r="C1155"/>
  <c r="I1155" s="1"/>
  <c r="C1154"/>
  <c r="N1153"/>
  <c r="L1153"/>
  <c r="I1153"/>
  <c r="F1153"/>
  <c r="N1152"/>
  <c r="N1156" s="1"/>
  <c r="L1152"/>
  <c r="I1152"/>
  <c r="I1156" s="1"/>
  <c r="I1158" s="1"/>
  <c r="F1152"/>
  <c r="L1146"/>
  <c r="C1144"/>
  <c r="G1143"/>
  <c r="I1143" s="1"/>
  <c r="D1143"/>
  <c r="C1143"/>
  <c r="C1145" s="1"/>
  <c r="C1147" s="1"/>
  <c r="I1142"/>
  <c r="G1142"/>
  <c r="F1142"/>
  <c r="D1142"/>
  <c r="L1141"/>
  <c r="I1135"/>
  <c r="L1135"/>
  <c r="C1132"/>
  <c r="C1134" s="1"/>
  <c r="G1131"/>
  <c r="I1131" s="1"/>
  <c r="I1105" s="1"/>
  <c r="D1131"/>
  <c r="C1131"/>
  <c r="F1131" s="1"/>
  <c r="L1129"/>
  <c r="J1129"/>
  <c r="I1129"/>
  <c r="F1129"/>
  <c r="L1128"/>
  <c r="J1128"/>
  <c r="I1128"/>
  <c r="F1128"/>
  <c r="L1127"/>
  <c r="J1127"/>
  <c r="I1127"/>
  <c r="F1127"/>
  <c r="L1126"/>
  <c r="J1126"/>
  <c r="I1126"/>
  <c r="F1126"/>
  <c r="L1125"/>
  <c r="J1125"/>
  <c r="I1125"/>
  <c r="F1125"/>
  <c r="J1122"/>
  <c r="C1122"/>
  <c r="L1122" s="1"/>
  <c r="J1121"/>
  <c r="L1121" s="1"/>
  <c r="F1121"/>
  <c r="C1121"/>
  <c r="I1121" s="1"/>
  <c r="J1120"/>
  <c r="C1120"/>
  <c r="L1120" s="1"/>
  <c r="J1119"/>
  <c r="L1119" s="1"/>
  <c r="F1119"/>
  <c r="C1119"/>
  <c r="I1119" s="1"/>
  <c r="J1118"/>
  <c r="C1118"/>
  <c r="L1118" s="1"/>
  <c r="J1117"/>
  <c r="L1117" s="1"/>
  <c r="F1117"/>
  <c r="C1117"/>
  <c r="I1117" s="1"/>
  <c r="L1115"/>
  <c r="L1134" s="1"/>
  <c r="I1115"/>
  <c r="F1109"/>
  <c r="L1109" s="1"/>
  <c r="C1109"/>
  <c r="C1107"/>
  <c r="G1106"/>
  <c r="D1106"/>
  <c r="C1106"/>
  <c r="J1105"/>
  <c r="J1131" s="1"/>
  <c r="L1131" s="1"/>
  <c r="C1105"/>
  <c r="I1104"/>
  <c r="F1104"/>
  <c r="L1098"/>
  <c r="C1097"/>
  <c r="C1099" s="1"/>
  <c r="C1096"/>
  <c r="J1095"/>
  <c r="N1095" s="1"/>
  <c r="I1095"/>
  <c r="F1095"/>
  <c r="N1094"/>
  <c r="L1094"/>
  <c r="I1094"/>
  <c r="F1094"/>
  <c r="F1097" s="1"/>
  <c r="F1099" s="1"/>
  <c r="L1093"/>
  <c r="I1093"/>
  <c r="I1097" s="1"/>
  <c r="I1087"/>
  <c r="L1087"/>
  <c r="C1088"/>
  <c r="C1086"/>
  <c r="C1085"/>
  <c r="L1084"/>
  <c r="J1084"/>
  <c r="N1084" s="1"/>
  <c r="I1084"/>
  <c r="F1084"/>
  <c r="J1083"/>
  <c r="N1083" s="1"/>
  <c r="I1083"/>
  <c r="F1083"/>
  <c r="L1082"/>
  <c r="J1082"/>
  <c r="N1082" s="1"/>
  <c r="I1082"/>
  <c r="F1082"/>
  <c r="J1081"/>
  <c r="N1081" s="1"/>
  <c r="I1081"/>
  <c r="F1081"/>
  <c r="L1080"/>
  <c r="J1080"/>
  <c r="N1080" s="1"/>
  <c r="I1080"/>
  <c r="F1080"/>
  <c r="J1079"/>
  <c r="N1079" s="1"/>
  <c r="I1079"/>
  <c r="F1079"/>
  <c r="L1078"/>
  <c r="J1078"/>
  <c r="N1078" s="1"/>
  <c r="I1078"/>
  <c r="F1078"/>
  <c r="J1076"/>
  <c r="N1076" s="1"/>
  <c r="I1076"/>
  <c r="F1076"/>
  <c r="L1075"/>
  <c r="J1075"/>
  <c r="N1075" s="1"/>
  <c r="I1075"/>
  <c r="F1075"/>
  <c r="J1074"/>
  <c r="N1074" s="1"/>
  <c r="I1074"/>
  <c r="F1074"/>
  <c r="L1073"/>
  <c r="J1073"/>
  <c r="N1073" s="1"/>
  <c r="I1073"/>
  <c r="F1073"/>
  <c r="J1072"/>
  <c r="N1072" s="1"/>
  <c r="I1072"/>
  <c r="F1072"/>
  <c r="L1071"/>
  <c r="J1071"/>
  <c r="N1071" s="1"/>
  <c r="I1071"/>
  <c r="F1071"/>
  <c r="J1070"/>
  <c r="N1070" s="1"/>
  <c r="I1070"/>
  <c r="F1070"/>
  <c r="L1069"/>
  <c r="J1069"/>
  <c r="N1069" s="1"/>
  <c r="I1069"/>
  <c r="F1069"/>
  <c r="J1068"/>
  <c r="N1068" s="1"/>
  <c r="I1068"/>
  <c r="F1068"/>
  <c r="L1067"/>
  <c r="J1067"/>
  <c r="N1067" s="1"/>
  <c r="N1086" s="1"/>
  <c r="I1067"/>
  <c r="I1086" s="1"/>
  <c r="I1088" s="1"/>
  <c r="F1067"/>
  <c r="F1086" s="1"/>
  <c r="F1088" s="1"/>
  <c r="C1061"/>
  <c r="L1060"/>
  <c r="C1059"/>
  <c r="G1058"/>
  <c r="C1058"/>
  <c r="L1058" s="1"/>
  <c r="L1057"/>
  <c r="I1057"/>
  <c r="G1057"/>
  <c r="F1057"/>
  <c r="G1056"/>
  <c r="D1056"/>
  <c r="C1056"/>
  <c r="I1056" s="1"/>
  <c r="G1055"/>
  <c r="D1055"/>
  <c r="C1055"/>
  <c r="I1055" s="1"/>
  <c r="G1054"/>
  <c r="D1054"/>
  <c r="C1054"/>
  <c r="I1054" s="1"/>
  <c r="G1053"/>
  <c r="D1053"/>
  <c r="C1053"/>
  <c r="I1053" s="1"/>
  <c r="L1052"/>
  <c r="G1052"/>
  <c r="I1052" s="1"/>
  <c r="D1052"/>
  <c r="F1052" s="1"/>
  <c r="L1051"/>
  <c r="I1051"/>
  <c r="G1051"/>
  <c r="F1051"/>
  <c r="D1051"/>
  <c r="L1050"/>
  <c r="G1050"/>
  <c r="I1050" s="1"/>
  <c r="D1050"/>
  <c r="F1050" s="1"/>
  <c r="L1048"/>
  <c r="J1048"/>
  <c r="Q1048" s="1"/>
  <c r="I1048"/>
  <c r="F1048"/>
  <c r="J1047"/>
  <c r="I1047"/>
  <c r="F1047"/>
  <c r="L1045"/>
  <c r="J1045"/>
  <c r="R17" i="9" s="1"/>
  <c r="I1045" i="2"/>
  <c r="F1045"/>
  <c r="J1044"/>
  <c r="I1044"/>
  <c r="F1044"/>
  <c r="L1043"/>
  <c r="I1043"/>
  <c r="F1043"/>
  <c r="C1042"/>
  <c r="J1041"/>
  <c r="I1041"/>
  <c r="F1041"/>
  <c r="L1040"/>
  <c r="I1040"/>
  <c r="F1040"/>
  <c r="I1033"/>
  <c r="I1005"/>
  <c r="L1005" s="1"/>
  <c r="G976"/>
  <c r="D976"/>
  <c r="G975"/>
  <c r="D975"/>
  <c r="G974"/>
  <c r="G973"/>
  <c r="G972"/>
  <c r="G971"/>
  <c r="G970"/>
  <c r="G969"/>
  <c r="C1024"/>
  <c r="G968"/>
  <c r="C968"/>
  <c r="C1023" s="1"/>
  <c r="D967"/>
  <c r="I966"/>
  <c r="I1021" s="1"/>
  <c r="D966"/>
  <c r="D974" s="1"/>
  <c r="C1021"/>
  <c r="I965"/>
  <c r="I1020" s="1"/>
  <c r="D965"/>
  <c r="D973" s="1"/>
  <c r="C1020"/>
  <c r="I963"/>
  <c r="I1018" s="1"/>
  <c r="D963"/>
  <c r="D972" s="1"/>
  <c r="C1018"/>
  <c r="I962"/>
  <c r="I1017" s="1"/>
  <c r="D962"/>
  <c r="D971" s="1"/>
  <c r="C1017"/>
  <c r="I961"/>
  <c r="I1016" s="1"/>
  <c r="D961"/>
  <c r="D970" s="1"/>
  <c r="C961"/>
  <c r="C1016" s="1"/>
  <c r="D959"/>
  <c r="D969" s="1"/>
  <c r="F969" s="1"/>
  <c r="I959"/>
  <c r="I1014" s="1"/>
  <c r="D958"/>
  <c r="D968" s="1"/>
  <c r="F968" s="1"/>
  <c r="C958"/>
  <c r="I958" s="1"/>
  <c r="L949"/>
  <c r="L1003" s="1"/>
  <c r="G949"/>
  <c r="D949"/>
  <c r="F949" s="1"/>
  <c r="F1003" s="1"/>
  <c r="C949"/>
  <c r="I949" s="1"/>
  <c r="I1003" s="1"/>
  <c r="L948"/>
  <c r="L1002" s="1"/>
  <c r="G948"/>
  <c r="D948"/>
  <c r="F948" s="1"/>
  <c r="F1002" s="1"/>
  <c r="C948"/>
  <c r="I948" s="1"/>
  <c r="I1002" s="1"/>
  <c r="L947"/>
  <c r="L1001" s="1"/>
  <c r="G947"/>
  <c r="D947"/>
  <c r="F947" s="1"/>
  <c r="C947"/>
  <c r="I947" s="1"/>
  <c r="L946"/>
  <c r="L1000" s="1"/>
  <c r="G946"/>
  <c r="D946"/>
  <c r="F946" s="1"/>
  <c r="C946"/>
  <c r="I946" s="1"/>
  <c r="I1000" s="1"/>
  <c r="L945"/>
  <c r="L999" s="1"/>
  <c r="G945"/>
  <c r="D945"/>
  <c r="F945" s="1"/>
  <c r="C945"/>
  <c r="I945" s="1"/>
  <c r="L944"/>
  <c r="L998" s="1"/>
  <c r="G944"/>
  <c r="D944"/>
  <c r="F944" s="1"/>
  <c r="C944"/>
  <c r="I944" s="1"/>
  <c r="I998" s="1"/>
  <c r="L943"/>
  <c r="L997" s="1"/>
  <c r="G943"/>
  <c r="D943"/>
  <c r="F943" s="1"/>
  <c r="C943"/>
  <c r="I943" s="1"/>
  <c r="L942"/>
  <c r="L996" s="1"/>
  <c r="G942"/>
  <c r="C942"/>
  <c r="I942" s="1"/>
  <c r="I996" s="1"/>
  <c r="L941"/>
  <c r="L995" s="1"/>
  <c r="G941"/>
  <c r="C941"/>
  <c r="I941" s="1"/>
  <c r="D940"/>
  <c r="D939"/>
  <c r="C939"/>
  <c r="I939" s="1"/>
  <c r="I993" s="1"/>
  <c r="I802" s="1"/>
  <c r="I774" s="1"/>
  <c r="D938"/>
  <c r="C938"/>
  <c r="C950" s="1"/>
  <c r="D936"/>
  <c r="C936"/>
  <c r="I936" s="1"/>
  <c r="I990" s="1"/>
  <c r="I799" s="1"/>
  <c r="I771" s="1"/>
  <c r="D935"/>
  <c r="C935"/>
  <c r="I935" s="1"/>
  <c r="I989" s="1"/>
  <c r="I798" s="1"/>
  <c r="I770" s="1"/>
  <c r="D934"/>
  <c r="C934"/>
  <c r="I934" s="1"/>
  <c r="I988" s="1"/>
  <c r="I797" s="1"/>
  <c r="I769" s="1"/>
  <c r="I932"/>
  <c r="I986" s="1"/>
  <c r="I795" s="1"/>
  <c r="I767" s="1"/>
  <c r="D932"/>
  <c r="F932" s="1"/>
  <c r="F986" s="1"/>
  <c r="C932"/>
  <c r="C986" s="1"/>
  <c r="I931"/>
  <c r="I985" s="1"/>
  <c r="D931"/>
  <c r="F931" s="1"/>
  <c r="C931"/>
  <c r="C985" s="1"/>
  <c r="G918"/>
  <c r="D918"/>
  <c r="G917"/>
  <c r="D917"/>
  <c r="G916"/>
  <c r="D916"/>
  <c r="G915"/>
  <c r="D915"/>
  <c r="G914"/>
  <c r="D914"/>
  <c r="G913"/>
  <c r="D913"/>
  <c r="C913"/>
  <c r="L913" s="1"/>
  <c r="G912"/>
  <c r="D912"/>
  <c r="C912"/>
  <c r="L912" s="1"/>
  <c r="C910"/>
  <c r="F910" s="1"/>
  <c r="C909"/>
  <c r="F909" s="1"/>
  <c r="C907"/>
  <c r="F907" s="1"/>
  <c r="C906"/>
  <c r="F906" s="1"/>
  <c r="C905"/>
  <c r="F905" s="1"/>
  <c r="F903"/>
  <c r="C903"/>
  <c r="I903" s="1"/>
  <c r="F902"/>
  <c r="C902"/>
  <c r="I902" s="1"/>
  <c r="J893"/>
  <c r="L893" s="1"/>
  <c r="G893"/>
  <c r="I893" s="1"/>
  <c r="D893"/>
  <c r="F893" s="1"/>
  <c r="J892"/>
  <c r="L892" s="1"/>
  <c r="G892"/>
  <c r="I892" s="1"/>
  <c r="D892"/>
  <c r="F892" s="1"/>
  <c r="L891"/>
  <c r="I891"/>
  <c r="G891"/>
  <c r="L890"/>
  <c r="G890"/>
  <c r="I890" s="1"/>
  <c r="L889"/>
  <c r="I889"/>
  <c r="G889"/>
  <c r="L888"/>
  <c r="G888"/>
  <c r="I888" s="1"/>
  <c r="L887"/>
  <c r="I887"/>
  <c r="G887"/>
  <c r="L886"/>
  <c r="G886"/>
  <c r="I886" s="1"/>
  <c r="D886"/>
  <c r="F886" s="1"/>
  <c r="L885"/>
  <c r="I885"/>
  <c r="G885"/>
  <c r="J884"/>
  <c r="D884"/>
  <c r="I883"/>
  <c r="D883"/>
  <c r="D891" s="1"/>
  <c r="F891" s="1"/>
  <c r="C883"/>
  <c r="I882"/>
  <c r="D882"/>
  <c r="F882" s="1"/>
  <c r="C882"/>
  <c r="C894" s="1"/>
  <c r="I880"/>
  <c r="D880"/>
  <c r="D889" s="1"/>
  <c r="F889" s="1"/>
  <c r="C880"/>
  <c r="I879"/>
  <c r="D879"/>
  <c r="F879" s="1"/>
  <c r="I878"/>
  <c r="F878"/>
  <c r="D878"/>
  <c r="D887" s="1"/>
  <c r="F887" s="1"/>
  <c r="C877"/>
  <c r="I876"/>
  <c r="F876"/>
  <c r="D876"/>
  <c r="I875"/>
  <c r="D875"/>
  <c r="D885" s="1"/>
  <c r="F885" s="1"/>
  <c r="C867"/>
  <c r="C868" s="1"/>
  <c r="L866"/>
  <c r="J866"/>
  <c r="I866"/>
  <c r="G866"/>
  <c r="F866"/>
  <c r="D866"/>
  <c r="L865"/>
  <c r="J865"/>
  <c r="I865"/>
  <c r="G865"/>
  <c r="F865"/>
  <c r="D865"/>
  <c r="L864"/>
  <c r="G864"/>
  <c r="I864" s="1"/>
  <c r="D864"/>
  <c r="F864" s="1"/>
  <c r="L863"/>
  <c r="I863"/>
  <c r="G863"/>
  <c r="L862"/>
  <c r="G862"/>
  <c r="I862" s="1"/>
  <c r="D862"/>
  <c r="F862" s="1"/>
  <c r="L861"/>
  <c r="I861"/>
  <c r="G861"/>
  <c r="L860"/>
  <c r="G860"/>
  <c r="I860" s="1"/>
  <c r="D860"/>
  <c r="F860" s="1"/>
  <c r="L859"/>
  <c r="I859"/>
  <c r="G859"/>
  <c r="L858"/>
  <c r="G858"/>
  <c r="I858" s="1"/>
  <c r="J857"/>
  <c r="D857"/>
  <c r="I856"/>
  <c r="F856"/>
  <c r="D856"/>
  <c r="I855"/>
  <c r="D855"/>
  <c r="D863" s="1"/>
  <c r="F863" s="1"/>
  <c r="I853"/>
  <c r="F853"/>
  <c r="D853"/>
  <c r="I852"/>
  <c r="D852"/>
  <c r="D861" s="1"/>
  <c r="F861" s="1"/>
  <c r="I851"/>
  <c r="F851"/>
  <c r="D851"/>
  <c r="C850"/>
  <c r="I849"/>
  <c r="F849"/>
  <c r="D849"/>
  <c r="D859" s="1"/>
  <c r="F859" s="1"/>
  <c r="I848"/>
  <c r="I867" s="1"/>
  <c r="D848"/>
  <c r="F848" s="1"/>
  <c r="J910"/>
  <c r="L838"/>
  <c r="J838"/>
  <c r="I838"/>
  <c r="G838"/>
  <c r="F838"/>
  <c r="J837"/>
  <c r="L837" s="1"/>
  <c r="G837"/>
  <c r="I837" s="1"/>
  <c r="F837"/>
  <c r="L836"/>
  <c r="G836"/>
  <c r="I836" s="1"/>
  <c r="D836"/>
  <c r="F836" s="1"/>
  <c r="L835"/>
  <c r="I835"/>
  <c r="G835"/>
  <c r="F835"/>
  <c r="D835"/>
  <c r="L834"/>
  <c r="G834"/>
  <c r="I834" s="1"/>
  <c r="D834"/>
  <c r="F834" s="1"/>
  <c r="L833"/>
  <c r="I833"/>
  <c r="G833"/>
  <c r="F833"/>
  <c r="D833"/>
  <c r="L832"/>
  <c r="G832"/>
  <c r="I832" s="1"/>
  <c r="D832"/>
  <c r="F832" s="1"/>
  <c r="L831"/>
  <c r="I831"/>
  <c r="G831"/>
  <c r="F831"/>
  <c r="D831"/>
  <c r="L830"/>
  <c r="G830"/>
  <c r="I830" s="1"/>
  <c r="D830"/>
  <c r="F830" s="1"/>
  <c r="J828"/>
  <c r="J883" s="1"/>
  <c r="L883" s="1"/>
  <c r="C828"/>
  <c r="F828" s="1"/>
  <c r="J827"/>
  <c r="J882" s="1"/>
  <c r="L882" s="1"/>
  <c r="C827"/>
  <c r="C839" s="1"/>
  <c r="J825"/>
  <c r="J880" s="1"/>
  <c r="L880" s="1"/>
  <c r="C825"/>
  <c r="F825" s="1"/>
  <c r="J824"/>
  <c r="J879" s="1"/>
  <c r="L879" s="1"/>
  <c r="C824"/>
  <c r="F824" s="1"/>
  <c r="J823"/>
  <c r="Q823" s="1"/>
  <c r="C823"/>
  <c r="F823" s="1"/>
  <c r="C822"/>
  <c r="J821"/>
  <c r="L821" s="1"/>
  <c r="F821"/>
  <c r="C821"/>
  <c r="I821" s="1"/>
  <c r="J820"/>
  <c r="J875" s="1"/>
  <c r="L875" s="1"/>
  <c r="F820"/>
  <c r="C820"/>
  <c r="I820" s="1"/>
  <c r="F814"/>
  <c r="F786" s="1"/>
  <c r="C814"/>
  <c r="C786"/>
  <c r="N784"/>
  <c r="N783"/>
  <c r="N782"/>
  <c r="N781"/>
  <c r="N780"/>
  <c r="N779"/>
  <c r="N778"/>
  <c r="N777"/>
  <c r="N776"/>
  <c r="N774"/>
  <c r="N773"/>
  <c r="N771"/>
  <c r="N770"/>
  <c r="N769"/>
  <c r="N767"/>
  <c r="N766"/>
  <c r="N785" s="1"/>
  <c r="I759"/>
  <c r="C760"/>
  <c r="C758"/>
  <c r="I757"/>
  <c r="F757"/>
  <c r="I756"/>
  <c r="F756"/>
  <c r="I755"/>
  <c r="F755"/>
  <c r="J754"/>
  <c r="L754" s="1"/>
  <c r="G754"/>
  <c r="I754" s="1"/>
  <c r="D754"/>
  <c r="F754" s="1"/>
  <c r="N753"/>
  <c r="L753"/>
  <c r="G753"/>
  <c r="I753" s="1"/>
  <c r="D753"/>
  <c r="F753" s="1"/>
  <c r="N752"/>
  <c r="L752"/>
  <c r="G752"/>
  <c r="I752" s="1"/>
  <c r="D752"/>
  <c r="F752" s="1"/>
  <c r="N751"/>
  <c r="L751"/>
  <c r="G751"/>
  <c r="I751" s="1"/>
  <c r="D751"/>
  <c r="F751" s="1"/>
  <c r="N750"/>
  <c r="L750"/>
  <c r="G750"/>
  <c r="I750" s="1"/>
  <c r="D750"/>
  <c r="F750" s="1"/>
  <c r="N749"/>
  <c r="L749"/>
  <c r="G749"/>
  <c r="I749" s="1"/>
  <c r="D749"/>
  <c r="F749" s="1"/>
  <c r="C749"/>
  <c r="N748"/>
  <c r="L748"/>
  <c r="I748"/>
  <c r="G748"/>
  <c r="F748"/>
  <c r="D748"/>
  <c r="N747"/>
  <c r="G747"/>
  <c r="D747"/>
  <c r="C747"/>
  <c r="L747" s="1"/>
  <c r="L746"/>
  <c r="J746"/>
  <c r="N746" s="1"/>
  <c r="I746"/>
  <c r="G746"/>
  <c r="F746"/>
  <c r="D746"/>
  <c r="J745"/>
  <c r="N744"/>
  <c r="L744"/>
  <c r="I744"/>
  <c r="F744"/>
  <c r="I743"/>
  <c r="F743"/>
  <c r="I742"/>
  <c r="F742"/>
  <c r="I740"/>
  <c r="F740"/>
  <c r="I739"/>
  <c r="F739"/>
  <c r="C738"/>
  <c r="F738" s="1"/>
  <c r="J737"/>
  <c r="C737"/>
  <c r="I736"/>
  <c r="F736"/>
  <c r="I735"/>
  <c r="F735"/>
  <c r="I728"/>
  <c r="L728"/>
  <c r="G726"/>
  <c r="I726" s="1"/>
  <c r="C726"/>
  <c r="G725"/>
  <c r="C725"/>
  <c r="I725" s="1"/>
  <c r="G723"/>
  <c r="I723" s="1"/>
  <c r="D723"/>
  <c r="F723" s="1"/>
  <c r="G715"/>
  <c r="I715" s="1"/>
  <c r="D715"/>
  <c r="F715" s="1"/>
  <c r="G712"/>
  <c r="I712" s="1"/>
  <c r="D712"/>
  <c r="F712" s="1"/>
  <c r="G710"/>
  <c r="I710" s="1"/>
  <c r="D710"/>
  <c r="F710" s="1"/>
  <c r="G707"/>
  <c r="I707" s="1"/>
  <c r="D707"/>
  <c r="F707" s="1"/>
  <c r="J705"/>
  <c r="L705" s="1"/>
  <c r="G705"/>
  <c r="I705" s="1"/>
  <c r="D705"/>
  <c r="F705" s="1"/>
  <c r="C705"/>
  <c r="G704"/>
  <c r="D704"/>
  <c r="C704"/>
  <c r="C727" s="1"/>
  <c r="C729" s="1"/>
  <c r="G701"/>
  <c r="I701" s="1"/>
  <c r="D701"/>
  <c r="F701" s="1"/>
  <c r="G699"/>
  <c r="I699" s="1"/>
  <c r="D699"/>
  <c r="F699" s="1"/>
  <c r="G698"/>
  <c r="I698" s="1"/>
  <c r="D698"/>
  <c r="G697"/>
  <c r="D697"/>
  <c r="C697"/>
  <c r="G696"/>
  <c r="D696"/>
  <c r="C696"/>
  <c r="I696" s="1"/>
  <c r="G695"/>
  <c r="D695"/>
  <c r="C695"/>
  <c r="I693"/>
  <c r="G693"/>
  <c r="F693"/>
  <c r="D693"/>
  <c r="C691"/>
  <c r="C690"/>
  <c r="G688"/>
  <c r="D688"/>
  <c r="C688"/>
  <c r="G687"/>
  <c r="D687"/>
  <c r="C687"/>
  <c r="C689" s="1"/>
  <c r="C587" s="1"/>
  <c r="J686"/>
  <c r="G686"/>
  <c r="D686"/>
  <c r="C686"/>
  <c r="I684"/>
  <c r="G684"/>
  <c r="F684"/>
  <c r="D684"/>
  <c r="L677"/>
  <c r="I677"/>
  <c r="F672"/>
  <c r="G664"/>
  <c r="I664" s="1"/>
  <c r="I613" s="1"/>
  <c r="D664"/>
  <c r="F664" s="1"/>
  <c r="F613" s="1"/>
  <c r="G661"/>
  <c r="I661" s="1"/>
  <c r="I610" s="1"/>
  <c r="D661"/>
  <c r="F661" s="1"/>
  <c r="F610" s="1"/>
  <c r="J654"/>
  <c r="J673" s="1"/>
  <c r="L673" s="1"/>
  <c r="G654"/>
  <c r="G673" s="1"/>
  <c r="I673" s="1"/>
  <c r="D654"/>
  <c r="D673" s="1"/>
  <c r="F673" s="1"/>
  <c r="C654"/>
  <c r="G653"/>
  <c r="G672" s="1"/>
  <c r="I672" s="1"/>
  <c r="I621" s="1"/>
  <c r="D653"/>
  <c r="D672" s="1"/>
  <c r="C653"/>
  <c r="C676" s="1"/>
  <c r="C678" s="1"/>
  <c r="G650"/>
  <c r="I650" s="1"/>
  <c r="I599" s="1"/>
  <c r="D650"/>
  <c r="F650" s="1"/>
  <c r="F599" s="1"/>
  <c r="G648"/>
  <c r="I648" s="1"/>
  <c r="I597" s="1"/>
  <c r="D648"/>
  <c r="F648" s="1"/>
  <c r="F597" s="1"/>
  <c r="G647"/>
  <c r="I647" s="1"/>
  <c r="I596" s="1"/>
  <c r="D647"/>
  <c r="F647" s="1"/>
  <c r="G646"/>
  <c r="I646" s="1"/>
  <c r="D646"/>
  <c r="F646" s="1"/>
  <c r="C646"/>
  <c r="G645"/>
  <c r="D645"/>
  <c r="C645"/>
  <c r="I645" s="1"/>
  <c r="I594" s="1"/>
  <c r="G644"/>
  <c r="I644" s="1"/>
  <c r="D644"/>
  <c r="F644" s="1"/>
  <c r="C644"/>
  <c r="I642"/>
  <c r="G642"/>
  <c r="F642"/>
  <c r="D642"/>
  <c r="C640"/>
  <c r="C639"/>
  <c r="C638"/>
  <c r="G637"/>
  <c r="I637" s="1"/>
  <c r="D637"/>
  <c r="F637" s="1"/>
  <c r="G636"/>
  <c r="I636" s="1"/>
  <c r="D636"/>
  <c r="F636" s="1"/>
  <c r="J635"/>
  <c r="L635" s="1"/>
  <c r="G635"/>
  <c r="I635" s="1"/>
  <c r="D635"/>
  <c r="F635" s="1"/>
  <c r="G633"/>
  <c r="I633" s="1"/>
  <c r="D633"/>
  <c r="F633" s="1"/>
  <c r="I626"/>
  <c r="F626"/>
  <c r="L626" s="1"/>
  <c r="C626"/>
  <c r="C625"/>
  <c r="C627" s="1"/>
  <c r="C624"/>
  <c r="C623"/>
  <c r="J622"/>
  <c r="N622" s="1"/>
  <c r="G622"/>
  <c r="D622"/>
  <c r="C622"/>
  <c r="G621"/>
  <c r="F621"/>
  <c r="D621"/>
  <c r="C621"/>
  <c r="C619"/>
  <c r="C618"/>
  <c r="G616"/>
  <c r="D616"/>
  <c r="C616"/>
  <c r="G615"/>
  <c r="D615"/>
  <c r="C615"/>
  <c r="G614"/>
  <c r="D614"/>
  <c r="C614"/>
  <c r="G613"/>
  <c r="D613"/>
  <c r="C613"/>
  <c r="G612"/>
  <c r="D612"/>
  <c r="C612"/>
  <c r="G610"/>
  <c r="D610"/>
  <c r="C610"/>
  <c r="G609"/>
  <c r="D609"/>
  <c r="C609"/>
  <c r="G608"/>
  <c r="D608"/>
  <c r="C608"/>
  <c r="J607"/>
  <c r="N607" s="1"/>
  <c r="G607"/>
  <c r="D607"/>
  <c r="C607"/>
  <c r="G605"/>
  <c r="D605"/>
  <c r="C605"/>
  <c r="Q603"/>
  <c r="N603"/>
  <c r="C603"/>
  <c r="Q602"/>
  <c r="J602"/>
  <c r="C602"/>
  <c r="G600"/>
  <c r="G619" s="1"/>
  <c r="D600"/>
  <c r="D619" s="1"/>
  <c r="C600"/>
  <c r="G599"/>
  <c r="G618" s="1"/>
  <c r="D599"/>
  <c r="D618" s="1"/>
  <c r="C599"/>
  <c r="C597"/>
  <c r="C596"/>
  <c r="J595"/>
  <c r="V19" i="6" s="1"/>
  <c r="C595" i="2"/>
  <c r="Q594"/>
  <c r="J594"/>
  <c r="C594"/>
  <c r="J593"/>
  <c r="V17" i="6" s="1"/>
  <c r="C593" i="2"/>
  <c r="Q591"/>
  <c r="J591"/>
  <c r="J693" s="1"/>
  <c r="I591"/>
  <c r="F591"/>
  <c r="C591"/>
  <c r="C589"/>
  <c r="C588"/>
  <c r="Q586"/>
  <c r="J586"/>
  <c r="V21" i="6" s="1"/>
  <c r="C586" i="2"/>
  <c r="J585"/>
  <c r="J636" s="1"/>
  <c r="C585"/>
  <c r="N584"/>
  <c r="C584"/>
  <c r="J582"/>
  <c r="J684" s="1"/>
  <c r="J707" s="1"/>
  <c r="L707" s="1"/>
  <c r="C582"/>
  <c r="I575"/>
  <c r="L575"/>
  <c r="C573"/>
  <c r="C572"/>
  <c r="C571"/>
  <c r="C570"/>
  <c r="C569"/>
  <c r="C567"/>
  <c r="J560"/>
  <c r="J571" s="1"/>
  <c r="L571" s="1"/>
  <c r="G560"/>
  <c r="G571" s="1"/>
  <c r="I571" s="1"/>
  <c r="D560"/>
  <c r="D571" s="1"/>
  <c r="F571" s="1"/>
  <c r="C560"/>
  <c r="G559"/>
  <c r="G570" s="1"/>
  <c r="I570" s="1"/>
  <c r="D559"/>
  <c r="D570" s="1"/>
  <c r="F570" s="1"/>
  <c r="C559"/>
  <c r="I559" s="1"/>
  <c r="G558"/>
  <c r="G569" s="1"/>
  <c r="I569" s="1"/>
  <c r="D558"/>
  <c r="D569" s="1"/>
  <c r="F569" s="1"/>
  <c r="C558"/>
  <c r="C574" s="1"/>
  <c r="C556"/>
  <c r="G555"/>
  <c r="G567" s="1"/>
  <c r="I567" s="1"/>
  <c r="D555"/>
  <c r="D567" s="1"/>
  <c r="F567" s="1"/>
  <c r="C555"/>
  <c r="G553"/>
  <c r="G566" s="1"/>
  <c r="I566" s="1"/>
  <c r="D553"/>
  <c r="D566" s="1"/>
  <c r="F566" s="1"/>
  <c r="C553"/>
  <c r="I553" s="1"/>
  <c r="G552"/>
  <c r="G565" s="1"/>
  <c r="I565" s="1"/>
  <c r="D552"/>
  <c r="D565" s="1"/>
  <c r="F565" s="1"/>
  <c r="C552"/>
  <c r="G550"/>
  <c r="G564" s="1"/>
  <c r="I564" s="1"/>
  <c r="D550"/>
  <c r="D564" s="1"/>
  <c r="F564" s="1"/>
  <c r="C550"/>
  <c r="G549"/>
  <c r="G563" s="1"/>
  <c r="I563" s="1"/>
  <c r="D549"/>
  <c r="D563" s="1"/>
  <c r="F563" s="1"/>
  <c r="C549"/>
  <c r="C551" s="1"/>
  <c r="G548"/>
  <c r="G562" s="1"/>
  <c r="I562" s="1"/>
  <c r="D548"/>
  <c r="D562" s="1"/>
  <c r="F562" s="1"/>
  <c r="I541"/>
  <c r="L541"/>
  <c r="G539"/>
  <c r="I539" s="1"/>
  <c r="C539"/>
  <c r="G538"/>
  <c r="C538"/>
  <c r="I538" s="1"/>
  <c r="C537"/>
  <c r="C536"/>
  <c r="C535"/>
  <c r="C533"/>
  <c r="C532"/>
  <c r="C531"/>
  <c r="C530"/>
  <c r="C529"/>
  <c r="J526"/>
  <c r="J537" s="1"/>
  <c r="L537" s="1"/>
  <c r="L503" s="1"/>
  <c r="G526"/>
  <c r="G537" s="1"/>
  <c r="I537" s="1"/>
  <c r="I503" s="1"/>
  <c r="D526"/>
  <c r="D537" s="1"/>
  <c r="F537" s="1"/>
  <c r="F503" s="1"/>
  <c r="C526"/>
  <c r="G525"/>
  <c r="G536" s="1"/>
  <c r="I536" s="1"/>
  <c r="I502" s="1"/>
  <c r="D525"/>
  <c r="D536" s="1"/>
  <c r="F536" s="1"/>
  <c r="F502" s="1"/>
  <c r="I525"/>
  <c r="I491" s="1"/>
  <c r="G524"/>
  <c r="G535" s="1"/>
  <c r="I535" s="1"/>
  <c r="I501" s="1"/>
  <c r="D524"/>
  <c r="D535" s="1"/>
  <c r="F535" s="1"/>
  <c r="F501" s="1"/>
  <c r="C540"/>
  <c r="C506" s="1"/>
  <c r="C522"/>
  <c r="G521"/>
  <c r="G533" s="1"/>
  <c r="I533" s="1"/>
  <c r="I499" s="1"/>
  <c r="D521"/>
  <c r="D533" s="1"/>
  <c r="F533" s="1"/>
  <c r="F499" s="1"/>
  <c r="C521"/>
  <c r="G519"/>
  <c r="G532" s="1"/>
  <c r="I532" s="1"/>
  <c r="I498" s="1"/>
  <c r="D519"/>
  <c r="D532" s="1"/>
  <c r="F532" s="1"/>
  <c r="F498" s="1"/>
  <c r="C519"/>
  <c r="I519" s="1"/>
  <c r="I485" s="1"/>
  <c r="G518"/>
  <c r="G531" s="1"/>
  <c r="I531" s="1"/>
  <c r="I497" s="1"/>
  <c r="D518"/>
  <c r="D531" s="1"/>
  <c r="F531" s="1"/>
  <c r="F497" s="1"/>
  <c r="C518"/>
  <c r="G516"/>
  <c r="G530" s="1"/>
  <c r="I530" s="1"/>
  <c r="I496" s="1"/>
  <c r="D516"/>
  <c r="D530" s="1"/>
  <c r="F530" s="1"/>
  <c r="F496" s="1"/>
  <c r="C516"/>
  <c r="G515"/>
  <c r="G529" s="1"/>
  <c r="I529" s="1"/>
  <c r="I495" s="1"/>
  <c r="D515"/>
  <c r="D529" s="1"/>
  <c r="F529" s="1"/>
  <c r="F495" s="1"/>
  <c r="C515"/>
  <c r="C517" s="1"/>
  <c r="G514"/>
  <c r="G528" s="1"/>
  <c r="I528" s="1"/>
  <c r="I494" s="1"/>
  <c r="D514"/>
  <c r="D528" s="1"/>
  <c r="F528" s="1"/>
  <c r="F494" s="1"/>
  <c r="I507"/>
  <c r="F507"/>
  <c r="L507" s="1"/>
  <c r="C507"/>
  <c r="C508" s="1"/>
  <c r="J573"/>
  <c r="L573" s="1"/>
  <c r="G573"/>
  <c r="I573" s="1"/>
  <c r="C505"/>
  <c r="J572"/>
  <c r="L572" s="1"/>
  <c r="G572"/>
  <c r="I572" s="1"/>
  <c r="C504"/>
  <c r="J503"/>
  <c r="N503" s="1"/>
  <c r="G503"/>
  <c r="D503"/>
  <c r="C503"/>
  <c r="G502"/>
  <c r="D502"/>
  <c r="C502"/>
  <c r="G501"/>
  <c r="D501"/>
  <c r="C501"/>
  <c r="G500"/>
  <c r="C500"/>
  <c r="G499"/>
  <c r="D499"/>
  <c r="C499"/>
  <c r="G498"/>
  <c r="D498"/>
  <c r="C498"/>
  <c r="G497"/>
  <c r="D497"/>
  <c r="C497"/>
  <c r="G496"/>
  <c r="D496"/>
  <c r="C496"/>
  <c r="G495"/>
  <c r="D495"/>
  <c r="C495"/>
  <c r="G494"/>
  <c r="D494"/>
  <c r="C494"/>
  <c r="Q492"/>
  <c r="N492"/>
  <c r="C492"/>
  <c r="C491"/>
  <c r="J490"/>
  <c r="J558" s="1"/>
  <c r="C490"/>
  <c r="D488"/>
  <c r="D500" s="1"/>
  <c r="C488"/>
  <c r="Q487"/>
  <c r="J487"/>
  <c r="J555" s="1"/>
  <c r="C487"/>
  <c r="J485"/>
  <c r="J498" s="1"/>
  <c r="N498" s="1"/>
  <c r="C485"/>
  <c r="Q484"/>
  <c r="J484"/>
  <c r="J552" s="1"/>
  <c r="C484"/>
  <c r="Q482"/>
  <c r="J482"/>
  <c r="J550" s="1"/>
  <c r="C482"/>
  <c r="J481"/>
  <c r="J495" s="1"/>
  <c r="N495" s="1"/>
  <c r="C481"/>
  <c r="Q480"/>
  <c r="J480"/>
  <c r="J548" s="1"/>
  <c r="C480"/>
  <c r="C483" s="1"/>
  <c r="C472"/>
  <c r="C474" s="1"/>
  <c r="I471"/>
  <c r="L468"/>
  <c r="I468"/>
  <c r="F468"/>
  <c r="L467"/>
  <c r="I467"/>
  <c r="F467"/>
  <c r="I466"/>
  <c r="F466"/>
  <c r="I465"/>
  <c r="G465"/>
  <c r="D465"/>
  <c r="F465" s="1"/>
  <c r="I464"/>
  <c r="G464"/>
  <c r="D464"/>
  <c r="F464" s="1"/>
  <c r="J463"/>
  <c r="L463" s="1"/>
  <c r="I463"/>
  <c r="G463"/>
  <c r="D463"/>
  <c r="F463" s="1"/>
  <c r="I462"/>
  <c r="G462"/>
  <c r="D462"/>
  <c r="F462" s="1"/>
  <c r="I461"/>
  <c r="G461"/>
  <c r="D461"/>
  <c r="F461" s="1"/>
  <c r="I460"/>
  <c r="G460"/>
  <c r="D460"/>
  <c r="F460" s="1"/>
  <c r="I459"/>
  <c r="G459"/>
  <c r="D459"/>
  <c r="F459" s="1"/>
  <c r="I458"/>
  <c r="G458"/>
  <c r="D458"/>
  <c r="F458" s="1"/>
  <c r="I457"/>
  <c r="G457"/>
  <c r="D457"/>
  <c r="F457" s="1"/>
  <c r="J466"/>
  <c r="L466" s="1"/>
  <c r="I455"/>
  <c r="G455"/>
  <c r="G466" s="1"/>
  <c r="J454"/>
  <c r="J465" s="1"/>
  <c r="L465" s="1"/>
  <c r="I454"/>
  <c r="F454"/>
  <c r="I453"/>
  <c r="G453"/>
  <c r="G471" s="1"/>
  <c r="D453"/>
  <c r="D471" s="1"/>
  <c r="F471" s="1"/>
  <c r="J452"/>
  <c r="L452" s="1"/>
  <c r="I452"/>
  <c r="G452"/>
  <c r="D452"/>
  <c r="F452" s="1"/>
  <c r="J450"/>
  <c r="J462" s="1"/>
  <c r="I450"/>
  <c r="G450"/>
  <c r="G470" s="1"/>
  <c r="D450"/>
  <c r="D470" s="1"/>
  <c r="J448"/>
  <c r="J461" s="1"/>
  <c r="L461" s="1"/>
  <c r="I448"/>
  <c r="G448"/>
  <c r="D448"/>
  <c r="F448" s="1"/>
  <c r="J447"/>
  <c r="J460" s="1"/>
  <c r="L460" s="1"/>
  <c r="I447"/>
  <c r="G447"/>
  <c r="D447"/>
  <c r="F447" s="1"/>
  <c r="C446"/>
  <c r="J445"/>
  <c r="J459" s="1"/>
  <c r="L459" s="1"/>
  <c r="I445"/>
  <c r="G445"/>
  <c r="D445"/>
  <c r="F445" s="1"/>
  <c r="J444"/>
  <c r="J458" s="1"/>
  <c r="L458" s="1"/>
  <c r="I444"/>
  <c r="G444"/>
  <c r="F444"/>
  <c r="D444"/>
  <c r="L443"/>
  <c r="J443"/>
  <c r="J457" s="1"/>
  <c r="L457" s="1"/>
  <c r="I443"/>
  <c r="I472" s="1"/>
  <c r="I474" s="1"/>
  <c r="G443"/>
  <c r="F443"/>
  <c r="D443"/>
  <c r="L435"/>
  <c r="C434"/>
  <c r="C436" s="1"/>
  <c r="I422"/>
  <c r="G422"/>
  <c r="G431" s="1"/>
  <c r="I431" s="1"/>
  <c r="F422"/>
  <c r="D422"/>
  <c r="D431" s="1"/>
  <c r="F431" s="1"/>
  <c r="I421"/>
  <c r="G421"/>
  <c r="G430" s="1"/>
  <c r="I430" s="1"/>
  <c r="F421"/>
  <c r="D421"/>
  <c r="D430" s="1"/>
  <c r="F430" s="1"/>
  <c r="I419"/>
  <c r="G419"/>
  <c r="G428" s="1"/>
  <c r="I428" s="1"/>
  <c r="F419"/>
  <c r="D419"/>
  <c r="D428" s="1"/>
  <c r="F428" s="1"/>
  <c r="I418"/>
  <c r="G418"/>
  <c r="G427" s="1"/>
  <c r="I427" s="1"/>
  <c r="F418"/>
  <c r="D418"/>
  <c r="D427" s="1"/>
  <c r="F427" s="1"/>
  <c r="C416"/>
  <c r="G415"/>
  <c r="G426" s="1"/>
  <c r="I426" s="1"/>
  <c r="G414"/>
  <c r="G425" s="1"/>
  <c r="I425" s="1"/>
  <c r="D414"/>
  <c r="D425" s="1"/>
  <c r="F425" s="1"/>
  <c r="G413"/>
  <c r="G424" s="1"/>
  <c r="I424" s="1"/>
  <c r="D413"/>
  <c r="D424" s="1"/>
  <c r="F424" s="1"/>
  <c r="I406"/>
  <c r="L406"/>
  <c r="G397"/>
  <c r="I397" s="1"/>
  <c r="D396"/>
  <c r="F396" s="1"/>
  <c r="G395"/>
  <c r="I395" s="1"/>
  <c r="G393"/>
  <c r="D393"/>
  <c r="G392"/>
  <c r="D392"/>
  <c r="C391"/>
  <c r="G390"/>
  <c r="G399" s="1"/>
  <c r="I399" s="1"/>
  <c r="D390"/>
  <c r="D399" s="1"/>
  <c r="F399" s="1"/>
  <c r="C390"/>
  <c r="C405" s="1"/>
  <c r="C407" s="1"/>
  <c r="G389"/>
  <c r="D389"/>
  <c r="C389"/>
  <c r="C388"/>
  <c r="C387"/>
  <c r="I386"/>
  <c r="G386"/>
  <c r="I385"/>
  <c r="G385"/>
  <c r="G396" s="1"/>
  <c r="I396" s="1"/>
  <c r="I367" s="1"/>
  <c r="F385"/>
  <c r="D385"/>
  <c r="I384"/>
  <c r="G384"/>
  <c r="F384"/>
  <c r="D384"/>
  <c r="D395" s="1"/>
  <c r="F395" s="1"/>
  <c r="F366" s="1"/>
  <c r="F377"/>
  <c r="L377" s="1"/>
  <c r="C377"/>
  <c r="C376"/>
  <c r="C378" s="1"/>
  <c r="I370"/>
  <c r="F370"/>
  <c r="I368"/>
  <c r="F367"/>
  <c r="I366"/>
  <c r="G364"/>
  <c r="G373" s="1"/>
  <c r="D364"/>
  <c r="D373" s="1"/>
  <c r="C364"/>
  <c r="G363"/>
  <c r="G372" s="1"/>
  <c r="D363"/>
  <c r="D372" s="1"/>
  <c r="C363"/>
  <c r="C362"/>
  <c r="G361"/>
  <c r="G370" s="1"/>
  <c r="D361"/>
  <c r="D370" s="1"/>
  <c r="C361"/>
  <c r="G360"/>
  <c r="G369" s="1"/>
  <c r="D360"/>
  <c r="D369" s="1"/>
  <c r="C360"/>
  <c r="C359"/>
  <c r="C358"/>
  <c r="G357"/>
  <c r="G368" s="1"/>
  <c r="C357"/>
  <c r="G356"/>
  <c r="G367" s="1"/>
  <c r="D356"/>
  <c r="D367" s="1"/>
  <c r="C356"/>
  <c r="G355"/>
  <c r="G366" s="1"/>
  <c r="D355"/>
  <c r="D366" s="1"/>
  <c r="C355"/>
  <c r="I347"/>
  <c r="I289" s="1"/>
  <c r="I334"/>
  <c r="G334"/>
  <c r="G343" s="1"/>
  <c r="I343" s="1"/>
  <c r="F334"/>
  <c r="D334"/>
  <c r="D343" s="1"/>
  <c r="F343" s="1"/>
  <c r="G333"/>
  <c r="G342" s="1"/>
  <c r="I342" s="1"/>
  <c r="D333"/>
  <c r="D342" s="1"/>
  <c r="F342" s="1"/>
  <c r="C333"/>
  <c r="I333" s="1"/>
  <c r="G332"/>
  <c r="G341" s="1"/>
  <c r="I341" s="1"/>
  <c r="D332"/>
  <c r="D341" s="1"/>
  <c r="F341" s="1"/>
  <c r="G331"/>
  <c r="G340" s="1"/>
  <c r="I340" s="1"/>
  <c r="D331"/>
  <c r="D340" s="1"/>
  <c r="F340" s="1"/>
  <c r="C331"/>
  <c r="C346" s="1"/>
  <c r="C348" s="1"/>
  <c r="I330"/>
  <c r="G330"/>
  <c r="G339" s="1"/>
  <c r="I339" s="1"/>
  <c r="F330"/>
  <c r="D330"/>
  <c r="D339" s="1"/>
  <c r="F339" s="1"/>
  <c r="C328"/>
  <c r="G327"/>
  <c r="G338" s="1"/>
  <c r="I338" s="1"/>
  <c r="D327"/>
  <c r="D338" s="1"/>
  <c r="F338" s="1"/>
  <c r="G326"/>
  <c r="G337" s="1"/>
  <c r="I337" s="1"/>
  <c r="D326"/>
  <c r="D337" s="1"/>
  <c r="F337" s="1"/>
  <c r="G325"/>
  <c r="G336" s="1"/>
  <c r="I336" s="1"/>
  <c r="D325"/>
  <c r="D336" s="1"/>
  <c r="F336" s="1"/>
  <c r="I318"/>
  <c r="L318"/>
  <c r="G312"/>
  <c r="I312" s="1"/>
  <c r="D312"/>
  <c r="F312" s="1"/>
  <c r="F283" s="1"/>
  <c r="G310"/>
  <c r="I310" s="1"/>
  <c r="D310"/>
  <c r="F310" s="1"/>
  <c r="F281" s="1"/>
  <c r="G309"/>
  <c r="I309" s="1"/>
  <c r="D309"/>
  <c r="F309" s="1"/>
  <c r="F280" s="1"/>
  <c r="G308"/>
  <c r="I308" s="1"/>
  <c r="D308"/>
  <c r="F308" s="1"/>
  <c r="F279" s="1"/>
  <c r="G307"/>
  <c r="I307" s="1"/>
  <c r="D307"/>
  <c r="F307" s="1"/>
  <c r="F278" s="1"/>
  <c r="G305"/>
  <c r="I305" s="1"/>
  <c r="D305"/>
  <c r="F305" s="1"/>
  <c r="F276" s="1"/>
  <c r="G304"/>
  <c r="I304" s="1"/>
  <c r="D304"/>
  <c r="F304" s="1"/>
  <c r="C304"/>
  <c r="G303"/>
  <c r="D303"/>
  <c r="C303"/>
  <c r="C317" s="1"/>
  <c r="G302"/>
  <c r="I302" s="1"/>
  <c r="D302"/>
  <c r="F302" s="1"/>
  <c r="C302"/>
  <c r="I301"/>
  <c r="G301"/>
  <c r="F301"/>
  <c r="D301"/>
  <c r="C300"/>
  <c r="I298"/>
  <c r="G298"/>
  <c r="F298"/>
  <c r="D298"/>
  <c r="I297"/>
  <c r="G297"/>
  <c r="F297"/>
  <c r="D297"/>
  <c r="G296"/>
  <c r="D296"/>
  <c r="C296"/>
  <c r="C299" s="1"/>
  <c r="F289"/>
  <c r="L289" s="1"/>
  <c r="C289"/>
  <c r="G284"/>
  <c r="I284" s="1"/>
  <c r="D284"/>
  <c r="G282"/>
  <c r="I282" s="1"/>
  <c r="D282"/>
  <c r="G280"/>
  <c r="I280" s="1"/>
  <c r="D280"/>
  <c r="G278"/>
  <c r="I278" s="1"/>
  <c r="D278"/>
  <c r="G276"/>
  <c r="I276" s="1"/>
  <c r="D276"/>
  <c r="D285" s="1"/>
  <c r="C276"/>
  <c r="G275"/>
  <c r="D275"/>
  <c r="C275"/>
  <c r="I275" s="1"/>
  <c r="G274"/>
  <c r="I274" s="1"/>
  <c r="D274"/>
  <c r="D283" s="1"/>
  <c r="C274"/>
  <c r="G273"/>
  <c r="D273"/>
  <c r="C273"/>
  <c r="I273" s="1"/>
  <c r="G272"/>
  <c r="I272" s="1"/>
  <c r="F272"/>
  <c r="D272"/>
  <c r="D281" s="1"/>
  <c r="C272"/>
  <c r="C271"/>
  <c r="G269"/>
  <c r="D269"/>
  <c r="C269"/>
  <c r="I269" s="1"/>
  <c r="G268"/>
  <c r="I268" s="1"/>
  <c r="D268"/>
  <c r="D279" s="1"/>
  <c r="C268"/>
  <c r="G267"/>
  <c r="D267"/>
  <c r="C267"/>
  <c r="C270" s="1"/>
  <c r="I260"/>
  <c r="L260"/>
  <c r="G255"/>
  <c r="I255" s="1"/>
  <c r="D255"/>
  <c r="F255" s="1"/>
  <c r="G253"/>
  <c r="I253" s="1"/>
  <c r="D253"/>
  <c r="F253" s="1"/>
  <c r="G250"/>
  <c r="I250" s="1"/>
  <c r="D250"/>
  <c r="F250" s="1"/>
  <c r="G247"/>
  <c r="I247" s="1"/>
  <c r="D247"/>
  <c r="F247" s="1"/>
  <c r="C247"/>
  <c r="G246"/>
  <c r="D246"/>
  <c r="G245"/>
  <c r="I245" s="1"/>
  <c r="D245"/>
  <c r="F245" s="1"/>
  <c r="C245"/>
  <c r="G244"/>
  <c r="D244"/>
  <c r="C244"/>
  <c r="G243"/>
  <c r="I243" s="1"/>
  <c r="D243"/>
  <c r="F243" s="1"/>
  <c r="C243"/>
  <c r="G241"/>
  <c r="I241" s="1"/>
  <c r="D241"/>
  <c r="F241" s="1"/>
  <c r="C241"/>
  <c r="G240"/>
  <c r="D240"/>
  <c r="C240"/>
  <c r="C242" s="1"/>
  <c r="G239"/>
  <c r="I239" s="1"/>
  <c r="D239"/>
  <c r="F239" s="1"/>
  <c r="C239"/>
  <c r="I232"/>
  <c r="I204" s="1"/>
  <c r="C230"/>
  <c r="C229"/>
  <c r="C228"/>
  <c r="C227"/>
  <c r="C226"/>
  <c r="C225"/>
  <c r="C224"/>
  <c r="G223"/>
  <c r="I223" s="1"/>
  <c r="D223"/>
  <c r="F223" s="1"/>
  <c r="C223"/>
  <c r="C222"/>
  <c r="G221"/>
  <c r="I221" s="1"/>
  <c r="D221"/>
  <c r="F221" s="1"/>
  <c r="C221"/>
  <c r="G219"/>
  <c r="G228" s="1"/>
  <c r="I228" s="1"/>
  <c r="D219"/>
  <c r="D228" s="1"/>
  <c r="F228" s="1"/>
  <c r="C219"/>
  <c r="I219" s="1"/>
  <c r="I191" s="1"/>
  <c r="G218"/>
  <c r="I218" s="1"/>
  <c r="D218"/>
  <c r="F218" s="1"/>
  <c r="G217"/>
  <c r="G226" s="1"/>
  <c r="I226" s="1"/>
  <c r="D217"/>
  <c r="D226" s="1"/>
  <c r="F226" s="1"/>
  <c r="I217"/>
  <c r="I189" s="1"/>
  <c r="G216"/>
  <c r="I216" s="1"/>
  <c r="D216"/>
  <c r="F216" s="1"/>
  <c r="C231"/>
  <c r="G215"/>
  <c r="G224" s="1"/>
  <c r="I224" s="1"/>
  <c r="D215"/>
  <c r="D224" s="1"/>
  <c r="F224" s="1"/>
  <c r="C215"/>
  <c r="I215" s="1"/>
  <c r="I187" s="1"/>
  <c r="G213"/>
  <c r="D213"/>
  <c r="C213"/>
  <c r="I213" s="1"/>
  <c r="I185" s="1"/>
  <c r="I155" s="1"/>
  <c r="G212"/>
  <c r="G222" s="1"/>
  <c r="I222" s="1"/>
  <c r="I194" s="1"/>
  <c r="D212"/>
  <c r="D222" s="1"/>
  <c r="F222" s="1"/>
  <c r="F194" s="1"/>
  <c r="F165" s="1"/>
  <c r="C212"/>
  <c r="G211"/>
  <c r="D211"/>
  <c r="C211"/>
  <c r="C214" s="1"/>
  <c r="F204"/>
  <c r="L204" s="1"/>
  <c r="C204"/>
  <c r="C202"/>
  <c r="C201"/>
  <c r="C200"/>
  <c r="C199"/>
  <c r="C198"/>
  <c r="C197"/>
  <c r="C196"/>
  <c r="C195"/>
  <c r="G194"/>
  <c r="D194"/>
  <c r="C194"/>
  <c r="C193"/>
  <c r="G191"/>
  <c r="G200" s="1"/>
  <c r="D191"/>
  <c r="D200" s="1"/>
  <c r="C191"/>
  <c r="G190"/>
  <c r="G199" s="1"/>
  <c r="D190"/>
  <c r="D199" s="1"/>
  <c r="G189"/>
  <c r="G420" s="1"/>
  <c r="D189"/>
  <c r="D420" s="1"/>
  <c r="C189"/>
  <c r="G188"/>
  <c r="G197" s="1"/>
  <c r="D188"/>
  <c r="D197" s="1"/>
  <c r="C188"/>
  <c r="G187"/>
  <c r="G196" s="1"/>
  <c r="D187"/>
  <c r="D196" s="1"/>
  <c r="C187"/>
  <c r="G185"/>
  <c r="G195" s="1"/>
  <c r="D185"/>
  <c r="D195" s="1"/>
  <c r="C185"/>
  <c r="G184"/>
  <c r="D184"/>
  <c r="C184"/>
  <c r="C186" s="1"/>
  <c r="C157" s="1"/>
  <c r="I22" i="1" s="1"/>
  <c r="G183" i="2"/>
  <c r="G193" s="1"/>
  <c r="D183"/>
  <c r="D193" s="1"/>
  <c r="C183"/>
  <c r="F175"/>
  <c r="L175" s="1"/>
  <c r="C175"/>
  <c r="J316"/>
  <c r="L316" s="1"/>
  <c r="C173"/>
  <c r="G315"/>
  <c r="I315" s="1"/>
  <c r="C172"/>
  <c r="G171"/>
  <c r="D171"/>
  <c r="C171"/>
  <c r="G170"/>
  <c r="D170"/>
  <c r="C170"/>
  <c r="G169"/>
  <c r="D169"/>
  <c r="C169"/>
  <c r="G168"/>
  <c r="D168"/>
  <c r="C168"/>
  <c r="G167"/>
  <c r="D167"/>
  <c r="C167"/>
  <c r="G166"/>
  <c r="D166"/>
  <c r="C166"/>
  <c r="G165"/>
  <c r="D165"/>
  <c r="C165"/>
  <c r="G164"/>
  <c r="D164"/>
  <c r="C164"/>
  <c r="J162"/>
  <c r="J422" s="1"/>
  <c r="C162"/>
  <c r="Q161"/>
  <c r="J161"/>
  <c r="J421" s="1"/>
  <c r="J160"/>
  <c r="J420" s="1"/>
  <c r="C160"/>
  <c r="Q159"/>
  <c r="J159"/>
  <c r="J361" s="1"/>
  <c r="J370" s="1"/>
  <c r="C159"/>
  <c r="J158"/>
  <c r="J418" s="1"/>
  <c r="C158"/>
  <c r="Q155"/>
  <c r="J155"/>
  <c r="J298" s="1"/>
  <c r="C155"/>
  <c r="J154"/>
  <c r="J297" s="1"/>
  <c r="C154"/>
  <c r="Q153"/>
  <c r="J153"/>
  <c r="J296" s="1"/>
  <c r="C153"/>
  <c r="C156" s="1"/>
  <c r="J151"/>
  <c r="J415" s="1"/>
  <c r="D151"/>
  <c r="D415" s="1"/>
  <c r="C151"/>
  <c r="J150"/>
  <c r="J414" s="1"/>
  <c r="C150"/>
  <c r="Q149"/>
  <c r="J149"/>
  <c r="J413" s="1"/>
  <c r="C149"/>
  <c r="I142"/>
  <c r="L142"/>
  <c r="C141"/>
  <c r="C143" s="1"/>
  <c r="G139"/>
  <c r="I139" s="1"/>
  <c r="I87" s="1"/>
  <c r="D139"/>
  <c r="F139" s="1"/>
  <c r="F87" s="1"/>
  <c r="J138"/>
  <c r="L138" s="1"/>
  <c r="L86" s="1"/>
  <c r="G138"/>
  <c r="I138" s="1"/>
  <c r="I86" s="1"/>
  <c r="D138"/>
  <c r="F138" s="1"/>
  <c r="G137"/>
  <c r="D137"/>
  <c r="F137" s="1"/>
  <c r="C137"/>
  <c r="I137" s="1"/>
  <c r="L136"/>
  <c r="J136"/>
  <c r="I136"/>
  <c r="G136"/>
  <c r="F136"/>
  <c r="D136"/>
  <c r="I135"/>
  <c r="G135"/>
  <c r="F135"/>
  <c r="D135"/>
  <c r="I129"/>
  <c r="I126"/>
  <c r="G126"/>
  <c r="F126"/>
  <c r="D126"/>
  <c r="L125"/>
  <c r="J125"/>
  <c r="J127" s="1"/>
  <c r="L127" s="1"/>
  <c r="I125"/>
  <c r="G125"/>
  <c r="G127" s="1"/>
  <c r="I127" s="1"/>
  <c r="F125"/>
  <c r="D125"/>
  <c r="D127" s="1"/>
  <c r="F127" s="1"/>
  <c r="G124"/>
  <c r="D124"/>
  <c r="I124"/>
  <c r="J123"/>
  <c r="L123" s="1"/>
  <c r="G123"/>
  <c r="D123"/>
  <c r="F123" s="1"/>
  <c r="C128"/>
  <c r="C130" s="1"/>
  <c r="I122"/>
  <c r="G122"/>
  <c r="F122"/>
  <c r="D122"/>
  <c r="I116"/>
  <c r="G113"/>
  <c r="F113"/>
  <c r="D113"/>
  <c r="L112"/>
  <c r="J112"/>
  <c r="J114" s="1"/>
  <c r="L114" s="1"/>
  <c r="G112"/>
  <c r="G114" s="1"/>
  <c r="D112"/>
  <c r="F112" s="1"/>
  <c r="G111"/>
  <c r="D111"/>
  <c r="J110"/>
  <c r="G110"/>
  <c r="D110"/>
  <c r="C110"/>
  <c r="G109"/>
  <c r="I109" s="1"/>
  <c r="D109"/>
  <c r="F109" s="1"/>
  <c r="C109"/>
  <c r="I103"/>
  <c r="G100"/>
  <c r="F100"/>
  <c r="D100"/>
  <c r="L99"/>
  <c r="J99"/>
  <c r="J101" s="1"/>
  <c r="L101" s="1"/>
  <c r="G99"/>
  <c r="G101" s="1"/>
  <c r="D99"/>
  <c r="F99" s="1"/>
  <c r="F86" s="1"/>
  <c r="G98"/>
  <c r="D98"/>
  <c r="J97"/>
  <c r="G97"/>
  <c r="D97"/>
  <c r="G96"/>
  <c r="I96" s="1"/>
  <c r="D96"/>
  <c r="F96" s="1"/>
  <c r="C96"/>
  <c r="H14" i="10" s="1"/>
  <c r="C90" i="2"/>
  <c r="Q88"/>
  <c r="J88"/>
  <c r="N88" s="1"/>
  <c r="C88"/>
  <c r="J87"/>
  <c r="J126" s="1"/>
  <c r="L126" s="1"/>
  <c r="C87"/>
  <c r="Q86"/>
  <c r="N86"/>
  <c r="C86"/>
  <c r="J85"/>
  <c r="S84"/>
  <c r="Q84"/>
  <c r="N84"/>
  <c r="C84"/>
  <c r="J83"/>
  <c r="P10" i="3" s="1"/>
  <c r="C83" i="2"/>
  <c r="I77"/>
  <c r="C76"/>
  <c r="C78" s="1"/>
  <c r="C75"/>
  <c r="G74"/>
  <c r="I74" s="1"/>
  <c r="D74"/>
  <c r="F74" s="1"/>
  <c r="C74"/>
  <c r="G73"/>
  <c r="D73"/>
  <c r="C73"/>
  <c r="I73" s="1"/>
  <c r="G72"/>
  <c r="I72" s="1"/>
  <c r="D72"/>
  <c r="F72" s="1"/>
  <c r="C72"/>
  <c r="G71"/>
  <c r="D71"/>
  <c r="C71"/>
  <c r="I71" s="1"/>
  <c r="G69"/>
  <c r="I69" s="1"/>
  <c r="D69"/>
  <c r="F69" s="1"/>
  <c r="C69"/>
  <c r="G68"/>
  <c r="D68"/>
  <c r="C68"/>
  <c r="I68" s="1"/>
  <c r="G67"/>
  <c r="I67" s="1"/>
  <c r="D67"/>
  <c r="F67" s="1"/>
  <c r="C67"/>
  <c r="I60"/>
  <c r="C59"/>
  <c r="C61" s="1"/>
  <c r="C58"/>
  <c r="G57"/>
  <c r="I57" s="1"/>
  <c r="D57"/>
  <c r="F57" s="1"/>
  <c r="C57"/>
  <c r="G56"/>
  <c r="D56"/>
  <c r="C56"/>
  <c r="I56" s="1"/>
  <c r="G55"/>
  <c r="I55" s="1"/>
  <c r="D55"/>
  <c r="F55" s="1"/>
  <c r="C55"/>
  <c r="G54"/>
  <c r="D54"/>
  <c r="C54"/>
  <c r="I54" s="1"/>
  <c r="G52"/>
  <c r="I52" s="1"/>
  <c r="D52"/>
  <c r="F52" s="1"/>
  <c r="C52"/>
  <c r="G51"/>
  <c r="D51"/>
  <c r="C51"/>
  <c r="I51" s="1"/>
  <c r="G50"/>
  <c r="I50" s="1"/>
  <c r="I59" s="1"/>
  <c r="I61" s="1"/>
  <c r="D50"/>
  <c r="F50" s="1"/>
  <c r="C50"/>
  <c r="I43"/>
  <c r="I26" s="1"/>
  <c r="C44"/>
  <c r="G40"/>
  <c r="I40" s="1"/>
  <c r="I23" s="1"/>
  <c r="D40"/>
  <c r="F40" s="1"/>
  <c r="F23" s="1"/>
  <c r="C40"/>
  <c r="G39"/>
  <c r="D39"/>
  <c r="C39"/>
  <c r="C22" s="1"/>
  <c r="G38"/>
  <c r="I38" s="1"/>
  <c r="I21" s="1"/>
  <c r="D38"/>
  <c r="F38" s="1"/>
  <c r="F21" s="1"/>
  <c r="C38"/>
  <c r="G37"/>
  <c r="D37"/>
  <c r="C37"/>
  <c r="C20" s="1"/>
  <c r="G35"/>
  <c r="I35" s="1"/>
  <c r="I18" s="1"/>
  <c r="D35"/>
  <c r="F35" s="1"/>
  <c r="F18" s="1"/>
  <c r="G34"/>
  <c r="I34" s="1"/>
  <c r="I17" s="1"/>
  <c r="D34"/>
  <c r="F34" s="1"/>
  <c r="C34"/>
  <c r="G33"/>
  <c r="D33"/>
  <c r="C33"/>
  <c r="C16" s="1"/>
  <c r="P1198"/>
  <c r="F26"/>
  <c r="L26" s="1"/>
  <c r="C26"/>
  <c r="C25"/>
  <c r="C27" s="1"/>
  <c r="C24"/>
  <c r="J23"/>
  <c r="J74" s="1"/>
  <c r="L74" s="1"/>
  <c r="C23"/>
  <c r="J22"/>
  <c r="J73" s="1"/>
  <c r="L73" s="1"/>
  <c r="J21"/>
  <c r="J72" s="1"/>
  <c r="L72" s="1"/>
  <c r="C21"/>
  <c r="J20"/>
  <c r="J71" s="1"/>
  <c r="L71" s="1"/>
  <c r="J18"/>
  <c r="J69" s="1"/>
  <c r="L69" s="1"/>
  <c r="C18"/>
  <c r="J17"/>
  <c r="J68" s="1"/>
  <c r="L68" s="1"/>
  <c r="C17"/>
  <c r="J16"/>
  <c r="J33" s="1"/>
  <c r="L33" s="1"/>
  <c r="O46" i="1"/>
  <c r="Q46" s="1"/>
  <c r="S46" s="1"/>
  <c r="N42"/>
  <c r="N44" s="1"/>
  <c r="N48" s="1"/>
  <c r="K42"/>
  <c r="K44" s="1"/>
  <c r="K48" s="1"/>
  <c r="H42"/>
  <c r="H44" s="1"/>
  <c r="H48" s="1"/>
  <c r="L39"/>
  <c r="I39"/>
  <c r="H26" i="10" s="1"/>
  <c r="I38" i="1"/>
  <c r="H24" i="10" s="1"/>
  <c r="L37" i="1"/>
  <c r="I37"/>
  <c r="H23" i="10" s="1"/>
  <c r="O36" i="1"/>
  <c r="L36"/>
  <c r="I36"/>
  <c r="H22" i="10" s="1"/>
  <c r="I35" i="1"/>
  <c r="H13" i="10" s="1"/>
  <c r="N32" i="1"/>
  <c r="K32"/>
  <c r="H32"/>
  <c r="O29"/>
  <c r="I29"/>
  <c r="H25" i="10" s="1"/>
  <c r="L28" i="1"/>
  <c r="I28"/>
  <c r="L26"/>
  <c r="I26"/>
  <c r="H20" i="10" s="1"/>
  <c r="L25" i="1"/>
  <c r="I25"/>
  <c r="H19" i="10" s="1"/>
  <c r="L24" i="1"/>
  <c r="I24"/>
  <c r="H18" i="10" s="1"/>
  <c r="W23" i="1"/>
  <c r="B22"/>
  <c r="B23" s="1"/>
  <c r="N19"/>
  <c r="K19"/>
  <c r="H19"/>
  <c r="B19"/>
  <c r="I16"/>
  <c r="I19" s="1"/>
  <c r="G40" i="5" l="1"/>
  <c r="I23" i="6"/>
  <c r="G28" i="7"/>
  <c r="G19" i="8"/>
  <c r="G29"/>
  <c r="I19" i="6"/>
  <c r="G28" i="9"/>
  <c r="L35" i="1"/>
  <c r="I83" i="2"/>
  <c r="J307"/>
  <c r="L307" s="1"/>
  <c r="L296"/>
  <c r="C319"/>
  <c r="C288"/>
  <c r="C290" s="1"/>
  <c r="I76"/>
  <c r="I78" s="1"/>
  <c r="F83"/>
  <c r="J308"/>
  <c r="L308" s="1"/>
  <c r="L297"/>
  <c r="J309"/>
  <c r="L309" s="1"/>
  <c r="L298"/>
  <c r="H16" i="10"/>
  <c r="C233" i="2"/>
  <c r="X18" i="10"/>
  <c r="T18"/>
  <c r="J18"/>
  <c r="X20"/>
  <c r="T20"/>
  <c r="J20"/>
  <c r="X25"/>
  <c r="T25"/>
  <c r="J25"/>
  <c r="X13"/>
  <c r="T13"/>
  <c r="J13"/>
  <c r="X22"/>
  <c r="T22"/>
  <c r="J22"/>
  <c r="X23"/>
  <c r="T23"/>
  <c r="J23"/>
  <c r="X24"/>
  <c r="T24"/>
  <c r="J24"/>
  <c r="X26"/>
  <c r="T26"/>
  <c r="J26"/>
  <c r="J425" i="2"/>
  <c r="L425" s="1"/>
  <c r="L414"/>
  <c r="J426"/>
  <c r="L426" s="1"/>
  <c r="L415"/>
  <c r="L418"/>
  <c r="J427"/>
  <c r="L427" s="1"/>
  <c r="L420"/>
  <c r="J429"/>
  <c r="L429" s="1"/>
  <c r="L422"/>
  <c r="J431"/>
  <c r="L431" s="1"/>
  <c r="J403"/>
  <c r="L403" s="1"/>
  <c r="L374" s="1"/>
  <c r="J432"/>
  <c r="L432" s="1"/>
  <c r="G404"/>
  <c r="I404" s="1"/>
  <c r="D404"/>
  <c r="F404" s="1"/>
  <c r="G433"/>
  <c r="I433" s="1"/>
  <c r="D433"/>
  <c r="F433" s="1"/>
  <c r="F420"/>
  <c r="D429"/>
  <c r="F429" s="1"/>
  <c r="I420"/>
  <c r="G429"/>
  <c r="I429" s="1"/>
  <c r="D398"/>
  <c r="F398" s="1"/>
  <c r="F369" s="1"/>
  <c r="F389"/>
  <c r="F360" s="1"/>
  <c r="G401"/>
  <c r="I401" s="1"/>
  <c r="I372" s="1"/>
  <c r="I392"/>
  <c r="I363" s="1"/>
  <c r="D402"/>
  <c r="F402" s="1"/>
  <c r="F373" s="1"/>
  <c r="F393"/>
  <c r="F364" s="1"/>
  <c r="J470"/>
  <c r="L470" s="1"/>
  <c r="J469"/>
  <c r="L469" s="1"/>
  <c r="L462"/>
  <c r="J562"/>
  <c r="L562" s="1"/>
  <c r="L548"/>
  <c r="J565"/>
  <c r="L565" s="1"/>
  <c r="L552"/>
  <c r="J569"/>
  <c r="L569" s="1"/>
  <c r="L558"/>
  <c r="I582"/>
  <c r="AG36" i="1"/>
  <c r="N16" i="2"/>
  <c r="N25" s="1"/>
  <c r="N17"/>
  <c r="N18"/>
  <c r="N20"/>
  <c r="N21"/>
  <c r="N22"/>
  <c r="N23"/>
  <c r="F33"/>
  <c r="I33"/>
  <c r="J34"/>
  <c r="L34" s="1"/>
  <c r="J35"/>
  <c r="L35" s="1"/>
  <c r="F37"/>
  <c r="I37"/>
  <c r="I20" s="1"/>
  <c r="J38"/>
  <c r="L38" s="1"/>
  <c r="F39"/>
  <c r="I39"/>
  <c r="I22" s="1"/>
  <c r="J40"/>
  <c r="L40" s="1"/>
  <c r="L43"/>
  <c r="J50"/>
  <c r="L50" s="1"/>
  <c r="L16" s="1"/>
  <c r="F51"/>
  <c r="F59" s="1"/>
  <c r="F61" s="1"/>
  <c r="J52"/>
  <c r="L52" s="1"/>
  <c r="F54"/>
  <c r="J55"/>
  <c r="L55" s="1"/>
  <c r="F56"/>
  <c r="J57"/>
  <c r="L57" s="1"/>
  <c r="L60"/>
  <c r="J67"/>
  <c r="L67" s="1"/>
  <c r="L76" s="1"/>
  <c r="F68"/>
  <c r="F76" s="1"/>
  <c r="F78" s="1"/>
  <c r="F71"/>
  <c r="F73"/>
  <c r="L77"/>
  <c r="N83"/>
  <c r="N89" s="1"/>
  <c r="N85"/>
  <c r="S85"/>
  <c r="N87"/>
  <c r="J96"/>
  <c r="L96" s="1"/>
  <c r="F97"/>
  <c r="I97"/>
  <c r="L97"/>
  <c r="J98"/>
  <c r="J100"/>
  <c r="L100" s="1"/>
  <c r="D101"/>
  <c r="F101" s="1"/>
  <c r="L103"/>
  <c r="J109"/>
  <c r="L109" s="1"/>
  <c r="F110"/>
  <c r="I110"/>
  <c r="I115" s="1"/>
  <c r="I117" s="1"/>
  <c r="L110"/>
  <c r="J111"/>
  <c r="J113"/>
  <c r="L113" s="1"/>
  <c r="D114"/>
  <c r="F114" s="1"/>
  <c r="L116"/>
  <c r="F124"/>
  <c r="F128" s="1"/>
  <c r="F130" s="1"/>
  <c r="L129"/>
  <c r="J137"/>
  <c r="L137" s="1"/>
  <c r="J139"/>
  <c r="L139" s="1"/>
  <c r="D140"/>
  <c r="F140" s="1"/>
  <c r="F141" s="1"/>
  <c r="F143" s="1"/>
  <c r="G140"/>
  <c r="I140" s="1"/>
  <c r="I141" s="1"/>
  <c r="I143" s="1"/>
  <c r="J140"/>
  <c r="L140" s="1"/>
  <c r="L88" s="1"/>
  <c r="N150"/>
  <c r="N151"/>
  <c r="N154"/>
  <c r="N158"/>
  <c r="N160"/>
  <c r="N162"/>
  <c r="N172"/>
  <c r="J183"/>
  <c r="J185"/>
  <c r="J187"/>
  <c r="J189"/>
  <c r="J191"/>
  <c r="J200" s="1"/>
  <c r="D198"/>
  <c r="G198"/>
  <c r="D202"/>
  <c r="G202"/>
  <c r="J202"/>
  <c r="F211"/>
  <c r="I211"/>
  <c r="J212"/>
  <c r="F213"/>
  <c r="F185" s="1"/>
  <c r="F215"/>
  <c r="F187" s="1"/>
  <c r="F158" s="1"/>
  <c r="J216"/>
  <c r="F217"/>
  <c r="F189" s="1"/>
  <c r="J218"/>
  <c r="F219"/>
  <c r="F191" s="1"/>
  <c r="F162" s="1"/>
  <c r="D225"/>
  <c r="F225" s="1"/>
  <c r="F197" s="1"/>
  <c r="G225"/>
  <c r="I225" s="1"/>
  <c r="I197" s="1"/>
  <c r="I168" s="1"/>
  <c r="D227"/>
  <c r="F227" s="1"/>
  <c r="F199" s="1"/>
  <c r="G227"/>
  <c r="I227" s="1"/>
  <c r="I199" s="1"/>
  <c r="I170" s="1"/>
  <c r="D229"/>
  <c r="F229" s="1"/>
  <c r="G229"/>
  <c r="I229" s="1"/>
  <c r="J229"/>
  <c r="L229" s="1"/>
  <c r="L232"/>
  <c r="J239"/>
  <c r="F240"/>
  <c r="I240"/>
  <c r="J241"/>
  <c r="J243"/>
  <c r="F244"/>
  <c r="F188" s="1"/>
  <c r="I244"/>
  <c r="I188" s="1"/>
  <c r="I159" s="1"/>
  <c r="J245"/>
  <c r="C246"/>
  <c r="J247"/>
  <c r="D249"/>
  <c r="F249" s="1"/>
  <c r="F193" s="1"/>
  <c r="F164" s="1"/>
  <c r="G249"/>
  <c r="I249" s="1"/>
  <c r="I193" s="1"/>
  <c r="I164" s="1"/>
  <c r="D251"/>
  <c r="F251" s="1"/>
  <c r="F195" s="1"/>
  <c r="G251"/>
  <c r="I251" s="1"/>
  <c r="I195" s="1"/>
  <c r="I166" s="1"/>
  <c r="D252"/>
  <c r="F252" s="1"/>
  <c r="F196" s="1"/>
  <c r="F167" s="1"/>
  <c r="G252"/>
  <c r="I252" s="1"/>
  <c r="I196" s="1"/>
  <c r="I167" s="1"/>
  <c r="D254"/>
  <c r="F254" s="1"/>
  <c r="F198" s="1"/>
  <c r="G254"/>
  <c r="I254" s="1"/>
  <c r="I198" s="1"/>
  <c r="D256"/>
  <c r="F256" s="1"/>
  <c r="F200" s="1"/>
  <c r="F171" s="1"/>
  <c r="G256"/>
  <c r="I256" s="1"/>
  <c r="I200" s="1"/>
  <c r="I171" s="1"/>
  <c r="D257"/>
  <c r="F257" s="1"/>
  <c r="G257"/>
  <c r="I257" s="1"/>
  <c r="J257"/>
  <c r="L257" s="1"/>
  <c r="D258"/>
  <c r="F258" s="1"/>
  <c r="G258"/>
  <c r="I258" s="1"/>
  <c r="J258"/>
  <c r="L258" s="1"/>
  <c r="I267"/>
  <c r="J268"/>
  <c r="J279" s="1"/>
  <c r="J272"/>
  <c r="J281" s="1"/>
  <c r="J274"/>
  <c r="J283" s="1"/>
  <c r="J276"/>
  <c r="J285" s="1"/>
  <c r="G279"/>
  <c r="I279" s="1"/>
  <c r="I165" s="1"/>
  <c r="G281"/>
  <c r="I281" s="1"/>
  <c r="G283"/>
  <c r="I283" s="1"/>
  <c r="G285"/>
  <c r="I285" s="1"/>
  <c r="D286"/>
  <c r="G286"/>
  <c r="I286" s="1"/>
  <c r="J286"/>
  <c r="D287"/>
  <c r="G287"/>
  <c r="I287" s="1"/>
  <c r="J287"/>
  <c r="F296"/>
  <c r="I296"/>
  <c r="J302"/>
  <c r="F303"/>
  <c r="I303"/>
  <c r="J304"/>
  <c r="J305"/>
  <c r="D311"/>
  <c r="F311" s="1"/>
  <c r="F282" s="1"/>
  <c r="G311"/>
  <c r="I311" s="1"/>
  <c r="D313"/>
  <c r="F313" s="1"/>
  <c r="F284" s="1"/>
  <c r="G313"/>
  <c r="I313" s="1"/>
  <c r="D314"/>
  <c r="F314" s="1"/>
  <c r="F285" s="1"/>
  <c r="G314"/>
  <c r="I314" s="1"/>
  <c r="D315"/>
  <c r="F315" s="1"/>
  <c r="J315"/>
  <c r="L315" s="1"/>
  <c r="D316"/>
  <c r="F316" s="1"/>
  <c r="G316"/>
  <c r="I316" s="1"/>
  <c r="J325"/>
  <c r="J326"/>
  <c r="J327"/>
  <c r="J331"/>
  <c r="J332"/>
  <c r="F333"/>
  <c r="F275" s="1"/>
  <c r="L347"/>
  <c r="J355"/>
  <c r="J366" s="1"/>
  <c r="D357"/>
  <c r="D368" s="1"/>
  <c r="J357"/>
  <c r="J368" s="1"/>
  <c r="J363"/>
  <c r="J372" s="1"/>
  <c r="J389"/>
  <c r="D391"/>
  <c r="J391"/>
  <c r="J393"/>
  <c r="I504"/>
  <c r="C542"/>
  <c r="X19" i="10"/>
  <c r="T19"/>
  <c r="J19"/>
  <c r="X14"/>
  <c r="T14"/>
  <c r="J14"/>
  <c r="J424" i="2"/>
  <c r="L424" s="1"/>
  <c r="L413"/>
  <c r="D426"/>
  <c r="F426" s="1"/>
  <c r="F415"/>
  <c r="J419"/>
  <c r="J390"/>
  <c r="L421"/>
  <c r="J430"/>
  <c r="L430" s="1"/>
  <c r="G403"/>
  <c r="I403" s="1"/>
  <c r="D403"/>
  <c r="F403" s="1"/>
  <c r="G432"/>
  <c r="I432" s="1"/>
  <c r="D432"/>
  <c r="F432" s="1"/>
  <c r="J404"/>
  <c r="L404" s="1"/>
  <c r="J433"/>
  <c r="L433" s="1"/>
  <c r="G398"/>
  <c r="I398" s="1"/>
  <c r="I369" s="1"/>
  <c r="I389"/>
  <c r="I360" s="1"/>
  <c r="I158" s="1"/>
  <c r="D401"/>
  <c r="F401" s="1"/>
  <c r="F372" s="1"/>
  <c r="F392"/>
  <c r="F363" s="1"/>
  <c r="G402"/>
  <c r="I402" s="1"/>
  <c r="I373" s="1"/>
  <c r="I393"/>
  <c r="I364" s="1"/>
  <c r="I162" s="1"/>
  <c r="J564"/>
  <c r="L564" s="1"/>
  <c r="L550"/>
  <c r="J567"/>
  <c r="L567" s="1"/>
  <c r="J556"/>
  <c r="L555"/>
  <c r="L636"/>
  <c r="J659"/>
  <c r="L659" s="1"/>
  <c r="F582"/>
  <c r="B24" i="1"/>
  <c r="AF24"/>
  <c r="B25"/>
  <c r="AF25"/>
  <c r="V31" i="6" s="1"/>
  <c r="B26" i="1"/>
  <c r="AF28"/>
  <c r="R28" i="9" s="1"/>
  <c r="I42" i="1"/>
  <c r="J37" i="2"/>
  <c r="L37" s="1"/>
  <c r="J39"/>
  <c r="L39" s="1"/>
  <c r="L22" s="1"/>
  <c r="J51"/>
  <c r="L51" s="1"/>
  <c r="J54"/>
  <c r="L54" s="1"/>
  <c r="J56"/>
  <c r="L56" s="1"/>
  <c r="Q83"/>
  <c r="Q85"/>
  <c r="Q87"/>
  <c r="F90"/>
  <c r="C102"/>
  <c r="C111"/>
  <c r="I111" s="1"/>
  <c r="J122"/>
  <c r="L122" s="1"/>
  <c r="I123"/>
  <c r="I128" s="1"/>
  <c r="I130" s="1"/>
  <c r="J124"/>
  <c r="L124" s="1"/>
  <c r="J135"/>
  <c r="L135" s="1"/>
  <c r="L141" s="1"/>
  <c r="L143" s="1"/>
  <c r="N149"/>
  <c r="N174" s="1"/>
  <c r="Q150"/>
  <c r="Q151"/>
  <c r="N153"/>
  <c r="Q154"/>
  <c r="N155"/>
  <c r="Q158"/>
  <c r="N159"/>
  <c r="Q160"/>
  <c r="N161"/>
  <c r="Q162"/>
  <c r="J164"/>
  <c r="N164" s="1"/>
  <c r="J165"/>
  <c r="N165" s="1"/>
  <c r="J166"/>
  <c r="N166" s="1"/>
  <c r="J167"/>
  <c r="N167" s="1"/>
  <c r="J168"/>
  <c r="N168" s="1"/>
  <c r="J169"/>
  <c r="N169" s="1"/>
  <c r="J170"/>
  <c r="N170" s="1"/>
  <c r="J171"/>
  <c r="N171" s="1"/>
  <c r="N173"/>
  <c r="J184"/>
  <c r="J188"/>
  <c r="J190"/>
  <c r="D201"/>
  <c r="G201"/>
  <c r="J201"/>
  <c r="J211"/>
  <c r="F212"/>
  <c r="F184" s="1"/>
  <c r="I212"/>
  <c r="I184" s="1"/>
  <c r="I154" s="1"/>
  <c r="J213"/>
  <c r="J215"/>
  <c r="J217"/>
  <c r="J219"/>
  <c r="D230"/>
  <c r="F230" s="1"/>
  <c r="F202" s="1"/>
  <c r="G230"/>
  <c r="I230" s="1"/>
  <c r="I202" s="1"/>
  <c r="J230"/>
  <c r="L230" s="1"/>
  <c r="L202" s="1"/>
  <c r="J240"/>
  <c r="J244"/>
  <c r="J246"/>
  <c r="J267"/>
  <c r="J278" s="1"/>
  <c r="J269"/>
  <c r="J280" s="1"/>
  <c r="J273"/>
  <c r="J282" s="1"/>
  <c r="J275"/>
  <c r="J284" s="1"/>
  <c r="J301"/>
  <c r="J303"/>
  <c r="F325"/>
  <c r="I325"/>
  <c r="F326"/>
  <c r="F268" s="1"/>
  <c r="I326"/>
  <c r="F327"/>
  <c r="F269" s="1"/>
  <c r="I327"/>
  <c r="J330"/>
  <c r="F331"/>
  <c r="F273" s="1"/>
  <c r="I331"/>
  <c r="F332"/>
  <c r="I332"/>
  <c r="J333"/>
  <c r="J334"/>
  <c r="D344"/>
  <c r="F344" s="1"/>
  <c r="G344"/>
  <c r="I344" s="1"/>
  <c r="J344"/>
  <c r="L344" s="1"/>
  <c r="D345"/>
  <c r="F345" s="1"/>
  <c r="G345"/>
  <c r="I345" s="1"/>
  <c r="J345"/>
  <c r="L345" s="1"/>
  <c r="L287" s="1"/>
  <c r="J356"/>
  <c r="J367" s="1"/>
  <c r="J360"/>
  <c r="J369" s="1"/>
  <c r="D362"/>
  <c r="D371" s="1"/>
  <c r="G362"/>
  <c r="G371" s="1"/>
  <c r="J362"/>
  <c r="J371" s="1"/>
  <c r="J364"/>
  <c r="J373" s="1"/>
  <c r="D374"/>
  <c r="G374"/>
  <c r="J374"/>
  <c r="D375"/>
  <c r="G375"/>
  <c r="J375"/>
  <c r="J384"/>
  <c r="J385"/>
  <c r="D386"/>
  <c r="J386"/>
  <c r="F390"/>
  <c r="F361" s="1"/>
  <c r="I390"/>
  <c r="I361" s="1"/>
  <c r="G391"/>
  <c r="J392"/>
  <c r="I505"/>
  <c r="C576"/>
  <c r="I586"/>
  <c r="J712"/>
  <c r="L712" s="1"/>
  <c r="J701"/>
  <c r="V18" i="6"/>
  <c r="J696" i="2"/>
  <c r="V14" i="6"/>
  <c r="J704" i="2"/>
  <c r="J725"/>
  <c r="L725" s="1"/>
  <c r="J674"/>
  <c r="L674" s="1"/>
  <c r="G675"/>
  <c r="I675" s="1"/>
  <c r="I624" s="1"/>
  <c r="D675"/>
  <c r="F675" s="1"/>
  <c r="D726"/>
  <c r="F726" s="1"/>
  <c r="I686"/>
  <c r="I584" s="1"/>
  <c r="G709"/>
  <c r="I709" s="1"/>
  <c r="I688"/>
  <c r="G711"/>
  <c r="I711" s="1"/>
  <c r="I695"/>
  <c r="I593" s="1"/>
  <c r="G714"/>
  <c r="I714" s="1"/>
  <c r="G702"/>
  <c r="I697"/>
  <c r="I595" s="1"/>
  <c r="G716"/>
  <c r="I716" s="1"/>
  <c r="F698"/>
  <c r="F596" s="1"/>
  <c r="D717"/>
  <c r="F717" s="1"/>
  <c r="C951"/>
  <c r="C1004"/>
  <c r="I1013"/>
  <c r="I814"/>
  <c r="L1033"/>
  <c r="F413"/>
  <c r="I413"/>
  <c r="F414"/>
  <c r="F356" s="1"/>
  <c r="F150" s="1"/>
  <c r="I414"/>
  <c r="I356" s="1"/>
  <c r="I150" s="1"/>
  <c r="I415"/>
  <c r="I357" s="1"/>
  <c r="I151" s="1"/>
  <c r="I435"/>
  <c r="I377" s="1"/>
  <c r="I175" s="1"/>
  <c r="L447"/>
  <c r="L448"/>
  <c r="F450"/>
  <c r="F472" s="1"/>
  <c r="F474" s="1"/>
  <c r="L450"/>
  <c r="F453"/>
  <c r="L454"/>
  <c r="F455"/>
  <c r="L455"/>
  <c r="G469"/>
  <c r="N480"/>
  <c r="N506" s="1"/>
  <c r="Q481"/>
  <c r="N482"/>
  <c r="N484"/>
  <c r="Q485"/>
  <c r="N487"/>
  <c r="J488"/>
  <c r="Q490"/>
  <c r="J491"/>
  <c r="N504"/>
  <c r="F514"/>
  <c r="I514"/>
  <c r="J515"/>
  <c r="F516"/>
  <c r="F482" s="1"/>
  <c r="I516"/>
  <c r="F518"/>
  <c r="F484" s="1"/>
  <c r="I518"/>
  <c r="J519"/>
  <c r="F521"/>
  <c r="I521"/>
  <c r="I487" s="1"/>
  <c r="D522"/>
  <c r="G522"/>
  <c r="F524"/>
  <c r="I524"/>
  <c r="I490" s="1"/>
  <c r="F526"/>
  <c r="I526"/>
  <c r="I492" s="1"/>
  <c r="L526"/>
  <c r="D538"/>
  <c r="F538" s="1"/>
  <c r="F504" s="1"/>
  <c r="J538"/>
  <c r="L538" s="1"/>
  <c r="L504" s="1"/>
  <c r="F548"/>
  <c r="I548"/>
  <c r="J549"/>
  <c r="F550"/>
  <c r="I550"/>
  <c r="F552"/>
  <c r="I552"/>
  <c r="J553"/>
  <c r="F555"/>
  <c r="I555"/>
  <c r="D556"/>
  <c r="G556"/>
  <c r="F558"/>
  <c r="I558"/>
  <c r="F560"/>
  <c r="I560"/>
  <c r="L560"/>
  <c r="D572"/>
  <c r="F572" s="1"/>
  <c r="N582"/>
  <c r="N625" s="1"/>
  <c r="Q585"/>
  <c r="N586"/>
  <c r="N591"/>
  <c r="Q593"/>
  <c r="N594"/>
  <c r="Q595"/>
  <c r="J596"/>
  <c r="J599"/>
  <c r="J600"/>
  <c r="N602"/>
  <c r="N623"/>
  <c r="J633"/>
  <c r="J637"/>
  <c r="J644"/>
  <c r="F645"/>
  <c r="J646"/>
  <c r="D651"/>
  <c r="G651"/>
  <c r="F653"/>
  <c r="I653"/>
  <c r="D656"/>
  <c r="F656" s="1"/>
  <c r="F605" s="1"/>
  <c r="G656"/>
  <c r="I656" s="1"/>
  <c r="I605" s="1"/>
  <c r="D658"/>
  <c r="F658" s="1"/>
  <c r="G658"/>
  <c r="I658" s="1"/>
  <c r="I607" s="1"/>
  <c r="J658"/>
  <c r="L658" s="1"/>
  <c r="D659"/>
  <c r="F659" s="1"/>
  <c r="F608" s="1"/>
  <c r="G659"/>
  <c r="I659" s="1"/>
  <c r="I608" s="1"/>
  <c r="D660"/>
  <c r="F660" s="1"/>
  <c r="G660"/>
  <c r="I660" s="1"/>
  <c r="I609" s="1"/>
  <c r="D663"/>
  <c r="F663" s="1"/>
  <c r="G663"/>
  <c r="I663" s="1"/>
  <c r="I612" s="1"/>
  <c r="D665"/>
  <c r="F665" s="1"/>
  <c r="G665"/>
  <c r="I665" s="1"/>
  <c r="I614" s="1"/>
  <c r="D666"/>
  <c r="F666" s="1"/>
  <c r="F615" s="1"/>
  <c r="G666"/>
  <c r="I666" s="1"/>
  <c r="D667"/>
  <c r="F667" s="1"/>
  <c r="G667"/>
  <c r="I667" s="1"/>
  <c r="D669"/>
  <c r="F669" s="1"/>
  <c r="G669"/>
  <c r="I669" s="1"/>
  <c r="F687"/>
  <c r="F585" s="1"/>
  <c r="I687"/>
  <c r="I585" s="1"/>
  <c r="F696"/>
  <c r="I794"/>
  <c r="I766" s="1"/>
  <c r="F997"/>
  <c r="F998"/>
  <c r="F999"/>
  <c r="F1000"/>
  <c r="F1001"/>
  <c r="L814"/>
  <c r="L786" s="1"/>
  <c r="V20" i="6"/>
  <c r="J687" i="2"/>
  <c r="M25" i="6"/>
  <c r="Q25" s="1"/>
  <c r="M23"/>
  <c r="Q23" s="1"/>
  <c r="M19"/>
  <c r="Q19" s="1"/>
  <c r="M24"/>
  <c r="M20"/>
  <c r="M18"/>
  <c r="D725" i="2"/>
  <c r="F725" s="1"/>
  <c r="G674"/>
  <c r="I674" s="1"/>
  <c r="I623" s="1"/>
  <c r="D674"/>
  <c r="F674" s="1"/>
  <c r="F623" s="1"/>
  <c r="J675"/>
  <c r="L675" s="1"/>
  <c r="L624" s="1"/>
  <c r="J726"/>
  <c r="L726" s="1"/>
  <c r="F686"/>
  <c r="D709"/>
  <c r="F709" s="1"/>
  <c r="L686"/>
  <c r="L584" s="1"/>
  <c r="J709"/>
  <c r="L709" s="1"/>
  <c r="F688"/>
  <c r="F586" s="1"/>
  <c r="D711"/>
  <c r="F711" s="1"/>
  <c r="F695"/>
  <c r="F593" s="1"/>
  <c r="D714"/>
  <c r="F714" s="1"/>
  <c r="D702"/>
  <c r="F697"/>
  <c r="F595" s="1"/>
  <c r="D716"/>
  <c r="F716" s="1"/>
  <c r="J966"/>
  <c r="L966" s="1"/>
  <c r="L1021" s="1"/>
  <c r="Q910"/>
  <c r="J939"/>
  <c r="L939" s="1"/>
  <c r="L910"/>
  <c r="C869"/>
  <c r="F985"/>
  <c r="L444"/>
  <c r="L445"/>
  <c r="D469"/>
  <c r="N481"/>
  <c r="N485"/>
  <c r="N490"/>
  <c r="J494"/>
  <c r="N494" s="1"/>
  <c r="J496"/>
  <c r="N496" s="1"/>
  <c r="J497"/>
  <c r="N497" s="1"/>
  <c r="J499"/>
  <c r="N499" s="1"/>
  <c r="J501"/>
  <c r="N501" s="1"/>
  <c r="N505"/>
  <c r="J514"/>
  <c r="F515"/>
  <c r="I515"/>
  <c r="J516"/>
  <c r="J518"/>
  <c r="F519"/>
  <c r="J521"/>
  <c r="J524"/>
  <c r="F525"/>
  <c r="D539"/>
  <c r="F539" s="1"/>
  <c r="J539"/>
  <c r="L539" s="1"/>
  <c r="L505" s="1"/>
  <c r="F549"/>
  <c r="I549"/>
  <c r="F553"/>
  <c r="F559"/>
  <c r="D573"/>
  <c r="F573" s="1"/>
  <c r="N585"/>
  <c r="N593"/>
  <c r="N595"/>
  <c r="J597"/>
  <c r="J605"/>
  <c r="N605" s="1"/>
  <c r="J608"/>
  <c r="N608" s="1"/>
  <c r="J609"/>
  <c r="N609" s="1"/>
  <c r="J610"/>
  <c r="N610" s="1"/>
  <c r="J612"/>
  <c r="N612" s="1"/>
  <c r="J613"/>
  <c r="N613" s="1"/>
  <c r="J614"/>
  <c r="N614" s="1"/>
  <c r="J621"/>
  <c r="N621" s="1"/>
  <c r="N624"/>
  <c r="J642"/>
  <c r="J645"/>
  <c r="J653"/>
  <c r="F654"/>
  <c r="F603" s="1"/>
  <c r="I654"/>
  <c r="I603" s="1"/>
  <c r="L654"/>
  <c r="L603" s="1"/>
  <c r="L684"/>
  <c r="J688"/>
  <c r="L693"/>
  <c r="J695"/>
  <c r="J697"/>
  <c r="I894"/>
  <c r="I995"/>
  <c r="I997"/>
  <c r="I999"/>
  <c r="I1001"/>
  <c r="F1023"/>
  <c r="F1024"/>
  <c r="R16" i="9"/>
  <c r="Q1041" i="2"/>
  <c r="S16" i="9"/>
  <c r="L1044" i="2"/>
  <c r="L1136"/>
  <c r="I31" i="4"/>
  <c r="I30"/>
  <c r="I27"/>
  <c r="I32"/>
  <c r="I28"/>
  <c r="I24"/>
  <c r="I23"/>
  <c r="I22"/>
  <c r="I20"/>
  <c r="I18"/>
  <c r="I26"/>
  <c r="I19"/>
  <c r="I16"/>
  <c r="I15"/>
  <c r="I14"/>
  <c r="F704" i="2"/>
  <c r="I704"/>
  <c r="G717"/>
  <c r="I717" s="1"/>
  <c r="D718"/>
  <c r="F718" s="1"/>
  <c r="G718"/>
  <c r="I718" s="1"/>
  <c r="D720"/>
  <c r="F720" s="1"/>
  <c r="G720"/>
  <c r="I720" s="1"/>
  <c r="D724"/>
  <c r="F724" s="1"/>
  <c r="F622" s="1"/>
  <c r="G724"/>
  <c r="I724" s="1"/>
  <c r="I622" s="1"/>
  <c r="J724"/>
  <c r="L724" s="1"/>
  <c r="L622" s="1"/>
  <c r="I738"/>
  <c r="I758" s="1"/>
  <c r="I760" s="1"/>
  <c r="O26" i="1" s="1"/>
  <c r="F747" i="2"/>
  <c r="F758" s="1"/>
  <c r="F760" s="1"/>
  <c r="I747"/>
  <c r="N754"/>
  <c r="L759"/>
  <c r="Q820"/>
  <c r="Q821"/>
  <c r="I823"/>
  <c r="I839" s="1"/>
  <c r="L823"/>
  <c r="I824"/>
  <c r="L824"/>
  <c r="I825"/>
  <c r="L825"/>
  <c r="I827"/>
  <c r="L827"/>
  <c r="I828"/>
  <c r="L828"/>
  <c r="J849"/>
  <c r="J851"/>
  <c r="J853"/>
  <c r="J856"/>
  <c r="D858"/>
  <c r="F858" s="1"/>
  <c r="J876"/>
  <c r="L876" s="1"/>
  <c r="L894" s="1"/>
  <c r="J878"/>
  <c r="L878" s="1"/>
  <c r="D888"/>
  <c r="F888" s="1"/>
  <c r="D890"/>
  <c r="F890" s="1"/>
  <c r="J902"/>
  <c r="J903"/>
  <c r="I905"/>
  <c r="I906"/>
  <c r="I907"/>
  <c r="I909"/>
  <c r="I910"/>
  <c r="F912"/>
  <c r="I912"/>
  <c r="F913"/>
  <c r="I913"/>
  <c r="C921"/>
  <c r="F934"/>
  <c r="F988" s="1"/>
  <c r="F935"/>
  <c r="F936"/>
  <c r="F990" s="1"/>
  <c r="F938"/>
  <c r="F939"/>
  <c r="F993" s="1"/>
  <c r="D941"/>
  <c r="F941" s="1"/>
  <c r="F995" s="1"/>
  <c r="F804" s="1"/>
  <c r="F776" s="1"/>
  <c r="D942"/>
  <c r="F942" s="1"/>
  <c r="F996" s="1"/>
  <c r="F805" s="1"/>
  <c r="F777" s="1"/>
  <c r="F958"/>
  <c r="F959"/>
  <c r="F1014" s="1"/>
  <c r="F795" s="1"/>
  <c r="F767" s="1"/>
  <c r="C960"/>
  <c r="C1015" s="1"/>
  <c r="I968"/>
  <c r="I1023" s="1"/>
  <c r="I969"/>
  <c r="I1024" s="1"/>
  <c r="I805" s="1"/>
  <c r="I777" s="1"/>
  <c r="C970"/>
  <c r="F970" s="1"/>
  <c r="F1025" s="1"/>
  <c r="C971"/>
  <c r="C972"/>
  <c r="C973"/>
  <c r="C974"/>
  <c r="F974" s="1"/>
  <c r="F1029" s="1"/>
  <c r="C975"/>
  <c r="C976"/>
  <c r="C977"/>
  <c r="C988"/>
  <c r="C797" s="1"/>
  <c r="C769" s="1"/>
  <c r="C989"/>
  <c r="C798" s="1"/>
  <c r="C770" s="1"/>
  <c r="C990"/>
  <c r="C799" s="1"/>
  <c r="C771" s="1"/>
  <c r="C992"/>
  <c r="C801" s="1"/>
  <c r="C773" s="1"/>
  <c r="C993"/>
  <c r="C802" s="1"/>
  <c r="C774" s="1"/>
  <c r="C995"/>
  <c r="C804" s="1"/>
  <c r="C776" s="1"/>
  <c r="C996"/>
  <c r="C805" s="1"/>
  <c r="C777" s="1"/>
  <c r="C997"/>
  <c r="C998"/>
  <c r="C999"/>
  <c r="C1000"/>
  <c r="C1001"/>
  <c r="C1002"/>
  <c r="C1003"/>
  <c r="C1013"/>
  <c r="C794" s="1"/>
  <c r="C766" s="1"/>
  <c r="C1014"/>
  <c r="C795" s="1"/>
  <c r="C767" s="1"/>
  <c r="C1136"/>
  <c r="C1108"/>
  <c r="C1110" s="1"/>
  <c r="L38" i="1" s="1"/>
  <c r="G32" i="4"/>
  <c r="G28"/>
  <c r="G26"/>
  <c r="G19"/>
  <c r="G16"/>
  <c r="G15"/>
  <c r="G14"/>
  <c r="G31"/>
  <c r="G30"/>
  <c r="G27"/>
  <c r="G24"/>
  <c r="G23"/>
  <c r="G22"/>
  <c r="G20"/>
  <c r="G18"/>
  <c r="L820" i="2"/>
  <c r="L839" s="1"/>
  <c r="Q824"/>
  <c r="Q825"/>
  <c r="F827"/>
  <c r="F839" s="1"/>
  <c r="Q827"/>
  <c r="Q828"/>
  <c r="J848"/>
  <c r="F852"/>
  <c r="F867" s="1"/>
  <c r="J852"/>
  <c r="F855"/>
  <c r="J855"/>
  <c r="F875"/>
  <c r="F880"/>
  <c r="F883"/>
  <c r="J905"/>
  <c r="J906"/>
  <c r="J907"/>
  <c r="J909"/>
  <c r="C933"/>
  <c r="I938"/>
  <c r="I992" s="1"/>
  <c r="I801" s="1"/>
  <c r="I773" s="1"/>
  <c r="I950"/>
  <c r="F961"/>
  <c r="F1016" s="1"/>
  <c r="F962"/>
  <c r="F1017" s="1"/>
  <c r="F963"/>
  <c r="F965"/>
  <c r="F1020" s="1"/>
  <c r="F966"/>
  <c r="F1021" s="1"/>
  <c r="L968"/>
  <c r="L1023" s="1"/>
  <c r="L804" s="1"/>
  <c r="L776" s="1"/>
  <c r="L969"/>
  <c r="L1024" s="1"/>
  <c r="L805" s="1"/>
  <c r="L777" s="1"/>
  <c r="L1041"/>
  <c r="L1059" s="1"/>
  <c r="L1061" s="1"/>
  <c r="Q1044"/>
  <c r="L1106"/>
  <c r="I1145"/>
  <c r="R18" i="9"/>
  <c r="Q1047" i="2"/>
  <c r="L1053"/>
  <c r="L1054"/>
  <c r="L1055"/>
  <c r="L1056"/>
  <c r="F1058"/>
  <c r="I1058"/>
  <c r="I1059" s="1"/>
  <c r="I1061" s="1"/>
  <c r="O28" i="1" s="1"/>
  <c r="I1060" i="2"/>
  <c r="L1068"/>
  <c r="L1086" s="1"/>
  <c r="L1088" s="1"/>
  <c r="L1070"/>
  <c r="L1072"/>
  <c r="L1074"/>
  <c r="L1076"/>
  <c r="L1079"/>
  <c r="L1081"/>
  <c r="L1083"/>
  <c r="N1093"/>
  <c r="N1097" s="1"/>
  <c r="L1095"/>
  <c r="L1097" s="1"/>
  <c r="L1099" s="1"/>
  <c r="I1098"/>
  <c r="I1099" s="1"/>
  <c r="O37" i="1" s="1"/>
  <c r="N1105" i="2"/>
  <c r="J1106"/>
  <c r="N1106" s="1"/>
  <c r="F1118"/>
  <c r="F1120"/>
  <c r="F1122"/>
  <c r="I1132"/>
  <c r="I1106" s="1"/>
  <c r="J1142"/>
  <c r="F1143"/>
  <c r="F1105" s="1"/>
  <c r="I1146"/>
  <c r="I1109" s="1"/>
  <c r="F1155"/>
  <c r="F1156" s="1"/>
  <c r="F1158" s="1"/>
  <c r="L1155"/>
  <c r="L1156" s="1"/>
  <c r="L1158" s="1"/>
  <c r="C1156"/>
  <c r="C1158" s="1"/>
  <c r="L29" i="1" s="1"/>
  <c r="L1164" i="2"/>
  <c r="L1165"/>
  <c r="F1168"/>
  <c r="F1193" s="1"/>
  <c r="F1195" s="1"/>
  <c r="L1169"/>
  <c r="L1172"/>
  <c r="L1173"/>
  <c r="L1176"/>
  <c r="L1180"/>
  <c r="N1181"/>
  <c r="L1182"/>
  <c r="N1184"/>
  <c r="L1185"/>
  <c r="I1187"/>
  <c r="L1187"/>
  <c r="I1188"/>
  <c r="L1188"/>
  <c r="N1189"/>
  <c r="N1191"/>
  <c r="L1194"/>
  <c r="D12" i="3"/>
  <c r="D13"/>
  <c r="D14"/>
  <c r="D16"/>
  <c r="D17"/>
  <c r="D18"/>
  <c r="D19"/>
  <c r="D23"/>
  <c r="D24"/>
  <c r="K19" i="6"/>
  <c r="K25"/>
  <c r="K28"/>
  <c r="K29"/>
  <c r="I16" i="9"/>
  <c r="I19"/>
  <c r="I21"/>
  <c r="I24"/>
  <c r="I28"/>
  <c r="K28" s="1"/>
  <c r="D11" i="11"/>
  <c r="E11"/>
  <c r="Q1045" i="2"/>
  <c r="L1047"/>
  <c r="F1053"/>
  <c r="F1059" s="1"/>
  <c r="F1061" s="1"/>
  <c r="F1054"/>
  <c r="F1055"/>
  <c r="F1056"/>
  <c r="L1104"/>
  <c r="N1104" s="1"/>
  <c r="N1108" s="1"/>
  <c r="I1118"/>
  <c r="I1134" s="1"/>
  <c r="I1120"/>
  <c r="I1122"/>
  <c r="I1168"/>
  <c r="I1193" s="1"/>
  <c r="I1195" s="1"/>
  <c r="O39" i="1" s="1"/>
  <c r="D21" i="3"/>
  <c r="D22"/>
  <c r="D25"/>
  <c r="D27"/>
  <c r="D28"/>
  <c r="D29"/>
  <c r="D30"/>
  <c r="D31"/>
  <c r="D33"/>
  <c r="D34"/>
  <c r="K23" i="6"/>
  <c r="M32"/>
  <c r="K33"/>
  <c r="I15" i="9"/>
  <c r="I17"/>
  <c r="I20"/>
  <c r="I23"/>
  <c r="I25"/>
  <c r="I27"/>
  <c r="I29"/>
  <c r="S27" i="10"/>
  <c r="G14" i="5"/>
  <c r="G16"/>
  <c r="G18"/>
  <c r="G19"/>
  <c r="G20"/>
  <c r="G22"/>
  <c r="G23"/>
  <c r="G24"/>
  <c r="G26"/>
  <c r="G27"/>
  <c r="G31"/>
  <c r="G32"/>
  <c r="I18" i="6"/>
  <c r="G19"/>
  <c r="I20"/>
  <c r="G23"/>
  <c r="I24"/>
  <c r="G25"/>
  <c r="I27"/>
  <c r="G28"/>
  <c r="G29"/>
  <c r="I31"/>
  <c r="M31"/>
  <c r="I32"/>
  <c r="G33"/>
  <c r="G15" i="7"/>
  <c r="G16"/>
  <c r="G17"/>
  <c r="G19"/>
  <c r="G20"/>
  <c r="G21"/>
  <c r="G23"/>
  <c r="G24"/>
  <c r="G25"/>
  <c r="G29"/>
  <c r="G27" i="8"/>
  <c r="G28"/>
  <c r="G15" i="9"/>
  <c r="G16"/>
  <c r="G17"/>
  <c r="G19"/>
  <c r="G20"/>
  <c r="G21"/>
  <c r="G23"/>
  <c r="G24"/>
  <c r="G25"/>
  <c r="G29"/>
  <c r="G13" i="10"/>
  <c r="G15"/>
  <c r="G17"/>
  <c r="L17"/>
  <c r="G19"/>
  <c r="G21"/>
  <c r="G23"/>
  <c r="G25"/>
  <c r="D8" i="11"/>
  <c r="G28" i="5"/>
  <c r="G30"/>
  <c r="G34"/>
  <c r="G35"/>
  <c r="G36"/>
  <c r="G38"/>
  <c r="G39"/>
  <c r="G24" i="6"/>
  <c r="G27"/>
  <c r="I28"/>
  <c r="I29"/>
  <c r="G31"/>
  <c r="G27" i="7"/>
  <c r="G16" i="8"/>
  <c r="G17"/>
  <c r="G20"/>
  <c r="G21"/>
  <c r="G23"/>
  <c r="G24"/>
  <c r="G25"/>
  <c r="G27" i="9"/>
  <c r="J17" i="10"/>
  <c r="Z17" s="1"/>
  <c r="I1136" i="2" l="1"/>
  <c r="I1108"/>
  <c r="I1110" s="1"/>
  <c r="O38" i="1" s="1"/>
  <c r="Q1099" i="2"/>
  <c r="U37" i="1"/>
  <c r="P1100" i="2"/>
  <c r="Q1061"/>
  <c r="U28" i="1"/>
  <c r="P1062" i="2"/>
  <c r="C104"/>
  <c r="F159"/>
  <c r="AG39" i="1"/>
  <c r="Q37"/>
  <c r="AG37"/>
  <c r="Q1088" i="2"/>
  <c r="U36" i="1"/>
  <c r="P1089" i="2"/>
  <c r="Q28" i="1"/>
  <c r="AG28"/>
  <c r="AG26"/>
  <c r="AF29"/>
  <c r="AG29"/>
  <c r="J965" i="2"/>
  <c r="L965" s="1"/>
  <c r="L1020" s="1"/>
  <c r="Q909"/>
  <c r="J938"/>
  <c r="L909"/>
  <c r="J962"/>
  <c r="L962" s="1"/>
  <c r="L1017" s="1"/>
  <c r="Q906"/>
  <c r="J935"/>
  <c r="L906"/>
  <c r="C1032"/>
  <c r="C1034" s="1"/>
  <c r="C978"/>
  <c r="C979" s="1"/>
  <c r="C1030"/>
  <c r="L975"/>
  <c r="L1030" s="1"/>
  <c r="L811" s="1"/>
  <c r="L783" s="1"/>
  <c r="I975"/>
  <c r="I1030" s="1"/>
  <c r="I811" s="1"/>
  <c r="I783" s="1"/>
  <c r="F975"/>
  <c r="F1030" s="1"/>
  <c r="F811" s="1"/>
  <c r="F783" s="1"/>
  <c r="C919"/>
  <c r="C1028"/>
  <c r="L973"/>
  <c r="L1028" s="1"/>
  <c r="L809" s="1"/>
  <c r="L781" s="1"/>
  <c r="I973"/>
  <c r="I1028" s="1"/>
  <c r="I809" s="1"/>
  <c r="I781" s="1"/>
  <c r="C917"/>
  <c r="C1026"/>
  <c r="L971"/>
  <c r="L1026" s="1"/>
  <c r="L807" s="1"/>
  <c r="L779" s="1"/>
  <c r="I971"/>
  <c r="I1026" s="1"/>
  <c r="I807" s="1"/>
  <c r="I779" s="1"/>
  <c r="C915"/>
  <c r="F1013"/>
  <c r="J932"/>
  <c r="L903"/>
  <c r="J959"/>
  <c r="L959" s="1"/>
  <c r="L1014" s="1"/>
  <c r="Q903"/>
  <c r="Q17" i="7"/>
  <c r="L853" i="2"/>
  <c r="J740"/>
  <c r="Q16" i="7"/>
  <c r="L849" i="2"/>
  <c r="J736"/>
  <c r="L695"/>
  <c r="J714"/>
  <c r="L714" s="1"/>
  <c r="J702"/>
  <c r="L688"/>
  <c r="J711"/>
  <c r="L711" s="1"/>
  <c r="J664"/>
  <c r="L664" s="1"/>
  <c r="L645"/>
  <c r="R18" i="5"/>
  <c r="J533" i="2"/>
  <c r="L533" s="1"/>
  <c r="L499" s="1"/>
  <c r="J522"/>
  <c r="L521"/>
  <c r="L487" s="1"/>
  <c r="S15" i="5"/>
  <c r="J531" i="2"/>
  <c r="L531" s="1"/>
  <c r="L497" s="1"/>
  <c r="L518"/>
  <c r="L484" s="1"/>
  <c r="R14" i="5"/>
  <c r="J528" i="2"/>
  <c r="L528" s="1"/>
  <c r="L494" s="1"/>
  <c r="L514"/>
  <c r="F651"/>
  <c r="D670"/>
  <c r="F670" s="1"/>
  <c r="L637"/>
  <c r="L586" s="1"/>
  <c r="J660"/>
  <c r="L660" s="1"/>
  <c r="L609" s="1"/>
  <c r="J619"/>
  <c r="N619" s="1"/>
  <c r="N600"/>
  <c r="J698"/>
  <c r="J615"/>
  <c r="N615" s="1"/>
  <c r="Q596"/>
  <c r="J647"/>
  <c r="N596"/>
  <c r="I556"/>
  <c r="G568"/>
  <c r="I568" s="1"/>
  <c r="J566"/>
  <c r="L566" s="1"/>
  <c r="L553"/>
  <c r="F522"/>
  <c r="D534"/>
  <c r="F534" s="1"/>
  <c r="R15" i="5"/>
  <c r="L515" i="2"/>
  <c r="J529"/>
  <c r="L529" s="1"/>
  <c r="F540"/>
  <c r="F480"/>
  <c r="J502"/>
  <c r="N502" s="1"/>
  <c r="Q491"/>
  <c r="J453"/>
  <c r="J559"/>
  <c r="J525"/>
  <c r="N491"/>
  <c r="J500"/>
  <c r="N500" s="1"/>
  <c r="Q488"/>
  <c r="N488"/>
  <c r="I434"/>
  <c r="I436" s="1"/>
  <c r="I355"/>
  <c r="I149" s="1"/>
  <c r="C813"/>
  <c r="C785" s="1"/>
  <c r="C787" s="1"/>
  <c r="C1006"/>
  <c r="C815" s="1"/>
  <c r="L27" i="1" s="1"/>
  <c r="I702" i="2"/>
  <c r="G721"/>
  <c r="I721" s="1"/>
  <c r="J723"/>
  <c r="L723" s="1"/>
  <c r="L704"/>
  <c r="J715"/>
  <c r="L715" s="1"/>
  <c r="L696"/>
  <c r="L701"/>
  <c r="J720"/>
  <c r="L720" s="1"/>
  <c r="J401"/>
  <c r="L401" s="1"/>
  <c r="L372" s="1"/>
  <c r="L392"/>
  <c r="L363" s="1"/>
  <c r="J397"/>
  <c r="L397" s="1"/>
  <c r="L368" s="1"/>
  <c r="L386"/>
  <c r="L357" s="1"/>
  <c r="L151" s="1"/>
  <c r="J396"/>
  <c r="L396" s="1"/>
  <c r="L367" s="1"/>
  <c r="L385"/>
  <c r="L356" s="1"/>
  <c r="L150" s="1"/>
  <c r="J343"/>
  <c r="L343" s="1"/>
  <c r="L334"/>
  <c r="J339"/>
  <c r="L339" s="1"/>
  <c r="L330"/>
  <c r="J310"/>
  <c r="L310" s="1"/>
  <c r="L281" s="1"/>
  <c r="L301"/>
  <c r="L272" s="1"/>
  <c r="J253"/>
  <c r="L253" s="1"/>
  <c r="L244"/>
  <c r="J226"/>
  <c r="L226" s="1"/>
  <c r="L217"/>
  <c r="J223"/>
  <c r="L223" s="1"/>
  <c r="L213"/>
  <c r="J197"/>
  <c r="L90"/>
  <c r="I90"/>
  <c r="R30" i="5"/>
  <c r="AF23" i="1"/>
  <c r="L419" i="2"/>
  <c r="J428"/>
  <c r="L428" s="1"/>
  <c r="Z19" i="10"/>
  <c r="V19"/>
  <c r="J402" i="2"/>
  <c r="L402" s="1"/>
  <c r="L373" s="1"/>
  <c r="L393"/>
  <c r="L364" s="1"/>
  <c r="D400"/>
  <c r="F400" s="1"/>
  <c r="F371" s="1"/>
  <c r="F169" s="1"/>
  <c r="F391"/>
  <c r="F362" s="1"/>
  <c r="J341"/>
  <c r="L341" s="1"/>
  <c r="L332"/>
  <c r="J338"/>
  <c r="L338" s="1"/>
  <c r="L327"/>
  <c r="J336"/>
  <c r="L336" s="1"/>
  <c r="L325"/>
  <c r="L304"/>
  <c r="J313"/>
  <c r="L313" s="1"/>
  <c r="I246"/>
  <c r="I190" s="1"/>
  <c r="I161" s="1"/>
  <c r="F246"/>
  <c r="F190" s="1"/>
  <c r="F161" s="1"/>
  <c r="C190"/>
  <c r="C161" s="1"/>
  <c r="L243"/>
  <c r="J252"/>
  <c r="L252" s="1"/>
  <c r="L239"/>
  <c r="J249"/>
  <c r="L249" s="1"/>
  <c r="L218"/>
  <c r="J227"/>
  <c r="L227" s="1"/>
  <c r="L216"/>
  <c r="L188" s="1"/>
  <c r="J225"/>
  <c r="L225" s="1"/>
  <c r="L197" s="1"/>
  <c r="I231"/>
  <c r="I183"/>
  <c r="I153" s="1"/>
  <c r="J198"/>
  <c r="AA18" i="4"/>
  <c r="AB18" s="1"/>
  <c r="J195" i="2"/>
  <c r="F42"/>
  <c r="F16"/>
  <c r="Z26" i="10"/>
  <c r="V26"/>
  <c r="Z23"/>
  <c r="V23"/>
  <c r="Z13"/>
  <c r="V13"/>
  <c r="Z25"/>
  <c r="V25"/>
  <c r="Z18"/>
  <c r="V18"/>
  <c r="Q31" i="6"/>
  <c r="K29" i="9"/>
  <c r="K25"/>
  <c r="K20"/>
  <c r="K15"/>
  <c r="O33" i="6"/>
  <c r="O23"/>
  <c r="K24" i="9"/>
  <c r="K19"/>
  <c r="O28" i="6"/>
  <c r="O19"/>
  <c r="F1145" i="2"/>
  <c r="F1147" s="1"/>
  <c r="F1018"/>
  <c r="F894"/>
  <c r="F992"/>
  <c r="F801" s="1"/>
  <c r="F773" s="1"/>
  <c r="F989"/>
  <c r="F798" s="1"/>
  <c r="F770" s="1"/>
  <c r="F491"/>
  <c r="I481"/>
  <c r="F794"/>
  <c r="F766" s="1"/>
  <c r="Q20" i="6"/>
  <c r="F973" i="2"/>
  <c r="F1028" s="1"/>
  <c r="C895"/>
  <c r="I727"/>
  <c r="I729" s="1"/>
  <c r="I618"/>
  <c r="I616"/>
  <c r="I615"/>
  <c r="L607"/>
  <c r="F607"/>
  <c r="F602"/>
  <c r="F594"/>
  <c r="I574"/>
  <c r="I576" s="1"/>
  <c r="L492"/>
  <c r="F492"/>
  <c r="F490"/>
  <c r="F487"/>
  <c r="I484"/>
  <c r="I482"/>
  <c r="F624"/>
  <c r="L623"/>
  <c r="F584"/>
  <c r="F346"/>
  <c r="F348" s="1"/>
  <c r="F154"/>
  <c r="L20"/>
  <c r="B27" i="1"/>
  <c r="L375" i="2"/>
  <c r="L173" s="1"/>
  <c r="I374"/>
  <c r="F287"/>
  <c r="F286"/>
  <c r="F274"/>
  <c r="I317"/>
  <c r="L201"/>
  <c r="F201"/>
  <c r="F170"/>
  <c r="F168"/>
  <c r="F155"/>
  <c r="L87"/>
  <c r="L84"/>
  <c r="F84"/>
  <c r="L21"/>
  <c r="F20"/>
  <c r="L17"/>
  <c r="F375"/>
  <c r="F173" s="1"/>
  <c r="I88"/>
  <c r="C115"/>
  <c r="C117" s="1"/>
  <c r="L269"/>
  <c r="L278"/>
  <c r="Q1158"/>
  <c r="U29" i="1"/>
  <c r="AK29" s="1"/>
  <c r="AL29" s="1"/>
  <c r="J1143" i="2"/>
  <c r="L1143" s="1"/>
  <c r="L1105" s="1"/>
  <c r="L1142"/>
  <c r="L1145" s="1"/>
  <c r="I1004"/>
  <c r="C987"/>
  <c r="C796" s="1"/>
  <c r="C904"/>
  <c r="J963"/>
  <c r="L963" s="1"/>
  <c r="L1018" s="1"/>
  <c r="Q907"/>
  <c r="J936"/>
  <c r="L907"/>
  <c r="J961"/>
  <c r="L961" s="1"/>
  <c r="L1016" s="1"/>
  <c r="Q905"/>
  <c r="J934"/>
  <c r="L905"/>
  <c r="L855"/>
  <c r="J742"/>
  <c r="R16" i="7"/>
  <c r="L852" i="2"/>
  <c r="J739"/>
  <c r="Q15" i="7"/>
  <c r="L848" i="2"/>
  <c r="J735"/>
  <c r="AG38" i="1"/>
  <c r="C1031" i="2"/>
  <c r="C812" s="1"/>
  <c r="C784" s="1"/>
  <c r="L976"/>
  <c r="L1031" s="1"/>
  <c r="L812" s="1"/>
  <c r="L784" s="1"/>
  <c r="I976"/>
  <c r="I1031" s="1"/>
  <c r="I812" s="1"/>
  <c r="I784" s="1"/>
  <c r="F976"/>
  <c r="F1031" s="1"/>
  <c r="F812" s="1"/>
  <c r="F784" s="1"/>
  <c r="C920"/>
  <c r="C1029"/>
  <c r="C810" s="1"/>
  <c r="C782" s="1"/>
  <c r="L974"/>
  <c r="L1029" s="1"/>
  <c r="L810" s="1"/>
  <c r="L782" s="1"/>
  <c r="I974"/>
  <c r="I1029" s="1"/>
  <c r="C918"/>
  <c r="C1027"/>
  <c r="C808" s="1"/>
  <c r="C780" s="1"/>
  <c r="L972"/>
  <c r="L1027" s="1"/>
  <c r="L808" s="1"/>
  <c r="L780" s="1"/>
  <c r="I972"/>
  <c r="I1027" s="1"/>
  <c r="C916"/>
  <c r="C1025"/>
  <c r="C806" s="1"/>
  <c r="C778" s="1"/>
  <c r="L970"/>
  <c r="L1025" s="1"/>
  <c r="L806" s="1"/>
  <c r="L778" s="1"/>
  <c r="I970"/>
  <c r="I1025" s="1"/>
  <c r="C914"/>
  <c r="J931"/>
  <c r="L902"/>
  <c r="J958"/>
  <c r="L958" s="1"/>
  <c r="Q902"/>
  <c r="L856"/>
  <c r="L993" s="1"/>
  <c r="L802" s="1"/>
  <c r="L774" s="1"/>
  <c r="J743"/>
  <c r="R15" i="7"/>
  <c r="L851" i="2"/>
  <c r="J738"/>
  <c r="L697"/>
  <c r="J716"/>
  <c r="L716" s="1"/>
  <c r="J672"/>
  <c r="L672" s="1"/>
  <c r="L621" s="1"/>
  <c r="L653"/>
  <c r="L602" s="1"/>
  <c r="J661"/>
  <c r="L661" s="1"/>
  <c r="L610" s="1"/>
  <c r="J650"/>
  <c r="L642"/>
  <c r="L591" s="1"/>
  <c r="J699"/>
  <c r="J616"/>
  <c r="N616" s="1"/>
  <c r="N597"/>
  <c r="J648"/>
  <c r="Q597"/>
  <c r="R19" i="5"/>
  <c r="J535" i="2"/>
  <c r="L535" s="1"/>
  <c r="L501" s="1"/>
  <c r="L524"/>
  <c r="L490" s="1"/>
  <c r="R16" i="5"/>
  <c r="J530" i="2"/>
  <c r="L530" s="1"/>
  <c r="L496" s="1"/>
  <c r="L516"/>
  <c r="L482" s="1"/>
  <c r="F702"/>
  <c r="F727" s="1"/>
  <c r="F729" s="1"/>
  <c r="D721"/>
  <c r="F721" s="1"/>
  <c r="J710"/>
  <c r="L710" s="1"/>
  <c r="L608" s="1"/>
  <c r="L687"/>
  <c r="I651"/>
  <c r="G670"/>
  <c r="I670" s="1"/>
  <c r="I619" s="1"/>
  <c r="L646"/>
  <c r="L595" s="1"/>
  <c r="J665"/>
  <c r="L665" s="1"/>
  <c r="L614" s="1"/>
  <c r="L644"/>
  <c r="L593" s="1"/>
  <c r="J663"/>
  <c r="L663" s="1"/>
  <c r="L612" s="1"/>
  <c r="J651"/>
  <c r="L633"/>
  <c r="J656"/>
  <c r="L656" s="1"/>
  <c r="L605" s="1"/>
  <c r="J618"/>
  <c r="N618" s="1"/>
  <c r="N599"/>
  <c r="F556"/>
  <c r="D568"/>
  <c r="F568" s="1"/>
  <c r="J563"/>
  <c r="L563" s="1"/>
  <c r="L549"/>
  <c r="I522"/>
  <c r="I488" s="1"/>
  <c r="G534"/>
  <c r="I534" s="1"/>
  <c r="I500" s="1"/>
  <c r="S16" i="5"/>
  <c r="J532" i="2"/>
  <c r="L532" s="1"/>
  <c r="L498" s="1"/>
  <c r="L519"/>
  <c r="L485" s="1"/>
  <c r="I540"/>
  <c r="I480"/>
  <c r="F434"/>
  <c r="F436" s="1"/>
  <c r="F355"/>
  <c r="F149" s="1"/>
  <c r="C952"/>
  <c r="C922"/>
  <c r="C923" s="1"/>
  <c r="K32" i="6"/>
  <c r="O32" s="1"/>
  <c r="K31"/>
  <c r="O31" s="1"/>
  <c r="K27"/>
  <c r="O27" s="1"/>
  <c r="K24"/>
  <c r="O24" s="1"/>
  <c r="K20"/>
  <c r="O20" s="1"/>
  <c r="K18"/>
  <c r="O18" s="1"/>
  <c r="M33"/>
  <c r="Q33" s="1"/>
  <c r="M29"/>
  <c r="Q29" s="1"/>
  <c r="M28"/>
  <c r="Q28" s="1"/>
  <c r="M27"/>
  <c r="Q27" s="1"/>
  <c r="G400" i="2"/>
  <c r="I400" s="1"/>
  <c r="I371" s="1"/>
  <c r="I169" s="1"/>
  <c r="I391"/>
  <c r="I362" s="1"/>
  <c r="I160" s="1"/>
  <c r="D397"/>
  <c r="F397" s="1"/>
  <c r="F368" s="1"/>
  <c r="F166" s="1"/>
  <c r="F386"/>
  <c r="J395"/>
  <c r="L395" s="1"/>
  <c r="L366" s="1"/>
  <c r="L384"/>
  <c r="J342"/>
  <c r="L342" s="1"/>
  <c r="L333"/>
  <c r="J312"/>
  <c r="L312" s="1"/>
  <c r="L283" s="1"/>
  <c r="L303"/>
  <c r="L274" s="1"/>
  <c r="J255"/>
  <c r="L255" s="1"/>
  <c r="L246"/>
  <c r="J250"/>
  <c r="L250" s="1"/>
  <c r="L240"/>
  <c r="J228"/>
  <c r="L228" s="1"/>
  <c r="L200" s="1"/>
  <c r="L171" s="1"/>
  <c r="L219"/>
  <c r="J224"/>
  <c r="L224" s="1"/>
  <c r="L196" s="1"/>
  <c r="L215"/>
  <c r="L187" s="1"/>
  <c r="J221"/>
  <c r="L221" s="1"/>
  <c r="L193" s="1"/>
  <c r="L164" s="1"/>
  <c r="L211"/>
  <c r="J199"/>
  <c r="AB14" i="4"/>
  <c r="AB15" s="1"/>
  <c r="J194" i="2"/>
  <c r="I98"/>
  <c r="I85" s="1"/>
  <c r="C85"/>
  <c r="L556"/>
  <c r="J568"/>
  <c r="L568" s="1"/>
  <c r="J399"/>
  <c r="L399" s="1"/>
  <c r="L370" s="1"/>
  <c r="L390"/>
  <c r="L361" s="1"/>
  <c r="Z14" i="10"/>
  <c r="V14"/>
  <c r="J400" i="2"/>
  <c r="L400" s="1"/>
  <c r="L371" s="1"/>
  <c r="L391"/>
  <c r="L362" s="1"/>
  <c r="J398"/>
  <c r="L398" s="1"/>
  <c r="L369" s="1"/>
  <c r="L389"/>
  <c r="L360" s="1"/>
  <c r="J340"/>
  <c r="L340" s="1"/>
  <c r="L331"/>
  <c r="J337"/>
  <c r="L337" s="1"/>
  <c r="L326"/>
  <c r="L268" s="1"/>
  <c r="L305"/>
  <c r="L276" s="1"/>
  <c r="J314"/>
  <c r="L314" s="1"/>
  <c r="L285" s="1"/>
  <c r="L302"/>
  <c r="L273" s="1"/>
  <c r="J311"/>
  <c r="L311" s="1"/>
  <c r="F317"/>
  <c r="F267"/>
  <c r="L247"/>
  <c r="J256"/>
  <c r="L256" s="1"/>
  <c r="L245"/>
  <c r="J254"/>
  <c r="L254" s="1"/>
  <c r="L241"/>
  <c r="J251"/>
  <c r="L251" s="1"/>
  <c r="J222"/>
  <c r="L222" s="1"/>
  <c r="L194" s="1"/>
  <c r="L212"/>
  <c r="L184" s="1"/>
  <c r="F183"/>
  <c r="F153" s="1"/>
  <c r="F231"/>
  <c r="AA20" i="4"/>
  <c r="AB20" s="1"/>
  <c r="J196" i="2"/>
  <c r="AA14" i="4"/>
  <c r="AA15" s="1"/>
  <c r="J193" i="2"/>
  <c r="L83"/>
  <c r="I42"/>
  <c r="I16"/>
  <c r="Z24" i="10"/>
  <c r="V24"/>
  <c r="Z22"/>
  <c r="V22"/>
  <c r="Z20"/>
  <c r="V20"/>
  <c r="X16"/>
  <c r="T16"/>
  <c r="J16"/>
  <c r="L267" i="2"/>
  <c r="L42" i="1"/>
  <c r="K27" i="9"/>
  <c r="K23"/>
  <c r="K17"/>
  <c r="Q32" i="6"/>
  <c r="K21" i="9"/>
  <c r="K16"/>
  <c r="O29" i="6"/>
  <c r="O25"/>
  <c r="L1193" i="2"/>
  <c r="L1195" s="1"/>
  <c r="F1106"/>
  <c r="F1108" s="1"/>
  <c r="F1110" s="1"/>
  <c r="I1147"/>
  <c r="P1159"/>
  <c r="F1134"/>
  <c r="F1136" s="1"/>
  <c r="C811"/>
  <c r="C783" s="1"/>
  <c r="C809"/>
  <c r="C781" s="1"/>
  <c r="C807"/>
  <c r="C779" s="1"/>
  <c r="F802"/>
  <c r="F774" s="1"/>
  <c r="F799"/>
  <c r="F771" s="1"/>
  <c r="F797"/>
  <c r="F769" s="1"/>
  <c r="F972"/>
  <c r="F1027" s="1"/>
  <c r="I810"/>
  <c r="I782" s="1"/>
  <c r="I808"/>
  <c r="I780" s="1"/>
  <c r="I806"/>
  <c r="I778" s="1"/>
  <c r="I804"/>
  <c r="I776" s="1"/>
  <c r="F505"/>
  <c r="F485"/>
  <c r="F481"/>
  <c r="F950"/>
  <c r="Q18" i="6"/>
  <c r="Q24"/>
  <c r="F971" i="2"/>
  <c r="F1026" s="1"/>
  <c r="F810"/>
  <c r="F782" s="1"/>
  <c r="F809"/>
  <c r="F781" s="1"/>
  <c r="F808"/>
  <c r="F780" s="1"/>
  <c r="F807"/>
  <c r="F779" s="1"/>
  <c r="F806"/>
  <c r="F778" s="1"/>
  <c r="F618"/>
  <c r="F616"/>
  <c r="F614"/>
  <c r="F612"/>
  <c r="F609"/>
  <c r="I602"/>
  <c r="F574"/>
  <c r="F576" s="1"/>
  <c r="I786"/>
  <c r="I346"/>
  <c r="I348" s="1"/>
  <c r="I173"/>
  <c r="L128"/>
  <c r="L130" s="1"/>
  <c r="F676"/>
  <c r="L585"/>
  <c r="F374"/>
  <c r="L434"/>
  <c r="L436" s="1"/>
  <c r="L286"/>
  <c r="I201"/>
  <c r="I172" s="1"/>
  <c r="F160"/>
  <c r="L111"/>
  <c r="L115"/>
  <c r="L117" s="1"/>
  <c r="F88"/>
  <c r="L98"/>
  <c r="L85" s="1"/>
  <c r="I84"/>
  <c r="L78"/>
  <c r="L59"/>
  <c r="L61" s="1"/>
  <c r="L23"/>
  <c r="F22"/>
  <c r="L18"/>
  <c r="I375"/>
  <c r="C259"/>
  <c r="F111"/>
  <c r="F115" s="1"/>
  <c r="F117" s="1"/>
  <c r="F98"/>
  <c r="F17"/>
  <c r="L280"/>
  <c r="L279"/>
  <c r="F102"/>
  <c r="L42"/>
  <c r="F1004" l="1"/>
  <c r="F952"/>
  <c r="F951"/>
  <c r="F104"/>
  <c r="F89"/>
  <c r="F91" s="1"/>
  <c r="C261"/>
  <c r="C203"/>
  <c r="Q1195"/>
  <c r="U39" i="1"/>
  <c r="P1196" i="2"/>
  <c r="F233"/>
  <c r="L183"/>
  <c r="L153" s="1"/>
  <c r="L231"/>
  <c r="L405"/>
  <c r="L355"/>
  <c r="L149" s="1"/>
  <c r="F357"/>
  <c r="F151" s="1"/>
  <c r="F405"/>
  <c r="L582"/>
  <c r="L699"/>
  <c r="J718"/>
  <c r="L718" s="1"/>
  <c r="L650"/>
  <c r="L599" s="1"/>
  <c r="J669"/>
  <c r="L669" s="1"/>
  <c r="L618" s="1"/>
  <c r="N738"/>
  <c r="L738"/>
  <c r="L1013"/>
  <c r="L977"/>
  <c r="Q15" i="8"/>
  <c r="L931" i="2"/>
  <c r="L735"/>
  <c r="N735"/>
  <c r="N758" s="1"/>
  <c r="J757"/>
  <c r="L742"/>
  <c r="N742"/>
  <c r="R15" i="8"/>
  <c r="L934" i="2"/>
  <c r="L988" s="1"/>
  <c r="L797" s="1"/>
  <c r="L769" s="1"/>
  <c r="Q17" i="8"/>
  <c r="L936" i="2"/>
  <c r="L990" s="1"/>
  <c r="L799" s="1"/>
  <c r="L771" s="1"/>
  <c r="C768"/>
  <c r="I27" i="1"/>
  <c r="L559" i="2"/>
  <c r="J570"/>
  <c r="L570" s="1"/>
  <c r="L647"/>
  <c r="L676" s="1"/>
  <c r="J666"/>
  <c r="L666" s="1"/>
  <c r="L480"/>
  <c r="L702"/>
  <c r="J721"/>
  <c r="L721" s="1"/>
  <c r="J755"/>
  <c r="N740"/>
  <c r="J756"/>
  <c r="L740"/>
  <c r="Q16" i="8"/>
  <c r="L932" i="2"/>
  <c r="L986" s="1"/>
  <c r="L795" s="1"/>
  <c r="L767" s="1"/>
  <c r="AM37" i="1"/>
  <c r="V28"/>
  <c r="AK28"/>
  <c r="AL28" s="1"/>
  <c r="F85" i="2"/>
  <c r="L317"/>
  <c r="L102"/>
  <c r="L154"/>
  <c r="L282"/>
  <c r="L158"/>
  <c r="L191"/>
  <c r="L162" s="1"/>
  <c r="L172"/>
  <c r="L168"/>
  <c r="L199"/>
  <c r="L275"/>
  <c r="L195"/>
  <c r="L166" s="1"/>
  <c r="L198"/>
  <c r="L169" s="1"/>
  <c r="L495"/>
  <c r="F488"/>
  <c r="F619"/>
  <c r="L594"/>
  <c r="I259"/>
  <c r="I261" s="1"/>
  <c r="F259"/>
  <c r="F261" s="1"/>
  <c r="L25"/>
  <c r="L27" s="1"/>
  <c r="L44"/>
  <c r="F678"/>
  <c r="F625"/>
  <c r="F627" s="1"/>
  <c r="AD42" i="1"/>
  <c r="Z16" i="10"/>
  <c r="V16"/>
  <c r="I44" i="2"/>
  <c r="I25"/>
  <c r="I27" s="1"/>
  <c r="F319"/>
  <c r="F288"/>
  <c r="F290" s="1"/>
  <c r="I542"/>
  <c r="I506"/>
  <c r="I508" s="1"/>
  <c r="O24" i="1" s="1"/>
  <c r="L651" i="2"/>
  <c r="L600" s="1"/>
  <c r="J670"/>
  <c r="L670" s="1"/>
  <c r="L619" s="1"/>
  <c r="I600"/>
  <c r="I676"/>
  <c r="L648"/>
  <c r="L597" s="1"/>
  <c r="J667"/>
  <c r="L667" s="1"/>
  <c r="L616" s="1"/>
  <c r="N743"/>
  <c r="L743"/>
  <c r="L914"/>
  <c r="I914"/>
  <c r="F914"/>
  <c r="L916"/>
  <c r="I916"/>
  <c r="F916"/>
  <c r="L918"/>
  <c r="I918"/>
  <c r="F918"/>
  <c r="L920"/>
  <c r="F920"/>
  <c r="I920"/>
  <c r="L739"/>
  <c r="N739"/>
  <c r="I1006"/>
  <c r="L1147"/>
  <c r="L1108"/>
  <c r="L1110" s="1"/>
  <c r="AO29" i="1"/>
  <c r="V29"/>
  <c r="Q29"/>
  <c r="I319" i="2"/>
  <c r="I288"/>
  <c r="I290" s="1"/>
  <c r="B28" i="1"/>
  <c r="C896" i="2"/>
  <c r="C840"/>
  <c r="C841" s="1"/>
  <c r="F25"/>
  <c r="F27" s="1"/>
  <c r="F44"/>
  <c r="I233"/>
  <c r="I203"/>
  <c r="AF27" i="1"/>
  <c r="R20" i="5"/>
  <c r="I30" s="1"/>
  <c r="K30" s="1"/>
  <c r="L525" i="2"/>
  <c r="L491" s="1"/>
  <c r="J536"/>
  <c r="L536" s="1"/>
  <c r="L502" s="1"/>
  <c r="J471"/>
  <c r="L471" s="1"/>
  <c r="J464"/>
  <c r="L464" s="1"/>
  <c r="L453"/>
  <c r="L472" s="1"/>
  <c r="L474" s="1"/>
  <c r="U23" i="1" s="1"/>
  <c r="F506" i="2"/>
  <c r="F508" s="1"/>
  <c r="F542"/>
  <c r="L698"/>
  <c r="J717"/>
  <c r="L717" s="1"/>
  <c r="L522"/>
  <c r="L488" s="1"/>
  <c r="J534"/>
  <c r="L534" s="1"/>
  <c r="L500" s="1"/>
  <c r="I16" i="5"/>
  <c r="K16" s="1"/>
  <c r="I15"/>
  <c r="K15" s="1"/>
  <c r="I14"/>
  <c r="K14" s="1"/>
  <c r="N736" i="2"/>
  <c r="L736"/>
  <c r="L915"/>
  <c r="I915"/>
  <c r="F915"/>
  <c r="L917"/>
  <c r="I917"/>
  <c r="F917"/>
  <c r="L919"/>
  <c r="F919"/>
  <c r="I919"/>
  <c r="R16" i="8"/>
  <c r="L935" i="2"/>
  <c r="L989" s="1"/>
  <c r="L798" s="1"/>
  <c r="L770" s="1"/>
  <c r="L938"/>
  <c r="L992" s="1"/>
  <c r="L801" s="1"/>
  <c r="L773" s="1"/>
  <c r="AF39" i="1"/>
  <c r="AF38"/>
  <c r="AF37"/>
  <c r="AF36"/>
  <c r="AF35"/>
  <c r="AO36"/>
  <c r="V36"/>
  <c r="AK36"/>
  <c r="AL36" s="1"/>
  <c r="Q36"/>
  <c r="AO37"/>
  <c r="V37"/>
  <c r="AK37"/>
  <c r="AL37" s="1"/>
  <c r="L165" i="2"/>
  <c r="L167"/>
  <c r="L921"/>
  <c r="L867"/>
  <c r="F172"/>
  <c r="I405"/>
  <c r="I977"/>
  <c r="L159"/>
  <c r="L190"/>
  <c r="L161" s="1"/>
  <c r="L259"/>
  <c r="L261" s="1"/>
  <c r="L284"/>
  <c r="L346"/>
  <c r="L348" s="1"/>
  <c r="L185"/>
  <c r="L155" s="1"/>
  <c r="L189"/>
  <c r="L160" s="1"/>
  <c r="L481"/>
  <c r="F500"/>
  <c r="F600"/>
  <c r="L613"/>
  <c r="F977"/>
  <c r="F868"/>
  <c r="I102"/>
  <c r="C89"/>
  <c r="C91" s="1"/>
  <c r="L678" l="1"/>
  <c r="L16" i="1"/>
  <c r="I104" i="2"/>
  <c r="I89"/>
  <c r="I91" s="1"/>
  <c r="O16" i="1" s="1"/>
  <c r="F978" i="2"/>
  <c r="F979" s="1"/>
  <c r="F1032"/>
  <c r="F1034" s="1"/>
  <c r="I1032"/>
  <c r="I407"/>
  <c r="I376"/>
  <c r="I378" s="1"/>
  <c r="AM36" i="1"/>
  <c r="Q23"/>
  <c r="S23" s="1"/>
  <c r="Y23"/>
  <c r="AK23"/>
  <c r="L319" i="2"/>
  <c r="L288"/>
  <c r="L290" s="1"/>
  <c r="H21" i="10"/>
  <c r="I32" i="1"/>
  <c r="I44" s="1"/>
  <c r="I48" s="1"/>
  <c r="N757" i="2"/>
  <c r="L757"/>
  <c r="L407"/>
  <c r="L376"/>
  <c r="L378" s="1"/>
  <c r="AO39" i="1"/>
  <c r="V39"/>
  <c r="AK39"/>
  <c r="AL39" s="1"/>
  <c r="Q39"/>
  <c r="C205" i="2"/>
  <c r="C174"/>
  <c r="C176" s="1"/>
  <c r="L22" i="1" s="1"/>
  <c r="I951" i="2"/>
  <c r="I952" s="1"/>
  <c r="F922"/>
  <c r="L951"/>
  <c r="F1006"/>
  <c r="F815" s="1"/>
  <c r="F813"/>
  <c r="F785" s="1"/>
  <c r="F787" s="1"/>
  <c r="F921"/>
  <c r="F923" s="1"/>
  <c r="I31" i="5"/>
  <c r="K31" s="1"/>
  <c r="I22"/>
  <c r="K22" s="1"/>
  <c r="I38"/>
  <c r="K38" s="1"/>
  <c r="I26"/>
  <c r="K26" s="1"/>
  <c r="I34"/>
  <c r="K34" s="1"/>
  <c r="I24"/>
  <c r="K24" s="1"/>
  <c r="I18"/>
  <c r="K18" s="1"/>
  <c r="I35"/>
  <c r="K35" s="1"/>
  <c r="I23"/>
  <c r="K23" s="1"/>
  <c r="L170" i="2"/>
  <c r="L540"/>
  <c r="L615"/>
  <c r="F203"/>
  <c r="I868"/>
  <c r="I869" s="1"/>
  <c r="L868"/>
  <c r="L869" s="1"/>
  <c r="S869" s="1"/>
  <c r="F869"/>
  <c r="Q28" i="8"/>
  <c r="Q18" s="1"/>
  <c r="Q28" i="7"/>
  <c r="Q18" s="1"/>
  <c r="AF26" i="1"/>
  <c r="I205" i="2"/>
  <c r="I174"/>
  <c r="I176" s="1"/>
  <c r="O22" i="1" s="1"/>
  <c r="AM29"/>
  <c r="Q1110" i="2"/>
  <c r="U38" i="1"/>
  <c r="P1111" i="2"/>
  <c r="I678"/>
  <c r="I625"/>
  <c r="I627" s="1"/>
  <c r="O25" i="1" s="1"/>
  <c r="AG24"/>
  <c r="O35"/>
  <c r="U35"/>
  <c r="P28" i="2"/>
  <c r="L104"/>
  <c r="L89"/>
  <c r="L91" s="1"/>
  <c r="L756"/>
  <c r="N756"/>
  <c r="N755"/>
  <c r="L755"/>
  <c r="L758" s="1"/>
  <c r="L760" s="1"/>
  <c r="L985"/>
  <c r="L794" s="1"/>
  <c r="L766" s="1"/>
  <c r="L950"/>
  <c r="L1032"/>
  <c r="L1034" s="1"/>
  <c r="F407"/>
  <c r="F376"/>
  <c r="F378" s="1"/>
  <c r="L203"/>
  <c r="L233"/>
  <c r="L727"/>
  <c r="L729" s="1"/>
  <c r="F895"/>
  <c r="B29" i="1"/>
  <c r="I921" i="2"/>
  <c r="I36" i="5"/>
  <c r="K36" s="1"/>
  <c r="I27"/>
  <c r="K27" s="1"/>
  <c r="I19"/>
  <c r="K19" s="1"/>
  <c r="I32"/>
  <c r="K32" s="1"/>
  <c r="I39"/>
  <c r="K39" s="1"/>
  <c r="I28"/>
  <c r="K28" s="1"/>
  <c r="I20"/>
  <c r="K20" s="1"/>
  <c r="I40"/>
  <c r="K40" s="1"/>
  <c r="L596" i="2"/>
  <c r="L574"/>
  <c r="L576" s="1"/>
  <c r="Q760" l="1"/>
  <c r="U26" i="1"/>
  <c r="P761" i="2"/>
  <c r="B32" i="1"/>
  <c r="L1004" i="2"/>
  <c r="L952"/>
  <c r="Q91"/>
  <c r="U16" i="1"/>
  <c r="P92" i="2"/>
  <c r="AG25" i="1"/>
  <c r="I17" i="7"/>
  <c r="K17" s="1"/>
  <c r="I23"/>
  <c r="K23" s="1"/>
  <c r="I27"/>
  <c r="K27" s="1"/>
  <c r="I16"/>
  <c r="K16" s="1"/>
  <c r="I21"/>
  <c r="K21" s="1"/>
  <c r="I28"/>
  <c r="K28" s="1"/>
  <c r="I15"/>
  <c r="K15" s="1"/>
  <c r="I20"/>
  <c r="K20" s="1"/>
  <c r="I25"/>
  <c r="K25" s="1"/>
  <c r="I29"/>
  <c r="K29" s="1"/>
  <c r="I19"/>
  <c r="K19" s="1"/>
  <c r="I24"/>
  <c r="K24" s="1"/>
  <c r="F205" i="2"/>
  <c r="F174"/>
  <c r="F176" s="1"/>
  <c r="F1198" s="1"/>
  <c r="F1201" s="1"/>
  <c r="L19" i="1"/>
  <c r="L625" i="2"/>
  <c r="L627" s="1"/>
  <c r="L895"/>
  <c r="L896" s="1"/>
  <c r="I895"/>
  <c r="I896" s="1"/>
  <c r="F896"/>
  <c r="L205"/>
  <c r="L174"/>
  <c r="L176" s="1"/>
  <c r="U42" i="1"/>
  <c r="AO35"/>
  <c r="V35"/>
  <c r="AK35"/>
  <c r="AL35" s="1"/>
  <c r="O42"/>
  <c r="Q35"/>
  <c r="AG35"/>
  <c r="AO38"/>
  <c r="V38"/>
  <c r="AK38"/>
  <c r="AL38" s="1"/>
  <c r="Q38"/>
  <c r="I17" i="8"/>
  <c r="K17" s="1"/>
  <c r="I23"/>
  <c r="K23" s="1"/>
  <c r="I27"/>
  <c r="K27" s="1"/>
  <c r="I16"/>
  <c r="K16" s="1"/>
  <c r="I21"/>
  <c r="K21" s="1"/>
  <c r="I28"/>
  <c r="K28" s="1"/>
  <c r="I20"/>
  <c r="K20" s="1"/>
  <c r="I25"/>
  <c r="K25" s="1"/>
  <c r="I29"/>
  <c r="K29" s="1"/>
  <c r="I15"/>
  <c r="K15" s="1"/>
  <c r="I19"/>
  <c r="K19" s="1"/>
  <c r="I24"/>
  <c r="K24" s="1"/>
  <c r="L506" i="2"/>
  <c r="L508" s="1"/>
  <c r="L542"/>
  <c r="L922"/>
  <c r="L923" s="1"/>
  <c r="I922"/>
  <c r="I923" s="1"/>
  <c r="L32" i="1"/>
  <c r="L44" s="1"/>
  <c r="L48" s="1"/>
  <c r="AM39"/>
  <c r="X21" i="10"/>
  <c r="X27" s="1"/>
  <c r="D9" s="1"/>
  <c r="T21"/>
  <c r="T27" s="1"/>
  <c r="J21"/>
  <c r="H27"/>
  <c r="I1034" i="2"/>
  <c r="I815" s="1"/>
  <c r="O27" i="1" s="1"/>
  <c r="O32" s="1"/>
  <c r="I813" i="2"/>
  <c r="I785" s="1"/>
  <c r="I787" s="1"/>
  <c r="I1198" s="1"/>
  <c r="I1201" s="1"/>
  <c r="L978"/>
  <c r="L979" s="1"/>
  <c r="I978"/>
  <c r="I979" s="1"/>
  <c r="O19" i="1"/>
  <c r="Q16"/>
  <c r="F840" i="2"/>
  <c r="C1198"/>
  <c r="C1201" s="1"/>
  <c r="D11" i="10" l="1"/>
  <c r="D34" s="1"/>
  <c r="S9"/>
  <c r="S11" s="1"/>
  <c r="E9"/>
  <c r="I840" i="2"/>
  <c r="I841" s="1"/>
  <c r="L840"/>
  <c r="L841" s="1"/>
  <c r="F841"/>
  <c r="AD32" i="1"/>
  <c r="AG22"/>
  <c r="AF22"/>
  <c r="AA33" i="4" s="1"/>
  <c r="Q627" i="2"/>
  <c r="U25" i="1"/>
  <c r="P628" i="2"/>
  <c r="L1006"/>
  <c r="L815" s="1"/>
  <c r="L813"/>
  <c r="L785" s="1"/>
  <c r="L787" s="1"/>
  <c r="L1198" s="1"/>
  <c r="B35" i="1"/>
  <c r="B36" s="1"/>
  <c r="AM16"/>
  <c r="Q19"/>
  <c r="AM19" s="1"/>
  <c r="AG27"/>
  <c r="Z21" i="10"/>
  <c r="Z27" s="1"/>
  <c r="V21"/>
  <c r="J27"/>
  <c r="V27" s="1"/>
  <c r="Q508" i="2"/>
  <c r="U24" i="1"/>
  <c r="P509" i="2"/>
  <c r="AM38" i="1"/>
  <c r="AM35"/>
  <c r="Q42"/>
  <c r="O44"/>
  <c r="AG42"/>
  <c r="AO42"/>
  <c r="V42"/>
  <c r="AK42"/>
  <c r="AL42" s="1"/>
  <c r="Q176" i="2"/>
  <c r="U22" i="1"/>
  <c r="P177" i="2"/>
  <c r="S896"/>
  <c r="Q841"/>
  <c r="AK16" i="1"/>
  <c r="AL16" s="1"/>
  <c r="N24" i="3" s="1"/>
  <c r="AF16" i="1"/>
  <c r="P22" i="3" s="1"/>
  <c r="AD19" i="1"/>
  <c r="AG16"/>
  <c r="U19"/>
  <c r="AO16"/>
  <c r="V16"/>
  <c r="AO26"/>
  <c r="V26"/>
  <c r="AK26"/>
  <c r="AL26" s="1"/>
  <c r="Q26"/>
  <c r="Q923" i="2"/>
  <c r="L1201" l="1"/>
  <c r="Q1198"/>
  <c r="P1199"/>
  <c r="AO19" i="1"/>
  <c r="V19"/>
  <c r="P11" i="3"/>
  <c r="P12"/>
  <c r="AO24" i="1"/>
  <c r="V24"/>
  <c r="V23" s="1"/>
  <c r="Z23" s="1"/>
  <c r="AK24"/>
  <c r="AL24" s="1"/>
  <c r="O32" i="5" s="1"/>
  <c r="Q24" i="1"/>
  <c r="P816" i="2"/>
  <c r="U27" i="1"/>
  <c r="Q843" i="2"/>
  <c r="V25" i="1"/>
  <c r="AO25"/>
  <c r="AK25"/>
  <c r="AL25" s="1"/>
  <c r="T33" i="6" s="1"/>
  <c r="Q25" i="1"/>
  <c r="AA22" i="4"/>
  <c r="AB22" s="1"/>
  <c r="AA23"/>
  <c r="AB23" s="1"/>
  <c r="AA21"/>
  <c r="AM26" i="1"/>
  <c r="AG19"/>
  <c r="AK19"/>
  <c r="AL19" s="1"/>
  <c r="AO22"/>
  <c r="V22"/>
  <c r="U32"/>
  <c r="Q22"/>
  <c r="AB44"/>
  <c r="O48"/>
  <c r="AB29"/>
  <c r="W29" s="1"/>
  <c r="AB36"/>
  <c r="W36" s="1"/>
  <c r="AB37"/>
  <c r="W37" s="1"/>
  <c r="AB28"/>
  <c r="W28" s="1"/>
  <c r="AB39"/>
  <c r="W39" s="1"/>
  <c r="AB26"/>
  <c r="W26" s="1"/>
  <c r="AB38"/>
  <c r="W38" s="1"/>
  <c r="AB24"/>
  <c r="W24" s="1"/>
  <c r="X24" s="1"/>
  <c r="AB25"/>
  <c r="W25" s="1"/>
  <c r="X25" s="1"/>
  <c r="AB22"/>
  <c r="W22" s="1"/>
  <c r="AB35"/>
  <c r="W35" s="1"/>
  <c r="AB16"/>
  <c r="W16" s="1"/>
  <c r="AM42"/>
  <c r="B38"/>
  <c r="B37"/>
  <c r="B39"/>
  <c r="B42" s="1"/>
  <c r="B44" s="1"/>
  <c r="Q787" i="2"/>
  <c r="P788"/>
  <c r="P789"/>
  <c r="AK32" i="1"/>
  <c r="AL32" s="1"/>
  <c r="AG32"/>
  <c r="AD44"/>
  <c r="E11" i="10"/>
  <c r="F11" s="1"/>
  <c r="T9"/>
  <c r="T11" s="1"/>
  <c r="F9"/>
  <c r="E50"/>
  <c r="G50" s="1"/>
  <c r="D47" s="1"/>
  <c r="D46"/>
  <c r="D36"/>
  <c r="D38" s="1"/>
  <c r="AB27" i="1"/>
  <c r="W27" s="1"/>
  <c r="X27" s="1"/>
  <c r="AK22"/>
  <c r="AL22" s="1"/>
  <c r="X35" i="4" s="1"/>
  <c r="D48" i="10" l="1"/>
  <c r="D39"/>
  <c r="C16" i="11" s="1"/>
  <c r="W19" i="1"/>
  <c r="X16"/>
  <c r="S16"/>
  <c r="S19" s="1"/>
  <c r="Y16"/>
  <c r="Z16" s="1"/>
  <c r="X22"/>
  <c r="W32"/>
  <c r="X32" s="1"/>
  <c r="X26"/>
  <c r="Y26"/>
  <c r="Z26" s="1"/>
  <c r="X28"/>
  <c r="Y28"/>
  <c r="Z28" s="1"/>
  <c r="S28"/>
  <c r="X36"/>
  <c r="Y36"/>
  <c r="Z36" s="1"/>
  <c r="S36"/>
  <c r="S22"/>
  <c r="AM22"/>
  <c r="V32"/>
  <c r="AO32"/>
  <c r="Y32"/>
  <c r="U44"/>
  <c r="AM25"/>
  <c r="S25"/>
  <c r="Y27"/>
  <c r="Z27" s="1"/>
  <c r="AO27"/>
  <c r="V27"/>
  <c r="AK27"/>
  <c r="AL27" s="1"/>
  <c r="Q27"/>
  <c r="Q32" s="1"/>
  <c r="AM24"/>
  <c r="S24"/>
  <c r="F24" i="3"/>
  <c r="F23"/>
  <c r="F19"/>
  <c r="F18"/>
  <c r="F17"/>
  <c r="F16"/>
  <c r="F14"/>
  <c r="F13"/>
  <c r="F12"/>
  <c r="F35"/>
  <c r="F34"/>
  <c r="F33"/>
  <c r="F31"/>
  <c r="F30"/>
  <c r="F29"/>
  <c r="F28"/>
  <c r="F27"/>
  <c r="F25"/>
  <c r="F22"/>
  <c r="F21"/>
  <c r="Q1201" i="2"/>
  <c r="P1201"/>
  <c r="Y25" i="1"/>
  <c r="Z25" s="1"/>
  <c r="Y24"/>
  <c r="Z24" s="1"/>
  <c r="AD48"/>
  <c r="AG44"/>
  <c r="AK44"/>
  <c r="AL44" s="1"/>
  <c r="W42"/>
  <c r="X35"/>
  <c r="Y35"/>
  <c r="Z35" s="1"/>
  <c r="S35"/>
  <c r="X38"/>
  <c r="Y38"/>
  <c r="Z38" s="1"/>
  <c r="S38"/>
  <c r="X39"/>
  <c r="Y39"/>
  <c r="Z39" s="1"/>
  <c r="S39"/>
  <c r="X37"/>
  <c r="Y37"/>
  <c r="Z37" s="1"/>
  <c r="S37"/>
  <c r="X29"/>
  <c r="Y29"/>
  <c r="Z29" s="1"/>
  <c r="S29"/>
  <c r="AB21" i="4"/>
  <c r="K28"/>
  <c r="K30"/>
  <c r="K26"/>
  <c r="K16"/>
  <c r="K14"/>
  <c r="K23"/>
  <c r="K20"/>
  <c r="K32"/>
  <c r="K31"/>
  <c r="K27"/>
  <c r="K19"/>
  <c r="K15"/>
  <c r="K24"/>
  <c r="K22"/>
  <c r="K18"/>
  <c r="Y22" i="1"/>
  <c r="Z22" s="1"/>
  <c r="S26"/>
  <c r="AM32" l="1"/>
  <c r="Q44"/>
  <c r="S18" i="4"/>
  <c r="O18"/>
  <c r="S24"/>
  <c r="O24"/>
  <c r="S19"/>
  <c r="O19"/>
  <c r="S31"/>
  <c r="O31"/>
  <c r="S20"/>
  <c r="O20"/>
  <c r="S14"/>
  <c r="O14"/>
  <c r="S26"/>
  <c r="O26"/>
  <c r="S28"/>
  <c r="O28"/>
  <c r="AG48" i="1"/>
  <c r="H22" i="3"/>
  <c r="J22"/>
  <c r="H27"/>
  <c r="J27"/>
  <c r="H29"/>
  <c r="J29"/>
  <c r="H31"/>
  <c r="J31"/>
  <c r="H34"/>
  <c r="J34"/>
  <c r="J12"/>
  <c r="H12"/>
  <c r="J14"/>
  <c r="H14"/>
  <c r="J17"/>
  <c r="H17"/>
  <c r="J19"/>
  <c r="H19"/>
  <c r="J24"/>
  <c r="H24"/>
  <c r="N30" i="9"/>
  <c r="N32" i="7"/>
  <c r="N30" i="8"/>
  <c r="U48" i="1"/>
  <c r="AK48" s="1"/>
  <c r="AL48" s="1"/>
  <c r="AO44"/>
  <c r="V44"/>
  <c r="X19"/>
  <c r="Y19"/>
  <c r="Z19" s="1"/>
  <c r="E34" i="10"/>
  <c r="D17" i="11"/>
  <c r="S42" i="1"/>
  <c r="S22" i="4"/>
  <c r="O22"/>
  <c r="S15"/>
  <c r="O15"/>
  <c r="S27"/>
  <c r="O27"/>
  <c r="S32"/>
  <c r="O32"/>
  <c r="S23"/>
  <c r="O23"/>
  <c r="S16"/>
  <c r="O16"/>
  <c r="S30"/>
  <c r="O30"/>
  <c r="M31"/>
  <c r="M27"/>
  <c r="M23"/>
  <c r="M20"/>
  <c r="M32"/>
  <c r="M26"/>
  <c r="M16"/>
  <c r="M14"/>
  <c r="M30"/>
  <c r="M24"/>
  <c r="M22"/>
  <c r="M18"/>
  <c r="M28"/>
  <c r="M19"/>
  <c r="M15"/>
  <c r="W44" i="1"/>
  <c r="X42"/>
  <c r="Y42"/>
  <c r="Z42" s="1"/>
  <c r="H21" i="3"/>
  <c r="J21"/>
  <c r="H25"/>
  <c r="J25"/>
  <c r="H28"/>
  <c r="J28"/>
  <c r="H30"/>
  <c r="J30"/>
  <c r="H33"/>
  <c r="J33"/>
  <c r="H35"/>
  <c r="J35"/>
  <c r="J13"/>
  <c r="H13"/>
  <c r="J16"/>
  <c r="H16"/>
  <c r="J18"/>
  <c r="H18"/>
  <c r="J23"/>
  <c r="H23"/>
  <c r="AM27" i="1"/>
  <c r="S27"/>
  <c r="S32" s="1"/>
  <c r="W48" l="1"/>
  <c r="X48" s="1"/>
  <c r="X44"/>
  <c r="U19" i="4"/>
  <c r="Q19"/>
  <c r="U18"/>
  <c r="Q18"/>
  <c r="U24"/>
  <c r="Q24"/>
  <c r="U14"/>
  <c r="Q14"/>
  <c r="U26"/>
  <c r="Q26"/>
  <c r="U20"/>
  <c r="Q20"/>
  <c r="U27"/>
  <c r="Q27"/>
  <c r="U15"/>
  <c r="Q15"/>
  <c r="Q28"/>
  <c r="U28"/>
  <c r="U22"/>
  <c r="Q22"/>
  <c r="U30"/>
  <c r="Q30"/>
  <c r="U16"/>
  <c r="Q16"/>
  <c r="Q32"/>
  <c r="U32"/>
  <c r="U23"/>
  <c r="Q23"/>
  <c r="U31"/>
  <c r="Q31"/>
  <c r="E39" i="10"/>
  <c r="C17" i="11" s="1"/>
  <c r="E36" i="10"/>
  <c r="G34"/>
  <c r="AO48" i="1"/>
  <c r="V48"/>
  <c r="Q48"/>
  <c r="AM48" s="1"/>
  <c r="AM44"/>
  <c r="S44"/>
  <c r="S48" s="1"/>
  <c r="Y44"/>
  <c r="Z44" s="1"/>
  <c r="G42" i="10" l="1"/>
  <c r="H34"/>
  <c r="E38"/>
  <c r="G41"/>
  <c r="G43" s="1"/>
</calcChain>
</file>

<file path=xl/sharedStrings.xml><?xml version="1.0" encoding="utf-8"?>
<sst xmlns="http://schemas.openxmlformats.org/spreadsheetml/2006/main" count="2436" uniqueCount="445">
  <si>
    <t xml:space="preserve"> </t>
  </si>
  <si>
    <t>TABLE A. PRESENT AND PROPOSED RATES</t>
  </si>
  <si>
    <t>PACIFIC POWER &amp; LIGHT COMPANY</t>
  </si>
  <si>
    <t>ESTIMATED EFFECT OF PROPOSED PRICES</t>
  </si>
  <si>
    <t>ON REVENUES FROM ELECTRIC SALES TO ULTIMATE CONSUMERS</t>
  </si>
  <si>
    <t>IN WASHINGTON</t>
  </si>
  <si>
    <t>12 MONTHS ENDED DECEMBER 2009</t>
  </si>
  <si>
    <t>Hydro Deferral</t>
  </si>
  <si>
    <t>Actual</t>
  </si>
  <si>
    <t>Present</t>
  </si>
  <si>
    <t>Proposed</t>
  </si>
  <si>
    <t>Change</t>
  </si>
  <si>
    <t>Surcharge</t>
  </si>
  <si>
    <t>REC Credit</t>
  </si>
  <si>
    <t>Net Change</t>
  </si>
  <si>
    <t xml:space="preserve">Proposed </t>
  </si>
  <si>
    <t>Curr.</t>
  </si>
  <si>
    <t>Avg.</t>
  </si>
  <si>
    <t>Base</t>
  </si>
  <si>
    <t>Net</t>
  </si>
  <si>
    <t>Hydro</t>
  </si>
  <si>
    <t>COS</t>
  </si>
  <si>
    <t>Line</t>
  </si>
  <si>
    <t>Sch.</t>
  </si>
  <si>
    <t>Cust.</t>
  </si>
  <si>
    <t>MWH</t>
  </si>
  <si>
    <t>Revenues</t>
  </si>
  <si>
    <t>Increase</t>
  </si>
  <si>
    <t>Deferral</t>
  </si>
  <si>
    <t>Decrease</t>
  </si>
  <si>
    <t>Generation</t>
  </si>
  <si>
    <t>Rate</t>
  </si>
  <si>
    <t>Rates</t>
  </si>
  <si>
    <t>Cents/</t>
  </si>
  <si>
    <t>No.</t>
  </si>
  <si>
    <t>Description</t>
  </si>
  <si>
    <t>($000)</t>
  </si>
  <si>
    <t>%</t>
  </si>
  <si>
    <t>(cents/kWh)</t>
  </si>
  <si>
    <t>Factors *</t>
  </si>
  <si>
    <t>Cents/kWh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</si>
  <si>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</si>
  <si>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</si>
  <si>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</si>
  <si>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</si>
  <si>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</si>
  <si>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</si>
  <si>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</si>
  <si>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</si>
  <si>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</si>
  <si>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</si>
  <si>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</si>
  <si>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</si>
  <si>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</si>
  <si>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</si>
  <si>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</si>
  <si>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(5)+(7)</t>
  </si>
  <si>
    <t>(7)/(5)</t>
  </si>
  <si>
    <t>(9)/(5)</t>
  </si>
  <si>
    <t>(7)+(9)</t>
  </si>
  <si>
    <t>(13)/(5)</t>
  </si>
  <si>
    <t>(6/4)</t>
  </si>
  <si>
    <t>(7/4)</t>
  </si>
  <si>
    <t>Residential</t>
  </si>
  <si>
    <t>Residential Service</t>
  </si>
  <si>
    <t>16/18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</si>
  <si>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</si>
  <si>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</si>
  <si>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</si>
  <si>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</si>
  <si>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</si>
  <si>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</si>
  <si>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</si>
  <si>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</si>
  <si>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</si>
  <si>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</si>
  <si>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</si>
  <si>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</si>
  <si>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</si>
  <si>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</si>
  <si>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</si>
  <si>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</si>
  <si>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</si>
  <si>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</si>
  <si>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</si>
  <si>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</si>
  <si>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</si>
  <si>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</si>
  <si>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</si>
  <si>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*</t>
  </si>
  <si>
    <r>
      <t xml:space="preserve">Source:  </t>
    </r>
    <r>
      <rPr>
        <sz val="11"/>
        <rFont val="Calibri"/>
        <family val="2"/>
      </rPr>
      <t>Cost of Service Generation Allocation Factors Columns E through K, Factor F10 on Tab 3, Page 1 of Exhibit No.__(CCP-9) in the Company’s rebuttal filing.</t>
    </r>
  </si>
  <si>
    <t>PACIFIC POWER</t>
  </si>
  <si>
    <t>STATE OF WASHINGTON</t>
  </si>
  <si>
    <t>(Including Effects of Unbilled Revenue, Unbilled MWh and Weather Normalization)</t>
  </si>
  <si>
    <t>Prior</t>
  </si>
  <si>
    <t>Units</t>
  </si>
  <si>
    <t xml:space="preserve">Prior </t>
  </si>
  <si>
    <t>Dollars</t>
  </si>
  <si>
    <t>Current</t>
  </si>
  <si>
    <t>Price</t>
  </si>
  <si>
    <t>SCHEDULE 15</t>
  </si>
  <si>
    <t>Outdoor Area Lighting Service-Grand Combined</t>
  </si>
  <si>
    <t>Mercury Vapor Lamp Charges</t>
  </si>
  <si>
    <t xml:space="preserve">     7,000 Lumens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</si>
  <si>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</si>
  <si>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</si>
  <si>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</si>
  <si>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</si>
  <si>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</si>
  <si>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</si>
  <si>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</si>
  <si>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Total Bills</t>
  </si>
  <si>
    <t>Subtotal</t>
  </si>
  <si>
    <t>% Increase</t>
  </si>
  <si>
    <t xml:space="preserve">  Unbilled</t>
  </si>
  <si>
    <t>Total</t>
  </si>
  <si>
    <t>Target Dollars</t>
  </si>
  <si>
    <t>Total Change</t>
  </si>
  <si>
    <t>Difference</t>
  </si>
  <si>
    <t>Outdoor Area Lighting Service-Residential</t>
  </si>
  <si>
    <t>Outdoor Area Lighting Service-Commercial</t>
  </si>
  <si>
    <t>Outdoor Area Lighting Service-Industrial</t>
  </si>
  <si>
    <t>SCHEDULE 16/18</t>
  </si>
  <si>
    <t>Residential Service-Combined</t>
  </si>
  <si>
    <t xml:space="preserve">  Basic Charge</t>
  </si>
  <si>
    <t xml:space="preserve">  1st 600 kWh</t>
  </si>
  <si>
    <t>¢</t>
  </si>
  <si>
    <t xml:space="preserve">  All addt'l kWh</t>
  </si>
  <si>
    <t xml:space="preserve">  kW demand </t>
  </si>
  <si>
    <t>Minimum kW Charge</t>
  </si>
  <si>
    <t xml:space="preserve">  kW demand in minimum</t>
  </si>
  <si>
    <t xml:space="preserve">  Subtotal</t>
  </si>
  <si>
    <t xml:space="preserve">  Total</t>
  </si>
  <si>
    <t>SCHEDULE 16</t>
  </si>
  <si>
    <t>Includes Schedule 16 Net Metering</t>
  </si>
  <si>
    <t>SCHEDULE 17</t>
  </si>
  <si>
    <t>SCHEDULE 18</t>
  </si>
  <si>
    <t>SCHEDULE 18X</t>
  </si>
  <si>
    <t>SCHEDULE 24</t>
  </si>
  <si>
    <t>Small General Service-Grand Combined</t>
  </si>
  <si>
    <t xml:space="preserve">Seasonal </t>
  </si>
  <si>
    <t xml:space="preserve">  Single Phase</t>
  </si>
  <si>
    <t xml:space="preserve">  Three Phase</t>
  </si>
  <si>
    <t xml:space="preserve">  Load Size &gt; 15 kW</t>
  </si>
  <si>
    <t>Basic Charge</t>
  </si>
  <si>
    <t>Total Basic Charges</t>
  </si>
  <si>
    <t xml:space="preserve">  All kW &gt;15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</si>
  <si>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</si>
  <si>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</si>
  <si>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</si>
  <si>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</si>
  <si>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</si>
  <si>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</si>
  <si>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</si>
  <si>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</si>
  <si>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</si>
  <si>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</si>
  <si>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Target</t>
  </si>
  <si>
    <t>Small General Service-Combined</t>
  </si>
  <si>
    <t>Small General Service-Commercial</t>
  </si>
  <si>
    <t>Includes Schedule 24 Net Metering</t>
  </si>
  <si>
    <t xml:space="preserve">  All kW&gt;15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</si>
  <si>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</si>
  <si>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</si>
  <si>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</si>
  <si>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</si>
  <si>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</si>
  <si>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</si>
  <si>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33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</si>
  <si>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</si>
  <si>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</si>
  <si>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</si>
  <si>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</si>
  <si>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</si>
  <si>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</si>
  <si>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</si>
  <si>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</si>
  <si>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</si>
  <si>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</si>
  <si>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</si>
  <si>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</si>
  <si>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</si>
  <si>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</si>
  <si>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</si>
  <si>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>SCHEDULE 36</t>
  </si>
  <si>
    <t>Large General Service &lt; 1,000 kW-Grand Combined</t>
  </si>
  <si>
    <t xml:space="preserve"> Minimum kW</t>
  </si>
  <si>
    <t>High Voltage Charge</t>
  </si>
  <si>
    <t>Load Size Discount</t>
  </si>
  <si>
    <t>Large General Service &lt; 1,000 kW-Commercial</t>
  </si>
  <si>
    <t>Large General Service &lt; 1,000 kW-Industrial</t>
  </si>
  <si>
    <t>SCHEDULE 40</t>
  </si>
  <si>
    <t>Agricultural Pumping Service-Grand Combined</t>
  </si>
  <si>
    <t>Annual Load Size Charge</t>
  </si>
  <si>
    <t xml:space="preserve">  Single Phase Bills</t>
  </si>
  <si>
    <t xml:space="preserve">  Three Phase Bills</t>
  </si>
  <si>
    <t xml:space="preserve">      &lt; 51 kW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</si>
  <si>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</si>
  <si>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</si>
  <si>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</si>
  <si>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</si>
  <si>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</si>
  <si>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</si>
  <si>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</si>
  <si>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Single Phase Minimum Bills</t>
  </si>
  <si>
    <t>Three Phase &lt;51kW Minimum Bills</t>
  </si>
  <si>
    <t>KW in Minimum</t>
  </si>
  <si>
    <t xml:space="preserve">  Three Phase &lt;51kW, kW</t>
  </si>
  <si>
    <t xml:space="preserve">  All kWh</t>
  </si>
  <si>
    <t>Single Phase Min</t>
  </si>
  <si>
    <t>Three Phase &lt;51kW Min</t>
  </si>
  <si>
    <t>SCHEDULE 40X</t>
  </si>
  <si>
    <t>Agricultural Pumping Service-Industrial</t>
  </si>
  <si>
    <t>SCHEDULE 47T</t>
  </si>
  <si>
    <t>Large Partial Requirements Service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</si>
  <si>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</si>
  <si>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</si>
  <si>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</si>
  <si>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</si>
  <si>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 xml:space="preserve">High Voltage Charge </t>
  </si>
  <si>
    <t>SCHEDULE 48T</t>
  </si>
  <si>
    <t>Large General Service 1,000 kW and over-Grand Combined</t>
  </si>
  <si>
    <t>Large General Service 1,000 kW and over-Combined</t>
  </si>
  <si>
    <t>Large General Service 1,000 kW and over-Secondary Combined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</si>
  <si>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</si>
  <si>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</si>
  <si>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</si>
  <si>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</si>
  <si>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</si>
  <si>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</si>
  <si>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</si>
  <si>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Large General Service 1,000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</si>
  <si>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</si>
  <si>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</si>
  <si>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</si>
  <si>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</si>
  <si>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</si>
  <si>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</si>
  <si>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</si>
  <si>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</si>
  <si>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</si>
  <si>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</si>
  <si>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</si>
  <si>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</si>
  <si>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</si>
  <si>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</si>
  <si>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</si>
  <si>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</si>
  <si>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</si>
  <si>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</si>
  <si>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</si>
  <si>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</si>
  <si>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</si>
  <si>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</si>
  <si>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</si>
  <si>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</si>
  <si>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</si>
  <si>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</si>
  <si>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</si>
  <si>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 xml:space="preserve">    Subtotal</t>
  </si>
  <si>
    <t xml:space="preserve">    Unbilled</t>
  </si>
  <si>
    <t>SCHEDULE 53</t>
  </si>
  <si>
    <t>Customer-Owned Street Lighting Service - Grand Combined</t>
  </si>
  <si>
    <t>Non-Listed Lumen-Energy Only</t>
  </si>
  <si>
    <t>Listed Lumen-Energy Only</t>
  </si>
  <si>
    <t>SCHEDULE 53F</t>
  </si>
  <si>
    <t xml:space="preserve">Customer-Owned Street Lighting Service </t>
  </si>
  <si>
    <t xml:space="preserve">     5,800 Lumens-Energy Only</t>
  </si>
  <si>
    <t xml:space="preserve">     9,500 Lumens-Energy Only</t>
  </si>
  <si>
    <t xml:space="preserve">     16,000 Lumens-Energy Only</t>
  </si>
  <si>
    <t xml:space="preserve">     22,000 Lumens-Energy Only</t>
  </si>
  <si>
    <t xml:space="preserve">     27,500 Lumens-Energy Only</t>
  </si>
  <si>
    <t xml:space="preserve">     50,000 Lumens-Energy Only</t>
  </si>
  <si>
    <t xml:space="preserve">     9,000 Lumens-Energy Only</t>
  </si>
  <si>
    <t xml:space="preserve">    12,000 Lumens-Energy Only</t>
  </si>
  <si>
    <t xml:space="preserve">     19,500 Lumens-Energy Only</t>
  </si>
  <si>
    <t xml:space="preserve">     32,000 Lumens-Energy Only</t>
  </si>
  <si>
    <t xml:space="preserve">     107,800 Lumens-Energy Only</t>
  </si>
  <si>
    <t>Listed Lumen-Energy Only-above</t>
  </si>
  <si>
    <t>SCHEDULE 53M</t>
  </si>
  <si>
    <t>Customer-Owned Street Lighting Service</t>
  </si>
  <si>
    <t>Option A (Co. O&amp;M) kWh</t>
  </si>
  <si>
    <t>Option B (Cust. O&amp;M) kWh</t>
  </si>
  <si>
    <t>SCHEDULE 54</t>
  </si>
  <si>
    <t xml:space="preserve">  Basic Charge 1 Phase</t>
  </si>
  <si>
    <t xml:space="preserve">  Basic Charge 3 Phase</t>
  </si>
  <si>
    <t xml:space="preserve">  Total Bills</t>
  </si>
  <si>
    <t>SCHEDULE 57</t>
  </si>
  <si>
    <t>Mercury Vapor Street Lighting Service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</si>
  <si>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</si>
  <si>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</si>
  <si>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</si>
  <si>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</si>
  <si>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</si>
  <si>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</si>
  <si>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</si>
  <si>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</si>
  <si>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Washington TOTALS</t>
  </si>
  <si>
    <t>AGA</t>
  </si>
  <si>
    <t>Washington TOTALS with AGA</t>
  </si>
  <si>
    <t>Pacific Power &amp; Light Company</t>
  </si>
  <si>
    <t>Monthly Billing Comparison</t>
  </si>
  <si>
    <t>Schedule 16 - Residential Service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</si>
  <si>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</si>
  <si>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 xml:space="preserve">Present </t>
  </si>
  <si>
    <t>Present Price</t>
  </si>
  <si>
    <t>Proposed Price</t>
  </si>
  <si>
    <t>Schedule 16</t>
  </si>
  <si>
    <t>$</t>
  </si>
  <si>
    <t>Percent</t>
  </si>
  <si>
    <t>Basic</t>
  </si>
  <si>
    <t>Energy - 1st 600</t>
  </si>
  <si>
    <t>Energy</t>
  </si>
  <si>
    <t>SBC</t>
  </si>
  <si>
    <t>BPA Credit</t>
  </si>
  <si>
    <t>Low Income-Current</t>
  </si>
  <si>
    <t>Low Income-Proposed</t>
  </si>
  <si>
    <t>Hydro Deferral Surcharge</t>
  </si>
  <si>
    <t xml:space="preserve">REC </t>
  </si>
  <si>
    <t>Overall: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</si>
  <si>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</si>
  <si>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</si>
  <si>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Credit, Deferral Amortization Surcharge</t>
    </r>
  </si>
  <si>
    <t xml:space="preserve">         and Renewal Energy Revenue Adjustment.</t>
  </si>
  <si>
    <t>Schedule 24 - Small General Service</t>
  </si>
  <si>
    <t>kW</t>
  </si>
  <si>
    <t>Monthly Billing *</t>
  </si>
  <si>
    <t>Dollar</t>
  </si>
  <si>
    <t>Load Size/</t>
  </si>
  <si>
    <t>kWh per kW</t>
  </si>
  <si>
    <t>Present Price Schedule 24</t>
  </si>
  <si>
    <t>Proposed Price Schedule 24</t>
  </si>
  <si>
    <t>Demand</t>
  </si>
  <si>
    <t>(Equiv Hours)</t>
  </si>
  <si>
    <t>Single Phase</t>
  </si>
  <si>
    <t>Three Phase</t>
  </si>
  <si>
    <t>Load Size</t>
  </si>
  <si>
    <t>Single</t>
  </si>
  <si>
    <t>Three P</t>
  </si>
  <si>
    <t>&lt;=15</t>
  </si>
  <si>
    <t>&gt;15</t>
  </si>
  <si>
    <t>1st 1,000 kWh</t>
  </si>
  <si>
    <t>Next 8,000 kWh</t>
  </si>
  <si>
    <t>Add'l kWh</t>
  </si>
  <si>
    <t>Low Income-proposed</t>
  </si>
  <si>
    <t>REC</t>
  </si>
  <si>
    <t xml:space="preserve">       * Includes SBC Charge, Low Income Charge, Deferral Amortization Surcharge and Renewal Energy Revenue Adjustment.</t>
  </si>
  <si>
    <t>Schedule 36 - Large General Service &lt; 1,000 kW</t>
  </si>
  <si>
    <t>Schedule 36</t>
  </si>
  <si>
    <t xml:space="preserve">Schedule 36 </t>
  </si>
  <si>
    <t>Plus</t>
  </si>
  <si>
    <t>&lt;100</t>
  </si>
  <si>
    <t>101 - 300</t>
  </si>
  <si>
    <t>&gt;300</t>
  </si>
  <si>
    <t>1st 40,000</t>
  </si>
  <si>
    <t>Add'l</t>
  </si>
  <si>
    <t>Low Income-current</t>
  </si>
  <si>
    <t xml:space="preserve">       * Includes SBC Charge, Low Income Charge, Deferral Amortization Surcharge</t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</si>
  <si>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</si>
  <si>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</si>
  <si>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</si>
  <si>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</si>
  <si>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</si>
  <si>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Annual</t>
  </si>
  <si>
    <t>Schedule 40 ***</t>
  </si>
  <si>
    <t>Schedule 40 **</t>
  </si>
  <si>
    <t>Monthly **</t>
  </si>
  <si>
    <t>All kWh</t>
  </si>
  <si>
    <t>Monthly Bill</t>
  </si>
  <si>
    <t>Charge</t>
  </si>
  <si>
    <t>Bill</t>
  </si>
  <si>
    <t>0-50 kW</t>
  </si>
  <si>
    <t>51-300 kW</t>
  </si>
  <si>
    <t>&gt;300 kW</t>
  </si>
  <si>
    <t xml:space="preserve">       * Includes SBC Charge, Low Income Charge, BPA Credit, Deferral Amortization Surcharge and Renewal Energy Revenue Adjustment.</t>
  </si>
  <si>
    <t xml:space="preserve">      ** Does not include November Load Size Charge</t>
  </si>
  <si>
    <t>Schedule 48T - Large General Service - Secondary</t>
  </si>
  <si>
    <t>1,000 kW and Over</t>
  </si>
  <si>
    <t>Price Schedule 48T</t>
  </si>
  <si>
    <t xml:space="preserve">Price Schedule 48T </t>
  </si>
  <si>
    <t>&lt;=3000</t>
  </si>
  <si>
    <t>&gt;3000</t>
  </si>
  <si>
    <t>Schedule 48T - Large General Service - Primary</t>
  </si>
  <si>
    <t>30,000 kW and Over</t>
  </si>
  <si>
    <t>Served by Dedicated Facilities</t>
  </si>
  <si>
    <t>&gt;30000</t>
  </si>
  <si>
    <t>REC Surcredit</t>
  </si>
  <si>
    <t>Pacific Power</t>
  </si>
  <si>
    <t>Washington Low Income</t>
  </si>
  <si>
    <t>Schedule 91 Surcharge Rates Proposal</t>
  </si>
  <si>
    <t>Program</t>
  </si>
  <si>
    <t>Program with</t>
  </si>
  <si>
    <t>Increase Over</t>
  </si>
  <si>
    <t xml:space="preserve">Current </t>
  </si>
  <si>
    <t>Est. Annual</t>
  </si>
  <si>
    <t>Estimated</t>
  </si>
  <si>
    <t>Current*</t>
  </si>
  <si>
    <t>Annual Revenues Collections</t>
  </si>
  <si>
    <t>Monthly</t>
  </si>
  <si>
    <t>Administrative Costs ($48/cust)</t>
  </si>
  <si>
    <t>Customers</t>
  </si>
  <si>
    <t>Bills</t>
  </si>
  <si>
    <t>Collections</t>
  </si>
  <si>
    <t xml:space="preserve">Net </t>
  </si>
  <si>
    <t xml:space="preserve">Credit </t>
  </si>
  <si>
    <t xml:space="preserve">   Increase</t>
  </si>
  <si>
    <t>Aug 05</t>
  </si>
  <si>
    <t>Schedule 91 Charges</t>
  </si>
  <si>
    <t>-</t>
  </si>
  <si>
    <t>47T</t>
  </si>
  <si>
    <t>48T</t>
  </si>
  <si>
    <t>Number of Qualifying Customers</t>
  </si>
  <si>
    <t>(1) Annual Amount</t>
  </si>
  <si>
    <t>Cost per Qualifying Customer</t>
  </si>
  <si>
    <t>/Customer</t>
  </si>
  <si>
    <t>Average Credit per Customer - (Credit/Customers)</t>
  </si>
  <si>
    <t>Agency Charge per Qualifying Customer</t>
  </si>
  <si>
    <t>Average Cost per Qualifying Customer</t>
  </si>
  <si>
    <t xml:space="preserve">Annual Revenues - (Average Cost x Customers) </t>
  </si>
  <si>
    <t>Annual Credits to Customers</t>
  </si>
  <si>
    <t>30% Change applied to Additional Customers</t>
  </si>
  <si>
    <t>$309.97 x 245 new customers</t>
  </si>
  <si>
    <t>70% Change applied to Current Customers</t>
  </si>
  <si>
    <t>$39.81 x 4475 existing customers</t>
  </si>
  <si>
    <t>Proposed Credit Increase</t>
  </si>
  <si>
    <t>Current Credit per Participant</t>
  </si>
  <si>
    <t>=($994,172/4,475)</t>
  </si>
  <si>
    <t>Additional Proposed Credit - 70% of increase</t>
  </si>
  <si>
    <t>=($177,969/4,475)</t>
  </si>
  <si>
    <t>Proposed Credit per Participant</t>
  </si>
  <si>
    <t>Increased Program Funding</t>
  </si>
  <si>
    <t xml:space="preserve">Washington Low Income </t>
  </si>
  <si>
    <t>Energy Rate Credit Proposal</t>
  </si>
  <si>
    <t>% of Federal</t>
  </si>
  <si>
    <t xml:space="preserve">Total </t>
  </si>
  <si>
    <t>Discount/</t>
  </si>
  <si>
    <t>Poverty Level (FPL)</t>
  </si>
  <si>
    <t>Credit</t>
  </si>
  <si>
    <t>Customer</t>
  </si>
  <si>
    <t>¢/kWh</t>
  </si>
  <si>
    <t xml:space="preserve">kWh </t>
  </si>
  <si>
    <t>0-75%</t>
  </si>
  <si>
    <t>76-100%</t>
  </si>
  <si>
    <t>101-150%</t>
  </si>
  <si>
    <t>Total Customers</t>
  </si>
</sst>
</file>

<file path=xl/styles.xml><?xml version="1.0" encoding="utf-8"?>
<styleSheet xmlns="http://schemas.openxmlformats.org/spreadsheetml/2006/main">
  <numFmts count="3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%"/>
    <numFmt numFmtId="171" formatCode="_(* #,##0.00000_);_(* \(#,##0.00000\);_(* &quot;-&quot;??_);_(@_)"/>
    <numFmt numFmtId="172" formatCode="0.000000%"/>
    <numFmt numFmtId="173" formatCode="&quot;$&quot;#,##0.000000_);\(&quot;$&quot;#,##0.000000\)"/>
    <numFmt numFmtId="174" formatCode="0.000"/>
    <numFmt numFmtId="175" formatCode="0.000000_)"/>
    <numFmt numFmtId="176" formatCode="0.0000%"/>
    <numFmt numFmtId="177" formatCode="0.00_)"/>
    <numFmt numFmtId="178" formatCode="0.000%"/>
    <numFmt numFmtId="179" formatCode="0.0000000%"/>
    <numFmt numFmtId="180" formatCode="#,##0.0_);\(#,##0.0\)"/>
    <numFmt numFmtId="181" formatCode="&quot;$&quot;#,##0.00000_);\(&quot;$&quot;#,##0.00000\)"/>
    <numFmt numFmtId="182" formatCode="0.000000000_)"/>
    <numFmt numFmtId="183" formatCode="#,##0.00000"/>
    <numFmt numFmtId="184" formatCode="_(* #,##0.00000000_);_(* \(#,##0.00000000\);_(* &quot;-&quot;??_);_(@_)"/>
    <numFmt numFmtId="185" formatCode="0.00000000_)"/>
    <numFmt numFmtId="186" formatCode="&quot;$&quot;#,##0.000_);\(&quot;$&quot;#,##0.000\)"/>
    <numFmt numFmtId="187" formatCode="#,##0.000"/>
    <numFmt numFmtId="188" formatCode="0.0000_)"/>
    <numFmt numFmtId="189" formatCode="_(&quot;$&quot;* #,##0.000000_);_(&quot;$&quot;* \(#,##0.000000\);_(&quot;$&quot;* &quot;-&quot;??_);_(@_)"/>
    <numFmt numFmtId="190" formatCode="_(&quot;$&quot;* #,##0.00000_);_(&quot;$&quot;* \(#,##0.00000\);_(&quot;$&quot;* &quot;-&quot;??_);_(@_)"/>
    <numFmt numFmtId="191" formatCode="_(* #,##0.0000_);_(* \(#,##0.0000\);_(* &quot;-&quot;??_);_(@_)"/>
    <numFmt numFmtId="192" formatCode="&quot;$&quot;#,##0;[Red]&quot;$&quot;#,##0"/>
    <numFmt numFmtId="193" formatCode="0.00000E+0;\-0.00000E+0"/>
    <numFmt numFmtId="194" formatCode="########\-###\-###"/>
    <numFmt numFmtId="195" formatCode="General_)"/>
  </numFmts>
  <fonts count="40">
    <font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1"/>
      <color rgb="FF1F497D"/>
      <name val="Calibri"/>
      <family val="2"/>
    </font>
    <font>
      <sz val="11"/>
      <name val="Calibri"/>
      <family val="2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sz val="12"/>
      <color indexed="48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0"/>
      <color indexed="8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u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2"/>
      <color indexed="8"/>
      <name val="Times New Roman"/>
      <family val="1"/>
    </font>
    <font>
      <sz val="7"/>
      <name val="Arial"/>
      <family val="2"/>
    </font>
    <font>
      <sz val="10"/>
      <name val="LinePrinte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8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6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left"/>
    </xf>
    <xf numFmtId="194" fontId="6" fillId="0" borderId="0"/>
    <xf numFmtId="168" fontId="13" fillId="0" borderId="0" applyFont="0" applyAlignment="0" applyProtection="0"/>
    <xf numFmtId="0" fontId="6" fillId="0" borderId="0">
      <alignment wrapText="1"/>
    </xf>
    <xf numFmtId="0" fontId="6" fillId="0" borderId="0"/>
    <xf numFmtId="0" fontId="6" fillId="0" borderId="0"/>
    <xf numFmtId="195" fontId="39" fillId="0" borderId="0">
      <alignment horizontal="left"/>
    </xf>
  </cellStyleXfs>
  <cellXfs count="625">
    <xf numFmtId="0" fontId="0" fillId="0" borderId="0" xfId="0"/>
    <xf numFmtId="0" fontId="1" fillId="0" borderId="0" xfId="4" applyFill="1"/>
    <xf numFmtId="0" fontId="2" fillId="0" borderId="0" xfId="4" applyFont="1" applyFill="1"/>
    <xf numFmtId="0" fontId="1" fillId="0" borderId="0" xfId="4" applyFont="1" applyFill="1"/>
    <xf numFmtId="0" fontId="1" fillId="0" borderId="0" xfId="5" applyFill="1" applyAlignment="1">
      <alignment horizontal="center"/>
    </xf>
    <xf numFmtId="0" fontId="1" fillId="0" borderId="0" xfId="5" applyFill="1"/>
    <xf numFmtId="0" fontId="3" fillId="0" borderId="0" xfId="4" quotePrefix="1" applyFont="1" applyFill="1" applyAlignment="1">
      <alignment horizontal="center"/>
    </xf>
    <xf numFmtId="0" fontId="3" fillId="0" borderId="0" xfId="4" quotePrefix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Alignment="1"/>
    <xf numFmtId="0" fontId="3" fillId="0" borderId="0" xfId="4" quotePrefix="1" applyFont="1" applyFill="1" applyAlignment="1"/>
    <xf numFmtId="0" fontId="1" fillId="0" borderId="0" xfId="4" applyFill="1" applyBorder="1"/>
    <xf numFmtId="0" fontId="3" fillId="0" borderId="0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1" fillId="0" borderId="0" xfId="5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1" fillId="0" borderId="0" xfId="5" applyFill="1" applyBorder="1"/>
    <xf numFmtId="0" fontId="1" fillId="0" borderId="0" xfId="4" applyFont="1" applyFill="1" applyAlignment="1">
      <alignment horizontal="center"/>
    </xf>
    <xf numFmtId="0" fontId="1" fillId="0" borderId="0" xfId="4" applyFont="1" applyFill="1" applyBorder="1" applyAlignment="1">
      <alignment horizontal="left"/>
    </xf>
    <xf numFmtId="0" fontId="1" fillId="0" borderId="0" xfId="4" applyFont="1" applyFill="1" applyBorder="1" applyAlignment="1">
      <alignment horizontal="center"/>
    </xf>
    <xf numFmtId="0" fontId="1" fillId="0" borderId="0" xfId="4" applyFont="1" applyFill="1" applyBorder="1" applyAlignment="1"/>
    <xf numFmtId="0" fontId="1" fillId="0" borderId="1" xfId="4" applyFont="1" applyFill="1" applyBorder="1" applyAlignment="1">
      <alignment horizontal="center"/>
    </xf>
    <xf numFmtId="0" fontId="1" fillId="0" borderId="1" xfId="4" applyFont="1" applyFill="1" applyBorder="1" applyAlignment="1">
      <alignment horizontal="center"/>
    </xf>
    <xf numFmtId="0" fontId="1" fillId="0" borderId="1" xfId="5" applyFont="1" applyFill="1" applyBorder="1" applyAlignment="1">
      <alignment horizontal="centerContinuous"/>
    </xf>
    <xf numFmtId="0" fontId="1" fillId="0" borderId="0" xfId="5" applyFont="1" applyFill="1" applyBorder="1" applyAlignment="1">
      <alignment horizontal="centerContinuous"/>
    </xf>
    <xf numFmtId="0" fontId="1" fillId="0" borderId="0" xfId="5" applyFont="1" applyFill="1" applyBorder="1" applyAlignment="1">
      <alignment horizontal="left"/>
    </xf>
    <xf numFmtId="0" fontId="1" fillId="0" borderId="1" xfId="5" applyFill="1" applyBorder="1" applyAlignment="1">
      <alignment horizontal="centerContinuous"/>
    </xf>
    <xf numFmtId="0" fontId="2" fillId="0" borderId="0" xfId="4" applyFont="1" applyFill="1" applyAlignment="1">
      <alignment horizontal="center"/>
    </xf>
    <xf numFmtId="0" fontId="1" fillId="0" borderId="0" xfId="4" quotePrefix="1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/>
    </xf>
    <xf numFmtId="0" fontId="1" fillId="0" borderId="0" xfId="5" applyFont="1" applyFill="1" applyBorder="1" applyAlignment="1"/>
    <xf numFmtId="0" fontId="1" fillId="0" borderId="0" xfId="4" applyFill="1" applyAlignment="1">
      <alignment horizontal="center"/>
    </xf>
    <xf numFmtId="0" fontId="1" fillId="0" borderId="0" xfId="4" quotePrefix="1" applyFont="1" applyFill="1" applyAlignment="1">
      <alignment horizontal="center"/>
    </xf>
    <xf numFmtId="0" fontId="1" fillId="0" borderId="0" xfId="5" applyFont="1" applyFill="1" applyAlignment="1">
      <alignment horizontal="center"/>
    </xf>
    <xf numFmtId="0" fontId="1" fillId="0" borderId="0" xfId="5" applyFill="1" applyBorder="1" applyAlignment="1">
      <alignment horizontal="center"/>
    </xf>
    <xf numFmtId="0" fontId="1" fillId="0" borderId="0" xfId="5" quotePrefix="1" applyFont="1" applyFill="1" applyAlignment="1">
      <alignment horizontal="center"/>
    </xf>
    <xf numFmtId="0" fontId="1" fillId="0" borderId="0" xfId="4" applyFill="1" applyBorder="1" applyAlignment="1">
      <alignment horizontal="center"/>
    </xf>
    <xf numFmtId="0" fontId="1" fillId="0" borderId="3" xfId="4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" fillId="0" borderId="3" xfId="4" applyFont="1" applyFill="1" applyBorder="1" applyAlignment="1">
      <alignment horizontal="center"/>
    </xf>
    <xf numFmtId="6" fontId="1" fillId="0" borderId="3" xfId="4" quotePrefix="1" applyNumberFormat="1" applyFont="1" applyFill="1" applyBorder="1" applyAlignment="1">
      <alignment horizontal="center"/>
    </xf>
    <xf numFmtId="6" fontId="1" fillId="0" borderId="0" xfId="4" quotePrefix="1" applyNumberFormat="1" applyFont="1" applyFill="1" applyBorder="1" applyAlignment="1">
      <alignment horizontal="center"/>
    </xf>
    <xf numFmtId="0" fontId="1" fillId="0" borderId="1" xfId="4" quotePrefix="1" applyFont="1" applyFill="1" applyBorder="1" applyAlignment="1">
      <alignment horizontal="center"/>
    </xf>
    <xf numFmtId="6" fontId="1" fillId="0" borderId="1" xfId="4" quotePrefix="1" applyNumberFormat="1" applyFont="1" applyFill="1" applyBorder="1" applyAlignment="1">
      <alignment horizontal="center"/>
    </xf>
    <xf numFmtId="0" fontId="1" fillId="0" borderId="1" xfId="5" quotePrefix="1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1" fillId="0" borderId="1" xfId="5" applyFill="1" applyBorder="1" applyAlignment="1">
      <alignment horizontal="center"/>
    </xf>
    <xf numFmtId="0" fontId="1" fillId="0" borderId="0" xfId="4" quotePrefix="1" applyFont="1" applyFill="1"/>
    <xf numFmtId="0" fontId="1" fillId="0" borderId="0" xfId="5" quotePrefix="1" applyFont="1" applyFill="1" applyBorder="1" applyAlignment="1">
      <alignment horizontal="center"/>
    </xf>
    <xf numFmtId="0" fontId="1" fillId="0" borderId="0" xfId="5" quotePrefix="1" applyFill="1" applyAlignment="1">
      <alignment horizontal="center"/>
    </xf>
    <xf numFmtId="0" fontId="5" fillId="0" borderId="0" xfId="4" applyFont="1" applyFill="1"/>
    <xf numFmtId="0" fontId="2" fillId="0" borderId="0" xfId="4" quotePrefix="1" applyFont="1" applyFill="1" applyAlignment="1">
      <alignment horizontal="center"/>
    </xf>
    <xf numFmtId="37" fontId="1" fillId="0" borderId="0" xfId="4" applyNumberFormat="1" applyFont="1" applyFill="1" applyProtection="1"/>
    <xf numFmtId="5" fontId="2" fillId="0" borderId="0" xfId="4" applyNumberFormat="1" applyFont="1" applyFill="1" applyProtection="1">
      <protection locked="0"/>
    </xf>
    <xf numFmtId="10" fontId="2" fillId="0" borderId="0" xfId="3" applyNumberFormat="1" applyFont="1" applyFill="1" applyProtection="1">
      <protection locked="0"/>
    </xf>
    <xf numFmtId="5" fontId="2" fillId="0" borderId="0" xfId="3" applyNumberFormat="1" applyFont="1" applyFill="1" applyProtection="1">
      <protection locked="0"/>
    </xf>
    <xf numFmtId="164" fontId="2" fillId="0" borderId="0" xfId="3" applyNumberFormat="1" applyFont="1" applyFill="1" applyProtection="1">
      <protection locked="0"/>
    </xf>
    <xf numFmtId="165" fontId="2" fillId="0" borderId="0" xfId="1" applyNumberFormat="1" applyFont="1" applyFill="1" applyProtection="1">
      <protection locked="0"/>
    </xf>
    <xf numFmtId="5" fontId="2" fillId="0" borderId="0" xfId="5" applyNumberFormat="1" applyFont="1" applyFill="1" applyProtection="1">
      <protection locked="0"/>
    </xf>
    <xf numFmtId="10" fontId="2" fillId="0" borderId="0" xfId="3" applyNumberFormat="1" applyFont="1" applyFill="1" applyBorder="1" applyProtection="1">
      <protection locked="0"/>
    </xf>
    <xf numFmtId="2" fontId="1" fillId="0" borderId="0" xfId="5" applyNumberFormat="1" applyFont="1" applyFill="1"/>
    <xf numFmtId="166" fontId="1" fillId="0" borderId="0" xfId="4" applyNumberFormat="1" applyFont="1" applyFill="1" applyProtection="1"/>
    <xf numFmtId="167" fontId="0" fillId="0" borderId="0" xfId="0" applyNumberFormat="1" applyFill="1" applyBorder="1" applyProtection="1"/>
    <xf numFmtId="0" fontId="1" fillId="0" borderId="0" xfId="4" applyFont="1" applyFill="1" applyBorder="1"/>
    <xf numFmtId="2" fontId="1" fillId="0" borderId="0" xfId="4" applyNumberFormat="1" applyFont="1" applyFill="1"/>
    <xf numFmtId="0" fontId="1" fillId="0" borderId="3" xfId="4" applyFill="1" applyBorder="1"/>
    <xf numFmtId="0" fontId="1" fillId="0" borderId="1" xfId="4" applyFill="1" applyBorder="1"/>
    <xf numFmtId="164" fontId="1" fillId="0" borderId="1" xfId="3" applyNumberFormat="1" applyFont="1" applyFill="1" applyBorder="1"/>
    <xf numFmtId="164" fontId="1" fillId="0" borderId="1" xfId="4" applyNumberFormat="1" applyFill="1" applyBorder="1"/>
    <xf numFmtId="165" fontId="1" fillId="0" borderId="1" xfId="4" applyNumberFormat="1" applyFill="1" applyBorder="1"/>
    <xf numFmtId="0" fontId="1" fillId="0" borderId="3" xfId="5" applyFill="1" applyBorder="1"/>
    <xf numFmtId="165" fontId="1" fillId="0" borderId="0" xfId="5" applyNumberFormat="1" applyFill="1" applyBorder="1"/>
    <xf numFmtId="167" fontId="1" fillId="0" borderId="1" xfId="4" applyNumberFormat="1" applyFill="1" applyBorder="1"/>
    <xf numFmtId="0" fontId="0" fillId="0" borderId="0" xfId="0" applyFill="1" applyBorder="1"/>
    <xf numFmtId="164" fontId="1" fillId="0" borderId="0" xfId="4" applyNumberFormat="1" applyFill="1"/>
    <xf numFmtId="165" fontId="1" fillId="0" borderId="0" xfId="4" applyNumberFormat="1" applyFill="1"/>
    <xf numFmtId="165" fontId="1" fillId="0" borderId="0" xfId="5" applyNumberFormat="1" applyFill="1"/>
    <xf numFmtId="164" fontId="1" fillId="0" borderId="0" xfId="5" applyNumberFormat="1" applyFill="1"/>
    <xf numFmtId="167" fontId="1" fillId="0" borderId="0" xfId="4" applyNumberFormat="1" applyFill="1"/>
    <xf numFmtId="0" fontId="7" fillId="0" borderId="0" xfId="6" applyFont="1" applyFill="1" applyAlignment="1">
      <alignment horizontal="center"/>
    </xf>
    <xf numFmtId="37" fontId="1" fillId="0" borderId="0" xfId="4" applyNumberFormat="1" applyFill="1" applyProtection="1"/>
    <xf numFmtId="5" fontId="1" fillId="0" borderId="0" xfId="4" applyNumberFormat="1" applyFill="1" applyProtection="1"/>
    <xf numFmtId="165" fontId="2" fillId="0" borderId="0" xfId="3" applyNumberFormat="1" applyFont="1" applyFill="1" applyProtection="1">
      <protection locked="0"/>
    </xf>
    <xf numFmtId="37" fontId="1" fillId="0" borderId="0" xfId="4" applyNumberFormat="1" applyFill="1"/>
    <xf numFmtId="5" fontId="1" fillId="0" borderId="0" xfId="4" applyNumberFormat="1" applyFill="1"/>
    <xf numFmtId="164" fontId="1" fillId="0" borderId="0" xfId="3" applyNumberFormat="1" applyFont="1" applyFill="1"/>
    <xf numFmtId="0" fontId="7" fillId="0" borderId="0" xfId="6" applyFont="1" applyFill="1"/>
    <xf numFmtId="164" fontId="1" fillId="0" borderId="1" xfId="5" applyNumberFormat="1" applyFill="1" applyBorder="1"/>
    <xf numFmtId="37" fontId="1" fillId="0" borderId="3" xfId="4" applyNumberFormat="1" applyFill="1" applyBorder="1" applyProtection="1"/>
    <xf numFmtId="5" fontId="1" fillId="0" borderId="3" xfId="4" applyNumberFormat="1" applyFill="1" applyBorder="1" applyProtection="1"/>
    <xf numFmtId="5" fontId="1" fillId="0" borderId="0" xfId="4" applyNumberFormat="1" applyFill="1" applyBorder="1" applyProtection="1"/>
    <xf numFmtId="164" fontId="2" fillId="0" borderId="1" xfId="3" applyNumberFormat="1" applyFont="1" applyFill="1" applyBorder="1" applyProtection="1">
      <protection locked="0"/>
    </xf>
    <xf numFmtId="5" fontId="1" fillId="0" borderId="3" xfId="5" applyNumberFormat="1" applyFill="1" applyBorder="1" applyProtection="1"/>
    <xf numFmtId="166" fontId="1" fillId="0" borderId="1" xfId="4" applyNumberFormat="1" applyFont="1" applyFill="1" applyBorder="1" applyProtection="1"/>
    <xf numFmtId="167" fontId="0" fillId="0" borderId="1" xfId="0" applyNumberFormat="1" applyFill="1" applyBorder="1" applyProtection="1"/>
    <xf numFmtId="167" fontId="1" fillId="0" borderId="0" xfId="0" applyNumberFormat="1" applyFont="1" applyFill="1" applyBorder="1" applyProtection="1"/>
    <xf numFmtId="37" fontId="1" fillId="0" borderId="0" xfId="4" applyNumberFormat="1" applyFill="1" applyBorder="1" applyProtection="1"/>
    <xf numFmtId="164" fontId="1" fillId="0" borderId="0" xfId="4" applyNumberFormat="1" applyFill="1" applyBorder="1" applyProtection="1"/>
    <xf numFmtId="10" fontId="1" fillId="0" borderId="0" xfId="4" applyNumberFormat="1" applyFill="1" applyBorder="1" applyProtection="1"/>
    <xf numFmtId="165" fontId="1" fillId="0" borderId="0" xfId="4" applyNumberFormat="1" applyFill="1" applyBorder="1" applyProtection="1"/>
    <xf numFmtId="5" fontId="1" fillId="0" borderId="0" xfId="5" applyNumberFormat="1" applyFill="1" applyBorder="1" applyProtection="1"/>
    <xf numFmtId="165" fontId="1" fillId="0" borderId="0" xfId="5" applyNumberFormat="1" applyFill="1" applyBorder="1" applyProtection="1"/>
    <xf numFmtId="164" fontId="1" fillId="0" borderId="0" xfId="5" applyNumberFormat="1" applyFill="1" applyBorder="1" applyProtection="1"/>
    <xf numFmtId="167" fontId="1" fillId="0" borderId="0" xfId="4" applyNumberFormat="1" applyFill="1" applyBorder="1" applyProtection="1"/>
    <xf numFmtId="0" fontId="8" fillId="0" borderId="0" xfId="4" applyFont="1" applyFill="1"/>
    <xf numFmtId="37" fontId="1" fillId="0" borderId="4" xfId="4" applyNumberFormat="1" applyFill="1" applyBorder="1"/>
    <xf numFmtId="5" fontId="1" fillId="0" borderId="4" xfId="4" applyNumberFormat="1" applyFill="1" applyBorder="1"/>
    <xf numFmtId="5" fontId="1" fillId="0" borderId="0" xfId="4" applyNumberFormat="1" applyFill="1" applyBorder="1"/>
    <xf numFmtId="164" fontId="2" fillId="0" borderId="4" xfId="3" applyNumberFormat="1" applyFont="1" applyFill="1" applyBorder="1" applyProtection="1">
      <protection locked="0"/>
    </xf>
    <xf numFmtId="165" fontId="2" fillId="0" borderId="4" xfId="1" applyNumberFormat="1" applyFont="1" applyFill="1" applyBorder="1" applyProtection="1">
      <protection locked="0"/>
    </xf>
    <xf numFmtId="5" fontId="1" fillId="0" borderId="4" xfId="5" applyNumberFormat="1" applyFill="1" applyBorder="1"/>
    <xf numFmtId="165" fontId="2" fillId="0" borderId="0" xfId="1" applyNumberFormat="1" applyFont="1" applyFill="1" applyBorder="1" applyProtection="1">
      <protection locked="0"/>
    </xf>
    <xf numFmtId="167" fontId="0" fillId="0" borderId="4" xfId="0" applyNumberFormat="1" applyFill="1" applyBorder="1" applyProtection="1"/>
    <xf numFmtId="0" fontId="1" fillId="0" borderId="0" xfId="4" applyFont="1" applyFill="1" applyAlignment="1">
      <alignment horizontal="left"/>
    </xf>
    <xf numFmtId="0" fontId="1" fillId="0" borderId="0" xfId="4" quotePrefix="1" applyFont="1" applyFill="1" applyAlignment="1">
      <alignment horizontal="left"/>
    </xf>
    <xf numFmtId="37" fontId="1" fillId="0" borderId="0" xfId="4" applyNumberFormat="1" applyFill="1" applyBorder="1"/>
    <xf numFmtId="5" fontId="1" fillId="0" borderId="0" xfId="5" applyNumberFormat="1" applyFill="1" applyBorder="1"/>
    <xf numFmtId="10" fontId="2" fillId="0" borderId="0" xfId="3" quotePrefix="1" applyNumberFormat="1" applyFont="1" applyFill="1" applyBorder="1" applyProtection="1">
      <protection locked="0"/>
    </xf>
    <xf numFmtId="5" fontId="1" fillId="0" borderId="0" xfId="5" applyNumberFormat="1" applyFont="1" applyFill="1"/>
    <xf numFmtId="5" fontId="1" fillId="0" borderId="0" xfId="5" applyNumberFormat="1" applyFill="1"/>
    <xf numFmtId="0" fontId="9" fillId="0" borderId="0" xfId="6" applyFont="1" applyFill="1"/>
    <xf numFmtId="37" fontId="1" fillId="0" borderId="4" xfId="4" applyNumberFormat="1" applyFont="1" applyFill="1" applyBorder="1" applyProtection="1"/>
    <xf numFmtId="5" fontId="2" fillId="0" borderId="4" xfId="3" applyNumberFormat="1" applyFont="1" applyFill="1" applyBorder="1" applyProtection="1">
      <protection locked="0"/>
    </xf>
    <xf numFmtId="5" fontId="1" fillId="0" borderId="0" xfId="4" applyNumberFormat="1" applyFont="1" applyFill="1"/>
    <xf numFmtId="0" fontId="10" fillId="0" borderId="0" xfId="0" applyFont="1"/>
    <xf numFmtId="168" fontId="1" fillId="0" borderId="0" xfId="1" applyNumberFormat="1" applyFont="1" applyFill="1"/>
    <xf numFmtId="0" fontId="1" fillId="0" borderId="0" xfId="4" applyFont="1" applyFill="1" applyAlignment="1">
      <alignment horizontal="right"/>
    </xf>
    <xf numFmtId="43" fontId="1" fillId="0" borderId="0" xfId="1" applyFont="1" applyFill="1"/>
    <xf numFmtId="10" fontId="1" fillId="0" borderId="0" xfId="3" applyNumberFormat="1" applyFont="1" applyFill="1"/>
    <xf numFmtId="169" fontId="12" fillId="0" borderId="0" xfId="2" applyNumberFormat="1" applyFont="1" applyFill="1"/>
    <xf numFmtId="164" fontId="12" fillId="0" borderId="0" xfId="3" applyNumberFormat="1" applyFont="1" applyFill="1" applyBorder="1" applyProtection="1">
      <protection locked="0"/>
    </xf>
    <xf numFmtId="1" fontId="1" fillId="0" borderId="0" xfId="4" applyNumberFormat="1" applyFill="1"/>
    <xf numFmtId="164" fontId="1" fillId="0" borderId="0" xfId="3" applyNumberFormat="1" applyFont="1" applyFill="1" applyBorder="1"/>
    <xf numFmtId="1" fontId="12" fillId="0" borderId="0" xfId="4" applyNumberFormat="1" applyFont="1" applyFill="1"/>
    <xf numFmtId="164" fontId="12" fillId="0" borderId="0" xfId="3" applyNumberFormat="1" applyFont="1" applyFill="1"/>
    <xf numFmtId="170" fontId="1" fillId="0" borderId="0" xfId="4" applyNumberFormat="1" applyFill="1"/>
    <xf numFmtId="164" fontId="13" fillId="0" borderId="0" xfId="3" applyNumberFormat="1" applyFont="1" applyFill="1"/>
    <xf numFmtId="0" fontId="14" fillId="0" borderId="0" xfId="0" applyFont="1" applyFill="1" applyAlignment="1">
      <alignment horizontal="centerContinuous"/>
    </xf>
    <xf numFmtId="0" fontId="0" fillId="0" borderId="0" xfId="0" applyFill="1" applyAlignment="1" applyProtection="1">
      <alignment horizontal="centerContinuous"/>
    </xf>
    <xf numFmtId="37" fontId="0" fillId="0" borderId="0" xfId="0" applyNumberFormat="1" applyFill="1" applyAlignment="1" applyProtection="1">
      <alignment horizontal="centerContinuous"/>
    </xf>
    <xf numFmtId="0" fontId="0" fillId="0" borderId="0" xfId="0" applyFill="1"/>
    <xf numFmtId="3" fontId="0" fillId="0" borderId="0" xfId="0" applyNumberFormat="1" applyFill="1" applyBorder="1"/>
    <xf numFmtId="0" fontId="14" fillId="0" borderId="0" xfId="0" applyFont="1" applyFill="1" applyAlignment="1">
      <alignment horizontal="center"/>
    </xf>
    <xf numFmtId="0" fontId="15" fillId="0" borderId="0" xfId="0" quotePrefix="1" applyNumberFormat="1" applyFont="1" applyFill="1" applyAlignment="1">
      <alignment horizontal="center"/>
    </xf>
    <xf numFmtId="0" fontId="9" fillId="0" borderId="0" xfId="0" quotePrefix="1" applyFont="1" applyFill="1" applyAlignment="1" applyProtection="1">
      <alignment horizontal="center"/>
    </xf>
    <xf numFmtId="0" fontId="9" fillId="0" borderId="0" xfId="0" quotePrefix="1" applyFont="1" applyFill="1" applyAlignment="1" applyProtection="1">
      <alignment horizontal="centerContinuous"/>
    </xf>
    <xf numFmtId="0" fontId="15" fillId="0" borderId="0" xfId="0" applyFont="1" applyFill="1" applyAlignment="1" applyProtection="1">
      <alignment horizontal="centerContinuous"/>
    </xf>
    <xf numFmtId="37" fontId="15" fillId="0" borderId="0" xfId="0" applyNumberFormat="1" applyFont="1" applyFill="1" applyAlignment="1" applyProtection="1">
      <alignment horizontal="centerContinuous"/>
    </xf>
    <xf numFmtId="0" fontId="15" fillId="0" borderId="0" xfId="0" applyFont="1" applyFill="1" applyProtection="1"/>
    <xf numFmtId="37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37" fontId="9" fillId="0" borderId="3" xfId="0" applyNumberFormat="1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3" xfId="0" applyFont="1" applyFill="1" applyBorder="1" applyProtection="1"/>
    <xf numFmtId="0" fontId="16" fillId="0" borderId="0" xfId="0" applyFont="1" applyFill="1"/>
    <xf numFmtId="5" fontId="0" fillId="0" borderId="0" xfId="0" applyNumberFormat="1" applyFill="1" applyProtection="1"/>
    <xf numFmtId="37" fontId="0" fillId="0" borderId="0" xfId="0" applyNumberFormat="1" applyFill="1"/>
    <xf numFmtId="7" fontId="13" fillId="0" borderId="0" xfId="2" applyNumberFormat="1" applyFont="1" applyFill="1"/>
    <xf numFmtId="5" fontId="2" fillId="0" borderId="0" xfId="0" applyNumberFormat="1" applyFont="1" applyFill="1" applyProtection="1"/>
    <xf numFmtId="5" fontId="0" fillId="0" borderId="0" xfId="0" applyNumberFormat="1" applyFill="1"/>
    <xf numFmtId="43" fontId="0" fillId="0" borderId="0" xfId="0" applyNumberFormat="1" applyFill="1"/>
    <xf numFmtId="7" fontId="13" fillId="0" borderId="0" xfId="0" applyNumberFormat="1" applyFont="1" applyFill="1"/>
    <xf numFmtId="0" fontId="13" fillId="0" borderId="0" xfId="2" applyNumberFormat="1" applyFont="1" applyFill="1"/>
    <xf numFmtId="0" fontId="13" fillId="0" borderId="0" xfId="0" applyFont="1" applyFill="1"/>
    <xf numFmtId="7" fontId="13" fillId="0" borderId="0" xfId="2" applyNumberFormat="1" applyFont="1" applyFill="1" applyBorder="1"/>
    <xf numFmtId="37" fontId="0" fillId="0" borderId="0" xfId="0" applyNumberFormat="1" applyFill="1" applyBorder="1"/>
    <xf numFmtId="171" fontId="1" fillId="0" borderId="0" xfId="1" applyNumberFormat="1" applyFont="1" applyFill="1"/>
    <xf numFmtId="3" fontId="1" fillId="0" borderId="0" xfId="0" applyNumberFormat="1" applyFont="1" applyFill="1" applyAlignment="1">
      <alignment horizontal="center"/>
    </xf>
    <xf numFmtId="5" fontId="0" fillId="0" borderId="0" xfId="0" applyNumberFormat="1" applyFill="1" applyBorder="1" applyProtection="1"/>
    <xf numFmtId="3" fontId="0" fillId="0" borderId="0" xfId="0" applyNumberFormat="1" applyFill="1"/>
    <xf numFmtId="164" fontId="0" fillId="0" borderId="0" xfId="3" applyNumberFormat="1" applyFont="1" applyFill="1"/>
    <xf numFmtId="37" fontId="0" fillId="0" borderId="5" xfId="0" applyNumberFormat="1" applyFont="1" applyFill="1" applyBorder="1" applyProtection="1"/>
    <xf numFmtId="5" fontId="2" fillId="0" borderId="5" xfId="0" applyNumberFormat="1" applyFont="1" applyFill="1" applyBorder="1" applyProtection="1"/>
    <xf numFmtId="0" fontId="0" fillId="0" borderId="6" xfId="0" applyFill="1" applyBorder="1"/>
    <xf numFmtId="3" fontId="0" fillId="0" borderId="7" xfId="0" applyNumberFormat="1" applyFill="1" applyBorder="1"/>
    <xf numFmtId="37" fontId="0" fillId="0" borderId="0" xfId="0" applyNumberFormat="1" applyFill="1" applyProtection="1"/>
    <xf numFmtId="0" fontId="2" fillId="0" borderId="0" xfId="0" applyFont="1" applyFill="1" applyProtection="1"/>
    <xf numFmtId="0" fontId="0" fillId="0" borderId="8" xfId="0" applyFill="1" applyBorder="1"/>
    <xf numFmtId="3" fontId="0" fillId="0" borderId="9" xfId="0" applyNumberFormat="1" applyFill="1" applyBorder="1"/>
    <xf numFmtId="172" fontId="1" fillId="0" borderId="0" xfId="3" applyNumberFormat="1" applyFont="1" applyFill="1"/>
    <xf numFmtId="0" fontId="17" fillId="0" borderId="0" xfId="7" applyFont="1" applyFill="1" applyBorder="1"/>
    <xf numFmtId="173" fontId="17" fillId="0" borderId="0" xfId="7" applyNumberFormat="1" applyFont="1" applyFill="1" applyBorder="1"/>
    <xf numFmtId="0" fontId="17" fillId="0" borderId="0" xfId="7" applyFont="1" applyFill="1" applyBorder="1" applyAlignment="1">
      <alignment horizontal="right"/>
    </xf>
    <xf numFmtId="168" fontId="17" fillId="0" borderId="0" xfId="1" applyNumberFormat="1" applyFont="1" applyFill="1" applyBorder="1"/>
    <xf numFmtId="0" fontId="17" fillId="0" borderId="0" xfId="7" applyFont="1" applyFill="1" applyBorder="1" applyAlignment="1">
      <alignment horizontal="left"/>
    </xf>
    <xf numFmtId="7" fontId="17" fillId="0" borderId="0" xfId="7" applyNumberFormat="1" applyFont="1" applyFill="1" applyBorder="1" applyAlignment="1">
      <alignment horizontal="right"/>
    </xf>
    <xf numFmtId="171" fontId="17" fillId="0" borderId="0" xfId="1" applyNumberFormat="1" applyFont="1" applyFill="1" applyBorder="1"/>
    <xf numFmtId="168" fontId="18" fillId="0" borderId="0" xfId="1" applyNumberFormat="1" applyFont="1" applyFill="1" applyBorder="1"/>
    <xf numFmtId="7" fontId="17" fillId="0" borderId="0" xfId="7" applyNumberFormat="1" applyFont="1" applyFill="1" applyBorder="1"/>
    <xf numFmtId="0" fontId="17" fillId="0" borderId="0" xfId="7" applyFont="1" applyFill="1" applyBorder="1" applyAlignment="1">
      <alignment horizontal="center"/>
    </xf>
    <xf numFmtId="10" fontId="19" fillId="0" borderId="0" xfId="7" applyNumberFormat="1" applyFont="1" applyFill="1" applyBorder="1"/>
    <xf numFmtId="5" fontId="17" fillId="0" borderId="0" xfId="7" applyNumberFormat="1" applyFont="1" applyFill="1" applyBorder="1"/>
    <xf numFmtId="10" fontId="17" fillId="0" borderId="0" xfId="3" applyNumberFormat="1" applyFont="1" applyFill="1" applyBorder="1"/>
    <xf numFmtId="0" fontId="16" fillId="0" borderId="0" xfId="0" applyFont="1" applyFill="1" applyProtection="1"/>
    <xf numFmtId="37" fontId="2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0" fontId="2" fillId="0" borderId="0" xfId="0" applyFont="1" applyFill="1" applyProtection="1">
      <protection locked="0"/>
    </xf>
    <xf numFmtId="3" fontId="1" fillId="0" borderId="0" xfId="0" applyNumberFormat="1" applyFont="1" applyFill="1" applyBorder="1" applyAlignment="1">
      <alignment horizontal="center"/>
    </xf>
    <xf numFmtId="7" fontId="13" fillId="0" borderId="0" xfId="0" applyNumberFormat="1" applyFont="1" applyFill="1" applyProtection="1">
      <protection locked="0"/>
    </xf>
    <xf numFmtId="9" fontId="1" fillId="0" borderId="0" xfId="3" applyFont="1" applyFill="1"/>
    <xf numFmtId="9" fontId="0" fillId="0" borderId="0" xfId="3" applyFont="1" applyFill="1"/>
    <xf numFmtId="167" fontId="13" fillId="0" borderId="0" xfId="0" applyNumberFormat="1" applyFont="1" applyFill="1" applyProtection="1">
      <protection locked="0"/>
    </xf>
    <xf numFmtId="9" fontId="1" fillId="0" borderId="0" xfId="3" applyNumberFormat="1" applyFont="1" applyFill="1"/>
    <xf numFmtId="174" fontId="0" fillId="0" borderId="0" xfId="0" applyNumberFormat="1" applyFill="1"/>
    <xf numFmtId="169" fontId="1" fillId="0" borderId="0" xfId="2" applyNumberFormat="1" applyFont="1" applyFill="1"/>
    <xf numFmtId="0" fontId="2" fillId="0" borderId="0" xfId="0" applyFont="1" applyFill="1"/>
    <xf numFmtId="7" fontId="2" fillId="0" borderId="0" xfId="0" applyNumberFormat="1" applyFont="1" applyFill="1" applyProtection="1">
      <protection locked="0"/>
    </xf>
    <xf numFmtId="168" fontId="2" fillId="0" borderId="0" xfId="0" applyNumberFormat="1" applyFont="1" applyFill="1" applyProtection="1"/>
    <xf numFmtId="167" fontId="2" fillId="0" borderId="0" xfId="0" applyNumberFormat="1" applyFont="1" applyFill="1" applyProtection="1">
      <protection locked="0"/>
    </xf>
    <xf numFmtId="168" fontId="2" fillId="0" borderId="0" xfId="1" applyNumberFormat="1" applyFont="1" applyFill="1" applyProtection="1"/>
    <xf numFmtId="37" fontId="2" fillId="0" borderId="1" xfId="0" applyNumberFormat="1" applyFont="1" applyFill="1" applyBorder="1" applyProtection="1"/>
    <xf numFmtId="0" fontId="0" fillId="0" borderId="0" xfId="0" applyFill="1" applyProtection="1"/>
    <xf numFmtId="5" fontId="2" fillId="0" borderId="3" xfId="0" applyNumberFormat="1" applyFont="1" applyFill="1" applyBorder="1" applyProtection="1"/>
    <xf numFmtId="37" fontId="0" fillId="0" borderId="10" xfId="0" applyNumberFormat="1" applyFont="1" applyFill="1" applyBorder="1" applyProtection="1"/>
    <xf numFmtId="5" fontId="2" fillId="0" borderId="10" xfId="0" applyNumberFormat="1" applyFont="1" applyFill="1" applyBorder="1" applyProtection="1"/>
    <xf numFmtId="175" fontId="2" fillId="0" borderId="0" xfId="0" applyNumberFormat="1" applyFont="1" applyFill="1" applyProtection="1"/>
    <xf numFmtId="5" fontId="17" fillId="0" borderId="9" xfId="7" applyNumberFormat="1" applyFont="1" applyFill="1" applyBorder="1"/>
    <xf numFmtId="176" fontId="1" fillId="0" borderId="0" xfId="3" applyNumberFormat="1" applyFont="1" applyFill="1"/>
    <xf numFmtId="0" fontId="20" fillId="0" borderId="0" xfId="0" applyFont="1" applyFill="1" applyProtection="1"/>
    <xf numFmtId="5" fontId="2" fillId="0" borderId="0" xfId="0" applyNumberFormat="1" applyFont="1" applyFill="1" applyBorder="1" applyProtection="1"/>
    <xf numFmtId="37" fontId="2" fillId="0" borderId="3" xfId="0" applyNumberFormat="1" applyFont="1" applyFill="1" applyBorder="1" applyProtection="1"/>
    <xf numFmtId="169" fontId="1" fillId="0" borderId="10" xfId="2" applyNumberFormat="1" applyFont="1" applyFill="1" applyBorder="1" applyProtection="1"/>
    <xf numFmtId="169" fontId="2" fillId="0" borderId="0" xfId="2" applyNumberFormat="1" applyFont="1" applyFill="1" applyProtection="1"/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7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37" fontId="0" fillId="0" borderId="0" xfId="0" applyNumberFormat="1" applyFont="1" applyFill="1" applyProtection="1"/>
    <xf numFmtId="10" fontId="0" fillId="0" borderId="0" xfId="0" applyNumberFormat="1" applyFill="1"/>
    <xf numFmtId="5" fontId="0" fillId="0" borderId="0" xfId="0" applyNumberFormat="1" applyFont="1" applyFill="1" applyProtection="1"/>
    <xf numFmtId="5" fontId="0" fillId="0" borderId="0" xfId="0" applyNumberFormat="1" applyFont="1" applyFill="1" applyBorder="1" applyProtection="1"/>
    <xf numFmtId="0" fontId="0" fillId="0" borderId="0" xfId="0" applyFont="1" applyFill="1" applyProtection="1"/>
    <xf numFmtId="5" fontId="13" fillId="0" borderId="0" xfId="0" applyNumberFormat="1" applyFont="1" applyFill="1" applyProtection="1">
      <protection locked="0"/>
    </xf>
    <xf numFmtId="0" fontId="13" fillId="0" borderId="0" xfId="0" applyFont="1" applyFill="1" applyProtection="1">
      <protection locked="0"/>
    </xf>
    <xf numFmtId="9" fontId="0" fillId="0" borderId="0" xfId="0" applyNumberFormat="1" applyFill="1"/>
    <xf numFmtId="168" fontId="0" fillId="0" borderId="0" xfId="0" applyNumberFormat="1" applyFill="1"/>
    <xf numFmtId="167" fontId="0" fillId="0" borderId="0" xfId="0" applyNumberFormat="1" applyFill="1"/>
    <xf numFmtId="177" fontId="13" fillId="0" borderId="0" xfId="0" applyNumberFormat="1" applyFont="1" applyFill="1" applyProtection="1">
      <protection locked="0"/>
    </xf>
    <xf numFmtId="177" fontId="0" fillId="0" borderId="0" xfId="0" applyNumberFormat="1" applyFill="1"/>
    <xf numFmtId="0" fontId="8" fillId="0" borderId="0" xfId="0" applyFont="1" applyFill="1" applyProtection="1"/>
    <xf numFmtId="164" fontId="13" fillId="0" borderId="0" xfId="0" applyNumberFormat="1" applyFont="1" applyFill="1" applyProtection="1"/>
    <xf numFmtId="165" fontId="1" fillId="0" borderId="0" xfId="1" applyNumberFormat="1" applyFont="1" applyFill="1"/>
    <xf numFmtId="7" fontId="0" fillId="0" borderId="0" xfId="0" applyNumberFormat="1" applyFont="1" applyFill="1" applyProtection="1"/>
    <xf numFmtId="166" fontId="0" fillId="0" borderId="0" xfId="0" applyNumberFormat="1" applyFont="1" applyFill="1" applyProtection="1"/>
    <xf numFmtId="39" fontId="0" fillId="0" borderId="0" xfId="0" applyNumberFormat="1" applyFont="1" applyFill="1" applyProtection="1"/>
    <xf numFmtId="7" fontId="13" fillId="0" borderId="0" xfId="0" applyNumberFormat="1" applyFont="1" applyFill="1" applyProtection="1"/>
    <xf numFmtId="39" fontId="13" fillId="0" borderId="0" xfId="0" applyNumberFormat="1" applyFont="1" applyFill="1" applyProtection="1">
      <protection locked="0"/>
    </xf>
    <xf numFmtId="178" fontId="1" fillId="0" borderId="0" xfId="3" applyNumberFormat="1" applyFont="1" applyFill="1"/>
    <xf numFmtId="37" fontId="0" fillId="0" borderId="1" xfId="0" applyNumberFormat="1" applyFont="1" applyFill="1" applyBorder="1" applyProtection="1"/>
    <xf numFmtId="5" fontId="0" fillId="0" borderId="3" xfId="0" applyNumberFormat="1" applyFont="1" applyFill="1" applyBorder="1" applyProtection="1"/>
    <xf numFmtId="10" fontId="19" fillId="0" borderId="0" xfId="7" applyNumberFormat="1" applyFont="1" applyFill="1"/>
    <xf numFmtId="164" fontId="0" fillId="0" borderId="10" xfId="0" applyNumberFormat="1" applyFont="1" applyFill="1" applyBorder="1" applyProtection="1"/>
    <xf numFmtId="10" fontId="16" fillId="0" borderId="10" xfId="0" applyNumberFormat="1" applyFont="1" applyFill="1" applyBorder="1" applyProtection="1"/>
    <xf numFmtId="5" fontId="0" fillId="0" borderId="10" xfId="0" applyNumberFormat="1" applyFont="1" applyFill="1" applyBorder="1" applyProtection="1"/>
    <xf numFmtId="168" fontId="1" fillId="0" borderId="10" xfId="1" applyNumberFormat="1" applyFont="1" applyFill="1" applyBorder="1" applyProtection="1"/>
    <xf numFmtId="0" fontId="2" fillId="0" borderId="10" xfId="0" applyFont="1" applyFill="1" applyBorder="1" applyProtection="1"/>
    <xf numFmtId="5" fontId="17" fillId="0" borderId="0" xfId="7" applyNumberFormat="1" applyFont="1" applyFill="1"/>
    <xf numFmtId="5" fontId="0" fillId="0" borderId="7" xfId="0" applyNumberFormat="1" applyFill="1" applyBorder="1"/>
    <xf numFmtId="5" fontId="0" fillId="0" borderId="9" xfId="0" applyNumberFormat="1" applyFill="1" applyBorder="1"/>
    <xf numFmtId="179" fontId="1" fillId="0" borderId="0" xfId="3" applyNumberFormat="1" applyFont="1" applyFill="1"/>
    <xf numFmtId="5" fontId="0" fillId="0" borderId="0" xfId="0" applyNumberFormat="1" applyFill="1" applyBorder="1"/>
    <xf numFmtId="10" fontId="2" fillId="0" borderId="0" xfId="3" applyNumberFormat="1" applyFont="1" applyFill="1" applyProtection="1"/>
    <xf numFmtId="168" fontId="1" fillId="0" borderId="0" xfId="1" applyNumberFormat="1" applyFont="1" applyFill="1" applyBorder="1"/>
    <xf numFmtId="37" fontId="0" fillId="0" borderId="3" xfId="0" applyNumberFormat="1" applyFont="1" applyFill="1" applyBorder="1" applyProtection="1"/>
    <xf numFmtId="37" fontId="0" fillId="0" borderId="0" xfId="0" applyNumberFormat="1" applyFont="1" applyFill="1" applyBorder="1" applyProtection="1"/>
    <xf numFmtId="164" fontId="0" fillId="0" borderId="0" xfId="0" applyNumberFormat="1" applyFont="1" applyFill="1" applyBorder="1" applyProtection="1"/>
    <xf numFmtId="10" fontId="16" fillId="0" borderId="0" xfId="0" applyNumberFormat="1" applyFont="1" applyFill="1" applyBorder="1" applyProtection="1"/>
    <xf numFmtId="0" fontId="2" fillId="0" borderId="0" xfId="0" applyFont="1" applyFill="1" applyBorder="1" applyProtection="1"/>
    <xf numFmtId="7" fontId="1" fillId="0" borderId="0" xfId="0" applyNumberFormat="1" applyFont="1" applyFill="1" applyProtection="1"/>
    <xf numFmtId="37" fontId="13" fillId="0" borderId="0" xfId="0" applyNumberFormat="1" applyFont="1" applyFill="1" applyProtection="1"/>
    <xf numFmtId="7" fontId="16" fillId="0" borderId="0" xfId="0" applyNumberFormat="1" applyFont="1" applyFill="1" applyProtection="1"/>
    <xf numFmtId="180" fontId="0" fillId="0" borderId="0" xfId="0" applyNumberFormat="1" applyFont="1" applyFill="1" applyProtection="1"/>
    <xf numFmtId="181" fontId="13" fillId="0" borderId="0" xfId="0" applyNumberFormat="1" applyFont="1" applyFill="1" applyProtection="1"/>
    <xf numFmtId="0" fontId="21" fillId="0" borderId="0" xfId="0" applyFont="1" applyFill="1" applyProtection="1"/>
    <xf numFmtId="5" fontId="13" fillId="0" borderId="0" xfId="0" applyNumberFormat="1" applyFont="1" applyFill="1" applyProtection="1"/>
    <xf numFmtId="181" fontId="1" fillId="0" borderId="0" xfId="0" applyNumberFormat="1" applyFont="1" applyFill="1" applyProtection="1"/>
    <xf numFmtId="5" fontId="16" fillId="0" borderId="0" xfId="0" applyNumberFormat="1" applyFont="1" applyFill="1" applyProtection="1"/>
    <xf numFmtId="37" fontId="2" fillId="0" borderId="10" xfId="0" applyNumberFormat="1" applyFont="1" applyFill="1" applyBorder="1" applyProtection="1"/>
    <xf numFmtId="182" fontId="0" fillId="0" borderId="0" xfId="0" applyNumberFormat="1" applyFont="1" applyFill="1" applyProtection="1"/>
    <xf numFmtId="0" fontId="1" fillId="0" borderId="0" xfId="0" applyFont="1" applyFill="1" applyBorder="1" applyAlignment="1">
      <alignment horizontal="center"/>
    </xf>
    <xf numFmtId="7" fontId="1" fillId="0" borderId="0" xfId="0" applyNumberFormat="1" applyFont="1" applyFill="1" applyProtection="1">
      <protection locked="0"/>
    </xf>
    <xf numFmtId="165" fontId="13" fillId="0" borderId="0" xfId="1" applyNumberFormat="1" applyFont="1" applyFill="1" applyProtection="1">
      <protection locked="0"/>
    </xf>
    <xf numFmtId="43" fontId="13" fillId="0" borderId="0" xfId="1" applyFont="1" applyFill="1" applyProtection="1">
      <protection locked="0"/>
    </xf>
    <xf numFmtId="43" fontId="13" fillId="0" borderId="0" xfId="1" applyNumberFormat="1" applyFont="1" applyFill="1" applyProtection="1">
      <protection locked="0"/>
    </xf>
    <xf numFmtId="183" fontId="0" fillId="0" borderId="0" xfId="0" applyNumberFormat="1" applyFill="1"/>
    <xf numFmtId="5" fontId="16" fillId="0" borderId="0" xfId="0" applyNumberFormat="1" applyFont="1" applyFill="1" applyProtection="1">
      <protection locked="0"/>
    </xf>
    <xf numFmtId="0" fontId="16" fillId="0" borderId="0" xfId="0" applyFont="1" applyFill="1" applyProtection="1">
      <protection locked="0"/>
    </xf>
    <xf numFmtId="177" fontId="2" fillId="0" borderId="0" xfId="0" applyNumberFormat="1" applyFont="1" applyFill="1" applyProtection="1">
      <protection locked="0"/>
    </xf>
    <xf numFmtId="169" fontId="2" fillId="0" borderId="0" xfId="0" applyNumberFormat="1" applyFont="1" applyFill="1" applyProtection="1"/>
    <xf numFmtId="184" fontId="1" fillId="0" borderId="0" xfId="1" applyNumberFormat="1" applyFont="1" applyFill="1"/>
    <xf numFmtId="7" fontId="17" fillId="0" borderId="0" xfId="7" applyNumberFormat="1" applyFont="1" applyFill="1"/>
    <xf numFmtId="10" fontId="0" fillId="0" borderId="0" xfId="3" applyNumberFormat="1" applyFont="1" applyFill="1"/>
    <xf numFmtId="166" fontId="13" fillId="0" borderId="0" xfId="0" applyNumberFormat="1" applyFont="1" applyFill="1" applyProtection="1">
      <protection locked="0"/>
    </xf>
    <xf numFmtId="4" fontId="0" fillId="0" borderId="0" xfId="0" applyNumberFormat="1" applyFill="1" applyBorder="1"/>
    <xf numFmtId="168" fontId="2" fillId="0" borderId="0" xfId="1" applyNumberFormat="1" applyFont="1" applyFill="1" applyBorder="1" applyProtection="1"/>
    <xf numFmtId="185" fontId="2" fillId="0" borderId="0" xfId="0" applyNumberFormat="1" applyFont="1" applyFill="1" applyProtection="1"/>
    <xf numFmtId="5" fontId="2" fillId="0" borderId="0" xfId="0" applyNumberFormat="1" applyFont="1" applyFill="1"/>
    <xf numFmtId="7" fontId="2" fillId="0" borderId="0" xfId="0" applyNumberFormat="1" applyFont="1" applyFill="1" applyProtection="1"/>
    <xf numFmtId="186" fontId="2" fillId="0" borderId="0" xfId="0" applyNumberFormat="1" applyFont="1" applyFill="1" applyProtection="1"/>
    <xf numFmtId="10" fontId="0" fillId="0" borderId="0" xfId="0" applyNumberFormat="1" applyFill="1" applyBorder="1"/>
    <xf numFmtId="7" fontId="0" fillId="0" borderId="0" xfId="0" applyNumberFormat="1" applyFill="1" applyProtection="1"/>
    <xf numFmtId="4" fontId="0" fillId="0" borderId="0" xfId="0" applyNumberFormat="1" applyFill="1"/>
    <xf numFmtId="165" fontId="13" fillId="0" borderId="0" xfId="1" applyNumberFormat="1" applyFont="1" applyFill="1" applyProtection="1"/>
    <xf numFmtId="187" fontId="0" fillId="0" borderId="0" xfId="0" applyNumberFormat="1" applyFill="1"/>
    <xf numFmtId="43" fontId="13" fillId="0" borderId="0" xfId="1" applyFont="1" applyFill="1" applyProtection="1"/>
    <xf numFmtId="43" fontId="13" fillId="0" borderId="0" xfId="1" applyNumberFormat="1" applyFont="1" applyFill="1" applyProtection="1"/>
    <xf numFmtId="174" fontId="2" fillId="0" borderId="0" xfId="0" applyNumberFormat="1" applyFont="1" applyFill="1" applyProtection="1"/>
    <xf numFmtId="37" fontId="2" fillId="0" borderId="0" xfId="0" applyNumberFormat="1" applyFont="1" applyFill="1" applyBorder="1" applyProtection="1"/>
    <xf numFmtId="164" fontId="0" fillId="0" borderId="0" xfId="0" applyNumberFormat="1" applyFill="1" applyBorder="1" applyProtection="1"/>
    <xf numFmtId="174" fontId="13" fillId="0" borderId="0" xfId="0" applyNumberFormat="1" applyFont="1" applyFill="1" applyProtection="1"/>
    <xf numFmtId="167" fontId="2" fillId="0" borderId="0" xfId="0" applyNumberFormat="1" applyFont="1" applyFill="1" applyProtection="1"/>
    <xf numFmtId="181" fontId="2" fillId="0" borderId="0" xfId="0" applyNumberFormat="1" applyFont="1" applyFill="1" applyProtection="1"/>
    <xf numFmtId="164" fontId="2" fillId="0" borderId="0" xfId="0" applyNumberFormat="1" applyFont="1" applyFill="1" applyProtection="1"/>
    <xf numFmtId="166" fontId="2" fillId="0" borderId="0" xfId="0" applyNumberFormat="1" applyFont="1" applyFill="1" applyProtection="1"/>
    <xf numFmtId="186" fontId="0" fillId="0" borderId="0" xfId="0" applyNumberFormat="1" applyFont="1" applyFill="1" applyProtection="1"/>
    <xf numFmtId="174" fontId="0" fillId="0" borderId="0" xfId="0" applyNumberFormat="1" applyFont="1" applyFill="1"/>
    <xf numFmtId="37" fontId="2" fillId="0" borderId="5" xfId="0" applyNumberFormat="1" applyFont="1" applyFill="1" applyBorder="1" applyProtection="1"/>
    <xf numFmtId="167" fontId="13" fillId="0" borderId="0" xfId="0" applyNumberFormat="1" applyFont="1" applyFill="1" applyProtection="1"/>
    <xf numFmtId="5" fontId="2" fillId="0" borderId="1" xfId="0" applyNumberFormat="1" applyFont="1" applyFill="1" applyBorder="1" applyProtection="1"/>
    <xf numFmtId="37" fontId="0" fillId="0" borderId="11" xfId="0" applyNumberFormat="1" applyFont="1" applyFill="1" applyBorder="1" applyProtection="1"/>
    <xf numFmtId="5" fontId="2" fillId="0" borderId="11" xfId="0" applyNumberFormat="1" applyFont="1" applyFill="1" applyBorder="1" applyProtection="1"/>
    <xf numFmtId="0" fontId="0" fillId="0" borderId="12" xfId="0" applyFill="1" applyBorder="1"/>
    <xf numFmtId="3" fontId="0" fillId="0" borderId="13" xfId="0" applyNumberFormat="1" applyFill="1" applyBorder="1"/>
    <xf numFmtId="0" fontId="0" fillId="0" borderId="0" xfId="0" applyFill="1" applyAlignment="1">
      <alignment horizontal="center"/>
    </xf>
    <xf numFmtId="169" fontId="0" fillId="0" borderId="0" xfId="0" applyNumberFormat="1" applyFill="1" applyBorder="1"/>
    <xf numFmtId="37" fontId="0" fillId="0" borderId="4" xfId="0" applyNumberFormat="1" applyFont="1" applyFill="1" applyBorder="1" applyProtection="1"/>
    <xf numFmtId="5" fontId="2" fillId="0" borderId="4" xfId="0" applyNumberFormat="1" applyFont="1" applyFill="1" applyBorder="1" applyProtection="1"/>
    <xf numFmtId="10" fontId="0" fillId="0" borderId="8" xfId="3" applyNumberFormat="1" applyFont="1" applyFill="1" applyBorder="1"/>
    <xf numFmtId="10" fontId="0" fillId="0" borderId="0" xfId="3" applyNumberFormat="1" applyFont="1" applyFill="1" applyBorder="1"/>
    <xf numFmtId="5" fontId="1" fillId="0" borderId="3" xfId="0" applyNumberFormat="1" applyFont="1" applyFill="1" applyBorder="1" applyProtection="1"/>
    <xf numFmtId="0" fontId="1" fillId="0" borderId="0" xfId="0" applyFont="1" applyFill="1" applyBorder="1"/>
    <xf numFmtId="0" fontId="1" fillId="0" borderId="0" xfId="3" applyNumberFormat="1" applyFont="1" applyFill="1"/>
    <xf numFmtId="44" fontId="17" fillId="0" borderId="0" xfId="7" applyNumberFormat="1" applyFont="1" applyFill="1" applyBorder="1"/>
    <xf numFmtId="5" fontId="1" fillId="0" borderId="0" xfId="2" applyNumberFormat="1" applyFont="1" applyFill="1" applyBorder="1"/>
    <xf numFmtId="0" fontId="17" fillId="0" borderId="6" xfId="7" applyFont="1" applyFill="1" applyBorder="1"/>
    <xf numFmtId="5" fontId="17" fillId="0" borderId="7" xfId="7" applyNumberFormat="1" applyFont="1" applyFill="1" applyBorder="1" applyAlignment="1">
      <alignment horizontal="right"/>
    </xf>
    <xf numFmtId="0" fontId="17" fillId="0" borderId="0" xfId="7" applyFont="1" applyFill="1"/>
    <xf numFmtId="0" fontId="17" fillId="0" borderId="8" xfId="7" applyFont="1" applyFill="1" applyBorder="1"/>
    <xf numFmtId="0" fontId="13" fillId="0" borderId="0" xfId="0" applyFont="1" applyFill="1" applyProtection="1"/>
    <xf numFmtId="5" fontId="2" fillId="0" borderId="0" xfId="0" applyNumberFormat="1" applyFont="1" applyFill="1" applyAlignment="1" applyProtection="1">
      <alignment horizontal="right"/>
    </xf>
    <xf numFmtId="188" fontId="2" fillId="0" borderId="0" xfId="0" applyNumberFormat="1" applyFont="1" applyFill="1" applyProtection="1"/>
    <xf numFmtId="167" fontId="2" fillId="0" borderId="5" xfId="0" applyNumberFormat="1" applyFont="1" applyFill="1" applyBorder="1" applyProtection="1"/>
    <xf numFmtId="0" fontId="2" fillId="0" borderId="5" xfId="0" applyFont="1" applyFill="1" applyBorder="1" applyProtection="1"/>
    <xf numFmtId="0" fontId="1" fillId="0" borderId="0" xfId="0" applyFont="1" applyFill="1" applyProtection="1"/>
    <xf numFmtId="167" fontId="2" fillId="0" borderId="0" xfId="0" applyNumberFormat="1" applyFont="1" applyFill="1" applyBorder="1" applyProtection="1"/>
    <xf numFmtId="183" fontId="0" fillId="0" borderId="0" xfId="0" applyNumberFormat="1" applyFill="1" applyBorder="1"/>
    <xf numFmtId="3" fontId="1" fillId="0" borderId="0" xfId="0" applyNumberFormat="1" applyFont="1" applyFill="1"/>
    <xf numFmtId="9" fontId="1" fillId="0" borderId="0" xfId="3" applyFont="1" applyFill="1" applyBorder="1"/>
    <xf numFmtId="0" fontId="0" fillId="0" borderId="3" xfId="0" applyFill="1" applyBorder="1" applyProtection="1"/>
    <xf numFmtId="5" fontId="2" fillId="0" borderId="3" xfId="0" applyNumberFormat="1" applyFont="1" applyFill="1" applyBorder="1" applyAlignment="1" applyProtection="1">
      <alignment horizontal="right"/>
    </xf>
    <xf numFmtId="0" fontId="8" fillId="0" borderId="0" xfId="0" applyFont="1" applyFill="1"/>
    <xf numFmtId="43" fontId="17" fillId="0" borderId="0" xfId="1" applyNumberFormat="1" applyFont="1" applyFill="1" applyBorder="1"/>
    <xf numFmtId="0" fontId="12" fillId="0" borderId="0" xfId="0" applyFont="1" applyFill="1" applyBorder="1"/>
    <xf numFmtId="7" fontId="0" fillId="0" borderId="0" xfId="0" applyNumberFormat="1" applyFill="1" applyBorder="1"/>
    <xf numFmtId="43" fontId="0" fillId="0" borderId="0" xfId="0" applyNumberFormat="1" applyFill="1" applyBorder="1"/>
    <xf numFmtId="7" fontId="13" fillId="0" borderId="0" xfId="0" applyNumberFormat="1" applyFont="1" applyFill="1" applyBorder="1"/>
    <xf numFmtId="10" fontId="1" fillId="0" borderId="0" xfId="3" applyNumberFormat="1" applyFont="1" applyFill="1" applyBorder="1"/>
    <xf numFmtId="43" fontId="1" fillId="0" borderId="0" xfId="0" applyNumberFormat="1" applyFont="1" applyFill="1" applyBorder="1"/>
    <xf numFmtId="0" fontId="21" fillId="0" borderId="0" xfId="0" applyFont="1" applyFill="1"/>
    <xf numFmtId="5" fontId="13" fillId="0" borderId="0" xfId="0" applyNumberFormat="1" applyFont="1" applyFill="1" applyBorder="1"/>
    <xf numFmtId="7" fontId="1" fillId="0" borderId="0" xfId="2" applyNumberFormat="1" applyFont="1" applyFill="1"/>
    <xf numFmtId="44" fontId="1" fillId="0" borderId="0" xfId="2" applyFont="1" applyFill="1" applyBorder="1"/>
    <xf numFmtId="189" fontId="1" fillId="0" borderId="0" xfId="2" applyNumberFormat="1" applyFont="1" applyFill="1" applyBorder="1"/>
    <xf numFmtId="37" fontId="2" fillId="0" borderId="14" xfId="0" applyNumberFormat="1" applyFont="1" applyFill="1" applyBorder="1" applyProtection="1"/>
    <xf numFmtId="37" fontId="1" fillId="0" borderId="0" xfId="0" applyNumberFormat="1" applyFont="1" applyFill="1" applyProtection="1"/>
    <xf numFmtId="7" fontId="20" fillId="0" borderId="0" xfId="0" applyNumberFormat="1" applyFont="1" applyFill="1" applyProtection="1"/>
    <xf numFmtId="37" fontId="2" fillId="0" borderId="15" xfId="0" applyNumberFormat="1" applyFont="1" applyFill="1" applyBorder="1" applyProtection="1"/>
    <xf numFmtId="5" fontId="13" fillId="0" borderId="15" xfId="0" applyNumberFormat="1" applyFont="1" applyFill="1" applyBorder="1" applyProtection="1"/>
    <xf numFmtId="5" fontId="2" fillId="0" borderId="15" xfId="0" applyNumberFormat="1" applyFont="1" applyFill="1" applyBorder="1" applyProtection="1"/>
    <xf numFmtId="0" fontId="1" fillId="0" borderId="0" xfId="0" applyFont="1" applyFill="1"/>
    <xf numFmtId="0" fontId="1" fillId="0" borderId="6" xfId="0" applyFont="1" applyFill="1" applyBorder="1"/>
    <xf numFmtId="5" fontId="1" fillId="0" borderId="7" xfId="0" applyNumberFormat="1" applyFont="1" applyFill="1" applyBorder="1"/>
    <xf numFmtId="37" fontId="2" fillId="0" borderId="2" xfId="0" applyNumberFormat="1" applyFont="1" applyFill="1" applyBorder="1" applyProtection="1"/>
    <xf numFmtId="7" fontId="13" fillId="0" borderId="2" xfId="0" applyNumberFormat="1" applyFont="1" applyFill="1" applyBorder="1" applyProtection="1"/>
    <xf numFmtId="5" fontId="2" fillId="0" borderId="2" xfId="0" applyNumberFormat="1" applyFont="1" applyFill="1" applyBorder="1" applyProtection="1"/>
    <xf numFmtId="7" fontId="1" fillId="0" borderId="2" xfId="0" applyNumberFormat="1" applyFont="1" applyFill="1" applyBorder="1" applyProtection="1"/>
    <xf numFmtId="0" fontId="2" fillId="0" borderId="2" xfId="0" applyFont="1" applyFill="1" applyBorder="1" applyProtection="1"/>
    <xf numFmtId="5" fontId="2" fillId="0" borderId="16" xfId="0" applyNumberFormat="1" applyFont="1" applyFill="1" applyBorder="1" applyProtection="1"/>
    <xf numFmtId="0" fontId="8" fillId="0" borderId="0" xfId="0" applyFont="1" applyFill="1" applyBorder="1" applyProtection="1"/>
    <xf numFmtId="175" fontId="8" fillId="0" borderId="0" xfId="0" applyNumberFormat="1" applyFont="1" applyFill="1" applyProtection="1"/>
    <xf numFmtId="37" fontId="8" fillId="0" borderId="15" xfId="0" applyNumberFormat="1" applyFont="1" applyFill="1" applyBorder="1" applyProtection="1"/>
    <xf numFmtId="168" fontId="22" fillId="0" borderId="15" xfId="1" applyNumberFormat="1" applyFont="1" applyFill="1" applyBorder="1" applyProtection="1"/>
    <xf numFmtId="5" fontId="8" fillId="0" borderId="15" xfId="0" applyNumberFormat="1" applyFont="1" applyFill="1" applyBorder="1" applyProtection="1"/>
    <xf numFmtId="169" fontId="8" fillId="0" borderId="15" xfId="2" applyNumberFormat="1" applyFont="1" applyFill="1" applyBorder="1" applyProtection="1"/>
    <xf numFmtId="168" fontId="22" fillId="0" borderId="0" xfId="1" applyNumberFormat="1" applyFont="1" applyFill="1" applyBorder="1" applyProtection="1"/>
    <xf numFmtId="5" fontId="8" fillId="0" borderId="2" xfId="0" applyNumberFormat="1" applyFont="1" applyFill="1" applyBorder="1" applyProtection="1"/>
    <xf numFmtId="7" fontId="22" fillId="0" borderId="15" xfId="0" applyNumberFormat="1" applyFont="1" applyFill="1" applyBorder="1" applyProtection="1"/>
    <xf numFmtId="169" fontId="1" fillId="0" borderId="0" xfId="0" applyNumberFormat="1" applyFont="1" applyFill="1"/>
    <xf numFmtId="169" fontId="13" fillId="0" borderId="0" xfId="0" applyNumberFormat="1" applyFont="1" applyFill="1" applyProtection="1"/>
    <xf numFmtId="190" fontId="1" fillId="0" borderId="0" xfId="2" applyNumberFormat="1" applyFont="1" applyFill="1"/>
    <xf numFmtId="0" fontId="23" fillId="0" borderId="0" xfId="0" applyFont="1" applyFill="1" applyProtection="1"/>
    <xf numFmtId="0" fontId="0" fillId="0" borderId="0" xfId="0" applyFont="1" applyFill="1"/>
    <xf numFmtId="0" fontId="7" fillId="0" borderId="0" xfId="8" applyFont="1" applyFill="1"/>
    <xf numFmtId="0" fontId="9" fillId="0" borderId="0" xfId="8" applyFont="1" applyFill="1"/>
    <xf numFmtId="0" fontId="9" fillId="0" borderId="0" xfId="8" applyFont="1" applyFill="1" applyAlignment="1">
      <alignment horizontal="centerContinuous"/>
    </xf>
    <xf numFmtId="0" fontId="24" fillId="0" borderId="0" xfId="8" applyFont="1" applyFill="1" applyBorder="1" applyAlignment="1">
      <alignment horizontal="centerContinuous"/>
    </xf>
    <xf numFmtId="0" fontId="24" fillId="0" borderId="0" xfId="8" applyFont="1" applyFill="1" applyAlignment="1">
      <alignment horizontal="center"/>
    </xf>
    <xf numFmtId="0" fontId="24" fillId="0" borderId="0" xfId="8" applyFont="1" applyFill="1" applyAlignment="1">
      <alignment horizontal="centerContinuous"/>
    </xf>
    <xf numFmtId="0" fontId="7" fillId="0" borderId="0" xfId="8" applyFont="1" applyFill="1" applyAlignment="1">
      <alignment horizontal="centerContinuous"/>
    </xf>
    <xf numFmtId="0" fontId="7" fillId="0" borderId="1" xfId="8" applyFont="1" applyFill="1" applyBorder="1" applyAlignment="1">
      <alignment horizontal="centerContinuous"/>
    </xf>
    <xf numFmtId="0" fontId="7" fillId="0" borderId="1" xfId="8" applyFont="1" applyFill="1" applyBorder="1" applyAlignment="1">
      <alignment horizontal="center"/>
    </xf>
    <xf numFmtId="0" fontId="7" fillId="0" borderId="0" xfId="8" applyFill="1"/>
    <xf numFmtId="0" fontId="7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Continuous"/>
    </xf>
    <xf numFmtId="0" fontId="26" fillId="0" borderId="17" xfId="8" applyFont="1" applyFill="1" applyBorder="1"/>
    <xf numFmtId="0" fontId="26" fillId="0" borderId="18" xfId="8" applyFont="1" applyFill="1" applyBorder="1"/>
    <xf numFmtId="0" fontId="7" fillId="0" borderId="1" xfId="8" applyFont="1" applyFill="1" applyBorder="1" applyAlignment="1">
      <alignment horizontal="center"/>
    </xf>
    <xf numFmtId="0" fontId="7" fillId="0" borderId="3" xfId="8" applyFont="1" applyFill="1" applyBorder="1" applyAlignment="1">
      <alignment horizontal="centerContinuous"/>
    </xf>
    <xf numFmtId="0" fontId="25" fillId="0" borderId="0" xfId="8" applyFont="1" applyFill="1"/>
    <xf numFmtId="0" fontId="26" fillId="0" borderId="19" xfId="8" applyFont="1" applyFill="1" applyBorder="1"/>
    <xf numFmtId="7" fontId="27" fillId="0" borderId="20" xfId="8" applyNumberFormat="1" applyFont="1" applyFill="1" applyBorder="1"/>
    <xf numFmtId="0" fontId="28" fillId="0" borderId="0" xfId="8" applyFont="1" applyFill="1"/>
    <xf numFmtId="174" fontId="27" fillId="0" borderId="20" xfId="8" applyNumberFormat="1" applyFont="1" applyFill="1" applyBorder="1"/>
    <xf numFmtId="165" fontId="27" fillId="0" borderId="20" xfId="1" applyNumberFormat="1" applyFont="1" applyFill="1" applyBorder="1" applyAlignment="1">
      <alignment horizontal="right"/>
    </xf>
    <xf numFmtId="43" fontId="7" fillId="0" borderId="0" xfId="8" applyNumberFormat="1" applyFont="1" applyFill="1"/>
    <xf numFmtId="37" fontId="7" fillId="0" borderId="0" xfId="8" applyNumberFormat="1" applyFont="1" applyFill="1" applyProtection="1"/>
    <xf numFmtId="7" fontId="7" fillId="0" borderId="0" xfId="8" applyNumberFormat="1" applyFill="1"/>
    <xf numFmtId="7" fontId="7" fillId="0" borderId="0" xfId="8" applyNumberFormat="1" applyFont="1" applyFill="1"/>
    <xf numFmtId="10" fontId="7" fillId="0" borderId="0" xfId="8" applyNumberFormat="1" applyFont="1" applyFill="1" applyProtection="1"/>
    <xf numFmtId="0" fontId="26" fillId="0" borderId="21" xfId="8" applyFont="1" applyFill="1" applyBorder="1"/>
    <xf numFmtId="174" fontId="27" fillId="0" borderId="22" xfId="8" applyNumberFormat="1" applyFont="1" applyFill="1" applyBorder="1"/>
    <xf numFmtId="0" fontId="26" fillId="0" borderId="0" xfId="8" applyFont="1" applyFill="1"/>
    <xf numFmtId="174" fontId="26" fillId="0" borderId="0" xfId="8" applyNumberFormat="1" applyFont="1" applyFill="1"/>
    <xf numFmtId="0" fontId="7" fillId="0" borderId="0" xfId="8" applyFont="1" applyFill="1" applyBorder="1"/>
    <xf numFmtId="7" fontId="7" fillId="0" borderId="0" xfId="8" applyNumberFormat="1" applyFont="1" applyFill="1" applyProtection="1"/>
    <xf numFmtId="164" fontId="26" fillId="0" borderId="0" xfId="8" applyNumberFormat="1" applyFont="1" applyFill="1"/>
    <xf numFmtId="0" fontId="7" fillId="0" borderId="0" xfId="8" applyFont="1" applyFill="1" applyAlignment="1">
      <alignment horizontal="right"/>
    </xf>
    <xf numFmtId="10" fontId="7" fillId="0" borderId="0" xfId="3" applyNumberFormat="1" applyFont="1" applyFill="1" applyAlignment="1">
      <alignment horizontal="center"/>
    </xf>
    <xf numFmtId="177" fontId="7" fillId="0" borderId="0" xfId="8" applyNumberFormat="1" applyFont="1" applyFill="1" applyProtection="1"/>
    <xf numFmtId="37" fontId="7" fillId="0" borderId="1" xfId="8" applyNumberFormat="1" applyFont="1" applyFill="1" applyBorder="1" applyProtection="1"/>
    <xf numFmtId="0" fontId="7" fillId="0" borderId="1" xfId="8" applyFont="1" applyFill="1" applyBorder="1"/>
    <xf numFmtId="7" fontId="7" fillId="0" borderId="1" xfId="8" applyNumberFormat="1" applyFont="1" applyFill="1" applyBorder="1" applyProtection="1"/>
    <xf numFmtId="177" fontId="7" fillId="0" borderId="1" xfId="8" applyNumberFormat="1" applyFont="1" applyFill="1" applyBorder="1" applyProtection="1"/>
    <xf numFmtId="0" fontId="29" fillId="0" borderId="0" xfId="8" applyFont="1" applyFill="1"/>
    <xf numFmtId="0" fontId="29" fillId="0" borderId="0" xfId="8" quotePrefix="1" applyFont="1" applyFill="1" applyBorder="1" applyAlignment="1">
      <alignment horizontal="left"/>
    </xf>
    <xf numFmtId="5" fontId="7" fillId="0" borderId="0" xfId="8" applyNumberFormat="1" applyFont="1" applyFill="1"/>
    <xf numFmtId="0" fontId="7" fillId="0" borderId="0" xfId="8" applyFont="1" applyFill="1" applyAlignment="1" applyProtection="1">
      <alignment horizontal="left"/>
    </xf>
    <xf numFmtId="44" fontId="7" fillId="0" borderId="0" xfId="2" applyFont="1" applyFill="1"/>
    <xf numFmtId="0" fontId="7" fillId="0" borderId="0" xfId="8" applyFont="1" applyFill="1" applyProtection="1"/>
    <xf numFmtId="0" fontId="9" fillId="0" borderId="0" xfId="8" applyFont="1" applyFill="1" applyAlignment="1" applyProtection="1">
      <alignment horizontal="centerContinuous"/>
    </xf>
    <xf numFmtId="0" fontId="24" fillId="0" borderId="0" xfId="8" applyFont="1" applyFill="1" applyBorder="1" applyAlignment="1" applyProtection="1">
      <alignment horizontal="center"/>
    </xf>
    <xf numFmtId="0" fontId="31" fillId="0" borderId="0" xfId="8" applyFont="1" applyFill="1" applyAlignment="1" applyProtection="1">
      <alignment horizontal="centerContinuous"/>
    </xf>
    <xf numFmtId="0" fontId="31" fillId="0" borderId="0" xfId="8" applyFont="1" applyFill="1" applyAlignment="1">
      <alignment horizontal="centerContinuous"/>
    </xf>
    <xf numFmtId="0" fontId="32" fillId="0" borderId="0" xfId="8" applyFont="1" applyFill="1" applyAlignment="1" applyProtection="1">
      <alignment horizontal="centerContinuous"/>
    </xf>
    <xf numFmtId="0" fontId="7" fillId="0" borderId="0" xfId="8" applyFont="1" applyFill="1" applyAlignment="1" applyProtection="1">
      <alignment horizontal="centerContinuous"/>
    </xf>
    <xf numFmtId="0" fontId="7" fillId="0" borderId="0" xfId="8" applyFont="1" applyFill="1" applyAlignment="1" applyProtection="1"/>
    <xf numFmtId="0" fontId="1" fillId="0" borderId="0" xfId="8" applyFont="1" applyFill="1" applyAlignment="1" applyProtection="1">
      <alignment horizontal="center"/>
    </xf>
    <xf numFmtId="0" fontId="1" fillId="0" borderId="0" xfId="8" applyFont="1" applyFill="1" applyProtection="1"/>
    <xf numFmtId="0" fontId="1" fillId="0" borderId="3" xfId="8" applyFont="1" applyFill="1" applyBorder="1" applyAlignment="1" applyProtection="1">
      <alignment horizontal="centerContinuous"/>
    </xf>
    <xf numFmtId="0" fontId="1" fillId="0" borderId="0" xfId="8" applyFont="1" applyFill="1" applyAlignment="1" applyProtection="1">
      <alignment horizontal="centerContinuous"/>
    </xf>
    <xf numFmtId="0" fontId="1" fillId="0" borderId="0" xfId="8" applyFont="1" applyFill="1"/>
    <xf numFmtId="0" fontId="1" fillId="0" borderId="0" xfId="8" applyFont="1" applyFill="1" applyBorder="1" applyAlignment="1" applyProtection="1">
      <alignment horizontal="center"/>
    </xf>
    <xf numFmtId="0" fontId="1" fillId="0" borderId="1" xfId="8" applyFont="1" applyFill="1" applyBorder="1" applyAlignment="1" applyProtection="1">
      <alignment horizontal="centerContinuous"/>
    </xf>
    <xf numFmtId="0" fontId="1" fillId="0" borderId="0" xfId="8" applyFont="1" applyFill="1" applyAlignment="1" applyProtection="1"/>
    <xf numFmtId="0" fontId="1" fillId="0" borderId="1" xfId="8" applyFont="1" applyFill="1" applyBorder="1" applyAlignment="1" applyProtection="1">
      <alignment horizontal="center"/>
    </xf>
    <xf numFmtId="0" fontId="33" fillId="0" borderId="0" xfId="8" applyFont="1" applyFill="1" applyProtection="1"/>
    <xf numFmtId="0" fontId="33" fillId="0" borderId="0" xfId="8" applyFont="1" applyFill="1" applyAlignment="1" applyProtection="1">
      <alignment horizontal="center"/>
    </xf>
    <xf numFmtId="0" fontId="1" fillId="0" borderId="3" xfId="8" applyFont="1" applyFill="1" applyBorder="1" applyAlignment="1" applyProtection="1">
      <alignment horizontal="center"/>
    </xf>
    <xf numFmtId="0" fontId="1" fillId="0" borderId="0" xfId="8" applyFont="1" applyFill="1" applyBorder="1" applyProtection="1"/>
    <xf numFmtId="0" fontId="7" fillId="0" borderId="17" xfId="8" applyFont="1" applyFill="1" applyBorder="1"/>
    <xf numFmtId="0" fontId="7" fillId="0" borderId="23" xfId="8" applyFont="1" applyFill="1" applyBorder="1"/>
    <xf numFmtId="0" fontId="7" fillId="0" borderId="18" xfId="8" applyFont="1" applyFill="1" applyBorder="1"/>
    <xf numFmtId="0" fontId="7" fillId="0" borderId="19" xfId="8" applyFont="1" applyFill="1" applyBorder="1"/>
    <xf numFmtId="0" fontId="7" fillId="0" borderId="20" xfId="8" applyFont="1" applyFill="1" applyBorder="1"/>
    <xf numFmtId="37" fontId="1" fillId="0" borderId="0" xfId="8" applyNumberFormat="1" applyFont="1" applyFill="1" applyProtection="1"/>
    <xf numFmtId="164" fontId="1" fillId="0" borderId="0" xfId="3" applyNumberFormat="1" applyFont="1" applyFill="1" applyProtection="1"/>
    <xf numFmtId="5" fontId="1" fillId="0" borderId="0" xfId="8" applyNumberFormat="1" applyFont="1" applyFill="1" applyProtection="1"/>
    <xf numFmtId="10" fontId="1" fillId="0" borderId="0" xfId="8" applyNumberFormat="1" applyFont="1" applyFill="1" applyProtection="1"/>
    <xf numFmtId="7" fontId="27" fillId="0" borderId="0" xfId="8" applyNumberFormat="1" applyFont="1" applyFill="1" applyBorder="1"/>
    <xf numFmtId="0" fontId="27" fillId="0" borderId="0" xfId="8" applyFont="1" applyFill="1" applyBorder="1"/>
    <xf numFmtId="7" fontId="7" fillId="0" borderId="0" xfId="2" applyNumberFormat="1" applyFont="1" applyFill="1"/>
    <xf numFmtId="7" fontId="26" fillId="0" borderId="0" xfId="8" applyNumberFormat="1" applyFont="1" applyFill="1" applyBorder="1"/>
    <xf numFmtId="0" fontId="7" fillId="0" borderId="19" xfId="8" applyFont="1" applyFill="1" applyBorder="1" applyAlignment="1">
      <alignment horizontal="right"/>
    </xf>
    <xf numFmtId="168" fontId="26" fillId="0" borderId="0" xfId="1" applyNumberFormat="1" applyFont="1" applyFill="1" applyBorder="1" applyAlignment="1">
      <alignment horizontal="right"/>
    </xf>
    <xf numFmtId="0" fontId="27" fillId="0" borderId="20" xfId="8" applyFont="1" applyFill="1" applyBorder="1"/>
    <xf numFmtId="0" fontId="7" fillId="0" borderId="0" xfId="8" applyFont="1" applyFill="1" applyBorder="1" applyAlignment="1">
      <alignment horizontal="right"/>
    </xf>
    <xf numFmtId="5" fontId="1" fillId="0" borderId="0" xfId="8" applyNumberFormat="1" applyFont="1" applyFill="1"/>
    <xf numFmtId="165" fontId="27" fillId="0" borderId="0" xfId="1" applyNumberFormat="1" applyFont="1" applyFill="1" applyBorder="1"/>
    <xf numFmtId="165" fontId="27" fillId="0" borderId="20" xfId="1" applyNumberFormat="1" applyFont="1" applyFill="1" applyBorder="1"/>
    <xf numFmtId="0" fontId="26" fillId="0" borderId="24" xfId="8" applyFont="1" applyFill="1" applyBorder="1"/>
    <xf numFmtId="0" fontId="26" fillId="0" borderId="22" xfId="8" applyFont="1" applyFill="1" applyBorder="1"/>
    <xf numFmtId="174" fontId="7" fillId="0" borderId="0" xfId="8" applyNumberFormat="1" applyFont="1" applyFill="1"/>
    <xf numFmtId="191" fontId="1" fillId="0" borderId="0" xfId="1" applyNumberFormat="1" applyFont="1" applyFill="1" applyProtection="1"/>
    <xf numFmtId="165" fontId="1" fillId="0" borderId="0" xfId="1" applyNumberFormat="1" applyFont="1" applyFill="1" applyProtection="1"/>
    <xf numFmtId="0" fontId="1" fillId="0" borderId="0" xfId="8" applyFont="1" applyFill="1" applyBorder="1"/>
    <xf numFmtId="164" fontId="1" fillId="0" borderId="0" xfId="3" applyNumberFormat="1" applyFont="1" applyFill="1" applyBorder="1" applyProtection="1"/>
    <xf numFmtId="0" fontId="29" fillId="0" borderId="0" xfId="8" quotePrefix="1" applyFont="1" applyFill="1"/>
    <xf numFmtId="164" fontId="7" fillId="0" borderId="0" xfId="3" applyNumberFormat="1" applyFont="1" applyFill="1"/>
    <xf numFmtId="0" fontId="24" fillId="0" borderId="0" xfId="8" applyFont="1" applyFill="1" applyBorder="1" applyAlignment="1" applyProtection="1">
      <alignment horizontal="centerContinuous"/>
    </xf>
    <xf numFmtId="0" fontId="1" fillId="0" borderId="0" xfId="8" applyFont="1" applyFill="1" applyAlignment="1">
      <alignment horizontal="center"/>
    </xf>
    <xf numFmtId="0" fontId="7" fillId="0" borderId="24" xfId="8" applyFont="1" applyFill="1" applyBorder="1"/>
    <xf numFmtId="0" fontId="1" fillId="0" borderId="0" xfId="8" applyFont="1" applyFill="1" applyAlignment="1" applyProtection="1">
      <alignment horizontal="left"/>
    </xf>
    <xf numFmtId="0" fontId="7" fillId="0" borderId="25" xfId="8" applyFont="1" applyFill="1" applyBorder="1" applyAlignment="1">
      <alignment horizontal="left"/>
    </xf>
    <xf numFmtId="0" fontId="7" fillId="0" borderId="23" xfId="8" applyFont="1" applyFill="1" applyBorder="1" applyAlignment="1">
      <alignment horizontal="centerContinuous"/>
    </xf>
    <xf numFmtId="0" fontId="7" fillId="0" borderId="18" xfId="8" applyFont="1" applyFill="1" applyBorder="1" applyAlignment="1">
      <alignment horizontal="centerContinuous"/>
    </xf>
    <xf numFmtId="0" fontId="7" fillId="0" borderId="20" xfId="8" applyFont="1" applyFill="1" applyBorder="1" applyAlignment="1">
      <alignment horizontal="center"/>
    </xf>
    <xf numFmtId="5" fontId="27" fillId="0" borderId="0" xfId="8" applyNumberFormat="1" applyFont="1" applyFill="1" applyBorder="1"/>
    <xf numFmtId="174" fontId="27" fillId="0" borderId="0" xfId="8" applyNumberFormat="1" applyFont="1" applyFill="1" applyBorder="1"/>
    <xf numFmtId="174" fontId="7" fillId="0" borderId="20" xfId="8" applyNumberFormat="1" applyFont="1" applyFill="1" applyBorder="1"/>
    <xf numFmtId="0" fontId="7" fillId="0" borderId="21" xfId="8" applyFont="1" applyFill="1" applyBorder="1"/>
    <xf numFmtId="165" fontId="26" fillId="0" borderId="24" xfId="1" applyNumberFormat="1" applyFont="1" applyFill="1" applyBorder="1"/>
    <xf numFmtId="0" fontId="7" fillId="0" borderId="22" xfId="8" applyFont="1" applyFill="1" applyBorder="1"/>
    <xf numFmtId="0" fontId="1" fillId="0" borderId="1" xfId="8" applyFont="1" applyFill="1" applyBorder="1" applyProtection="1"/>
    <xf numFmtId="0" fontId="1" fillId="0" borderId="1" xfId="8" applyFont="1" applyFill="1" applyBorder="1"/>
    <xf numFmtId="0" fontId="32" fillId="0" borderId="0" xfId="8" applyFont="1" applyFill="1" applyBorder="1" applyAlignment="1">
      <alignment horizontal="centerContinuous"/>
    </xf>
    <xf numFmtId="0" fontId="7" fillId="0" borderId="0" xfId="8" applyFont="1" applyFill="1" applyAlignment="1" applyProtection="1">
      <alignment horizontal="center"/>
    </xf>
    <xf numFmtId="0" fontId="7" fillId="0" borderId="0" xfId="8" applyFont="1" applyFill="1" applyAlignment="1">
      <alignment horizontal="center"/>
    </xf>
    <xf numFmtId="0" fontId="7" fillId="0" borderId="17" xfId="8" applyFont="1" applyFill="1" applyBorder="1" applyAlignment="1">
      <alignment horizontal="center"/>
    </xf>
    <xf numFmtId="0" fontId="7" fillId="0" borderId="0" xfId="8" applyFont="1" applyFill="1" applyBorder="1" applyAlignment="1" applyProtection="1">
      <alignment horizontal="center"/>
    </xf>
    <xf numFmtId="0" fontId="7" fillId="0" borderId="1" xfId="8" applyFont="1" applyFill="1" applyBorder="1" applyAlignment="1" applyProtection="1">
      <alignment horizontal="center"/>
    </xf>
    <xf numFmtId="0" fontId="28" fillId="0" borderId="0" xfId="8" applyFont="1" applyFill="1" applyAlignment="1">
      <alignment horizontal="center"/>
    </xf>
    <xf numFmtId="0" fontId="26" fillId="0" borderId="20" xfId="8" applyFont="1" applyFill="1" applyBorder="1"/>
    <xf numFmtId="0" fontId="26" fillId="0" borderId="0" xfId="8" applyFont="1" applyFill="1" applyBorder="1"/>
    <xf numFmtId="0" fontId="7" fillId="0" borderId="6" xfId="8" applyFont="1" applyFill="1" applyBorder="1"/>
    <xf numFmtId="0" fontId="7" fillId="0" borderId="2" xfId="8" applyFont="1" applyFill="1" applyBorder="1"/>
    <xf numFmtId="0" fontId="7" fillId="0" borderId="7" xfId="8" applyFont="1" applyFill="1" applyBorder="1"/>
    <xf numFmtId="0" fontId="28" fillId="0" borderId="0" xfId="8" applyFont="1" applyFill="1" applyBorder="1"/>
    <xf numFmtId="0" fontId="7" fillId="0" borderId="12" xfId="8" applyFont="1" applyFill="1" applyBorder="1"/>
    <xf numFmtId="7" fontId="27" fillId="0" borderId="13" xfId="8" applyNumberFormat="1" applyFont="1" applyFill="1" applyBorder="1"/>
    <xf numFmtId="5" fontId="7" fillId="0" borderId="0" xfId="8" applyNumberFormat="1" applyFont="1" applyFill="1" applyProtection="1"/>
    <xf numFmtId="5" fontId="27" fillId="0" borderId="13" xfId="8" applyNumberFormat="1" applyFont="1" applyFill="1" applyBorder="1"/>
    <xf numFmtId="0" fontId="7" fillId="0" borderId="8" xfId="8" applyFont="1" applyFill="1" applyBorder="1"/>
    <xf numFmtId="5" fontId="27" fillId="0" borderId="1" xfId="8" applyNumberFormat="1" applyFont="1" applyFill="1" applyBorder="1"/>
    <xf numFmtId="0" fontId="27" fillId="0" borderId="1" xfId="8" applyFont="1" applyFill="1" applyBorder="1"/>
    <xf numFmtId="5" fontId="27" fillId="0" borderId="9" xfId="8" applyNumberFormat="1" applyFont="1" applyFill="1" applyBorder="1"/>
    <xf numFmtId="0" fontId="29" fillId="0" borderId="0" xfId="8" quotePrefix="1" applyFont="1" applyFill="1" applyBorder="1"/>
    <xf numFmtId="10" fontId="7" fillId="0" borderId="0" xfId="3" applyNumberFormat="1" applyFont="1" applyFill="1"/>
    <xf numFmtId="0" fontId="32" fillId="0" borderId="0" xfId="8" applyFont="1" applyFill="1" applyAlignment="1">
      <alignment horizontal="centerContinuous"/>
    </xf>
    <xf numFmtId="0" fontId="7" fillId="0" borderId="17" xfId="8" applyFont="1" applyFill="1" applyBorder="1" applyAlignment="1">
      <alignment horizontal="centerContinuous"/>
    </xf>
    <xf numFmtId="0" fontId="34" fillId="0" borderId="0" xfId="9" applyFont="1" applyAlignment="1">
      <alignment horizontal="center"/>
    </xf>
    <xf numFmtId="0" fontId="6" fillId="0" borderId="0" xfId="9"/>
    <xf numFmtId="0" fontId="34" fillId="0" borderId="0" xfId="9" applyFont="1" applyAlignment="1">
      <alignment horizontal="center"/>
    </xf>
    <xf numFmtId="0" fontId="34" fillId="0" borderId="1" xfId="9" applyFont="1" applyBorder="1" applyAlignment="1">
      <alignment horizontal="center"/>
    </xf>
    <xf numFmtId="0" fontId="35" fillId="0" borderId="12" xfId="9" applyFont="1" applyBorder="1" applyAlignment="1">
      <alignment horizontal="center"/>
    </xf>
    <xf numFmtId="0" fontId="35" fillId="0" borderId="2" xfId="9" applyFont="1" applyBorder="1" applyAlignment="1">
      <alignment horizontal="center"/>
    </xf>
    <xf numFmtId="0" fontId="6" fillId="0" borderId="7" xfId="9" applyBorder="1"/>
    <xf numFmtId="0" fontId="6" fillId="0" borderId="12" xfId="9" applyBorder="1" applyAlignment="1">
      <alignment horizontal="center"/>
    </xf>
    <xf numFmtId="0" fontId="6" fillId="0" borderId="0" xfId="9" applyBorder="1" applyAlignment="1">
      <alignment horizontal="center"/>
    </xf>
    <xf numFmtId="0" fontId="6" fillId="0" borderId="13" xfId="9" applyBorder="1"/>
    <xf numFmtId="0" fontId="6" fillId="0" borderId="0" xfId="9" applyBorder="1"/>
    <xf numFmtId="0" fontId="6" fillId="0" borderId="6" xfId="9" applyBorder="1"/>
    <xf numFmtId="0" fontId="6" fillId="0" borderId="2" xfId="9" applyBorder="1"/>
    <xf numFmtId="10" fontId="35" fillId="0" borderId="0" xfId="3" applyNumberFormat="1" applyFont="1"/>
    <xf numFmtId="0" fontId="6" fillId="0" borderId="12" xfId="9" applyBorder="1" applyAlignment="1">
      <alignment horizontal="right"/>
    </xf>
    <xf numFmtId="164" fontId="6" fillId="0" borderId="0" xfId="9" applyNumberFormat="1" applyBorder="1" applyAlignment="1">
      <alignment horizontal="center"/>
    </xf>
    <xf numFmtId="0" fontId="6" fillId="0" borderId="1" xfId="9" applyBorder="1"/>
    <xf numFmtId="0" fontId="6" fillId="0" borderId="0" xfId="9" applyAlignment="1">
      <alignment horizontal="center"/>
    </xf>
    <xf numFmtId="0" fontId="6" fillId="0" borderId="12" xfId="9" applyBorder="1"/>
    <xf numFmtId="0" fontId="6" fillId="0" borderId="13" xfId="9" applyFont="1" applyBorder="1" applyAlignment="1">
      <alignment horizontal="center"/>
    </xf>
    <xf numFmtId="0" fontId="6" fillId="0" borderId="13" xfId="9" applyBorder="1" applyAlignment="1">
      <alignment horizontal="center"/>
    </xf>
    <xf numFmtId="164" fontId="6" fillId="0" borderId="13" xfId="9" applyNumberFormat="1" applyBorder="1" applyAlignment="1">
      <alignment horizontal="right"/>
    </xf>
    <xf numFmtId="0" fontId="6" fillId="0" borderId="0" xfId="9" applyAlignment="1">
      <alignment horizontal="right"/>
    </xf>
    <xf numFmtId="5" fontId="6" fillId="0" borderId="12" xfId="9" applyNumberFormat="1" applyBorder="1" applyAlignment="1">
      <alignment horizontal="right"/>
    </xf>
    <xf numFmtId="5" fontId="35" fillId="0" borderId="0" xfId="9" applyNumberFormat="1" applyFont="1" applyBorder="1" applyAlignment="1">
      <alignment horizontal="right"/>
    </xf>
    <xf numFmtId="5" fontId="35" fillId="0" borderId="13" xfId="9" applyNumberFormat="1" applyFont="1" applyBorder="1"/>
    <xf numFmtId="5" fontId="6" fillId="0" borderId="0" xfId="9" applyNumberFormat="1"/>
    <xf numFmtId="5" fontId="6" fillId="0" borderId="12" xfId="9" applyNumberFormat="1" applyBorder="1"/>
    <xf numFmtId="5" fontId="6" fillId="0" borderId="13" xfId="9" applyNumberFormat="1" applyBorder="1"/>
    <xf numFmtId="0" fontId="6" fillId="0" borderId="1" xfId="9" applyBorder="1" applyAlignment="1">
      <alignment horizontal="right"/>
    </xf>
    <xf numFmtId="5" fontId="6" fillId="0" borderId="1" xfId="9" applyNumberFormat="1" applyBorder="1" applyAlignment="1">
      <alignment horizontal="right"/>
    </xf>
    <xf numFmtId="0" fontId="6" fillId="0" borderId="9" xfId="9" applyBorder="1"/>
    <xf numFmtId="16" fontId="6" fillId="0" borderId="0" xfId="9" quotePrefix="1" applyNumberFormat="1" applyBorder="1" applyAlignment="1">
      <alignment horizontal="center"/>
    </xf>
    <xf numFmtId="16" fontId="6" fillId="0" borderId="13" xfId="9" applyNumberFormat="1" applyBorder="1" applyAlignment="1">
      <alignment horizontal="center"/>
    </xf>
    <xf numFmtId="5" fontId="36" fillId="0" borderId="0" xfId="9" applyNumberFormat="1" applyFont="1" applyBorder="1"/>
    <xf numFmtId="5" fontId="6" fillId="0" borderId="6" xfId="9" applyNumberFormat="1" applyBorder="1" applyAlignment="1">
      <alignment horizontal="right"/>
    </xf>
    <xf numFmtId="5" fontId="6" fillId="0" borderId="2" xfId="9" applyNumberFormat="1" applyBorder="1" applyAlignment="1">
      <alignment horizontal="right"/>
    </xf>
    <xf numFmtId="5" fontId="6" fillId="0" borderId="0" xfId="9" applyNumberFormat="1" applyBorder="1"/>
    <xf numFmtId="0" fontId="36" fillId="0" borderId="0" xfId="9" applyFont="1" applyBorder="1" applyAlignment="1"/>
    <xf numFmtId="0" fontId="36" fillId="0" borderId="0" xfId="9" applyFont="1" applyBorder="1" applyAlignment="1">
      <alignment horizontal="center"/>
    </xf>
    <xf numFmtId="0" fontId="36" fillId="0" borderId="13" xfId="9" applyFont="1" applyBorder="1" applyAlignment="1">
      <alignment horizontal="center"/>
    </xf>
    <xf numFmtId="0" fontId="6" fillId="0" borderId="0" xfId="9" applyBorder="1" applyAlignment="1">
      <alignment horizontal="right"/>
    </xf>
    <xf numFmtId="0" fontId="6" fillId="0" borderId="0" xfId="9" applyAlignment="1">
      <alignment horizontal="left"/>
    </xf>
    <xf numFmtId="7" fontId="6" fillId="0" borderId="12" xfId="2" applyNumberFormat="1" applyBorder="1" applyAlignment="1">
      <alignment horizontal="right"/>
    </xf>
    <xf numFmtId="7" fontId="6" fillId="0" borderId="0" xfId="2" applyNumberFormat="1" applyBorder="1" applyAlignment="1">
      <alignment horizontal="right"/>
    </xf>
    <xf numFmtId="7" fontId="6" fillId="0" borderId="0" xfId="9" applyNumberFormat="1" applyBorder="1"/>
    <xf numFmtId="37" fontId="6" fillId="0" borderId="0" xfId="9" applyNumberFormat="1" applyBorder="1"/>
    <xf numFmtId="9" fontId="6" fillId="0" borderId="0" xfId="3" applyNumberFormat="1"/>
    <xf numFmtId="37" fontId="6" fillId="0" borderId="12" xfId="9" applyNumberFormat="1" applyBorder="1"/>
    <xf numFmtId="192" fontId="6" fillId="0" borderId="0" xfId="9" applyNumberFormat="1"/>
    <xf numFmtId="0" fontId="6" fillId="0" borderId="0" xfId="9" quotePrefix="1" applyFont="1" applyAlignment="1">
      <alignment horizontal="left"/>
    </xf>
    <xf numFmtId="37" fontId="6" fillId="0" borderId="0" xfId="9" applyNumberFormat="1" applyBorder="1" applyAlignment="1">
      <alignment horizontal="center"/>
    </xf>
    <xf numFmtId="5" fontId="6" fillId="0" borderId="13" xfId="9" applyNumberFormat="1" applyBorder="1" applyAlignment="1">
      <alignment horizontal="center"/>
    </xf>
    <xf numFmtId="0" fontId="6" fillId="0" borderId="0" xfId="9" quotePrefix="1" applyBorder="1"/>
    <xf numFmtId="44" fontId="6" fillId="0" borderId="0" xfId="2" applyBorder="1" applyAlignment="1">
      <alignment horizontal="right"/>
    </xf>
    <xf numFmtId="37" fontId="36" fillId="0" borderId="0" xfId="9" applyNumberFormat="1" applyFont="1" applyBorder="1"/>
    <xf numFmtId="5" fontId="36" fillId="0" borderId="13" xfId="9" applyNumberFormat="1" applyFont="1" applyBorder="1"/>
    <xf numFmtId="7" fontId="36" fillId="0" borderId="0" xfId="9" applyNumberFormat="1" applyFont="1" applyBorder="1"/>
    <xf numFmtId="168" fontId="6" fillId="0" borderId="12" xfId="1" applyNumberFormat="1" applyFont="1" applyBorder="1" applyAlignment="1">
      <alignment horizontal="right"/>
    </xf>
    <xf numFmtId="168" fontId="6" fillId="0" borderId="8" xfId="1" applyNumberFormat="1" applyBorder="1" applyAlignment="1">
      <alignment horizontal="right"/>
    </xf>
    <xf numFmtId="168" fontId="6" fillId="0" borderId="1" xfId="1" applyNumberFormat="1" applyFont="1" applyBorder="1" applyAlignment="1">
      <alignment horizontal="right"/>
    </xf>
    <xf numFmtId="168" fontId="6" fillId="0" borderId="1" xfId="9" applyNumberFormat="1" applyFont="1" applyBorder="1"/>
    <xf numFmtId="168" fontId="6" fillId="0" borderId="0" xfId="1" applyNumberFormat="1" applyBorder="1" applyAlignment="1">
      <alignment horizontal="right"/>
    </xf>
    <xf numFmtId="168" fontId="6" fillId="0" borderId="0" xfId="1" applyNumberFormat="1" applyFont="1" applyBorder="1" applyAlignment="1">
      <alignment horizontal="right"/>
    </xf>
    <xf numFmtId="0" fontId="35" fillId="0" borderId="0" xfId="9" applyFont="1" applyBorder="1"/>
    <xf numFmtId="0" fontId="6" fillId="0" borderId="0" xfId="9" quotePrefix="1" applyAlignment="1">
      <alignment horizontal="left"/>
    </xf>
    <xf numFmtId="0" fontId="35" fillId="0" borderId="0" xfId="9" applyFont="1" applyAlignment="1">
      <alignment horizontal="left"/>
    </xf>
    <xf numFmtId="7" fontId="6" fillId="0" borderId="0" xfId="9" applyNumberFormat="1" applyAlignment="1">
      <alignment horizontal="right"/>
    </xf>
    <xf numFmtId="7" fontId="6" fillId="0" borderId="0" xfId="9" applyNumberFormat="1"/>
    <xf numFmtId="10" fontId="6" fillId="0" borderId="0" xfId="3" applyNumberFormat="1"/>
    <xf numFmtId="7" fontId="36" fillId="0" borderId="0" xfId="9" applyNumberFormat="1" applyFont="1" applyAlignment="1">
      <alignment horizontal="right"/>
    </xf>
    <xf numFmtId="5" fontId="6" fillId="0" borderId="0" xfId="9" applyNumberFormat="1" applyAlignment="1">
      <alignment horizontal="right"/>
    </xf>
    <xf numFmtId="0" fontId="6" fillId="0" borderId="0" xfId="9" applyFont="1" applyAlignment="1">
      <alignment horizontal="left"/>
    </xf>
    <xf numFmtId="5" fontId="6" fillId="0" borderId="0" xfId="9" applyNumberFormat="1" applyFont="1"/>
    <xf numFmtId="0" fontId="6" fillId="0" borderId="0" xfId="9" quotePrefix="1" applyFont="1"/>
    <xf numFmtId="0" fontId="6" fillId="0" borderId="0" xfId="0" quotePrefix="1" applyFont="1"/>
    <xf numFmtId="0" fontId="6" fillId="0" borderId="0" xfId="9" applyFont="1"/>
    <xf numFmtId="7" fontId="6" fillId="0" borderId="0" xfId="9" quotePrefix="1" applyNumberFormat="1" applyFont="1" applyAlignment="1">
      <alignment horizontal="left"/>
    </xf>
    <xf numFmtId="193" fontId="34" fillId="0" borderId="0" xfId="9" applyNumberFormat="1" applyFont="1" applyBorder="1" applyAlignment="1">
      <alignment horizontal="center"/>
    </xf>
    <xf numFmtId="0" fontId="6" fillId="0" borderId="0" xfId="9" applyBorder="1" applyAlignment="1">
      <alignment horizontal="center"/>
    </xf>
    <xf numFmtId="0" fontId="0" fillId="0" borderId="0" xfId="0" applyAlignment="1">
      <alignment horizontal="center"/>
    </xf>
    <xf numFmtId="0" fontId="36" fillId="0" borderId="0" xfId="9" applyFont="1" applyAlignment="1">
      <alignment horizontal="left"/>
    </xf>
    <xf numFmtId="0" fontId="36" fillId="0" borderId="0" xfId="9" applyFont="1" applyAlignment="1">
      <alignment horizontal="center"/>
    </xf>
    <xf numFmtId="0" fontId="37" fillId="0" borderId="0" xfId="9" quotePrefix="1" applyFont="1" applyFill="1" applyAlignment="1" applyProtection="1">
      <alignment horizontal="center"/>
    </xf>
    <xf numFmtId="37" fontId="6" fillId="0" borderId="0" xfId="9" applyNumberFormat="1" applyFill="1" applyBorder="1"/>
    <xf numFmtId="166" fontId="35" fillId="0" borderId="0" xfId="9" applyNumberFormat="1" applyFont="1"/>
    <xf numFmtId="174" fontId="0" fillId="0" borderId="0" xfId="0" applyNumberFormat="1"/>
    <xf numFmtId="5" fontId="0" fillId="0" borderId="0" xfId="0" applyNumberFormat="1"/>
    <xf numFmtId="7" fontId="0" fillId="0" borderId="0" xfId="0" applyNumberFormat="1"/>
  </cellXfs>
  <cellStyles count="18">
    <cellStyle name="Comma" xfId="1" builtinId="3"/>
    <cellStyle name="Comma 2" xfId="10"/>
    <cellStyle name="Currency" xfId="2" builtinId="4"/>
    <cellStyle name="General" xfId="11"/>
    <cellStyle name="Marathon" xfId="12"/>
    <cellStyle name="nONE" xfId="13"/>
    <cellStyle name="Normal" xfId="0" builtinId="0"/>
    <cellStyle name="Normal 2" xfId="14"/>
    <cellStyle name="Normal 3" xfId="15"/>
    <cellStyle name="Normal 4" xfId="16"/>
    <cellStyle name="Normal_East for 38.6M" xfId="7"/>
    <cellStyle name="Normal_Low Income Proposal" xfId="9"/>
    <cellStyle name="Normal_OR Blocking 04" xfId="6"/>
    <cellStyle name="Normal_OR Blocking 98 No Forecast" xfId="8"/>
    <cellStyle name="Normal_WA98" xfId="4"/>
    <cellStyle name="Normal_WA98 2" xfId="5"/>
    <cellStyle name="Percent" xfId="3" builtinId="5"/>
    <cellStyle name="TRANSMISSION RELIABILITY PORTION OF PROJECT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22-05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ADec10%20Ordered%2033.5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%20West%20Rate%20Migrati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97%20B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98\Stipulation\WA98%20with%20deferral%20separa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te Spread Ordered"/>
      <sheetName val="SBC (Old)"/>
      <sheetName val="Billing Determinants (2)"/>
      <sheetName val="Blocking - detail"/>
      <sheetName val="Rate Spread w bill deter"/>
      <sheetName val="Billing Determinants"/>
      <sheetName val="Bill Comp Sch 16"/>
      <sheetName val="Bill Comp Sch 24"/>
      <sheetName val="Bill Comp Sch 36"/>
      <sheetName val="Bill Comp Sch 40"/>
      <sheetName val="Bill Comp Sch 48 Sec"/>
      <sheetName val="Bill Comp Sch 48 Pri"/>
      <sheetName val="Bill Comp Sch 48 Ded"/>
      <sheetName val="Schedule 191 p1"/>
      <sheetName val="Schedule 191 p2"/>
      <sheetName val="Stop here"/>
      <sheetName val="by rate"/>
      <sheetName val="Schedule 17"/>
      <sheetName val="Rate Spread rebuttal"/>
      <sheetName val="Table A by class proposed"/>
      <sheetName val="Comparison"/>
      <sheetName val="Table 1-Revenues"/>
      <sheetName val="Table 1 - kWh"/>
      <sheetName val="Table 2"/>
      <sheetName val="Table 3"/>
      <sheetName val="Normalized Monthly kWh"/>
      <sheetName val="Temperature"/>
      <sheetName val="Temperature Adj by Rate Sch"/>
      <sheetName val="Temp Adj by Rate Schedule old"/>
      <sheetName val="By rate old"/>
      <sheetName val="Rate Spread filed"/>
      <sheetName val="Billing Determinants prior"/>
      <sheetName val="Table A by class present"/>
      <sheetName val="Normalized Monthly revenue"/>
      <sheetName val="TransAlta"/>
      <sheetName val="305 VS COGNOS Revenue"/>
      <sheetName val="305 VS COGNOS kWh"/>
      <sheetName val="305 Inputs"/>
      <sheetName val="December 3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>
    <pageSetUpPr fitToPage="1"/>
  </sheetPr>
  <dimension ref="B1:AU59"/>
  <sheetViews>
    <sheetView tabSelected="1" view="pageBreakPreview" topLeftCell="B1" zoomScale="60" zoomScaleNormal="55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125" style="1" customWidth="1"/>
    <col min="14" max="14" width="10.25" style="1" hidden="1" customWidth="1"/>
    <col min="15" max="15" width="10.25" style="1" bestFit="1" customWidth="1"/>
    <col min="16" max="16" width="2.75" style="1" customWidth="1"/>
    <col min="17" max="17" width="12.625" style="1" customWidth="1"/>
    <col min="18" max="18" width="2" style="1" hidden="1" customWidth="1"/>
    <col min="19" max="19" width="20.25" style="1" hidden="1" customWidth="1"/>
    <col min="20" max="20" width="3.625" style="1" customWidth="1"/>
    <col min="21" max="21" width="8.875" style="1" bestFit="1" customWidth="1"/>
    <col min="22" max="22" width="6.625" style="1" bestFit="1" customWidth="1"/>
    <col min="23" max="23" width="14.125" style="1" hidden="1" customWidth="1"/>
    <col min="24" max="24" width="12.25" style="1" hidden="1" customWidth="1"/>
    <col min="25" max="25" width="14.5" style="1" hidden="1" customWidth="1"/>
    <col min="26" max="26" width="15.25" style="1" hidden="1" customWidth="1"/>
    <col min="27" max="27" width="6.75" style="1" hidden="1" customWidth="1"/>
    <col min="28" max="28" width="20.75" style="1" hidden="1" customWidth="1"/>
    <col min="29" max="29" width="3.875" style="1" customWidth="1"/>
    <col min="30" max="30" width="11.625" style="4" bestFit="1" customWidth="1"/>
    <col min="31" max="31" width="11" style="5" bestFit="1" customWidth="1"/>
    <col min="32" max="32" width="11" style="5" customWidth="1"/>
    <col min="33" max="33" width="7.875" style="5" bestFit="1" customWidth="1"/>
    <col min="34" max="35" width="0.125" style="5" customWidth="1"/>
    <col min="36" max="36" width="2.5" style="5" customWidth="1"/>
    <col min="37" max="37" width="8.875" style="5" bestFit="1" customWidth="1"/>
    <col min="38" max="38" width="7.875" style="5" bestFit="1" customWidth="1"/>
    <col min="39" max="39" width="11.75" style="1" bestFit="1" customWidth="1"/>
    <col min="40" max="40" width="2.125" style="1" customWidth="1"/>
    <col min="41" max="41" width="8.25" style="1" customWidth="1"/>
    <col min="42" max="42" width="3.125" style="1" customWidth="1"/>
    <col min="43" max="43" width="7.25" style="1" customWidth="1"/>
    <col min="44" max="44" width="0.125" style="1" customWidth="1"/>
    <col min="45" max="45" width="10.25" style="1" customWidth="1"/>
    <col min="46" max="46" width="13.5" style="1" bestFit="1" customWidth="1"/>
    <col min="47" max="16384" width="10.25" style="1"/>
  </cols>
  <sheetData>
    <row r="1" spans="2:47">
      <c r="Q1" s="3" t="s">
        <v>0</v>
      </c>
    </row>
    <row r="2" spans="2:47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AN2" s="7"/>
      <c r="AO2" s="7"/>
    </row>
    <row r="3" spans="2:47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9"/>
      <c r="AN3" s="9"/>
      <c r="AO3" s="9"/>
      <c r="AP3" s="10"/>
      <c r="AQ3" s="10"/>
      <c r="AR3" s="10"/>
    </row>
    <row r="4" spans="2:47">
      <c r="B4" s="8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9" t="s">
        <v>0</v>
      </c>
      <c r="AN4" s="9"/>
      <c r="AO4" s="9"/>
      <c r="AP4" s="10"/>
      <c r="AQ4" s="10"/>
      <c r="AR4" s="10"/>
    </row>
    <row r="5" spans="2:47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9"/>
      <c r="AN5" s="9"/>
      <c r="AO5" s="9"/>
      <c r="AP5" s="10"/>
      <c r="AQ5" s="10"/>
      <c r="AR5" s="10"/>
    </row>
    <row r="6" spans="2:47">
      <c r="B6" s="8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9"/>
      <c r="AN6" s="9"/>
      <c r="AO6" s="9"/>
      <c r="AP6" s="10"/>
      <c r="AQ6" s="10"/>
      <c r="AR6" s="10"/>
    </row>
    <row r="7" spans="2:47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7"/>
      <c r="AN7" s="7"/>
      <c r="AO7" s="7"/>
      <c r="AP7" s="11"/>
      <c r="AQ7" s="11"/>
      <c r="AR7" s="11"/>
    </row>
    <row r="8" spans="2:47">
      <c r="M8" s="12"/>
      <c r="N8" s="13"/>
      <c r="O8" s="13"/>
      <c r="P8" s="14"/>
      <c r="Q8" s="14"/>
      <c r="R8" s="13"/>
      <c r="S8" s="13"/>
      <c r="T8" s="13"/>
      <c r="U8" s="14"/>
      <c r="V8" s="14"/>
      <c r="W8" s="14"/>
      <c r="X8" s="14"/>
      <c r="Y8" s="14"/>
      <c r="Z8" s="14"/>
      <c r="AA8" s="14"/>
      <c r="AB8" s="15" t="s">
        <v>7</v>
      </c>
      <c r="AC8" s="14"/>
      <c r="AD8" s="16"/>
      <c r="AE8" s="16"/>
      <c r="AF8" s="16"/>
      <c r="AG8" s="16"/>
      <c r="AH8" s="17"/>
      <c r="AI8" s="17"/>
      <c r="AJ8" s="18"/>
      <c r="AK8" s="18"/>
      <c r="AL8" s="18"/>
      <c r="AM8" s="14"/>
      <c r="AN8" s="14"/>
      <c r="AO8" s="14"/>
      <c r="AP8" s="14"/>
      <c r="AQ8" s="14"/>
      <c r="AR8" s="14"/>
      <c r="AS8" s="12"/>
      <c r="AT8" s="12"/>
      <c r="AU8" s="12"/>
    </row>
    <row r="9" spans="2:47">
      <c r="N9" s="19" t="s">
        <v>8</v>
      </c>
      <c r="O9" s="19" t="s">
        <v>9</v>
      </c>
      <c r="P9" s="20"/>
      <c r="Q9" s="21" t="s">
        <v>10</v>
      </c>
      <c r="R9" s="21"/>
      <c r="S9" s="21"/>
      <c r="T9" s="22"/>
      <c r="U9" s="23" t="s">
        <v>11</v>
      </c>
      <c r="V9" s="23"/>
      <c r="W9" s="23"/>
      <c r="X9" s="23"/>
      <c r="Y9" s="23"/>
      <c r="Z9" s="23"/>
      <c r="AA9" s="20"/>
      <c r="AB9" s="24" t="s">
        <v>12</v>
      </c>
      <c r="AC9" s="20"/>
      <c r="AD9" s="25" t="s">
        <v>13</v>
      </c>
      <c r="AE9" s="25"/>
      <c r="AF9" s="25"/>
      <c r="AG9" s="25"/>
      <c r="AH9" s="26"/>
      <c r="AI9" s="27"/>
      <c r="AK9" s="28" t="s">
        <v>14</v>
      </c>
      <c r="AL9" s="28"/>
      <c r="AM9" s="15" t="s">
        <v>10</v>
      </c>
      <c r="AN9" s="20"/>
      <c r="AO9" s="15" t="s">
        <v>15</v>
      </c>
      <c r="AP9" s="20"/>
      <c r="AQ9" s="20"/>
      <c r="AR9" s="20"/>
    </row>
    <row r="10" spans="2:47">
      <c r="F10" s="29" t="s">
        <v>16</v>
      </c>
      <c r="G10" s="29"/>
      <c r="H10" s="19" t="s">
        <v>17</v>
      </c>
      <c r="N10" s="15" t="s">
        <v>18</v>
      </c>
      <c r="O10" s="15" t="s">
        <v>18</v>
      </c>
      <c r="P10" s="30"/>
      <c r="Q10" s="15" t="s">
        <v>18</v>
      </c>
      <c r="R10" s="15"/>
      <c r="S10" s="15" t="s">
        <v>19</v>
      </c>
      <c r="T10" s="15"/>
      <c r="U10" s="31" t="s">
        <v>18</v>
      </c>
      <c r="V10" s="31"/>
      <c r="W10" s="31" t="s">
        <v>7</v>
      </c>
      <c r="X10" s="15" t="s">
        <v>20</v>
      </c>
      <c r="Y10" s="31" t="s">
        <v>19</v>
      </c>
      <c r="Z10" s="22"/>
      <c r="AA10" s="22"/>
      <c r="AB10" s="22"/>
      <c r="AC10" s="22"/>
      <c r="AD10" s="16"/>
      <c r="AE10" s="16" t="s">
        <v>21</v>
      </c>
      <c r="AF10" s="16"/>
      <c r="AG10" s="32"/>
      <c r="AH10" s="4"/>
      <c r="AI10" s="4"/>
      <c r="AK10" s="16" t="s">
        <v>18</v>
      </c>
      <c r="AL10" s="4"/>
      <c r="AM10" s="15" t="s">
        <v>18</v>
      </c>
      <c r="AN10" s="22"/>
      <c r="AO10" s="15" t="s">
        <v>11</v>
      </c>
      <c r="AP10" s="33"/>
      <c r="AQ10" s="22"/>
      <c r="AR10" s="33"/>
    </row>
    <row r="11" spans="2:47">
      <c r="B11" s="33" t="s">
        <v>22</v>
      </c>
      <c r="F11" s="29" t="s">
        <v>23</v>
      </c>
      <c r="G11" s="29"/>
      <c r="H11" s="19" t="s">
        <v>24</v>
      </c>
      <c r="I11" s="19" t="s">
        <v>17</v>
      </c>
      <c r="K11" s="19" t="s">
        <v>25</v>
      </c>
      <c r="N11" s="19" t="s">
        <v>26</v>
      </c>
      <c r="O11" s="19" t="s">
        <v>26</v>
      </c>
      <c r="P11" s="33"/>
      <c r="Q11" s="19" t="s">
        <v>26</v>
      </c>
      <c r="R11" s="19"/>
      <c r="S11" s="19" t="s">
        <v>26</v>
      </c>
      <c r="T11" s="19"/>
      <c r="U11" s="34" t="s">
        <v>27</v>
      </c>
      <c r="V11" s="19" t="s">
        <v>18</v>
      </c>
      <c r="W11" s="34" t="s">
        <v>27</v>
      </c>
      <c r="X11" s="19" t="s">
        <v>28</v>
      </c>
      <c r="Y11" s="34" t="s">
        <v>27</v>
      </c>
      <c r="Z11" s="19" t="s">
        <v>19</v>
      </c>
      <c r="AA11" s="33"/>
      <c r="AB11" s="33"/>
      <c r="AC11" s="33"/>
      <c r="AD11" s="35" t="s">
        <v>29</v>
      </c>
      <c r="AE11" s="35" t="s">
        <v>30</v>
      </c>
      <c r="AF11" s="35" t="s">
        <v>31</v>
      </c>
      <c r="AG11" s="35" t="s">
        <v>18</v>
      </c>
      <c r="AH11" s="36"/>
      <c r="AI11" s="36"/>
      <c r="AJ11" s="18"/>
      <c r="AK11" s="37" t="s">
        <v>27</v>
      </c>
      <c r="AL11" s="4" t="s">
        <v>18</v>
      </c>
      <c r="AM11" s="19" t="s">
        <v>32</v>
      </c>
      <c r="AN11" s="33"/>
      <c r="AO11" s="19" t="s">
        <v>33</v>
      </c>
      <c r="AP11" s="33"/>
      <c r="AQ11" s="15"/>
      <c r="AR11" s="38"/>
      <c r="AS11" s="12"/>
    </row>
    <row r="12" spans="2:47">
      <c r="B12" s="39" t="s">
        <v>34</v>
      </c>
      <c r="D12" s="40" t="s">
        <v>35</v>
      </c>
      <c r="F12" s="40" t="s">
        <v>34</v>
      </c>
      <c r="G12" s="41"/>
      <c r="H12" s="42" t="s">
        <v>8</v>
      </c>
      <c r="I12" s="24" t="s">
        <v>24</v>
      </c>
      <c r="K12" s="42" t="s">
        <v>8</v>
      </c>
      <c r="L12" s="24" t="s">
        <v>25</v>
      </c>
      <c r="N12" s="43" t="s">
        <v>36</v>
      </c>
      <c r="O12" s="43" t="s">
        <v>36</v>
      </c>
      <c r="P12" s="15"/>
      <c r="Q12" s="43" t="s">
        <v>36</v>
      </c>
      <c r="R12" s="44"/>
      <c r="S12" s="43" t="s">
        <v>36</v>
      </c>
      <c r="T12" s="44"/>
      <c r="U12" s="45" t="s">
        <v>36</v>
      </c>
      <c r="V12" s="24" t="s">
        <v>37</v>
      </c>
      <c r="W12" s="45" t="s">
        <v>36</v>
      </c>
      <c r="X12" s="24" t="s">
        <v>37</v>
      </c>
      <c r="Y12" s="45" t="s">
        <v>36</v>
      </c>
      <c r="Z12" s="24" t="s">
        <v>37</v>
      </c>
      <c r="AA12" s="38"/>
      <c r="AB12" s="46" t="s">
        <v>38</v>
      </c>
      <c r="AC12" s="38"/>
      <c r="AD12" s="47" t="s">
        <v>36</v>
      </c>
      <c r="AE12" s="48" t="s">
        <v>39</v>
      </c>
      <c r="AF12" s="48" t="s">
        <v>40</v>
      </c>
      <c r="AG12" s="48" t="s">
        <v>37</v>
      </c>
      <c r="AH12" s="36"/>
      <c r="AI12" s="36"/>
      <c r="AJ12" s="18"/>
      <c r="AK12" s="47" t="s">
        <v>36</v>
      </c>
      <c r="AL12" s="49" t="s">
        <v>37</v>
      </c>
      <c r="AM12" s="43" t="s">
        <v>38</v>
      </c>
      <c r="AN12" s="38"/>
      <c r="AO12" s="24" t="s">
        <v>41</v>
      </c>
      <c r="AP12" s="38"/>
      <c r="AQ12" s="15"/>
      <c r="AR12" s="38"/>
      <c r="AS12" s="12"/>
    </row>
    <row r="13" spans="2:47">
      <c r="B13" s="50"/>
      <c r="D13" s="34" t="s">
        <v>42</v>
      </c>
      <c r="F13" s="34" t="s">
        <v>43</v>
      </c>
      <c r="G13" s="29"/>
      <c r="H13" s="34"/>
      <c r="I13" s="34" t="s">
        <v>44</v>
      </c>
      <c r="K13" s="34"/>
      <c r="L13" s="34" t="s">
        <v>45</v>
      </c>
      <c r="N13" s="34"/>
      <c r="O13" s="34" t="s">
        <v>46</v>
      </c>
      <c r="P13" s="34"/>
      <c r="Q13" s="34" t="s">
        <v>47</v>
      </c>
      <c r="R13" s="34"/>
      <c r="S13" s="34"/>
      <c r="T13" s="34"/>
      <c r="U13" s="34" t="s">
        <v>48</v>
      </c>
      <c r="V13" s="34" t="s">
        <v>49</v>
      </c>
      <c r="W13" s="34" t="s">
        <v>49</v>
      </c>
      <c r="X13" s="34" t="s">
        <v>49</v>
      </c>
      <c r="Y13" s="34"/>
      <c r="Z13" s="34"/>
      <c r="AA13" s="34"/>
      <c r="AB13" s="34"/>
      <c r="AC13" s="34"/>
      <c r="AD13" s="37" t="s">
        <v>50</v>
      </c>
      <c r="AE13" s="37" t="s">
        <v>51</v>
      </c>
      <c r="AF13" s="37" t="s">
        <v>52</v>
      </c>
      <c r="AG13" s="37" t="s">
        <v>53</v>
      </c>
      <c r="AH13" s="51"/>
      <c r="AI13" s="51"/>
      <c r="AJ13" s="18"/>
      <c r="AK13" s="52" t="s">
        <v>54</v>
      </c>
      <c r="AL13" s="52" t="s">
        <v>55</v>
      </c>
      <c r="AM13" s="34" t="s">
        <v>50</v>
      </c>
      <c r="AN13" s="34"/>
      <c r="AO13" s="34" t="s">
        <v>51</v>
      </c>
      <c r="AP13" s="34"/>
      <c r="AQ13" s="30"/>
      <c r="AR13" s="30"/>
      <c r="AS13" s="12"/>
    </row>
    <row r="14" spans="2:47">
      <c r="P14" s="34"/>
      <c r="Q14" s="34" t="s">
        <v>56</v>
      </c>
      <c r="V14" s="34" t="s">
        <v>57</v>
      </c>
      <c r="X14" s="34" t="s">
        <v>57</v>
      </c>
      <c r="Z14" s="34"/>
      <c r="AG14" s="37" t="s">
        <v>58</v>
      </c>
      <c r="AH14" s="18"/>
      <c r="AI14" s="18"/>
      <c r="AJ14" s="18"/>
      <c r="AK14" s="52" t="s">
        <v>59</v>
      </c>
      <c r="AL14" s="52" t="s">
        <v>60</v>
      </c>
      <c r="AM14" s="34" t="s">
        <v>61</v>
      </c>
      <c r="AO14" s="34" t="s">
        <v>62</v>
      </c>
      <c r="AQ14" s="12"/>
      <c r="AR14" s="12"/>
      <c r="AS14" s="12"/>
    </row>
    <row r="15" spans="2:47">
      <c r="D15" s="53" t="s">
        <v>63</v>
      </c>
      <c r="AH15" s="18"/>
      <c r="AI15" s="18"/>
      <c r="AJ15" s="18"/>
      <c r="AQ15" s="12"/>
      <c r="AR15" s="12"/>
      <c r="AS15" s="12"/>
    </row>
    <row r="16" spans="2:47">
      <c r="B16" s="33">
        <v>1</v>
      </c>
      <c r="D16" s="2" t="s">
        <v>64</v>
      </c>
      <c r="F16" s="54" t="s">
        <v>65</v>
      </c>
      <c r="G16" s="54"/>
      <c r="H16" s="55">
        <v>101336.91666666667</v>
      </c>
      <c r="I16" s="55">
        <f>'Billing Determinants'!C83/12</f>
        <v>103541.66666666667</v>
      </c>
      <c r="J16" s="3"/>
      <c r="K16" s="55">
        <v>1569938.6044392167</v>
      </c>
      <c r="L16" s="55">
        <f>'Billing Determinants'!C91/1000</f>
        <v>1583501.9389421977</v>
      </c>
      <c r="N16" s="56">
        <v>102672.94442530281</v>
      </c>
      <c r="O16" s="56">
        <f>'Billing Determinants'!I91/1000</f>
        <v>118412.0537907618</v>
      </c>
      <c r="P16" s="57"/>
      <c r="Q16" s="58">
        <f>O16+U16</f>
        <v>133030.15879076181</v>
      </c>
      <c r="R16" s="56"/>
      <c r="S16" s="58">
        <f>Q16+W16</f>
        <v>133899.50135524108</v>
      </c>
      <c r="T16" s="56"/>
      <c r="U16" s="56">
        <f>('Billing Determinants'!L91-'Billing Determinants'!I91)/1000</f>
        <v>14618.105</v>
      </c>
      <c r="V16" s="59">
        <f>U16/O16</f>
        <v>0.12345115663503901</v>
      </c>
      <c r="W16" s="56">
        <f>(AB16/100)*L16</f>
        <v>869.34256447926657</v>
      </c>
      <c r="X16" s="59">
        <f>W16/O16</f>
        <v>7.3416728842101249E-3</v>
      </c>
      <c r="Y16" s="56">
        <f>U16+W16</f>
        <v>15487.447564479266</v>
      </c>
      <c r="Z16" s="59">
        <f>Y16/O16</f>
        <v>0.13079282951924914</v>
      </c>
      <c r="AA16" s="57"/>
      <c r="AB16" s="60">
        <f>ROUND((((O16/$O$44)*$W$51)/L16)*100,4)</f>
        <v>5.4899999999999997E-2</v>
      </c>
      <c r="AC16" s="57"/>
      <c r="AD16" s="61">
        <v>-1963.5424042883251</v>
      </c>
      <c r="AE16" s="60">
        <v>0.40890365045528554</v>
      </c>
      <c r="AF16" s="60">
        <f>ROUND(AD16/L16*100,3)</f>
        <v>-0.124</v>
      </c>
      <c r="AG16" s="59">
        <f>AD16/O16</f>
        <v>-1.6582284838653105E-2</v>
      </c>
      <c r="AH16" s="62"/>
      <c r="AI16" s="62"/>
      <c r="AJ16" s="63" t="s">
        <v>0</v>
      </c>
      <c r="AK16" s="61">
        <f>AD16+U16</f>
        <v>12654.562595711675</v>
      </c>
      <c r="AL16" s="59">
        <f>AK16/O16</f>
        <v>0.10686887179638592</v>
      </c>
      <c r="AM16" s="64">
        <f>Q16/L16*100</f>
        <v>8.4010101610376218</v>
      </c>
      <c r="AN16" s="57"/>
      <c r="AO16" s="65">
        <f>(U16/L16)*100</f>
        <v>0.92315043262688434</v>
      </c>
      <c r="AP16" s="57"/>
      <c r="AQ16" s="66" t="s">
        <v>0</v>
      </c>
      <c r="AR16" s="62"/>
      <c r="AS16" s="67" t="s">
        <v>0</v>
      </c>
      <c r="AT16" s="3" t="s">
        <v>0</v>
      </c>
    </row>
    <row r="17" spans="2:47">
      <c r="H17" s="68"/>
      <c r="I17" s="68"/>
      <c r="K17" s="68"/>
      <c r="L17" s="68"/>
      <c r="N17" s="68"/>
      <c r="O17" s="68"/>
      <c r="P17" s="12"/>
      <c r="Q17" s="69"/>
      <c r="R17" s="12"/>
      <c r="S17" s="69"/>
      <c r="T17" s="12"/>
      <c r="U17" s="68"/>
      <c r="V17" s="70"/>
      <c r="W17" s="68"/>
      <c r="X17" s="71"/>
      <c r="Y17" s="68"/>
      <c r="Z17" s="71"/>
      <c r="AA17" s="12"/>
      <c r="AB17" s="72"/>
      <c r="AC17" s="12"/>
      <c r="AD17" s="73"/>
      <c r="AE17" s="74"/>
      <c r="AF17" s="74"/>
      <c r="AG17" s="70"/>
      <c r="AH17" s="18"/>
      <c r="AI17" s="18"/>
      <c r="AJ17" s="18"/>
      <c r="AK17" s="73"/>
      <c r="AL17" s="70"/>
      <c r="AM17" s="69"/>
      <c r="AN17" s="12"/>
      <c r="AO17" s="75"/>
      <c r="AP17" s="12"/>
      <c r="AQ17" s="76"/>
      <c r="AR17" s="12"/>
      <c r="AS17" s="12"/>
    </row>
    <row r="18" spans="2:47">
      <c r="V18" s="77"/>
      <c r="X18" s="77"/>
      <c r="Z18" s="77"/>
      <c r="AB18" s="78"/>
      <c r="AD18" s="5"/>
      <c r="AE18" s="79"/>
      <c r="AF18" s="79"/>
      <c r="AG18" s="80"/>
      <c r="AH18" s="18"/>
      <c r="AI18" s="18"/>
      <c r="AJ18" s="18"/>
      <c r="AL18" s="80"/>
      <c r="AO18" s="81"/>
      <c r="AQ18" s="76"/>
      <c r="AR18" s="12"/>
      <c r="AS18" s="12"/>
    </row>
    <row r="19" spans="2:47">
      <c r="B19" s="82">
        <f>MAX(B$13:B18)+1</f>
        <v>2</v>
      </c>
      <c r="D19" s="53" t="s">
        <v>66</v>
      </c>
      <c r="H19" s="83">
        <f>SUM(H16:H16)</f>
        <v>101336.91666666667</v>
      </c>
      <c r="I19" s="83">
        <f>SUM(I16:I16)</f>
        <v>103541.66666666667</v>
      </c>
      <c r="K19" s="83">
        <f>SUM(K16:K16)</f>
        <v>1569938.6044392167</v>
      </c>
      <c r="L19" s="83">
        <f>SUM(L16:L16)</f>
        <v>1583501.9389421977</v>
      </c>
      <c r="M19" s="83"/>
      <c r="N19" s="84">
        <f>SUM(N16:N16)</f>
        <v>102672.94442530281</v>
      </c>
      <c r="O19" s="84">
        <f>SUM(O16:O16)</f>
        <v>118412.0537907618</v>
      </c>
      <c r="P19" s="57"/>
      <c r="Q19" s="84">
        <f>SUM(Q16:Q16)</f>
        <v>133030.15879076181</v>
      </c>
      <c r="R19" s="84"/>
      <c r="S19" s="84">
        <f>SUM(S16:S16)</f>
        <v>133899.50135524108</v>
      </c>
      <c r="T19" s="84"/>
      <c r="U19" s="56">
        <f>SUM(U16)</f>
        <v>14618.105</v>
      </c>
      <c r="V19" s="59">
        <f>U19/O19</f>
        <v>0.12345115663503901</v>
      </c>
      <c r="W19" s="56">
        <f>SUM(W16)</f>
        <v>869.34256447926657</v>
      </c>
      <c r="X19" s="59">
        <f>W19/O19</f>
        <v>7.3416728842101249E-3</v>
      </c>
      <c r="Y19" s="56">
        <f>U19+W19</f>
        <v>15487.447564479266</v>
      </c>
      <c r="Z19" s="59">
        <f>Y19/O19</f>
        <v>0.13079282951924914</v>
      </c>
      <c r="AA19" s="57"/>
      <c r="AB19" s="85"/>
      <c r="AC19" s="57"/>
      <c r="AD19" s="61">
        <f>SUM(AD16:AD16)</f>
        <v>-1963.5424042883251</v>
      </c>
      <c r="AE19" s="85"/>
      <c r="AF19" s="85"/>
      <c r="AG19" s="59">
        <f>AD19/O19</f>
        <v>-1.6582284838653105E-2</v>
      </c>
      <c r="AH19" s="62"/>
      <c r="AI19" s="62"/>
      <c r="AJ19" s="18"/>
      <c r="AK19" s="61">
        <f>AD19+U19</f>
        <v>12654.562595711675</v>
      </c>
      <c r="AL19" s="59">
        <f>AK19/O19</f>
        <v>0.10686887179638592</v>
      </c>
      <c r="AM19" s="64">
        <f>Q19/L19*100</f>
        <v>8.4010101610376218</v>
      </c>
      <c r="AN19" s="57"/>
      <c r="AO19" s="65">
        <f>(U19/L19)*100</f>
        <v>0.92315043262688434</v>
      </c>
      <c r="AP19" s="57"/>
      <c r="AQ19" s="65"/>
      <c r="AR19" s="62"/>
      <c r="AS19" s="12"/>
    </row>
    <row r="20" spans="2:47">
      <c r="V20" s="77"/>
      <c r="X20" s="77"/>
      <c r="Z20" s="77"/>
      <c r="AB20" s="78"/>
      <c r="AD20" s="5"/>
      <c r="AE20" s="79"/>
      <c r="AF20" s="79"/>
      <c r="AG20" s="80"/>
      <c r="AH20" s="18"/>
      <c r="AI20" s="18"/>
      <c r="AJ20" s="18"/>
      <c r="AL20" s="80"/>
      <c r="AO20" s="81"/>
      <c r="AQ20" s="76"/>
      <c r="AR20" s="12"/>
      <c r="AS20" s="12"/>
    </row>
    <row r="21" spans="2:47">
      <c r="D21" s="53" t="s">
        <v>67</v>
      </c>
      <c r="H21" s="86"/>
      <c r="I21" s="86"/>
      <c r="V21" s="77"/>
      <c r="X21" s="77"/>
      <c r="Z21" s="77"/>
      <c r="AB21" s="78"/>
      <c r="AD21" s="5"/>
      <c r="AE21" s="79"/>
      <c r="AF21" s="79"/>
      <c r="AG21" s="80"/>
      <c r="AH21" s="18"/>
      <c r="AI21" s="18"/>
      <c r="AJ21" s="18"/>
      <c r="AL21" s="80"/>
      <c r="AO21" s="81"/>
      <c r="AQ21" s="76"/>
      <c r="AR21" s="12"/>
      <c r="AS21" s="12"/>
    </row>
    <row r="22" spans="2:47">
      <c r="B22" s="82">
        <f>MAX(B$13:B21)+1</f>
        <v>3</v>
      </c>
      <c r="D22" s="2" t="s">
        <v>68</v>
      </c>
      <c r="F22" s="29">
        <v>24</v>
      </c>
      <c r="G22" s="29"/>
      <c r="H22" s="55">
        <v>17306.416666666664</v>
      </c>
      <c r="I22" s="55">
        <f>'Billing Determinants'!C157/12</f>
        <v>17994.416666666668</v>
      </c>
      <c r="K22" s="55">
        <v>513041.74113523914</v>
      </c>
      <c r="L22" s="55">
        <f>'Billing Determinants'!C176/1000</f>
        <v>550642.96070095827</v>
      </c>
      <c r="N22" s="84">
        <v>33647.646251191611</v>
      </c>
      <c r="O22" s="84">
        <f>'Billing Determinants'!I176/1000</f>
        <v>40443.104077282165</v>
      </c>
      <c r="P22" s="57"/>
      <c r="Q22" s="58">
        <f t="shared" ref="Q22:Q29" si="0">O22+U22</f>
        <v>45436.070077282166</v>
      </c>
      <c r="R22" s="56"/>
      <c r="S22" s="58">
        <f t="shared" ref="S22:S29" si="1">Q22+W22</f>
        <v>45732.866633099984</v>
      </c>
      <c r="T22" s="56"/>
      <c r="U22" s="56">
        <f>('Billing Determinants'!L176-'Billing Determinants'!I176)/1000</f>
        <v>4992.9660000000003</v>
      </c>
      <c r="V22" s="59">
        <f>U22/O22</f>
        <v>0.12345654751076997</v>
      </c>
      <c r="W22" s="56">
        <f t="shared" ref="W22:W29" si="2">(AB22/100)*L22</f>
        <v>296.79655581781651</v>
      </c>
      <c r="X22" s="59">
        <f>W22/O22</f>
        <v>7.3386195889087076E-3</v>
      </c>
      <c r="Y22" s="56">
        <f t="shared" ref="Y22:Y29" si="3">U22+W22</f>
        <v>5289.762555817817</v>
      </c>
      <c r="Z22" s="59">
        <f>Y22/O22</f>
        <v>0.13079516709967867</v>
      </c>
      <c r="AA22" s="57"/>
      <c r="AB22" s="60">
        <f>ROUND((((O22/$O$44)*$W$51)/L22)*100,4)</f>
        <v>5.3900000000000003E-2</v>
      </c>
      <c r="AC22" s="57"/>
      <c r="AD22" s="61">
        <v>-649.7586936271307</v>
      </c>
      <c r="AE22" s="60">
        <v>0.13578131146030556</v>
      </c>
      <c r="AF22" s="60">
        <f>ROUND(AD22/L22*100,3)</f>
        <v>-0.11799999999999999</v>
      </c>
      <c r="AG22" s="59">
        <f>AD22/O22</f>
        <v>-1.6065994647332604E-2</v>
      </c>
      <c r="AH22" s="62"/>
      <c r="AI22" s="62"/>
      <c r="AJ22" s="18"/>
      <c r="AK22" s="61">
        <f t="shared" ref="AK22:AK29" si="4">AD22+U22</f>
        <v>4343.2073063728694</v>
      </c>
      <c r="AL22" s="59">
        <f t="shared" ref="AL22:AL29" si="5">AK22/O22</f>
        <v>0.10739055286343736</v>
      </c>
      <c r="AM22" s="64">
        <f>Q22/L22*100</f>
        <v>8.2514575360126088</v>
      </c>
      <c r="AN22" s="57"/>
      <c r="AO22" s="65">
        <f>(U22/L22)*100</f>
        <v>0.90675198928250111</v>
      </c>
      <c r="AP22" s="57"/>
      <c r="AQ22" s="65"/>
      <c r="AR22" s="62"/>
      <c r="AS22" s="12"/>
      <c r="AT22" s="87"/>
      <c r="AU22" s="88"/>
    </row>
    <row r="23" spans="2:47">
      <c r="B23" s="82">
        <f>MAX(B$13:B22)+1</f>
        <v>4</v>
      </c>
      <c r="D23" s="89" t="s">
        <v>69</v>
      </c>
      <c r="E23" s="89"/>
      <c r="F23" s="82">
        <v>33</v>
      </c>
      <c r="G23" s="29"/>
      <c r="H23" s="55">
        <v>0</v>
      </c>
      <c r="I23" s="55">
        <v>0</v>
      </c>
      <c r="K23" s="55">
        <v>0</v>
      </c>
      <c r="L23" s="55">
        <v>0</v>
      </c>
      <c r="N23" s="56">
        <v>0</v>
      </c>
      <c r="O23" s="56">
        <v>0</v>
      </c>
      <c r="P23" s="57"/>
      <c r="Q23" s="58">
        <f t="shared" si="0"/>
        <v>0</v>
      </c>
      <c r="R23" s="56"/>
      <c r="S23" s="58">
        <f t="shared" si="1"/>
        <v>0</v>
      </c>
      <c r="T23" s="56"/>
      <c r="U23" s="56">
        <f>('Billing Determinants'!L474-'Billing Determinants'!I474)/1000</f>
        <v>0</v>
      </c>
      <c r="V23" s="59">
        <f>V24</f>
        <v>0.12345193414554456</v>
      </c>
      <c r="W23" s="56">
        <f t="shared" si="2"/>
        <v>0</v>
      </c>
      <c r="X23" s="59">
        <v>0</v>
      </c>
      <c r="Y23" s="56">
        <f t="shared" si="3"/>
        <v>0</v>
      </c>
      <c r="Z23" s="59">
        <f>V23+X23</f>
        <v>0.12345193414554456</v>
      </c>
      <c r="AA23" s="57"/>
      <c r="AB23" s="60">
        <v>0</v>
      </c>
      <c r="AC23" s="57"/>
      <c r="AD23" s="61">
        <v>0</v>
      </c>
      <c r="AE23" s="60"/>
      <c r="AF23" s="60">
        <f>AF24</f>
        <v>-0.11600000000000001</v>
      </c>
      <c r="AG23" s="59"/>
      <c r="AH23" s="62"/>
      <c r="AI23" s="62"/>
      <c r="AJ23" s="18"/>
      <c r="AK23" s="61">
        <f t="shared" si="4"/>
        <v>0</v>
      </c>
      <c r="AL23" s="59"/>
      <c r="AM23" s="64">
        <v>0</v>
      </c>
      <c r="AN23" s="57"/>
      <c r="AO23" s="65">
        <v>0</v>
      </c>
      <c r="AP23" s="57"/>
      <c r="AQ23" s="65"/>
      <c r="AR23" s="62"/>
      <c r="AS23" s="12"/>
      <c r="AT23" s="87"/>
      <c r="AU23" s="88"/>
    </row>
    <row r="24" spans="2:47">
      <c r="B24" s="82">
        <f>MAX(B$13:B23)+1</f>
        <v>5</v>
      </c>
      <c r="D24" s="2" t="s">
        <v>70</v>
      </c>
      <c r="F24" s="29">
        <v>36</v>
      </c>
      <c r="G24" s="29"/>
      <c r="H24" s="55">
        <v>1058.6666666666667</v>
      </c>
      <c r="I24" s="55">
        <f>'Billing Determinants'!C483/12</f>
        <v>1079.8333333333333</v>
      </c>
      <c r="K24" s="55">
        <v>901191.51506367233</v>
      </c>
      <c r="L24" s="55">
        <f>'Billing Determinants'!C508/1000</f>
        <v>941799.63357207447</v>
      </c>
      <c r="N24" s="84">
        <v>49005.26783999426</v>
      </c>
      <c r="O24" s="84">
        <f>'Billing Determinants'!I508/1000</f>
        <v>58380.18699247823</v>
      </c>
      <c r="P24" s="57"/>
      <c r="Q24" s="58">
        <f t="shared" si="0"/>
        <v>65587.333992478234</v>
      </c>
      <c r="R24" s="56"/>
      <c r="S24" s="58">
        <f t="shared" si="1"/>
        <v>66015.852825753522</v>
      </c>
      <c r="T24" s="56"/>
      <c r="U24" s="56">
        <f>('Billing Determinants'!L508-'Billing Determinants'!I508)/1000</f>
        <v>7207.1469999999999</v>
      </c>
      <c r="V24" s="59">
        <f t="shared" ref="V24:V29" si="6">U24/O24</f>
        <v>0.12345193414554456</v>
      </c>
      <c r="W24" s="56">
        <f t="shared" si="2"/>
        <v>428.5188332752939</v>
      </c>
      <c r="X24" s="59">
        <f t="shared" ref="X24:X29" si="7">W24/O24</f>
        <v>7.3401414992128192E-3</v>
      </c>
      <c r="Y24" s="56">
        <f t="shared" si="3"/>
        <v>7635.6658332752941</v>
      </c>
      <c r="Z24" s="59">
        <f t="shared" ref="Z24:Z29" si="8">Y24/O24</f>
        <v>0.13079207564475739</v>
      </c>
      <c r="AA24" s="57"/>
      <c r="AB24" s="60">
        <f t="shared" ref="AB24:AB29" si="9">ROUND((((O24/$O$44)*$W$51)/L24)*100,4)</f>
        <v>4.5499999999999999E-2</v>
      </c>
      <c r="AC24" s="57"/>
      <c r="AD24" s="61">
        <v>-1092.4875749436064</v>
      </c>
      <c r="AE24" s="60">
        <v>0.22754947854638521</v>
      </c>
      <c r="AF24" s="60">
        <f t="shared" ref="AF24:AF25" si="10">ROUND(AD24/L24*100,3)</f>
        <v>-0.11600000000000001</v>
      </c>
      <c r="AG24" s="59">
        <f t="shared" ref="AG24:AG29" si="11">AD24/O24</f>
        <v>-1.8713327778212902E-2</v>
      </c>
      <c r="AH24" s="62"/>
      <c r="AI24" s="62"/>
      <c r="AJ24" s="18"/>
      <c r="AK24" s="61">
        <f t="shared" si="4"/>
        <v>6114.659425056394</v>
      </c>
      <c r="AL24" s="59">
        <f t="shared" si="5"/>
        <v>0.10473860636733168</v>
      </c>
      <c r="AM24" s="64">
        <f t="shared" ref="AM24:AM29" si="12">Q24/L24*100</f>
        <v>6.9640432693435468</v>
      </c>
      <c r="AN24" s="57"/>
      <c r="AO24" s="65">
        <f t="shared" ref="AO24:AO29" si="13">(U24/L24)*100</f>
        <v>0.76525268678058456</v>
      </c>
      <c r="AP24" s="57"/>
      <c r="AQ24" s="65"/>
      <c r="AR24" s="62"/>
      <c r="AS24" s="12"/>
      <c r="AT24" s="87"/>
      <c r="AU24" s="88"/>
    </row>
    <row r="25" spans="2:47">
      <c r="B25" s="82">
        <f>MAX(B$13:B24)+1</f>
        <v>6</v>
      </c>
      <c r="D25" s="2" t="s">
        <v>71</v>
      </c>
      <c r="F25" s="29" t="s">
        <v>72</v>
      </c>
      <c r="G25" s="29"/>
      <c r="H25" s="55">
        <v>5259</v>
      </c>
      <c r="I25" s="55">
        <f>'Billing Determinants'!C587</f>
        <v>5303</v>
      </c>
      <c r="K25" s="55">
        <v>168033.04399999999</v>
      </c>
      <c r="L25" s="55">
        <f>'Billing Determinants'!C627/1000</f>
        <v>168577.99900000001</v>
      </c>
      <c r="N25" s="84">
        <v>10140.337</v>
      </c>
      <c r="O25" s="84">
        <f>'Billing Determinants'!I627/1000</f>
        <v>11640.975</v>
      </c>
      <c r="P25" s="57"/>
      <c r="Q25" s="58">
        <f t="shared" si="0"/>
        <v>13078.078000000001</v>
      </c>
      <c r="R25" s="56"/>
      <c r="S25" s="58">
        <f t="shared" si="1"/>
        <v>13163.547045493002</v>
      </c>
      <c r="T25" s="56"/>
      <c r="U25" s="56">
        <f>('Billing Determinants'!L627-'Billing Determinants'!I627)/1000</f>
        <v>1437.1030000000001</v>
      </c>
      <c r="V25" s="59">
        <f t="shared" si="6"/>
        <v>0.12345211633905236</v>
      </c>
      <c r="W25" s="56">
        <f t="shared" si="2"/>
        <v>85.469045493000024</v>
      </c>
      <c r="X25" s="59">
        <f t="shared" si="7"/>
        <v>7.3420865084754521E-3</v>
      </c>
      <c r="Y25" s="56">
        <f t="shared" si="3"/>
        <v>1522.5720454930001</v>
      </c>
      <c r="Z25" s="59">
        <f t="shared" si="8"/>
        <v>0.13079420284752782</v>
      </c>
      <c r="AA25" s="57"/>
      <c r="AB25" s="60">
        <f t="shared" si="9"/>
        <v>5.0700000000000002E-2</v>
      </c>
      <c r="AC25" s="57"/>
      <c r="AD25" s="61">
        <v>-192.17891886000001</v>
      </c>
      <c r="AE25" s="60">
        <v>4.0010355931557426E-2</v>
      </c>
      <c r="AF25" s="60">
        <f t="shared" si="10"/>
        <v>-0.114</v>
      </c>
      <c r="AG25" s="59">
        <f t="shared" si="11"/>
        <v>-1.6508833569353083E-2</v>
      </c>
      <c r="AH25" s="62"/>
      <c r="AI25" s="62"/>
      <c r="AJ25" s="18"/>
      <c r="AK25" s="61">
        <f t="shared" si="4"/>
        <v>1244.92408114</v>
      </c>
      <c r="AL25" s="59">
        <f t="shared" si="5"/>
        <v>0.10694328276969926</v>
      </c>
      <c r="AM25" s="64">
        <f t="shared" si="12"/>
        <v>7.757879484617682</v>
      </c>
      <c r="AN25" s="57"/>
      <c r="AO25" s="65">
        <f t="shared" si="13"/>
        <v>0.85248550138502954</v>
      </c>
      <c r="AP25" s="57"/>
      <c r="AQ25" s="65"/>
      <c r="AR25" s="62"/>
      <c r="AS25" s="12"/>
    </row>
    <row r="26" spans="2:47">
      <c r="B26" s="82">
        <f>MAX(B$13:B25)+1</f>
        <v>7</v>
      </c>
      <c r="D26" s="2" t="s">
        <v>73</v>
      </c>
      <c r="F26" s="29">
        <v>47</v>
      </c>
      <c r="G26" s="29"/>
      <c r="H26" s="55">
        <v>1.0833333333333333</v>
      </c>
      <c r="I26" s="55">
        <f>'Billing Determinants'!C737/12</f>
        <v>1</v>
      </c>
      <c r="K26" s="55">
        <v>1616.6904507017675</v>
      </c>
      <c r="L26" s="55">
        <f>'Billing Determinants'!C760/1000</f>
        <v>1856.9609784271436</v>
      </c>
      <c r="N26" s="84">
        <v>165.62561725051643</v>
      </c>
      <c r="O26" s="84">
        <f>'Billing Determinants'!I760/1000</f>
        <v>191.74796461833282</v>
      </c>
      <c r="P26" s="57"/>
      <c r="Q26" s="58">
        <f t="shared" si="0"/>
        <v>215.46096461833281</v>
      </c>
      <c r="R26" s="56"/>
      <c r="S26" s="58">
        <f t="shared" si="1"/>
        <v>216.86854103998058</v>
      </c>
      <c r="T26" s="56"/>
      <c r="U26" s="56">
        <f>('Billing Determinants'!L760-'Billing Determinants'!I760)/1000</f>
        <v>23.713000000000001</v>
      </c>
      <c r="V26" s="59">
        <f t="shared" si="6"/>
        <v>0.12366754477524622</v>
      </c>
      <c r="W26" s="56">
        <f t="shared" si="2"/>
        <v>1.4075764216477751</v>
      </c>
      <c r="X26" s="59">
        <f t="shared" si="7"/>
        <v>7.3407633006665994E-3</v>
      </c>
      <c r="Y26" s="56">
        <f t="shared" si="3"/>
        <v>25.120576421647776</v>
      </c>
      <c r="Z26" s="59">
        <f t="shared" si="8"/>
        <v>0.13100830807591282</v>
      </c>
      <c r="AA26" s="57"/>
      <c r="AB26" s="60">
        <f t="shared" si="9"/>
        <v>7.5800000000000006E-2</v>
      </c>
      <c r="AC26" s="57"/>
      <c r="AD26" s="61">
        <v>-2.0983659056226722</v>
      </c>
      <c r="AE26" s="60"/>
      <c r="AF26" s="60">
        <f>AF27</f>
        <v>-0.113</v>
      </c>
      <c r="AG26" s="59">
        <f t="shared" si="11"/>
        <v>-1.0943354260888201E-2</v>
      </c>
      <c r="AH26" s="62"/>
      <c r="AI26" s="62"/>
      <c r="AJ26" s="18"/>
      <c r="AK26" s="61">
        <f t="shared" si="4"/>
        <v>21.61463409437733</v>
      </c>
      <c r="AL26" s="59">
        <f t="shared" si="5"/>
        <v>0.11272419051435802</v>
      </c>
      <c r="AM26" s="64">
        <f t="shared" si="12"/>
        <v>11.602880573227202</v>
      </c>
      <c r="AN26" s="57"/>
      <c r="AO26" s="65">
        <f t="shared" si="13"/>
        <v>1.2769789066911383</v>
      </c>
      <c r="AP26" s="57"/>
      <c r="AQ26" s="65"/>
      <c r="AR26" s="62"/>
      <c r="AS26" s="12"/>
    </row>
    <row r="27" spans="2:47">
      <c r="B27" s="82">
        <f>MAX(B$13:B26)+1</f>
        <v>8</v>
      </c>
      <c r="D27" s="2" t="s">
        <v>74</v>
      </c>
      <c r="F27" s="29">
        <v>48</v>
      </c>
      <c r="G27" s="29"/>
      <c r="H27" s="55">
        <v>63.666666666666671</v>
      </c>
      <c r="I27" s="55">
        <f>('Billing Determinants'!C796)/12</f>
        <v>55.333333333333336</v>
      </c>
      <c r="K27" s="55">
        <v>856497.09877425549</v>
      </c>
      <c r="L27" s="55">
        <f>('Billing Determinants'!C815)/1000</f>
        <v>368820.50249325798</v>
      </c>
      <c r="N27" s="84">
        <v>38996.209349631463</v>
      </c>
      <c r="O27" s="84">
        <f>('Billing Determinants'!I815)/1000</f>
        <v>20765.255970922412</v>
      </c>
      <c r="P27" s="57"/>
      <c r="Q27" s="58">
        <f t="shared" si="0"/>
        <v>23328.643970922411</v>
      </c>
      <c r="R27" s="56"/>
      <c r="S27" s="58">
        <f t="shared" si="1"/>
        <v>23480.966838452125</v>
      </c>
      <c r="T27" s="56"/>
      <c r="U27" s="56">
        <f>('Billing Determinants'!L815-'Billing Determinants'!I815)/1000</f>
        <v>2563.3879999999999</v>
      </c>
      <c r="V27" s="59">
        <f t="shared" si="6"/>
        <v>0.12344601018111755</v>
      </c>
      <c r="W27" s="56">
        <f t="shared" si="2"/>
        <v>152.32286752971555</v>
      </c>
      <c r="X27" s="59">
        <f t="shared" si="7"/>
        <v>7.3354678479770861E-3</v>
      </c>
      <c r="Y27" s="56">
        <f t="shared" si="3"/>
        <v>2715.7108675297154</v>
      </c>
      <c r="Z27" s="59">
        <f t="shared" si="8"/>
        <v>0.13078147802909462</v>
      </c>
      <c r="AA27" s="57"/>
      <c r="AB27" s="60">
        <f t="shared" si="9"/>
        <v>4.1300000000000003E-2</v>
      </c>
      <c r="AC27" s="57"/>
      <c r="AD27" s="61">
        <v>-416.76716781738156</v>
      </c>
      <c r="AE27" s="60">
        <v>8.7617789721033068E-2</v>
      </c>
      <c r="AF27" s="60">
        <f t="shared" ref="AF27:AF29" si="14">ROUND(AD27/L27*100,3)</f>
        <v>-0.113</v>
      </c>
      <c r="AG27" s="59">
        <f t="shared" si="11"/>
        <v>-2.007040839761285E-2</v>
      </c>
      <c r="AH27" s="62"/>
      <c r="AI27" s="62"/>
      <c r="AJ27" s="18"/>
      <c r="AK27" s="61">
        <f t="shared" si="4"/>
        <v>2146.6208321826184</v>
      </c>
      <c r="AL27" s="59">
        <f t="shared" si="5"/>
        <v>0.1033756017835047</v>
      </c>
      <c r="AM27" s="64">
        <f t="shared" si="12"/>
        <v>6.3252025885813818</v>
      </c>
      <c r="AN27" s="57"/>
      <c r="AO27" s="65">
        <f t="shared" si="13"/>
        <v>0.69502318408854147</v>
      </c>
      <c r="AP27" s="57"/>
      <c r="AQ27" s="65"/>
      <c r="AR27" s="62"/>
      <c r="AS27" s="12"/>
      <c r="AT27" s="3" t="s">
        <v>0</v>
      </c>
    </row>
    <row r="28" spans="2:47">
      <c r="B28" s="82">
        <f>MAX(B$13:B27)+1</f>
        <v>9</v>
      </c>
      <c r="D28" s="2" t="s">
        <v>75</v>
      </c>
      <c r="F28" s="54" t="s">
        <v>76</v>
      </c>
      <c r="G28" s="29"/>
      <c r="H28" s="55">
        <v>63.666666666666671</v>
      </c>
      <c r="I28" s="55">
        <f>('Billing Determinants'!C1042)/12</f>
        <v>1</v>
      </c>
      <c r="K28" s="55">
        <v>856497.09877425549</v>
      </c>
      <c r="L28" s="55">
        <f>('Billing Determinants'!C1061)/1000</f>
        <v>444812.65253044618</v>
      </c>
      <c r="N28" s="84">
        <v>38996.209349631463</v>
      </c>
      <c r="O28" s="84">
        <f>('Billing Determinants'!I1061)/1000</f>
        <v>20784.274384601827</v>
      </c>
      <c r="P28" s="57"/>
      <c r="Q28" s="58">
        <f t="shared" si="0"/>
        <v>23350.134384601828</v>
      </c>
      <c r="R28" s="56"/>
      <c r="S28" s="58">
        <f t="shared" si="1"/>
        <v>23502.705124419772</v>
      </c>
      <c r="T28" s="56"/>
      <c r="U28" s="56">
        <f>('Billing Determinants'!L1061-'Billing Determinants'!I1061)/1000</f>
        <v>2565.86</v>
      </c>
      <c r="V28" s="59">
        <f t="shared" si="6"/>
        <v>0.12345198838892038</v>
      </c>
      <c r="W28" s="56">
        <f t="shared" si="2"/>
        <v>152.57073981794304</v>
      </c>
      <c r="X28" s="59">
        <f t="shared" si="7"/>
        <v>7.3406815650478574E-3</v>
      </c>
      <c r="Y28" s="56">
        <f t="shared" si="3"/>
        <v>2718.430739817943</v>
      </c>
      <c r="Z28" s="59">
        <f t="shared" si="8"/>
        <v>0.13079266995396824</v>
      </c>
      <c r="AA28" s="57"/>
      <c r="AB28" s="60">
        <f t="shared" si="9"/>
        <v>3.4299999999999997E-2</v>
      </c>
      <c r="AC28" s="57"/>
      <c r="AD28" s="61">
        <v>-467.05328515696851</v>
      </c>
      <c r="AE28" s="60">
        <v>9.7138072842511053E-2</v>
      </c>
      <c r="AF28" s="60">
        <f t="shared" si="14"/>
        <v>-0.105</v>
      </c>
      <c r="AG28" s="59">
        <f t="shared" si="11"/>
        <v>-2.2471474178717931E-2</v>
      </c>
      <c r="AH28" s="62"/>
      <c r="AI28" s="62"/>
      <c r="AJ28" s="18"/>
      <c r="AK28" s="61">
        <f t="shared" si="4"/>
        <v>2098.8067148430318</v>
      </c>
      <c r="AL28" s="59">
        <f t="shared" si="5"/>
        <v>0.10098051421020246</v>
      </c>
      <c r="AM28" s="64">
        <v>0</v>
      </c>
      <c r="AN28" s="57"/>
      <c r="AO28" s="65">
        <v>0</v>
      </c>
      <c r="AP28" s="57"/>
      <c r="AQ28" s="65"/>
      <c r="AR28" s="62"/>
      <c r="AS28" s="12"/>
    </row>
    <row r="29" spans="2:47">
      <c r="B29" s="82">
        <f>MAX(B$13:B28)+1</f>
        <v>10</v>
      </c>
      <c r="D29" s="2" t="s">
        <v>77</v>
      </c>
      <c r="F29" s="29" t="s">
        <v>78</v>
      </c>
      <c r="G29" s="29"/>
      <c r="H29" s="55">
        <v>28</v>
      </c>
      <c r="I29" s="55">
        <f>'Billing Determinants'!C1154/12</f>
        <v>29.333333333333332</v>
      </c>
      <c r="K29" s="55">
        <v>233.86177246899351</v>
      </c>
      <c r="L29" s="55">
        <f>'Billing Determinants'!C1158/1000</f>
        <v>262.45731854779115</v>
      </c>
      <c r="N29" s="84">
        <v>18.659249899021408</v>
      </c>
      <c r="O29" s="84">
        <f>'Billing Determinants'!I1158/1000</f>
        <v>21.996457612204015</v>
      </c>
      <c r="P29" s="57"/>
      <c r="Q29" s="58">
        <f t="shared" si="0"/>
        <v>23.095457612204015</v>
      </c>
      <c r="R29" s="56"/>
      <c r="S29" s="58">
        <f t="shared" si="1"/>
        <v>23.256868863110906</v>
      </c>
      <c r="T29" s="56"/>
      <c r="U29" s="56">
        <f>('Billing Determinants'!L1158-'Billing Determinants'!I1158)/1000</f>
        <v>1.099</v>
      </c>
      <c r="V29" s="59">
        <f t="shared" si="6"/>
        <v>4.996259031228082E-2</v>
      </c>
      <c r="W29" s="56">
        <f t="shared" si="2"/>
        <v>0.16141125090689154</v>
      </c>
      <c r="X29" s="59">
        <f t="shared" si="7"/>
        <v>7.3380565976831555E-3</v>
      </c>
      <c r="Y29" s="56">
        <f t="shared" si="3"/>
        <v>1.2604112509068914</v>
      </c>
      <c r="Z29" s="59">
        <f t="shared" si="8"/>
        <v>5.7300646909963969E-2</v>
      </c>
      <c r="AA29" s="57"/>
      <c r="AB29" s="60">
        <f t="shared" si="9"/>
        <v>6.1499999999999999E-2</v>
      </c>
      <c r="AC29" s="57"/>
      <c r="AD29" s="61">
        <v>-0.25195902580587953</v>
      </c>
      <c r="AE29" s="60">
        <v>2.9993410429220565E-3</v>
      </c>
      <c r="AF29" s="60">
        <f t="shared" si="14"/>
        <v>-9.6000000000000002E-2</v>
      </c>
      <c r="AG29" s="59">
        <f t="shared" si="11"/>
        <v>-1.145452737199322E-2</v>
      </c>
      <c r="AH29" s="62"/>
      <c r="AI29" s="62"/>
      <c r="AJ29" s="18"/>
      <c r="AK29" s="61">
        <f t="shared" si="4"/>
        <v>0.8470409741941205</v>
      </c>
      <c r="AL29" s="59">
        <f t="shared" si="5"/>
        <v>3.85080629402876E-2</v>
      </c>
      <c r="AM29" s="64">
        <f t="shared" si="12"/>
        <v>8.7997003627081316</v>
      </c>
      <c r="AN29" s="57"/>
      <c r="AO29" s="65">
        <f t="shared" si="13"/>
        <v>0.41873475126580695</v>
      </c>
      <c r="AP29" s="57"/>
      <c r="AQ29" s="65"/>
      <c r="AR29" s="62"/>
      <c r="AS29" s="12"/>
    </row>
    <row r="30" spans="2:47">
      <c r="B30" s="33"/>
      <c r="F30" s="29"/>
      <c r="G30" s="29"/>
      <c r="H30" s="68"/>
      <c r="I30" s="68"/>
      <c r="K30" s="68"/>
      <c r="L30" s="68"/>
      <c r="N30" s="68"/>
      <c r="O30" s="68"/>
      <c r="P30" s="12"/>
      <c r="Q30" s="69"/>
      <c r="R30" s="12"/>
      <c r="S30" s="69"/>
      <c r="T30" s="12"/>
      <c r="U30" s="68"/>
      <c r="V30" s="71"/>
      <c r="W30" s="68"/>
      <c r="X30" s="71"/>
      <c r="Y30" s="68"/>
      <c r="Z30" s="71"/>
      <c r="AA30" s="12"/>
      <c r="AB30" s="72"/>
      <c r="AC30" s="12"/>
      <c r="AD30" s="73"/>
      <c r="AE30" s="74"/>
      <c r="AF30" s="74"/>
      <c r="AG30" s="90"/>
      <c r="AH30" s="18"/>
      <c r="AI30" s="18"/>
      <c r="AJ30" s="18"/>
      <c r="AK30" s="73"/>
      <c r="AL30" s="90"/>
      <c r="AM30" s="69"/>
      <c r="AN30" s="12"/>
      <c r="AO30" s="75"/>
      <c r="AP30" s="12"/>
      <c r="AQ30" s="76"/>
      <c r="AR30" s="12"/>
      <c r="AS30" s="12"/>
    </row>
    <row r="31" spans="2:47">
      <c r="B31" s="33"/>
      <c r="V31" s="77"/>
      <c r="X31" s="77"/>
      <c r="Z31" s="77"/>
      <c r="AB31" s="78"/>
      <c r="AD31" s="5"/>
      <c r="AE31" s="79"/>
      <c r="AF31" s="79"/>
      <c r="AG31" s="80"/>
      <c r="AH31" s="18"/>
      <c r="AI31" s="18"/>
      <c r="AJ31" s="18"/>
      <c r="AL31" s="80"/>
      <c r="AO31" s="81"/>
      <c r="AQ31" s="76"/>
      <c r="AR31" s="12"/>
      <c r="AS31" s="12"/>
    </row>
    <row r="32" spans="2:47">
      <c r="B32" s="82">
        <f>MAX(B$13:B31)+1</f>
        <v>11</v>
      </c>
      <c r="D32" s="53" t="s">
        <v>79</v>
      </c>
      <c r="H32" s="83">
        <f>SUM(H22:H29)</f>
        <v>23780.5</v>
      </c>
      <c r="I32" s="83">
        <f>SUM(I22:I29)</f>
        <v>24463.916666666664</v>
      </c>
      <c r="K32" s="83">
        <f>SUM(K22:K29)</f>
        <v>3297111.0499705928</v>
      </c>
      <c r="L32" s="83">
        <f>SUM(L22:L29)</f>
        <v>2476773.1665937118</v>
      </c>
      <c r="M32" s="83"/>
      <c r="N32" s="56">
        <f>SUM(N22:N29)</f>
        <v>170969.95465759834</v>
      </c>
      <c r="O32" s="56">
        <f>SUM(O22:O29)</f>
        <v>152227.54084751516</v>
      </c>
      <c r="P32" s="57"/>
      <c r="Q32" s="58">
        <f>SUM(Q22:Q29)</f>
        <v>171018.81684751521</v>
      </c>
      <c r="R32" s="84"/>
      <c r="S32" s="58">
        <f>SUM(S22:S29)</f>
        <v>172136.06387712149</v>
      </c>
      <c r="T32" s="84"/>
      <c r="U32" s="56">
        <f>SUM(U22:U29)</f>
        <v>18791.275999999998</v>
      </c>
      <c r="V32" s="59">
        <f>U32/O32</f>
        <v>0.12344202563728619</v>
      </c>
      <c r="W32" s="56">
        <f>SUM(W22:W29)</f>
        <v>1117.2470296063238</v>
      </c>
      <c r="X32" s="59">
        <f>W32/O32</f>
        <v>7.3393225916029165E-3</v>
      </c>
      <c r="Y32" s="56">
        <f>U32+W32</f>
        <v>19908.523029606324</v>
      </c>
      <c r="Z32" s="59"/>
      <c r="AA32" s="57"/>
      <c r="AB32" s="60"/>
      <c r="AC32" s="57"/>
      <c r="AD32" s="61">
        <f>SUM(AD22:AD29)</f>
        <v>-2820.5959653365157</v>
      </c>
      <c r="AE32" s="60"/>
      <c r="AF32" s="60"/>
      <c r="AG32" s="59">
        <f>AD32/O32</f>
        <v>-1.8528815151536076E-2</v>
      </c>
      <c r="AH32" s="62"/>
      <c r="AI32" s="62"/>
      <c r="AJ32" s="18"/>
      <c r="AK32" s="61">
        <f t="shared" ref="AK32" si="15">AD32+U32</f>
        <v>15970.680034663483</v>
      </c>
      <c r="AL32" s="59">
        <f>AK32/O32</f>
        <v>0.10491321048575013</v>
      </c>
      <c r="AM32" s="64">
        <f>Q32/L32*100</f>
        <v>6.904904298632891</v>
      </c>
      <c r="AN32" s="57"/>
      <c r="AO32" s="65">
        <f>(U32/L32)*100</f>
        <v>0.75869991864630482</v>
      </c>
      <c r="AP32" s="57"/>
      <c r="AQ32" s="65"/>
      <c r="AR32" s="62"/>
      <c r="AS32" s="12"/>
    </row>
    <row r="33" spans="2:46">
      <c r="B33" s="33"/>
      <c r="V33" s="77"/>
      <c r="X33" s="77"/>
      <c r="Z33" s="77"/>
      <c r="AB33" s="78"/>
      <c r="AD33" s="5"/>
      <c r="AE33" s="79"/>
      <c r="AF33" s="79"/>
      <c r="AG33" s="80"/>
      <c r="AH33" s="18"/>
      <c r="AI33" s="18"/>
      <c r="AJ33" s="18"/>
      <c r="AK33" s="5" t="s">
        <v>0</v>
      </c>
      <c r="AL33" s="80"/>
      <c r="AO33" s="81"/>
      <c r="AQ33" s="76"/>
      <c r="AR33" s="12"/>
      <c r="AS33" s="12"/>
    </row>
    <row r="34" spans="2:46">
      <c r="B34" s="33"/>
      <c r="D34" s="53" t="s">
        <v>80</v>
      </c>
      <c r="V34" s="77"/>
      <c r="X34" s="77"/>
      <c r="Z34" s="77"/>
      <c r="AB34" s="78"/>
      <c r="AD34" s="5"/>
      <c r="AE34" s="79"/>
      <c r="AF34" s="79"/>
      <c r="AG34" s="80"/>
      <c r="AH34" s="18"/>
      <c r="AI34" s="18"/>
      <c r="AJ34" s="18"/>
      <c r="AL34" s="80"/>
      <c r="AO34" s="81"/>
      <c r="AQ34" s="76"/>
      <c r="AR34" s="12"/>
      <c r="AS34" s="12"/>
    </row>
    <row r="35" spans="2:46">
      <c r="B35" s="82">
        <f>MAX(B$13:B34)+1</f>
        <v>12</v>
      </c>
      <c r="D35" s="2" t="s">
        <v>81</v>
      </c>
      <c r="F35" s="29" t="s">
        <v>82</v>
      </c>
      <c r="G35" s="29"/>
      <c r="H35" s="55">
        <v>2828</v>
      </c>
      <c r="I35" s="55">
        <f>'Billing Determinants'!C24/12</f>
        <v>2670.25</v>
      </c>
      <c r="K35" s="55">
        <v>3735.0893644456642</v>
      </c>
      <c r="L35" s="55">
        <f>'Billing Determinants'!C27/1000</f>
        <v>3565.3664640903753</v>
      </c>
      <c r="N35" s="84">
        <v>473.92026673033644</v>
      </c>
      <c r="O35" s="84">
        <f>'Billing Determinants'!I27/1000</f>
        <v>477.46648172303185</v>
      </c>
      <c r="P35" s="57"/>
      <c r="Q35" s="58">
        <f>O35+U35</f>
        <v>501.36836172303185</v>
      </c>
      <c r="R35" s="56"/>
      <c r="S35" s="58">
        <f>Q35+W35</f>
        <v>504.8731169572327</v>
      </c>
      <c r="T35" s="56"/>
      <c r="U35" s="56">
        <f>('Billing Determinants'!L27-'Billing Determinants'!I27)/1000</f>
        <v>23.901880000000006</v>
      </c>
      <c r="V35" s="59">
        <f>U35/O35</f>
        <v>5.0059807159123219E-2</v>
      </c>
      <c r="W35" s="56">
        <f>(AB35/100)*L35</f>
        <v>3.5047552342008386</v>
      </c>
      <c r="X35" s="59">
        <f>W35/O35</f>
        <v>7.3403167936589792E-3</v>
      </c>
      <c r="Y35" s="56">
        <f>U35+W35</f>
        <v>27.406635234200845</v>
      </c>
      <c r="Z35" s="59">
        <f>Y35/O35</f>
        <v>5.7400123952782198E-2</v>
      </c>
      <c r="AA35" s="57"/>
      <c r="AB35" s="60">
        <f>ROUND((((O35/$O$44)*$W$51)/L35)*100,4)</f>
        <v>9.8299999999999998E-2</v>
      </c>
      <c r="AC35" s="57"/>
      <c r="AD35" s="61">
        <v>-3.4227518055267603</v>
      </c>
      <c r="AE35" s="60"/>
      <c r="AF35" s="60">
        <f>$AF$29</f>
        <v>-9.6000000000000002E-2</v>
      </c>
      <c r="AG35" s="59">
        <f t="shared" ref="AG35:AG39" si="16">AD35/O35</f>
        <v>-7.1685698086598375E-3</v>
      </c>
      <c r="AH35" s="62"/>
      <c r="AI35" s="62"/>
      <c r="AJ35" s="18"/>
      <c r="AK35" s="61">
        <f t="shared" ref="AK35:AK39" si="17">AD35+U35</f>
        <v>20.479128194473244</v>
      </c>
      <c r="AL35" s="59">
        <f t="shared" ref="AL35:AL39" si="18">AK35/O35</f>
        <v>4.2891237350463379E-2</v>
      </c>
      <c r="AM35" s="64">
        <f>Q35/L35*100</f>
        <v>14.062183138050719</v>
      </c>
      <c r="AN35" s="57"/>
      <c r="AO35" s="65">
        <f>(U35/L35)*100</f>
        <v>0.67039055425956173</v>
      </c>
      <c r="AP35" s="57"/>
      <c r="AQ35" s="65"/>
      <c r="AR35" s="62"/>
      <c r="AS35" s="12"/>
    </row>
    <row r="36" spans="2:46">
      <c r="B36" s="82">
        <f>MAX(B$13:B35)+1</f>
        <v>13</v>
      </c>
      <c r="D36" s="2" t="s">
        <v>83</v>
      </c>
      <c r="F36" s="29" t="s">
        <v>84</v>
      </c>
      <c r="G36" s="29"/>
      <c r="H36" s="55">
        <v>178</v>
      </c>
      <c r="I36" s="55">
        <f>'Billing Determinants'!C1085/12</f>
        <v>149</v>
      </c>
      <c r="K36" s="55">
        <v>2902.2385934150548</v>
      </c>
      <c r="L36" s="55">
        <f>'Billing Determinants'!C1088/1000</f>
        <v>3309.7490529634542</v>
      </c>
      <c r="N36" s="84">
        <v>522.31224201957195</v>
      </c>
      <c r="O36" s="84">
        <f>'Billing Determinants'!I1088/1000</f>
        <v>623.42693801781672</v>
      </c>
      <c r="P36" s="57"/>
      <c r="Q36" s="58">
        <f>O36+U36</f>
        <v>654.69293801781669</v>
      </c>
      <c r="R36" s="56"/>
      <c r="S36" s="58">
        <f>Q36+W36</f>
        <v>659.2703209580651</v>
      </c>
      <c r="T36" s="56"/>
      <c r="U36" s="56">
        <f>('Billing Determinants'!L1088-'Billing Determinants'!I1088)/1000</f>
        <v>31.265999999999998</v>
      </c>
      <c r="V36" s="59">
        <f>U36/O36</f>
        <v>5.0151827092056865E-2</v>
      </c>
      <c r="W36" s="56">
        <f>(AB36/100)*L36</f>
        <v>4.5773829402484578</v>
      </c>
      <c r="X36" s="59">
        <f>W36/O36</f>
        <v>7.3422925143437449E-3</v>
      </c>
      <c r="Y36" s="56">
        <f>U36+W36</f>
        <v>35.843382940248453</v>
      </c>
      <c r="Z36" s="59">
        <f>Y36/O36</f>
        <v>5.7494119606400607E-2</v>
      </c>
      <c r="AA36" s="57"/>
      <c r="AB36" s="60">
        <f>ROUND((((O36/$O$44)*$W$51)/L36)*100,4)</f>
        <v>0.13830000000000001</v>
      </c>
      <c r="AC36" s="57"/>
      <c r="AD36" s="61">
        <v>-3.1773590908449161</v>
      </c>
      <c r="AE36" s="60"/>
      <c r="AF36" s="60">
        <f t="shared" ref="AF36:AF39" si="19">$AF$29</f>
        <v>-9.6000000000000002E-2</v>
      </c>
      <c r="AG36" s="59">
        <f t="shared" si="16"/>
        <v>-5.0966021791540089E-3</v>
      </c>
      <c r="AH36" s="62"/>
      <c r="AI36" s="62"/>
      <c r="AJ36" s="18"/>
      <c r="AK36" s="61">
        <f t="shared" si="17"/>
        <v>28.088640909155082</v>
      </c>
      <c r="AL36" s="59">
        <f t="shared" si="18"/>
        <v>4.5055224912902855E-2</v>
      </c>
      <c r="AM36" s="64">
        <f>Q36/L36*100</f>
        <v>19.780742513745068</v>
      </c>
      <c r="AN36" s="57"/>
      <c r="AO36" s="65">
        <f>(U36/L36)*100</f>
        <v>0.944663764523335</v>
      </c>
      <c r="AP36" s="57"/>
      <c r="AQ36" s="65"/>
      <c r="AR36" s="62"/>
      <c r="AS36" s="66" t="s">
        <v>0</v>
      </c>
    </row>
    <row r="37" spans="2:46">
      <c r="B37" s="82">
        <f>MAX(B$13:B36)+1</f>
        <v>14</v>
      </c>
      <c r="D37" s="2" t="s">
        <v>83</v>
      </c>
      <c r="F37" s="29">
        <v>52</v>
      </c>
      <c r="G37" s="29"/>
      <c r="H37" s="55">
        <v>30</v>
      </c>
      <c r="I37" s="55">
        <f>'Billing Determinants'!C1096/12</f>
        <v>20</v>
      </c>
      <c r="K37" s="55">
        <v>466.2387672357238</v>
      </c>
      <c r="L37" s="55">
        <f>'Billing Determinants'!C1099/1000</f>
        <v>476.43765602695242</v>
      </c>
      <c r="N37" s="84">
        <v>60.670270195709442</v>
      </c>
      <c r="O37" s="84">
        <f>'Billing Determinants'!I1099/1000</f>
        <v>65.578887734444322</v>
      </c>
      <c r="P37" s="57"/>
      <c r="Q37" s="58">
        <f>O37+U37</f>
        <v>68.857887734444319</v>
      </c>
      <c r="R37" s="56"/>
      <c r="S37" s="58">
        <f>Q37+W37</f>
        <v>69.339566204687571</v>
      </c>
      <c r="T37" s="56"/>
      <c r="U37" s="56">
        <f>('Billing Determinants'!L1099-'Billing Determinants'!I1099)/1000</f>
        <v>3.2789999999999999</v>
      </c>
      <c r="V37" s="59">
        <f>U37/O37</f>
        <v>5.0000848036307187E-2</v>
      </c>
      <c r="W37" s="56">
        <f>(AB37/100)*L37</f>
        <v>0.48167847024324889</v>
      </c>
      <c r="X37" s="59">
        <f>W37/O37</f>
        <v>7.3450234806323889E-3</v>
      </c>
      <c r="Y37" s="56">
        <f>U37+W37</f>
        <v>3.7606784702432487</v>
      </c>
      <c r="Z37" s="59">
        <f>Y37/O37</f>
        <v>5.7345871516939574E-2</v>
      </c>
      <c r="AA37" s="57"/>
      <c r="AB37" s="60">
        <f>ROUND((((O37/$O$44)*$W$51)/L37)*100,4)</f>
        <v>0.1011</v>
      </c>
      <c r="AC37" s="57"/>
      <c r="AD37" s="61">
        <v>-0.45738014978587438</v>
      </c>
      <c r="AE37" s="60"/>
      <c r="AF37" s="60">
        <f t="shared" si="19"/>
        <v>-9.6000000000000002E-2</v>
      </c>
      <c r="AG37" s="59">
        <f t="shared" si="16"/>
        <v>-6.9745030083156224E-3</v>
      </c>
      <c r="AH37" s="62"/>
      <c r="AI37" s="62"/>
      <c r="AJ37" s="18"/>
      <c r="AK37" s="61">
        <f t="shared" si="17"/>
        <v>2.8216198502141254</v>
      </c>
      <c r="AL37" s="59">
        <f t="shared" si="18"/>
        <v>4.3026345027991561E-2</v>
      </c>
      <c r="AM37" s="64">
        <f>Q37/L37*100</f>
        <v>14.452654374269061</v>
      </c>
      <c r="AN37" s="57"/>
      <c r="AO37" s="65">
        <f>(U37/L37)*100</f>
        <v>0.68823275375498538</v>
      </c>
      <c r="AP37" s="57"/>
      <c r="AQ37" s="65"/>
      <c r="AR37" s="62"/>
      <c r="AS37" s="12"/>
    </row>
    <row r="38" spans="2:46">
      <c r="B38" s="82">
        <f>MAX(B$13:B37)+1</f>
        <v>15</v>
      </c>
      <c r="D38" s="2" t="s">
        <v>83</v>
      </c>
      <c r="F38" s="29">
        <v>53</v>
      </c>
      <c r="G38" s="29"/>
      <c r="H38" s="55">
        <v>272.33333333333337</v>
      </c>
      <c r="I38" s="55">
        <f>'Billing Determinants'!C1107/12</f>
        <v>200</v>
      </c>
      <c r="K38" s="55">
        <v>4499.9316487570059</v>
      </c>
      <c r="L38" s="55">
        <f>'Billing Determinants'!C1110/1000</f>
        <v>5190.0894733616351</v>
      </c>
      <c r="N38" s="55">
        <v>278.83306975907675</v>
      </c>
      <c r="O38" s="55">
        <f>'Billing Determinants'!I1110/1000</f>
        <v>339.10690288734077</v>
      </c>
      <c r="P38" s="57"/>
      <c r="Q38" s="58">
        <f>O38+U38</f>
        <v>356.03311288734079</v>
      </c>
      <c r="R38" s="56"/>
      <c r="S38" s="58">
        <f>Q38+W38</f>
        <v>358.5243558345544</v>
      </c>
      <c r="T38" s="56"/>
      <c r="U38" s="56">
        <f>('Billing Determinants'!L1110-'Billing Determinants'!I1110)/1000</f>
        <v>16.926210000000022</v>
      </c>
      <c r="V38" s="59">
        <f>U38/O38</f>
        <v>4.9914082715158722E-2</v>
      </c>
      <c r="W38" s="56">
        <f>(AB38/100)*L38</f>
        <v>2.4912429472135851</v>
      </c>
      <c r="X38" s="59">
        <f>W38/O38</f>
        <v>7.3464825575704487E-3</v>
      </c>
      <c r="Y38" s="56">
        <f>U38+W38</f>
        <v>19.417452947213608</v>
      </c>
      <c r="Z38" s="59">
        <f>Y38/O38</f>
        <v>5.7260565272729172E-2</v>
      </c>
      <c r="AA38" s="57"/>
      <c r="AB38" s="60">
        <f>ROUND((((O38/$O$44)*$W$51)/L38)*100,4)</f>
        <v>4.8000000000000001E-2</v>
      </c>
      <c r="AC38" s="57"/>
      <c r="AD38" s="61">
        <v>-4.9824858944271702</v>
      </c>
      <c r="AE38" s="60"/>
      <c r="AF38" s="60">
        <f t="shared" si="19"/>
        <v>-9.6000000000000002E-2</v>
      </c>
      <c r="AG38" s="59">
        <f t="shared" si="16"/>
        <v>-1.4692965115140897E-2</v>
      </c>
      <c r="AH38" s="62"/>
      <c r="AI38" s="62"/>
      <c r="AJ38" s="18"/>
      <c r="AK38" s="61">
        <f t="shared" si="17"/>
        <v>11.943724105572851</v>
      </c>
      <c r="AL38" s="59">
        <f t="shared" si="18"/>
        <v>3.5221117600017816E-2</v>
      </c>
      <c r="AM38" s="64">
        <f>Q38/L38*100</f>
        <v>6.8598646461625865</v>
      </c>
      <c r="AN38" s="57"/>
      <c r="AO38" s="65">
        <f>(U38/L38)*100</f>
        <v>0.3261255916082863</v>
      </c>
      <c r="AP38" s="57"/>
      <c r="AQ38" s="65"/>
      <c r="AR38" s="62"/>
      <c r="AS38" s="12"/>
      <c r="AT38" s="3" t="s">
        <v>0</v>
      </c>
    </row>
    <row r="39" spans="2:46">
      <c r="B39" s="82">
        <f>MAX(B$13:B38)+1</f>
        <v>16</v>
      </c>
      <c r="D39" s="2" t="s">
        <v>83</v>
      </c>
      <c r="F39" s="29">
        <v>57</v>
      </c>
      <c r="G39" s="29"/>
      <c r="H39" s="55">
        <v>50.666666666666664</v>
      </c>
      <c r="I39" s="55">
        <f>'Billing Determinants'!C1192/12</f>
        <v>33.416666666666664</v>
      </c>
      <c r="K39" s="55">
        <v>2174.0459905922153</v>
      </c>
      <c r="L39" s="55">
        <f>'Billing Determinants'!C1195/1000</f>
        <v>2163.5698176479586</v>
      </c>
      <c r="N39" s="55">
        <v>235.8029580256418</v>
      </c>
      <c r="O39" s="55">
        <f>'Billing Determinants'!I1195/1000</f>
        <v>250.9202113603981</v>
      </c>
      <c r="P39" s="57"/>
      <c r="Q39" s="58">
        <f>O39+U39</f>
        <v>263.50921136039813</v>
      </c>
      <c r="R39" s="56"/>
      <c r="S39" s="58">
        <f>Q39+W39</f>
        <v>265.35257284503416</v>
      </c>
      <c r="T39" s="56"/>
      <c r="U39" s="56">
        <f>('Billing Determinants'!L1195-'Billing Determinants'!I1195)/1000</f>
        <v>12.589</v>
      </c>
      <c r="V39" s="59">
        <f>U39/O39</f>
        <v>5.0171327099347726E-2</v>
      </c>
      <c r="W39" s="56">
        <f>(AB39/100)*L39</f>
        <v>1.8433614846360609</v>
      </c>
      <c r="X39" s="59">
        <f>W39/O39</f>
        <v>7.346404957344909E-3</v>
      </c>
      <c r="Y39" s="56">
        <f>U39+W39</f>
        <v>14.432361484636061</v>
      </c>
      <c r="Z39" s="59">
        <f>Y39/O39</f>
        <v>5.7517732056692632E-2</v>
      </c>
      <c r="AA39" s="57"/>
      <c r="AB39" s="60">
        <f>ROUND((((O39/$O$44)*$W$51)/L39)*100,4)</f>
        <v>8.5199999999999998E-2</v>
      </c>
      <c r="AC39" s="57"/>
      <c r="AD39" s="61">
        <v>-2.0770270249420402</v>
      </c>
      <c r="AE39" s="60"/>
      <c r="AF39" s="60">
        <f t="shared" si="19"/>
        <v>-9.6000000000000002E-2</v>
      </c>
      <c r="AG39" s="59">
        <f t="shared" si="16"/>
        <v>-8.2776393885576425E-3</v>
      </c>
      <c r="AH39" s="62"/>
      <c r="AI39" s="62"/>
      <c r="AJ39" s="18"/>
      <c r="AK39" s="61">
        <f t="shared" si="17"/>
        <v>10.51197297505796</v>
      </c>
      <c r="AL39" s="59">
        <f t="shared" si="18"/>
        <v>4.1893687710790085E-2</v>
      </c>
      <c r="AM39" s="64">
        <f>Q39/L39*100</f>
        <v>12.179371759163381</v>
      </c>
      <c r="AN39" s="57"/>
      <c r="AO39" s="65">
        <f>(U39/L39)*100</f>
        <v>0.58186243389573833</v>
      </c>
      <c r="AP39" s="57"/>
      <c r="AQ39" s="65"/>
      <c r="AR39" s="62"/>
      <c r="AS39" s="12"/>
    </row>
    <row r="40" spans="2:46">
      <c r="B40" s="33"/>
      <c r="H40" s="68"/>
      <c r="I40" s="68"/>
      <c r="K40" s="68"/>
      <c r="L40" s="68"/>
      <c r="N40" s="68"/>
      <c r="O40" s="68"/>
      <c r="P40" s="12"/>
      <c r="Q40" s="69"/>
      <c r="R40" s="12"/>
      <c r="S40" s="69"/>
      <c r="T40" s="12"/>
      <c r="U40" s="68"/>
      <c r="V40" s="71"/>
      <c r="W40" s="68"/>
      <c r="X40" s="71"/>
      <c r="Y40" s="68"/>
      <c r="Z40" s="71"/>
      <c r="AA40" s="12"/>
      <c r="AB40" s="72"/>
      <c r="AC40" s="12"/>
      <c r="AD40" s="73"/>
      <c r="AE40" s="74"/>
      <c r="AF40" s="74"/>
      <c r="AG40" s="90"/>
      <c r="AH40" s="18"/>
      <c r="AI40" s="18"/>
      <c r="AJ40" s="18"/>
      <c r="AK40" s="73"/>
      <c r="AL40" s="90"/>
      <c r="AM40" s="69"/>
      <c r="AN40" s="12"/>
      <c r="AO40" s="75"/>
      <c r="AP40" s="12"/>
      <c r="AQ40" s="76"/>
      <c r="AR40" s="12"/>
      <c r="AS40" s="12"/>
    </row>
    <row r="41" spans="2:46">
      <c r="B41" s="33"/>
      <c r="V41" s="77"/>
      <c r="X41" s="77"/>
      <c r="Z41" s="77"/>
      <c r="AB41" s="78"/>
      <c r="AD41" s="5"/>
      <c r="AE41" s="79"/>
      <c r="AF41" s="79"/>
      <c r="AG41" s="80"/>
      <c r="AH41" s="18"/>
      <c r="AI41" s="18"/>
      <c r="AJ41" s="18"/>
      <c r="AL41" s="80"/>
      <c r="AO41" s="81"/>
      <c r="AQ41" s="76"/>
      <c r="AR41" s="12"/>
      <c r="AS41" s="12"/>
    </row>
    <row r="42" spans="2:46">
      <c r="B42" s="82">
        <f>MAX(B$13:B41)+1</f>
        <v>17</v>
      </c>
      <c r="D42" s="53" t="s">
        <v>85</v>
      </c>
      <c r="H42" s="91">
        <f>SUM(H35:H39)</f>
        <v>3359</v>
      </c>
      <c r="I42" s="91">
        <f>SUM(I35:I39)</f>
        <v>3072.6666666666665</v>
      </c>
      <c r="K42" s="91">
        <f>SUM(K35:K39)</f>
        <v>13777.544364445665</v>
      </c>
      <c r="L42" s="91">
        <f>SUM(L35:L39)</f>
        <v>14705.212464090375</v>
      </c>
      <c r="M42" s="83"/>
      <c r="N42" s="92">
        <f>SUM(N35:N39)</f>
        <v>1571.5388067303365</v>
      </c>
      <c r="O42" s="92">
        <f>SUM(O35:O39)</f>
        <v>1756.4994217230317</v>
      </c>
      <c r="P42" s="62"/>
      <c r="Q42" s="92">
        <f>SUM(Q35:Q39)</f>
        <v>1844.4615117230319</v>
      </c>
      <c r="R42" s="93"/>
      <c r="S42" s="92">
        <f>SUM(S35:S39)</f>
        <v>1857.3599327995739</v>
      </c>
      <c r="T42" s="93"/>
      <c r="U42" s="92">
        <f>SUM(U35:U39)</f>
        <v>87.962090000000032</v>
      </c>
      <c r="V42" s="94">
        <f>U42/O42</f>
        <v>5.0078063739818338E-2</v>
      </c>
      <c r="W42" s="92">
        <f>SUM(W35:W39)</f>
        <v>12.898421076542192</v>
      </c>
      <c r="X42" s="94">
        <f>W42/O42</f>
        <v>7.3432538132517759E-3</v>
      </c>
      <c r="Y42" s="92">
        <f>U42+W42</f>
        <v>100.86051107654222</v>
      </c>
      <c r="Z42" s="94">
        <f>Y42/O42</f>
        <v>5.7421317553070117E-2</v>
      </c>
      <c r="AA42" s="62"/>
      <c r="AB42" s="60"/>
      <c r="AC42" s="62"/>
      <c r="AD42" s="95">
        <f>SUM(AD35:AD39)</f>
        <v>-14.117003965526761</v>
      </c>
      <c r="AE42" s="60"/>
      <c r="AF42" s="60"/>
      <c r="AG42" s="94">
        <f>AD42/O42</f>
        <v>-8.0370103120664498E-3</v>
      </c>
      <c r="AH42" s="62"/>
      <c r="AI42" s="62"/>
      <c r="AJ42" s="18"/>
      <c r="AK42" s="95">
        <f t="shared" ref="AK42" si="20">AD42+U42</f>
        <v>73.845086034473269</v>
      </c>
      <c r="AL42" s="94">
        <f t="shared" ref="AL42:AL44" si="21">AK42/O42</f>
        <v>4.2041053427751884E-2</v>
      </c>
      <c r="AM42" s="96">
        <f>Q42/L42*100</f>
        <v>12.542909639878674</v>
      </c>
      <c r="AN42" s="62"/>
      <c r="AO42" s="97">
        <f>(U42/L42)*100</f>
        <v>0.59816946007954963</v>
      </c>
      <c r="AP42" s="62"/>
      <c r="AQ42" s="98"/>
      <c r="AR42" s="62"/>
      <c r="AS42" s="12"/>
    </row>
    <row r="43" spans="2:46">
      <c r="B43" s="33"/>
      <c r="D43" s="53"/>
      <c r="H43" s="99"/>
      <c r="I43" s="99"/>
      <c r="K43" s="99"/>
      <c r="L43" s="99"/>
      <c r="M43" s="83"/>
      <c r="N43" s="93"/>
      <c r="O43" s="93"/>
      <c r="P43" s="93"/>
      <c r="Q43" s="93"/>
      <c r="R43" s="93"/>
      <c r="S43" s="93"/>
      <c r="T43" s="93"/>
      <c r="U43" s="93"/>
      <c r="V43" s="100"/>
      <c r="W43" s="93"/>
      <c r="X43" s="100"/>
      <c r="Y43" s="93"/>
      <c r="Z43" s="101"/>
      <c r="AA43" s="93"/>
      <c r="AB43" s="102"/>
      <c r="AC43" s="93"/>
      <c r="AD43" s="103"/>
      <c r="AE43" s="104"/>
      <c r="AF43" s="104"/>
      <c r="AG43" s="105"/>
      <c r="AH43" s="103"/>
      <c r="AI43" s="103"/>
      <c r="AJ43" s="18"/>
      <c r="AK43" s="103"/>
      <c r="AL43" s="105"/>
      <c r="AM43" s="93"/>
      <c r="AN43" s="93"/>
      <c r="AO43" s="106"/>
      <c r="AP43" s="93"/>
      <c r="AQ43" s="76"/>
      <c r="AR43" s="93"/>
      <c r="AS43" s="12"/>
    </row>
    <row r="44" spans="2:46" ht="16.5" thickBot="1">
      <c r="B44" s="82">
        <f>MAX(B$13:B43)+1</f>
        <v>18</v>
      </c>
      <c r="D44" s="107" t="s">
        <v>86</v>
      </c>
      <c r="H44" s="108">
        <f>H42+H32+H19</f>
        <v>128476.41666666667</v>
      </c>
      <c r="I44" s="108">
        <f>I42+I32+I19</f>
        <v>131078.25</v>
      </c>
      <c r="K44" s="108">
        <f>K42+K32+K19</f>
        <v>4880827.1987742558</v>
      </c>
      <c r="L44" s="108">
        <f>L42+L32+L19</f>
        <v>4074980.318</v>
      </c>
      <c r="N44" s="109">
        <f>N42+N32+N19</f>
        <v>275214.43788963149</v>
      </c>
      <c r="O44" s="109">
        <f>O42+O32+O19</f>
        <v>272396.09406000003</v>
      </c>
      <c r="P44" s="62"/>
      <c r="Q44" s="109">
        <f>Q42+Q32+Q19</f>
        <v>305893.43715000001</v>
      </c>
      <c r="R44" s="110"/>
      <c r="S44" s="109">
        <f>S42+S32+S19</f>
        <v>307892.92516516213</v>
      </c>
      <c r="T44" s="110"/>
      <c r="U44" s="109">
        <f>U42+U32+U19</f>
        <v>33497.343089999995</v>
      </c>
      <c r="V44" s="111">
        <f>U44/O44</f>
        <v>0.12297292002513668</v>
      </c>
      <c r="W44" s="109">
        <f>W42+W32+W19</f>
        <v>1999.4880151621328</v>
      </c>
      <c r="X44" s="111">
        <f>W44/O44</f>
        <v>7.3403696263049587E-3</v>
      </c>
      <c r="Y44" s="109">
        <f>U44+W44</f>
        <v>35496.831105162128</v>
      </c>
      <c r="Z44" s="111">
        <f>Y44/O44</f>
        <v>0.13031328965144165</v>
      </c>
      <c r="AA44" s="62"/>
      <c r="AB44" s="112">
        <f>ROUND((((O44/$O$44)*$W$51)/L44)*100,4)</f>
        <v>4.9099999999999998E-2</v>
      </c>
      <c r="AC44" s="62"/>
      <c r="AD44" s="113">
        <f>AD42+AD32+AD19</f>
        <v>-4798.2553735903675</v>
      </c>
      <c r="AE44" s="114"/>
      <c r="AF44" s="114"/>
      <c r="AG44" s="111">
        <f>AD44/O44</f>
        <v>-1.761499330652468E-2</v>
      </c>
      <c r="AH44" s="62"/>
      <c r="AI44" s="62"/>
      <c r="AJ44" s="63" t="s">
        <v>0</v>
      </c>
      <c r="AK44" s="113">
        <f t="shared" ref="AK44" si="22">AD44+U44</f>
        <v>28699.087716409627</v>
      </c>
      <c r="AL44" s="111">
        <f t="shared" si="21"/>
        <v>0.10535792671861201</v>
      </c>
      <c r="AM44" s="115">
        <f>Q44/L44*100</f>
        <v>7.5066236712557295</v>
      </c>
      <c r="AN44" s="62"/>
      <c r="AO44" s="115">
        <f>(U44/L44)*100</f>
        <v>0.82202465965382843</v>
      </c>
      <c r="AP44" s="62"/>
      <c r="AQ44" s="66" t="s">
        <v>0</v>
      </c>
      <c r="AR44" s="62"/>
      <c r="AS44" s="67" t="s">
        <v>0</v>
      </c>
    </row>
    <row r="45" spans="2:46" ht="16.5" thickTop="1">
      <c r="B45" s="116" t="s">
        <v>0</v>
      </c>
      <c r="C45" s="117"/>
      <c r="D45" s="117"/>
      <c r="H45" s="118"/>
      <c r="I45" s="118"/>
      <c r="K45" s="118"/>
      <c r="L45" s="118"/>
      <c r="N45" s="110"/>
      <c r="O45" s="110"/>
      <c r="P45" s="62"/>
      <c r="Q45" s="110"/>
      <c r="R45" s="110"/>
      <c r="S45" s="110"/>
      <c r="T45" s="110"/>
      <c r="U45" s="110"/>
      <c r="V45" s="77"/>
      <c r="W45" s="110"/>
      <c r="X45" s="77"/>
      <c r="Y45" s="62"/>
      <c r="AA45" s="62"/>
      <c r="AB45" s="62"/>
      <c r="AC45" s="62"/>
      <c r="AD45" s="119"/>
      <c r="AE45" s="62"/>
      <c r="AF45" s="62"/>
      <c r="AG45" s="80"/>
      <c r="AH45" s="62"/>
      <c r="AI45" s="62"/>
      <c r="AJ45" s="18"/>
      <c r="AK45" s="119"/>
      <c r="AL45" s="80"/>
      <c r="AM45" s="62"/>
      <c r="AN45" s="62"/>
      <c r="AO45" s="65"/>
      <c r="AP45" s="62"/>
      <c r="AQ45" s="65"/>
      <c r="AR45" s="62"/>
      <c r="AS45" s="12"/>
    </row>
    <row r="46" spans="2:46">
      <c r="B46" s="82">
        <v>19</v>
      </c>
      <c r="D46" s="2" t="s">
        <v>87</v>
      </c>
      <c r="H46" s="118"/>
      <c r="I46" s="118"/>
      <c r="K46" s="118"/>
      <c r="L46" s="118"/>
      <c r="N46" s="110">
        <v>311.00673999999998</v>
      </c>
      <c r="O46" s="110">
        <f>'Billing Determinants'!F1200/1000</f>
        <v>562.5675</v>
      </c>
      <c r="P46" s="120"/>
      <c r="Q46" s="58">
        <f>O46</f>
        <v>562.5675</v>
      </c>
      <c r="R46" s="110"/>
      <c r="S46" s="58">
        <f>Q46</f>
        <v>562.5675</v>
      </c>
      <c r="T46" s="110"/>
      <c r="U46" s="87"/>
      <c r="V46" s="59"/>
      <c r="W46" s="87"/>
      <c r="X46" s="59"/>
      <c r="Y46" s="62"/>
      <c r="AA46" s="62"/>
      <c r="AB46" s="62"/>
      <c r="AC46" s="62"/>
      <c r="AD46" s="121"/>
      <c r="AE46" s="62"/>
      <c r="AF46" s="62"/>
      <c r="AG46" s="59"/>
      <c r="AH46" s="62"/>
      <c r="AI46" s="62"/>
      <c r="AJ46" s="18"/>
      <c r="AK46" s="121"/>
      <c r="AL46" s="59"/>
      <c r="AM46" s="64"/>
      <c r="AN46" s="57"/>
      <c r="AO46" s="65"/>
      <c r="AP46" s="62"/>
      <c r="AQ46" s="65"/>
      <c r="AR46" s="62"/>
      <c r="AS46" s="12"/>
    </row>
    <row r="47" spans="2:46">
      <c r="B47" s="82"/>
      <c r="H47" s="118"/>
      <c r="I47" s="118"/>
      <c r="K47" s="118"/>
      <c r="L47" s="118"/>
      <c r="N47" s="110"/>
      <c r="O47" s="110"/>
      <c r="P47" s="120"/>
      <c r="Q47" s="58"/>
      <c r="R47" s="110"/>
      <c r="S47" s="58"/>
      <c r="T47" s="110"/>
      <c r="U47" s="87"/>
      <c r="V47" s="59"/>
      <c r="W47" s="87"/>
      <c r="X47" s="59"/>
      <c r="Y47" s="62"/>
      <c r="AA47" s="62"/>
      <c r="AB47" s="62"/>
      <c r="AC47" s="62"/>
      <c r="AD47" s="122"/>
      <c r="AE47" s="62"/>
      <c r="AF47" s="62"/>
      <c r="AG47" s="59"/>
      <c r="AH47" s="62"/>
      <c r="AI47" s="62"/>
      <c r="AJ47" s="18"/>
      <c r="AK47" s="122"/>
      <c r="AL47" s="59"/>
      <c r="AM47" s="64"/>
      <c r="AN47" s="57"/>
      <c r="AO47" s="65"/>
      <c r="AP47" s="62"/>
      <c r="AQ47" s="65"/>
      <c r="AR47" s="62"/>
      <c r="AS47" s="12"/>
    </row>
    <row r="48" spans="2:46" ht="16.5" thickBot="1">
      <c r="B48" s="82">
        <v>20</v>
      </c>
      <c r="D48" s="123" t="s">
        <v>88</v>
      </c>
      <c r="H48" s="124">
        <f>SUM(H44:H46)</f>
        <v>128476.41666666667</v>
      </c>
      <c r="I48" s="124">
        <f>SUM(I44:I46)</f>
        <v>131078.25</v>
      </c>
      <c r="K48" s="124">
        <f>SUM(K44:K46)</f>
        <v>4880827.1987742558</v>
      </c>
      <c r="L48" s="124">
        <f>SUM(L44:L46)</f>
        <v>4074980.318</v>
      </c>
      <c r="N48" s="109">
        <f>SUM(N44:N46)</f>
        <v>275525.44462963147</v>
      </c>
      <c r="O48" s="109">
        <f>SUM(O44:O46)</f>
        <v>272958.66156000004</v>
      </c>
      <c r="Q48" s="125">
        <f>SUM(Q44:Q46)</f>
        <v>306456.00465000002</v>
      </c>
      <c r="R48" s="110"/>
      <c r="S48" s="125">
        <f>SUM(S44:S46)</f>
        <v>308455.49266516214</v>
      </c>
      <c r="T48" s="110"/>
      <c r="U48" s="109">
        <f>SUM(U44:U46)</f>
        <v>33497.343089999995</v>
      </c>
      <c r="V48" s="111">
        <f>U48/O48</f>
        <v>0.12271947297278502</v>
      </c>
      <c r="W48" s="109">
        <f>SUM(W44:W46)</f>
        <v>1999.4880151621328</v>
      </c>
      <c r="X48" s="111">
        <f>W48/O48</f>
        <v>7.3252411326123756E-3</v>
      </c>
      <c r="AD48" s="113">
        <f>AD44</f>
        <v>-4798.2553735903675</v>
      </c>
      <c r="AG48" s="111">
        <f>AD48/O48</f>
        <v>-1.7578688824775195E-2</v>
      </c>
      <c r="AH48" s="18"/>
      <c r="AI48" s="18"/>
      <c r="AJ48" s="18"/>
      <c r="AK48" s="113">
        <f t="shared" ref="AK48" si="23">AD48+U48</f>
        <v>28699.087716409627</v>
      </c>
      <c r="AL48" s="111">
        <f t="shared" ref="AL48" si="24">AK48/O48</f>
        <v>0.10514078414800981</v>
      </c>
      <c r="AM48" s="115">
        <f>Q48/L48*100</f>
        <v>7.5204290753582983</v>
      </c>
      <c r="AN48" s="57"/>
      <c r="AO48" s="65">
        <f>(U48/L48)*100</f>
        <v>0.82202465965382843</v>
      </c>
      <c r="AQ48" s="12"/>
      <c r="AR48" s="12"/>
      <c r="AS48" s="12"/>
    </row>
    <row r="49" spans="3:44" ht="18.75" customHeight="1" thickTop="1">
      <c r="V49" s="126" t="s">
        <v>0</v>
      </c>
      <c r="X49" s="126" t="s">
        <v>0</v>
      </c>
    </row>
    <row r="50" spans="3:44" ht="18.75" customHeight="1">
      <c r="C50" s="3" t="s">
        <v>89</v>
      </c>
      <c r="D50" s="127" t="s">
        <v>90</v>
      </c>
      <c r="U50" s="128"/>
      <c r="V50" s="126"/>
      <c r="X50" s="126"/>
    </row>
    <row r="51" spans="3:44">
      <c r="N51" s="129"/>
      <c r="O51" s="129"/>
      <c r="P51" s="12"/>
      <c r="S51" s="87"/>
      <c r="U51" s="87"/>
      <c r="V51" s="130"/>
      <c r="W51" s="87">
        <v>2000</v>
      </c>
      <c r="X51" s="130"/>
      <c r="Y51" s="12"/>
      <c r="AA51" s="12"/>
      <c r="AB51" s="12"/>
      <c r="AC51" s="12"/>
      <c r="AM51" s="12"/>
      <c r="AN51" s="12"/>
      <c r="AO51" s="12"/>
      <c r="AP51" s="12"/>
      <c r="AQ51" s="12"/>
      <c r="AR51" s="12"/>
    </row>
    <row r="52" spans="3:44">
      <c r="P52" s="12"/>
      <c r="U52" s="131"/>
      <c r="Y52" s="12"/>
      <c r="Z52" s="12"/>
      <c r="AA52" s="12"/>
      <c r="AB52" s="12"/>
      <c r="AC52" s="12"/>
      <c r="AM52" s="110"/>
      <c r="AN52" s="12"/>
      <c r="AO52" s="12"/>
      <c r="AP52" s="12"/>
      <c r="AQ52" s="12"/>
      <c r="AR52" s="12"/>
    </row>
    <row r="53" spans="3:44">
      <c r="Q53" s="66"/>
      <c r="U53" s="132"/>
      <c r="V53" s="133"/>
      <c r="W53" s="132"/>
      <c r="AD53" s="36"/>
      <c r="AE53" s="18"/>
      <c r="AF53" s="18"/>
      <c r="AG53" s="18"/>
      <c r="AH53" s="18"/>
      <c r="AI53" s="18"/>
    </row>
    <row r="54" spans="3:44">
      <c r="Q54" s="12"/>
      <c r="U54" s="134"/>
      <c r="V54" s="135"/>
      <c r="W54" s="134"/>
      <c r="AD54" s="36"/>
      <c r="AE54" s="18"/>
      <c r="AF54" s="18"/>
      <c r="AG54" s="18"/>
      <c r="AH54" s="18"/>
      <c r="AI54" s="18"/>
    </row>
    <row r="55" spans="3:44">
      <c r="Q55" s="50"/>
      <c r="U55" s="136"/>
      <c r="V55" s="137"/>
      <c r="W55" s="136"/>
    </row>
    <row r="56" spans="3:44">
      <c r="Q56" s="138"/>
      <c r="V56" s="77"/>
    </row>
    <row r="57" spans="3:44">
      <c r="Q57" s="3"/>
      <c r="V57" s="139"/>
    </row>
    <row r="59" spans="3:44">
      <c r="Q59" s="50"/>
      <c r="X59" s="88"/>
    </row>
  </sheetData>
  <mergeCells count="9">
    <mergeCell ref="Q9:S9"/>
    <mergeCell ref="U9:Z9"/>
    <mergeCell ref="B45:D45"/>
    <mergeCell ref="B2:AL2"/>
    <mergeCell ref="B3:AL3"/>
    <mergeCell ref="B4:AL4"/>
    <mergeCell ref="B5:AL5"/>
    <mergeCell ref="B6:AL6"/>
    <mergeCell ref="B7:AL7"/>
  </mergeCells>
  <printOptions horizontalCentered="1"/>
  <pageMargins left="0.25" right="0.25" top="0.5" bottom="0.5" header="0.5" footer="0.25"/>
  <pageSetup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0"/>
  <sheetViews>
    <sheetView zoomScale="85" zoomScaleNormal="100" zoomScaleSheetLayoutView="85" workbookViewId="0">
      <selection sqref="A1:J1"/>
    </sheetView>
  </sheetViews>
  <sheetFormatPr defaultRowHeight="15.75"/>
  <cols>
    <col min="1" max="1" width="41.125" bestFit="1" customWidth="1"/>
    <col min="2" max="3" width="4.5" bestFit="1" customWidth="1"/>
    <col min="4" max="4" width="9.75" bestFit="1" customWidth="1"/>
    <col min="5" max="5" width="15.5" bestFit="1" customWidth="1"/>
    <col min="6" max="6" width="10.5" customWidth="1"/>
    <col min="7" max="7" width="10.375" bestFit="1" customWidth="1"/>
    <col min="10" max="10" width="9.875" bestFit="1" customWidth="1"/>
    <col min="11" max="11" width="2" customWidth="1"/>
    <col min="13" max="20" width="0" hidden="1" customWidth="1"/>
  </cols>
  <sheetData>
    <row r="1" spans="1:28">
      <c r="A1" s="536" t="s">
        <v>387</v>
      </c>
      <c r="B1" s="536"/>
      <c r="C1" s="536"/>
      <c r="D1" s="536"/>
      <c r="E1" s="536"/>
      <c r="F1" s="536"/>
      <c r="G1" s="536"/>
      <c r="H1" s="536"/>
      <c r="I1" s="536"/>
      <c r="J1" s="536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</row>
    <row r="2" spans="1:28">
      <c r="A2" s="536" t="s">
        <v>388</v>
      </c>
      <c r="B2" s="536"/>
      <c r="C2" s="536"/>
      <c r="D2" s="536"/>
      <c r="E2" s="536"/>
      <c r="F2" s="536"/>
      <c r="G2" s="536"/>
      <c r="H2" s="536"/>
      <c r="I2" s="536"/>
      <c r="J2" s="536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</row>
    <row r="3" spans="1:28">
      <c r="A3" s="536" t="s">
        <v>389</v>
      </c>
      <c r="B3" s="536"/>
      <c r="C3" s="536"/>
      <c r="D3" s="536"/>
      <c r="E3" s="536"/>
      <c r="F3" s="536"/>
      <c r="G3" s="536"/>
      <c r="H3" s="536"/>
      <c r="I3" s="536"/>
      <c r="J3" s="536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</row>
    <row r="4" spans="1:28">
      <c r="A4" s="538"/>
      <c r="B4" s="538"/>
      <c r="C4" s="538"/>
      <c r="D4" s="539"/>
      <c r="E4" s="539"/>
      <c r="F4" s="538"/>
      <c r="G4" s="538"/>
      <c r="H4" s="538"/>
      <c r="I4" s="538"/>
      <c r="J4" s="538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</row>
    <row r="5" spans="1:28">
      <c r="A5" s="537"/>
      <c r="B5" s="537"/>
      <c r="C5" s="537"/>
      <c r="D5" s="540" t="s">
        <v>98</v>
      </c>
      <c r="E5" s="541" t="s">
        <v>10</v>
      </c>
      <c r="F5" s="542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7"/>
      <c r="AA5" s="537"/>
      <c r="AB5" s="537"/>
    </row>
    <row r="6" spans="1:28">
      <c r="A6" s="537"/>
      <c r="B6" s="537"/>
      <c r="C6" s="537"/>
      <c r="D6" s="543" t="s">
        <v>390</v>
      </c>
      <c r="E6" s="544" t="s">
        <v>391</v>
      </c>
      <c r="F6" s="545"/>
      <c r="G6" s="537"/>
      <c r="H6" s="546"/>
      <c r="I6" s="546"/>
      <c r="J6" s="546"/>
      <c r="K6" s="546"/>
      <c r="L6" s="544" t="s">
        <v>392</v>
      </c>
      <c r="M6" s="546"/>
      <c r="N6" s="547"/>
      <c r="O6" s="548"/>
      <c r="P6" s="548"/>
      <c r="Q6" s="542"/>
      <c r="R6" s="537"/>
      <c r="S6" s="547"/>
      <c r="T6" s="542"/>
      <c r="U6" s="537"/>
      <c r="V6" s="544" t="s">
        <v>392</v>
      </c>
      <c r="W6" s="537"/>
      <c r="X6" s="537"/>
      <c r="Y6" s="537"/>
      <c r="Z6" s="537"/>
      <c r="AA6" s="537"/>
      <c r="AB6" s="537"/>
    </row>
    <row r="7" spans="1:28">
      <c r="A7" s="549" t="s">
        <v>0</v>
      </c>
      <c r="B7" s="537"/>
      <c r="C7" s="537"/>
      <c r="D7" s="550"/>
      <c r="E7" s="551">
        <v>0.21029609911168315</v>
      </c>
      <c r="F7" s="545"/>
      <c r="G7" s="552" t="s">
        <v>0</v>
      </c>
      <c r="H7" s="552"/>
      <c r="I7" s="552"/>
      <c r="J7" s="552"/>
      <c r="K7" s="546"/>
      <c r="L7" s="553" t="s">
        <v>393</v>
      </c>
      <c r="M7" s="546"/>
      <c r="N7" s="554"/>
      <c r="O7" s="546"/>
      <c r="P7" s="546"/>
      <c r="Q7" s="545"/>
      <c r="R7" s="537"/>
      <c r="S7" s="554"/>
      <c r="T7" s="545"/>
      <c r="U7" s="537"/>
      <c r="V7" s="553" t="s">
        <v>394</v>
      </c>
      <c r="W7" s="537"/>
      <c r="X7" s="537"/>
      <c r="Y7" s="537"/>
      <c r="Z7" s="537"/>
      <c r="AA7" s="537"/>
      <c r="AB7" s="537"/>
    </row>
    <row r="8" spans="1:28">
      <c r="A8" s="537"/>
      <c r="B8" s="537"/>
      <c r="C8" s="537"/>
      <c r="D8" s="543" t="s">
        <v>0</v>
      </c>
      <c r="E8" s="544" t="s">
        <v>27</v>
      </c>
      <c r="F8" s="555" t="s">
        <v>11</v>
      </c>
      <c r="G8" s="544" t="s">
        <v>395</v>
      </c>
      <c r="H8" s="546"/>
      <c r="I8" s="546"/>
      <c r="J8" s="556" t="s">
        <v>395</v>
      </c>
      <c r="K8" s="546"/>
      <c r="L8" s="553" t="s">
        <v>12</v>
      </c>
      <c r="M8" s="546"/>
      <c r="N8" s="554"/>
      <c r="O8" s="546"/>
      <c r="P8" s="546"/>
      <c r="Q8" s="545"/>
      <c r="R8" s="537"/>
      <c r="S8" s="550" t="s">
        <v>396</v>
      </c>
      <c r="T8" s="557">
        <f>E7</f>
        <v>0.21029609911168315</v>
      </c>
      <c r="U8" s="537"/>
      <c r="V8" s="553" t="s">
        <v>26</v>
      </c>
      <c r="W8" s="537"/>
      <c r="X8" s="537"/>
      <c r="Y8" s="537"/>
      <c r="Z8" s="537"/>
      <c r="AA8" s="537"/>
      <c r="AB8" s="537"/>
    </row>
    <row r="9" spans="1:28">
      <c r="A9" s="558" t="s">
        <v>397</v>
      </c>
      <c r="B9" s="537"/>
      <c r="C9" s="537"/>
      <c r="D9" s="559">
        <f>X27</f>
        <v>1207111.7200000002</v>
      </c>
      <c r="E9" s="560">
        <f>D9*(1+E7)</f>
        <v>1460962.6059079946</v>
      </c>
      <c r="F9" s="561">
        <f>E9-D9</f>
        <v>253850.88590799435</v>
      </c>
      <c r="G9" s="544" t="s">
        <v>398</v>
      </c>
      <c r="H9" s="544"/>
      <c r="I9" s="546"/>
      <c r="J9" s="556" t="s">
        <v>363</v>
      </c>
      <c r="K9" s="546"/>
      <c r="L9" s="562"/>
      <c r="M9" s="546"/>
      <c r="N9" s="554"/>
      <c r="O9" s="546"/>
      <c r="P9" s="546"/>
      <c r="Q9" s="545"/>
      <c r="R9" s="537"/>
      <c r="S9" s="563">
        <f>D9</f>
        <v>1207111.7200000002</v>
      </c>
      <c r="T9" s="564">
        <f>E9</f>
        <v>1460962.6059079946</v>
      </c>
      <c r="U9" s="537"/>
      <c r="V9" s="537"/>
      <c r="W9" s="537"/>
      <c r="X9" s="537"/>
      <c r="Y9" s="537"/>
      <c r="Z9" s="537"/>
      <c r="AA9" s="537"/>
      <c r="AB9" s="537"/>
    </row>
    <row r="10" spans="1:28">
      <c r="A10" s="565" t="s">
        <v>399</v>
      </c>
      <c r="B10" s="537"/>
      <c r="C10" s="537"/>
      <c r="D10" s="559">
        <f>D29*48</f>
        <v>214800</v>
      </c>
      <c r="E10" s="566">
        <f>E29*48</f>
        <v>226560</v>
      </c>
      <c r="F10" s="567"/>
      <c r="G10" s="544" t="s">
        <v>12</v>
      </c>
      <c r="H10" s="568"/>
      <c r="I10" s="546"/>
      <c r="J10" s="569" t="s">
        <v>10</v>
      </c>
      <c r="K10" s="544"/>
      <c r="L10" s="570"/>
      <c r="M10" s="537"/>
      <c r="N10" s="554" t="s">
        <v>400</v>
      </c>
      <c r="O10" s="546"/>
      <c r="P10" s="546" t="s">
        <v>401</v>
      </c>
      <c r="Q10" s="545" t="s">
        <v>402</v>
      </c>
      <c r="R10" s="537"/>
      <c r="S10" s="563">
        <f>D10</f>
        <v>214800</v>
      </c>
      <c r="T10" s="564">
        <f>E10</f>
        <v>226560</v>
      </c>
      <c r="U10" s="537"/>
      <c r="V10" s="537"/>
      <c r="W10" s="537"/>
      <c r="X10" s="544" t="s">
        <v>395</v>
      </c>
      <c r="Y10" s="537"/>
      <c r="Z10" s="553" t="s">
        <v>403</v>
      </c>
      <c r="AA10" s="537"/>
      <c r="AB10" s="544" t="s">
        <v>96</v>
      </c>
    </row>
    <row r="11" spans="1:28">
      <c r="A11" s="558" t="s">
        <v>404</v>
      </c>
      <c r="B11" s="537"/>
      <c r="C11" s="537"/>
      <c r="D11" s="571">
        <f>D9-D10</f>
        <v>992311.7200000002</v>
      </c>
      <c r="E11" s="572">
        <f>E9-E10</f>
        <v>1234402.6059079946</v>
      </c>
      <c r="F11" s="573">
        <f>E11-D11</f>
        <v>242090.88590799435</v>
      </c>
      <c r="G11" s="574" t="s">
        <v>405</v>
      </c>
      <c r="H11" s="575" t="s">
        <v>400</v>
      </c>
      <c r="I11" s="546"/>
      <c r="J11" s="576" t="s">
        <v>26</v>
      </c>
      <c r="K11" s="568"/>
      <c r="L11" s="562"/>
      <c r="M11" s="537" t="s">
        <v>0</v>
      </c>
      <c r="N11" s="554" t="s">
        <v>406</v>
      </c>
      <c r="O11" s="546"/>
      <c r="P11" s="546" t="s">
        <v>406</v>
      </c>
      <c r="Q11" s="545" t="s">
        <v>406</v>
      </c>
      <c r="R11" s="537"/>
      <c r="S11" s="563">
        <f>S9-S10</f>
        <v>992311.7200000002</v>
      </c>
      <c r="T11" s="564">
        <f>T9-T10</f>
        <v>1234402.6059079946</v>
      </c>
      <c r="U11" s="537"/>
      <c r="V11" s="537"/>
      <c r="W11" s="537"/>
      <c r="X11" s="544" t="s">
        <v>363</v>
      </c>
      <c r="Y11" s="537"/>
      <c r="Z11" s="553" t="s">
        <v>27</v>
      </c>
      <c r="AA11" s="537"/>
      <c r="AB11" s="544" t="s">
        <v>10</v>
      </c>
    </row>
    <row r="12" spans="1:28">
      <c r="A12" s="558"/>
      <c r="B12" s="537"/>
      <c r="C12" s="537"/>
      <c r="D12" s="550"/>
      <c r="E12" s="577"/>
      <c r="F12" s="546"/>
      <c r="G12" s="537"/>
      <c r="H12" s="537"/>
      <c r="I12" s="537"/>
      <c r="J12" s="545"/>
      <c r="K12" s="546"/>
      <c r="L12" s="537"/>
      <c r="M12" s="537"/>
      <c r="N12" s="554"/>
      <c r="O12" s="546"/>
      <c r="P12" s="546"/>
      <c r="Q12" s="545"/>
      <c r="R12" s="537"/>
      <c r="S12" s="563"/>
      <c r="T12" s="564"/>
      <c r="U12" s="537"/>
      <c r="V12" s="537"/>
      <c r="W12" s="537"/>
      <c r="X12" s="544" t="s">
        <v>26</v>
      </c>
      <c r="Y12" s="537"/>
      <c r="Z12" s="553" t="s">
        <v>26</v>
      </c>
      <c r="AA12" s="537"/>
      <c r="AB12" s="544" t="s">
        <v>26</v>
      </c>
    </row>
    <row r="13" spans="1:28">
      <c r="A13" s="558" t="s">
        <v>407</v>
      </c>
      <c r="B13" s="537" t="s">
        <v>23</v>
      </c>
      <c r="C13" s="578">
        <v>15</v>
      </c>
      <c r="D13" s="579">
        <v>0.08</v>
      </c>
      <c r="E13" s="580">
        <f>ROUND(D13*(1+$E$7),2)</f>
        <v>0.1</v>
      </c>
      <c r="F13" s="546"/>
      <c r="G13" s="581">
        <f t="shared" ref="G13:G26" si="0">E13-D13</f>
        <v>2.0000000000000004E-2</v>
      </c>
      <c r="H13" s="582">
        <f>'Rate Spread w bill deter'!I35</f>
        <v>2670.25</v>
      </c>
      <c r="I13" s="582"/>
      <c r="J13" s="564">
        <f>H13*E13*12</f>
        <v>3204.3</v>
      </c>
      <c r="K13" s="581"/>
      <c r="L13" s="583">
        <f t="shared" ref="L13:L26" si="1">(E13-D13)/D13</f>
        <v>0.25000000000000006</v>
      </c>
      <c r="M13" s="537"/>
      <c r="N13" s="584">
        <v>3226</v>
      </c>
      <c r="O13" s="582"/>
      <c r="P13" s="582">
        <f t="shared" ref="P13:P18" si="2">Q13/D13/12</f>
        <v>1442.1875</v>
      </c>
      <c r="Q13" s="564">
        <v>1384.5</v>
      </c>
      <c r="R13" s="537"/>
      <c r="S13" s="563">
        <f t="shared" ref="S13:S18" si="3">P13*D13*12</f>
        <v>1384.5</v>
      </c>
      <c r="T13" s="564">
        <f>H13*E13*12</f>
        <v>3204.3</v>
      </c>
      <c r="U13" s="537"/>
      <c r="V13" s="583">
        <f>(J13-X13)/J13</f>
        <v>0.20000000000000004</v>
      </c>
      <c r="W13" s="537"/>
      <c r="X13" s="585">
        <f>H13*D13*12</f>
        <v>2563.44</v>
      </c>
      <c r="Y13" s="537"/>
      <c r="Z13" s="562">
        <f>J13-X13</f>
        <v>640.86000000000013</v>
      </c>
      <c r="AA13" s="537"/>
      <c r="AB13" s="562">
        <v>2659.5200000000004</v>
      </c>
    </row>
    <row r="14" spans="1:28">
      <c r="A14" s="558"/>
      <c r="B14" s="537" t="s">
        <v>23</v>
      </c>
      <c r="C14" s="586" t="s">
        <v>65</v>
      </c>
      <c r="D14" s="579">
        <v>0.46</v>
      </c>
      <c r="E14" s="580">
        <f>ROUND(D14*(1+$E$7),2)-0.01</f>
        <v>0.55000000000000004</v>
      </c>
      <c r="F14" s="546"/>
      <c r="G14" s="581">
        <f t="shared" si="0"/>
        <v>9.0000000000000024E-2</v>
      </c>
      <c r="H14" s="582">
        <f>('Billing Determinants'!C96+'Billing Determinants'!C122+'Billing Determinants'!C135)/12-(E29-'Billing Determinants'!C109/12)</f>
        <v>98821.666666666672</v>
      </c>
      <c r="I14" s="582"/>
      <c r="J14" s="564">
        <f>(H14)*E14*12</f>
        <v>652223</v>
      </c>
      <c r="K14" s="581"/>
      <c r="L14" s="583">
        <f t="shared" si="1"/>
        <v>0.19565217391304351</v>
      </c>
      <c r="M14" s="537"/>
      <c r="N14" s="584">
        <v>130394</v>
      </c>
      <c r="O14" s="582"/>
      <c r="P14" s="582">
        <f t="shared" si="2"/>
        <v>48476.733695652169</v>
      </c>
      <c r="Q14" s="564">
        <v>267591.57</v>
      </c>
      <c r="R14" s="537"/>
      <c r="S14" s="563">
        <f t="shared" si="3"/>
        <v>267591.56999999995</v>
      </c>
      <c r="T14" s="564">
        <f>(H14-E29)*E14*12</f>
        <v>621071</v>
      </c>
      <c r="U14" s="537"/>
      <c r="V14" s="583">
        <f>(J14-X14)/J14</f>
        <v>0.1636363636363635</v>
      </c>
      <c r="W14" s="537"/>
      <c r="X14" s="585">
        <f>H14*D14*12</f>
        <v>545495.60000000009</v>
      </c>
      <c r="Y14" s="537"/>
      <c r="Z14" s="562">
        <f>J14-X14</f>
        <v>106727.39999999991</v>
      </c>
      <c r="AA14" s="537"/>
      <c r="AB14" s="562">
        <v>540911.69999999995</v>
      </c>
    </row>
    <row r="15" spans="1:28" hidden="1">
      <c r="A15" s="558"/>
      <c r="B15" s="537" t="s">
        <v>23</v>
      </c>
      <c r="C15" s="578">
        <v>18</v>
      </c>
      <c r="D15" s="579">
        <v>0.44</v>
      </c>
      <c r="E15" s="580">
        <f>ROUND(D15*(1+$E$7),2)+0.01</f>
        <v>0.54</v>
      </c>
      <c r="F15" s="546"/>
      <c r="G15" s="581">
        <f t="shared" si="0"/>
        <v>0.10000000000000003</v>
      </c>
      <c r="H15" s="587" t="s">
        <v>408</v>
      </c>
      <c r="I15" s="582"/>
      <c r="J15" s="588" t="s">
        <v>408</v>
      </c>
      <c r="K15" s="581"/>
      <c r="L15" s="583">
        <f t="shared" si="1"/>
        <v>0.22727272727272735</v>
      </c>
      <c r="M15" s="537"/>
      <c r="N15" s="584">
        <v>144</v>
      </c>
      <c r="O15" s="582"/>
      <c r="P15" s="582">
        <f t="shared" si="2"/>
        <v>68.077651515151516</v>
      </c>
      <c r="Q15" s="564">
        <v>359.45</v>
      </c>
      <c r="R15" s="537"/>
      <c r="S15" s="563">
        <f t="shared" si="3"/>
        <v>359.45</v>
      </c>
      <c r="T15" s="564">
        <v>0</v>
      </c>
      <c r="U15" s="537"/>
      <c r="V15" s="583">
        <v>0</v>
      </c>
      <c r="W15" s="537"/>
      <c r="X15" s="585">
        <v>0</v>
      </c>
      <c r="Y15" s="537"/>
      <c r="Z15" s="562">
        <v>0</v>
      </c>
      <c r="AA15" s="537"/>
      <c r="AB15" s="562" t="s">
        <v>408</v>
      </c>
    </row>
    <row r="16" spans="1:28">
      <c r="A16" s="558"/>
      <c r="B16" s="537" t="s">
        <v>23</v>
      </c>
      <c r="C16" s="578">
        <v>24</v>
      </c>
      <c r="D16" s="579">
        <v>0.94</v>
      </c>
      <c r="E16" s="580">
        <f>ROUND(D16*(1+$E$7),2)</f>
        <v>1.1399999999999999</v>
      </c>
      <c r="F16" s="546"/>
      <c r="G16" s="581">
        <f t="shared" si="0"/>
        <v>0.19999999999999996</v>
      </c>
      <c r="H16" s="582">
        <f>'Rate Spread w bill deter'!I22</f>
        <v>17994.416666666668</v>
      </c>
      <c r="I16" s="582"/>
      <c r="J16" s="564">
        <f>H16*E16*12</f>
        <v>246163.62</v>
      </c>
      <c r="K16" s="581"/>
      <c r="L16" s="583">
        <f t="shared" si="1"/>
        <v>0.21276595744680848</v>
      </c>
      <c r="M16" s="537"/>
      <c r="N16" s="584">
        <v>19694</v>
      </c>
      <c r="O16" s="582"/>
      <c r="P16" s="582">
        <f t="shared" si="2"/>
        <v>8278.4849290780148</v>
      </c>
      <c r="Q16" s="564">
        <v>93381.31</v>
      </c>
      <c r="R16" s="537"/>
      <c r="S16" s="563">
        <f t="shared" si="3"/>
        <v>93381.31</v>
      </c>
      <c r="T16" s="564">
        <f>H16*E16*12</f>
        <v>246163.62</v>
      </c>
      <c r="U16" s="537"/>
      <c r="V16" s="583">
        <f>(J16-X16)/J16</f>
        <v>0.17543859649122798</v>
      </c>
      <c r="W16" s="537"/>
      <c r="X16" s="585">
        <f>H16*D16*12</f>
        <v>202977.02000000002</v>
      </c>
      <c r="Y16" s="537"/>
      <c r="Z16" s="562">
        <f t="shared" ref="Z16:Z26" si="4">J16-X16</f>
        <v>43186.599999999977</v>
      </c>
      <c r="AA16" s="537"/>
      <c r="AB16" s="562">
        <v>198978.26</v>
      </c>
    </row>
    <row r="17" spans="1:28">
      <c r="A17" s="558"/>
      <c r="B17" s="537" t="s">
        <v>23</v>
      </c>
      <c r="C17" s="578">
        <v>33</v>
      </c>
      <c r="D17" s="579">
        <v>22.75</v>
      </c>
      <c r="E17" s="580">
        <f>E18</f>
        <v>27.96</v>
      </c>
      <c r="F17" s="546"/>
      <c r="G17" s="581">
        <f t="shared" si="0"/>
        <v>5.2100000000000009</v>
      </c>
      <c r="H17" s="582">
        <v>0</v>
      </c>
      <c r="I17" s="582"/>
      <c r="J17" s="564">
        <f>H17*E17*12</f>
        <v>0</v>
      </c>
      <c r="K17" s="581"/>
      <c r="L17" s="583">
        <f t="shared" si="1"/>
        <v>0.22901098901098904</v>
      </c>
      <c r="M17" s="537"/>
      <c r="N17" s="584">
        <v>1</v>
      </c>
      <c r="O17" s="582"/>
      <c r="P17" s="582">
        <f t="shared" si="2"/>
        <v>0.14919413919413918</v>
      </c>
      <c r="Q17" s="564">
        <v>40.729999999999997</v>
      </c>
      <c r="R17" s="537"/>
      <c r="S17" s="563">
        <f t="shared" si="3"/>
        <v>40.729999999999997</v>
      </c>
      <c r="T17" s="564">
        <f>H17*E17*12</f>
        <v>0</v>
      </c>
      <c r="U17" s="537"/>
      <c r="V17" s="583">
        <v>0</v>
      </c>
      <c r="W17" s="537"/>
      <c r="X17" s="585">
        <f>H17*D17*12</f>
        <v>0</v>
      </c>
      <c r="Y17" s="537"/>
      <c r="Z17" s="562">
        <f t="shared" si="4"/>
        <v>0</v>
      </c>
      <c r="AA17" s="537"/>
      <c r="AB17" s="562">
        <v>0</v>
      </c>
    </row>
    <row r="18" spans="1:28">
      <c r="A18" s="558"/>
      <c r="B18" s="537" t="s">
        <v>23</v>
      </c>
      <c r="C18" s="578">
        <v>36</v>
      </c>
      <c r="D18" s="579">
        <v>22.75</v>
      </c>
      <c r="E18" s="580">
        <f>ROUND(D18*(1+$E$7),2)+0.43</f>
        <v>27.96</v>
      </c>
      <c r="F18" s="546"/>
      <c r="G18" s="581">
        <f t="shared" si="0"/>
        <v>5.2100000000000009</v>
      </c>
      <c r="H18" s="582">
        <f>'Rate Spread w bill deter'!I24</f>
        <v>1079.8333333333333</v>
      </c>
      <c r="I18" s="582"/>
      <c r="J18" s="564">
        <f>H18*E18*12</f>
        <v>362305.68</v>
      </c>
      <c r="K18" s="581"/>
      <c r="L18" s="583">
        <f t="shared" si="1"/>
        <v>0.22901098901098904</v>
      </c>
      <c r="M18" s="537"/>
      <c r="N18" s="584">
        <v>1318</v>
      </c>
      <c r="O18" s="582"/>
      <c r="P18" s="582">
        <f t="shared" si="2"/>
        <v>487.37333333333339</v>
      </c>
      <c r="Q18" s="564">
        <v>133052.92000000001</v>
      </c>
      <c r="R18" s="537"/>
      <c r="S18" s="563">
        <f t="shared" si="3"/>
        <v>133052.92000000001</v>
      </c>
      <c r="T18" s="564">
        <f>H18*E18*12</f>
        <v>362305.68</v>
      </c>
      <c r="U18" s="537"/>
      <c r="V18" s="583">
        <f t="shared" ref="V18:V27" si="5">(J18-X18)/J18</f>
        <v>0.18633762517882688</v>
      </c>
      <c r="W18" s="537"/>
      <c r="X18" s="585">
        <f>H18*D18*12</f>
        <v>294794.5</v>
      </c>
      <c r="Y18" s="537"/>
      <c r="Z18" s="562">
        <f t="shared" si="4"/>
        <v>67511.179999999993</v>
      </c>
      <c r="AA18" s="537"/>
      <c r="AB18" s="562">
        <v>289061.5</v>
      </c>
    </row>
    <row r="19" spans="1:28">
      <c r="A19" s="558"/>
      <c r="B19" s="537" t="s">
        <v>23</v>
      </c>
      <c r="C19" s="578">
        <v>40</v>
      </c>
      <c r="D19" s="579">
        <v>9.4499999999999993</v>
      </c>
      <c r="E19" s="580">
        <f>ROUND(D19*(1+$E$7),2)+0.09</f>
        <v>11.53</v>
      </c>
      <c r="F19" s="589" t="s">
        <v>42</v>
      </c>
      <c r="G19" s="581">
        <f t="shared" si="0"/>
        <v>2.08</v>
      </c>
      <c r="H19" s="582">
        <f>'Rate Spread w bill deter'!I25</f>
        <v>5303</v>
      </c>
      <c r="I19" s="582"/>
      <c r="J19" s="564">
        <f>H19*E19</f>
        <v>61143.59</v>
      </c>
      <c r="K19" s="581"/>
      <c r="L19" s="583">
        <f t="shared" si="1"/>
        <v>0.22010582010582014</v>
      </c>
      <c r="M19" s="581"/>
      <c r="N19" s="584">
        <v>3590</v>
      </c>
      <c r="O19" s="582"/>
      <c r="P19" s="582">
        <f>Q19/D19</f>
        <v>1646.7037037037039</v>
      </c>
      <c r="Q19" s="564">
        <v>15561.35</v>
      </c>
      <c r="R19" s="537"/>
      <c r="S19" s="563">
        <f>P19*D19</f>
        <v>15561.35</v>
      </c>
      <c r="T19" s="564">
        <f>H19*E19</f>
        <v>61143.59</v>
      </c>
      <c r="U19" s="537"/>
      <c r="V19" s="583">
        <f t="shared" si="5"/>
        <v>0.1803989592367736</v>
      </c>
      <c r="W19" s="537"/>
      <c r="X19" s="585">
        <f>H19*D19</f>
        <v>50113.35</v>
      </c>
      <c r="Y19" s="537"/>
      <c r="Z19" s="562">
        <f t="shared" si="4"/>
        <v>11030.239999999998</v>
      </c>
      <c r="AA19" s="537"/>
      <c r="AB19" s="562">
        <v>49565.249999999993</v>
      </c>
    </row>
    <row r="20" spans="1:28">
      <c r="A20" s="558"/>
      <c r="B20" s="537" t="s">
        <v>23</v>
      </c>
      <c r="C20" s="578" t="s">
        <v>409</v>
      </c>
      <c r="D20" s="579">
        <v>155</v>
      </c>
      <c r="E20" s="580">
        <f>ROUND(D20*(1+$E$7),2)+1.61</f>
        <v>189.21</v>
      </c>
      <c r="F20" s="546"/>
      <c r="G20" s="581">
        <f t="shared" si="0"/>
        <v>34.210000000000008</v>
      </c>
      <c r="H20" s="582">
        <f>'Rate Spread w bill deter'!I26</f>
        <v>1</v>
      </c>
      <c r="I20" s="582"/>
      <c r="J20" s="564">
        <f t="shared" ref="J20:J26" si="6">H20*E20*12</f>
        <v>2270.52</v>
      </c>
      <c r="K20" s="581"/>
      <c r="L20" s="583">
        <f t="shared" si="1"/>
        <v>0.22070967741935488</v>
      </c>
      <c r="M20" s="581"/>
      <c r="N20" s="584">
        <v>1</v>
      </c>
      <c r="O20" s="582"/>
      <c r="P20" s="582">
        <f t="shared" ref="P20:P26" si="7">Q20/D20/12</f>
        <v>0.4838709677419355</v>
      </c>
      <c r="Q20" s="564">
        <v>900</v>
      </c>
      <c r="R20" s="537"/>
      <c r="S20" s="563">
        <f t="shared" ref="S20:S26" si="8">P20*D20*12</f>
        <v>900</v>
      </c>
      <c r="T20" s="564">
        <f t="shared" ref="T20:T26" si="9">H20*E20*12</f>
        <v>2270.52</v>
      </c>
      <c r="U20" s="537"/>
      <c r="V20" s="583">
        <f t="shared" si="5"/>
        <v>0.18080439723059033</v>
      </c>
      <c r="W20" s="537"/>
      <c r="X20" s="585">
        <f t="shared" ref="X20:X26" si="10">H20*D20*12</f>
        <v>1860</v>
      </c>
      <c r="Y20" s="537"/>
      <c r="Z20" s="562">
        <f t="shared" si="4"/>
        <v>410.52</v>
      </c>
      <c r="AA20" s="537"/>
      <c r="AB20" s="562">
        <v>1860</v>
      </c>
    </row>
    <row r="21" spans="1:28">
      <c r="A21" s="558"/>
      <c r="B21" s="537" t="s">
        <v>23</v>
      </c>
      <c r="C21" s="578" t="s">
        <v>410</v>
      </c>
      <c r="D21" s="579">
        <v>155</v>
      </c>
      <c r="E21" s="580">
        <f>ROUND(D21*(1+$E$7),2)+1.61</f>
        <v>189.21</v>
      </c>
      <c r="F21" s="546"/>
      <c r="G21" s="581">
        <f t="shared" si="0"/>
        <v>34.210000000000008</v>
      </c>
      <c r="H21" s="582">
        <f>'Rate Spread w bill deter'!I27</f>
        <v>55.333333333333336</v>
      </c>
      <c r="I21" s="582"/>
      <c r="J21" s="564">
        <f t="shared" si="6"/>
        <v>125635.44</v>
      </c>
      <c r="K21" s="581"/>
      <c r="L21" s="583">
        <f t="shared" si="1"/>
        <v>0.22070967741935488</v>
      </c>
      <c r="M21" s="581"/>
      <c r="N21" s="584">
        <v>77</v>
      </c>
      <c r="O21" s="582"/>
      <c r="P21" s="582">
        <f t="shared" si="7"/>
        <v>31.237790322580647</v>
      </c>
      <c r="Q21" s="564">
        <v>58102.29</v>
      </c>
      <c r="R21" s="537"/>
      <c r="S21" s="563">
        <f t="shared" si="8"/>
        <v>58102.29</v>
      </c>
      <c r="T21" s="564">
        <f t="shared" si="9"/>
        <v>125635.44</v>
      </c>
      <c r="U21" s="537"/>
      <c r="V21" s="583">
        <f t="shared" si="5"/>
        <v>0.18080439723059025</v>
      </c>
      <c r="W21" s="537"/>
      <c r="X21" s="585">
        <f t="shared" si="10"/>
        <v>102920.00000000001</v>
      </c>
      <c r="Y21" s="537"/>
      <c r="Z21" s="562">
        <f t="shared" si="4"/>
        <v>22715.439999999988</v>
      </c>
      <c r="AA21" s="537"/>
      <c r="AB21" s="562">
        <v>111290.00000000001</v>
      </c>
    </row>
    <row r="22" spans="1:28">
      <c r="A22" s="558"/>
      <c r="B22" s="537" t="s">
        <v>23</v>
      </c>
      <c r="C22" s="578">
        <v>51</v>
      </c>
      <c r="D22" s="579">
        <v>1.29</v>
      </c>
      <c r="E22" s="580">
        <f>ROUND(D22*(1+$E$7),2)+0.02</f>
        <v>1.58</v>
      </c>
      <c r="F22" s="590"/>
      <c r="G22" s="581">
        <f t="shared" si="0"/>
        <v>0.29000000000000004</v>
      </c>
      <c r="H22" s="582">
        <f>'Rate Spread w bill deter'!I36</f>
        <v>149</v>
      </c>
      <c r="I22" s="582"/>
      <c r="J22" s="564">
        <f t="shared" si="6"/>
        <v>2825.04</v>
      </c>
      <c r="K22" s="581"/>
      <c r="L22" s="583">
        <f t="shared" si="1"/>
        <v>0.22480620155038761</v>
      </c>
      <c r="M22" s="546"/>
      <c r="N22" s="584">
        <v>149</v>
      </c>
      <c r="O22" s="582"/>
      <c r="P22" s="582">
        <f t="shared" si="7"/>
        <v>67.733204134366915</v>
      </c>
      <c r="Q22" s="564">
        <v>1048.51</v>
      </c>
      <c r="R22" s="537"/>
      <c r="S22" s="563">
        <f t="shared" si="8"/>
        <v>1048.5099999999998</v>
      </c>
      <c r="T22" s="564">
        <f t="shared" si="9"/>
        <v>2825.04</v>
      </c>
      <c r="U22" s="537"/>
      <c r="V22" s="583">
        <f t="shared" si="5"/>
        <v>0.18354430379746836</v>
      </c>
      <c r="W22" s="537"/>
      <c r="X22" s="585">
        <f t="shared" si="10"/>
        <v>2306.52</v>
      </c>
      <c r="Y22" s="537"/>
      <c r="Z22" s="562">
        <f t="shared" si="4"/>
        <v>518.52</v>
      </c>
      <c r="AA22" s="537"/>
      <c r="AB22" s="562">
        <v>2801.88</v>
      </c>
    </row>
    <row r="23" spans="1:28">
      <c r="A23" s="558"/>
      <c r="B23" s="537" t="s">
        <v>23</v>
      </c>
      <c r="C23" s="578">
        <v>52</v>
      </c>
      <c r="D23" s="579">
        <v>1.29</v>
      </c>
      <c r="E23" s="580">
        <f>ROUND(D23*(1+$E$7),2)+0.02</f>
        <v>1.58</v>
      </c>
      <c r="F23" s="546"/>
      <c r="G23" s="581">
        <f t="shared" si="0"/>
        <v>0.29000000000000004</v>
      </c>
      <c r="H23" s="582">
        <f>'Rate Spread w bill deter'!I37</f>
        <v>20</v>
      </c>
      <c r="I23" s="582"/>
      <c r="J23" s="564">
        <f t="shared" si="6"/>
        <v>379.20000000000005</v>
      </c>
      <c r="K23" s="581"/>
      <c r="L23" s="583">
        <f t="shared" si="1"/>
        <v>0.22480620155038761</v>
      </c>
      <c r="M23" s="546"/>
      <c r="N23" s="584">
        <v>28</v>
      </c>
      <c r="O23" s="582"/>
      <c r="P23" s="582">
        <f t="shared" si="7"/>
        <v>10.643410852713178</v>
      </c>
      <c r="Q23" s="564">
        <v>164.76</v>
      </c>
      <c r="R23" s="537"/>
      <c r="S23" s="563">
        <f t="shared" si="8"/>
        <v>164.76</v>
      </c>
      <c r="T23" s="564">
        <f t="shared" si="9"/>
        <v>379.20000000000005</v>
      </c>
      <c r="U23" s="537"/>
      <c r="V23" s="583">
        <f t="shared" si="5"/>
        <v>0.18354430379746839</v>
      </c>
      <c r="W23" s="537"/>
      <c r="X23" s="585">
        <f t="shared" si="10"/>
        <v>309.60000000000002</v>
      </c>
      <c r="Y23" s="537"/>
      <c r="Z23" s="562">
        <f t="shared" si="4"/>
        <v>69.600000000000023</v>
      </c>
      <c r="AA23" s="537"/>
      <c r="AB23" s="562">
        <v>417.96</v>
      </c>
    </row>
    <row r="24" spans="1:28">
      <c r="A24" s="558"/>
      <c r="B24" s="537" t="s">
        <v>23</v>
      </c>
      <c r="C24" s="578">
        <v>53</v>
      </c>
      <c r="D24" s="579">
        <v>1.29</v>
      </c>
      <c r="E24" s="580">
        <f>ROUND(D24*(1+$E$7),2)+0.02</f>
        <v>1.58</v>
      </c>
      <c r="F24" s="546"/>
      <c r="G24" s="581">
        <f t="shared" si="0"/>
        <v>0.29000000000000004</v>
      </c>
      <c r="H24" s="582">
        <f>'Rate Spread w bill deter'!I38</f>
        <v>200</v>
      </c>
      <c r="I24" s="582"/>
      <c r="J24" s="564">
        <f t="shared" si="6"/>
        <v>3792</v>
      </c>
      <c r="K24" s="581"/>
      <c r="L24" s="583">
        <f t="shared" si="1"/>
        <v>0.22480620155038761</v>
      </c>
      <c r="M24" s="546"/>
      <c r="N24" s="584">
        <v>264</v>
      </c>
      <c r="O24" s="582"/>
      <c r="P24" s="582">
        <f t="shared" si="7"/>
        <v>123.4547803617571</v>
      </c>
      <c r="Q24" s="564">
        <v>1911.08</v>
      </c>
      <c r="R24" s="537"/>
      <c r="S24" s="563">
        <f t="shared" si="8"/>
        <v>1911.08</v>
      </c>
      <c r="T24" s="564">
        <f t="shared" si="9"/>
        <v>3792</v>
      </c>
      <c r="U24" s="537"/>
      <c r="V24" s="583">
        <f t="shared" si="5"/>
        <v>0.18354430379746836</v>
      </c>
      <c r="W24" s="537"/>
      <c r="X24" s="585">
        <f t="shared" si="10"/>
        <v>3096</v>
      </c>
      <c r="Y24" s="537"/>
      <c r="Z24" s="562">
        <f t="shared" si="4"/>
        <v>696</v>
      </c>
      <c r="AA24" s="537"/>
      <c r="AB24" s="562">
        <v>3929.34</v>
      </c>
    </row>
    <row r="25" spans="1:28">
      <c r="A25" s="558"/>
      <c r="B25" s="537" t="s">
        <v>23</v>
      </c>
      <c r="C25" s="578">
        <v>54</v>
      </c>
      <c r="D25" s="579">
        <v>0.45</v>
      </c>
      <c r="E25" s="580">
        <f>ROUND(D25*(1+$E$7),2)+0.01</f>
        <v>0.55000000000000004</v>
      </c>
      <c r="F25" s="546"/>
      <c r="G25" s="581">
        <f t="shared" si="0"/>
        <v>0.10000000000000003</v>
      </c>
      <c r="H25" s="582">
        <f>'Rate Spread w bill deter'!I29</f>
        <v>29.333333333333332</v>
      </c>
      <c r="I25" s="582"/>
      <c r="J25" s="564">
        <f t="shared" si="6"/>
        <v>193.6</v>
      </c>
      <c r="K25" s="581"/>
      <c r="L25" s="583">
        <f t="shared" si="1"/>
        <v>0.22222222222222229</v>
      </c>
      <c r="M25" s="546"/>
      <c r="N25" s="584">
        <v>34</v>
      </c>
      <c r="O25" s="582"/>
      <c r="P25" s="582">
        <f t="shared" si="7"/>
        <v>14.374074074074075</v>
      </c>
      <c r="Q25" s="564">
        <v>77.62</v>
      </c>
      <c r="R25" s="537"/>
      <c r="S25" s="563">
        <f t="shared" si="8"/>
        <v>77.62</v>
      </c>
      <c r="T25" s="564">
        <f t="shared" si="9"/>
        <v>193.6</v>
      </c>
      <c r="U25" s="537"/>
      <c r="V25" s="583">
        <f t="shared" si="5"/>
        <v>0.18181818181818191</v>
      </c>
      <c r="W25" s="537"/>
      <c r="X25" s="585">
        <f t="shared" si="10"/>
        <v>158.39999999999998</v>
      </c>
      <c r="Y25" s="537"/>
      <c r="Z25" s="562">
        <f t="shared" si="4"/>
        <v>35.200000000000017</v>
      </c>
      <c r="AA25" s="537"/>
      <c r="AB25" s="562">
        <v>152.10000000000002</v>
      </c>
    </row>
    <row r="26" spans="1:28">
      <c r="A26" s="558"/>
      <c r="B26" s="537" t="s">
        <v>23</v>
      </c>
      <c r="C26" s="578">
        <v>57</v>
      </c>
      <c r="D26" s="579">
        <v>1.29</v>
      </c>
      <c r="E26" s="580">
        <f>ROUND(D26*(1+$E$7),2)+0.02</f>
        <v>1.58</v>
      </c>
      <c r="F26" s="546"/>
      <c r="G26" s="581">
        <f t="shared" si="0"/>
        <v>0.29000000000000004</v>
      </c>
      <c r="H26" s="591">
        <f>'Rate Spread w bill deter'!I39</f>
        <v>33.416666666666664</v>
      </c>
      <c r="I26" s="582"/>
      <c r="J26" s="592">
        <f t="shared" si="6"/>
        <v>633.57999999999993</v>
      </c>
      <c r="K26" s="593"/>
      <c r="L26" s="583">
        <f t="shared" si="1"/>
        <v>0.22480620155038761</v>
      </c>
      <c r="M26" s="546"/>
      <c r="N26" s="584">
        <v>66</v>
      </c>
      <c r="O26" s="582"/>
      <c r="P26" s="582">
        <f t="shared" si="7"/>
        <v>31.058139534883718</v>
      </c>
      <c r="Q26" s="564">
        <v>480.78</v>
      </c>
      <c r="R26" s="537"/>
      <c r="S26" s="563">
        <f t="shared" si="8"/>
        <v>480.78</v>
      </c>
      <c r="T26" s="564">
        <f t="shared" si="9"/>
        <v>633.57999999999993</v>
      </c>
      <c r="U26" s="537"/>
      <c r="V26" s="583">
        <f t="shared" si="5"/>
        <v>0.18354430379746831</v>
      </c>
      <c r="W26" s="537"/>
      <c r="X26" s="585">
        <f t="shared" si="10"/>
        <v>517.29</v>
      </c>
      <c r="Y26" s="537"/>
      <c r="Z26" s="562">
        <f t="shared" si="4"/>
        <v>116.28999999999996</v>
      </c>
      <c r="AA26" s="537"/>
      <c r="AB26" s="562">
        <v>501.80999999999995</v>
      </c>
    </row>
    <row r="27" spans="1:28">
      <c r="A27" s="558"/>
      <c r="B27" s="537"/>
      <c r="C27" s="537"/>
      <c r="D27" s="550"/>
      <c r="E27" s="577"/>
      <c r="F27" s="546"/>
      <c r="G27" s="546"/>
      <c r="H27" s="582">
        <f>SUM(H13:H26)</f>
        <v>126357.25</v>
      </c>
      <c r="I27" s="582"/>
      <c r="J27" s="564">
        <f>SUM(J13:J26)</f>
        <v>1460769.5700000003</v>
      </c>
      <c r="K27" s="581"/>
      <c r="L27" s="581"/>
      <c r="M27" s="546"/>
      <c r="N27" s="584">
        <v>158986</v>
      </c>
      <c r="O27" s="582"/>
      <c r="P27" s="582">
        <f>SUM(P13:P26)</f>
        <v>60678.695277669693</v>
      </c>
      <c r="Q27" s="564">
        <v>574056.87</v>
      </c>
      <c r="R27" s="537"/>
      <c r="S27" s="563">
        <f>SUM(S13:S26)</f>
        <v>574056.87</v>
      </c>
      <c r="T27" s="564">
        <f>SUM(T13:T26)</f>
        <v>1429617.5700000003</v>
      </c>
      <c r="U27" s="537"/>
      <c r="V27" s="583">
        <f t="shared" si="5"/>
        <v>0.1736467237608188</v>
      </c>
      <c r="W27" s="537"/>
      <c r="X27" s="585">
        <f>SUM(X13:X26)</f>
        <v>1207111.7200000002</v>
      </c>
      <c r="Y27" s="537"/>
      <c r="Z27" s="562">
        <f>SUM(Z13:Z26)</f>
        <v>253657.84999999983</v>
      </c>
      <c r="AA27" s="537"/>
      <c r="AB27" s="585">
        <f>SUM(AB13:AB26)</f>
        <v>1202129.32</v>
      </c>
    </row>
    <row r="28" spans="1:28">
      <c r="A28" s="578" t="s">
        <v>0</v>
      </c>
      <c r="B28" s="558" t="s">
        <v>0</v>
      </c>
      <c r="C28" s="537"/>
      <c r="D28" s="594" t="s">
        <v>0</v>
      </c>
      <c r="E28" s="577"/>
      <c r="F28" s="546"/>
      <c r="G28" s="546"/>
      <c r="H28" s="546"/>
      <c r="I28" s="546"/>
      <c r="J28" s="545"/>
      <c r="K28" s="546"/>
    </row>
    <row r="29" spans="1:28">
      <c r="A29" s="558" t="s">
        <v>411</v>
      </c>
      <c r="B29" s="537" t="s">
        <v>0</v>
      </c>
      <c r="C29" s="558" t="s">
        <v>0</v>
      </c>
      <c r="D29" s="595">
        <v>4475</v>
      </c>
      <c r="E29" s="596">
        <f>D29+245</f>
        <v>4720</v>
      </c>
      <c r="F29" s="597">
        <f>E29-D29</f>
        <v>245</v>
      </c>
      <c r="G29" s="552"/>
      <c r="H29" s="552"/>
      <c r="I29" s="552"/>
      <c r="J29" s="567"/>
      <c r="K29" s="546"/>
    </row>
    <row r="30" spans="1:28">
      <c r="A30" s="578"/>
      <c r="B30" s="537"/>
      <c r="C30" s="558"/>
      <c r="D30" s="598"/>
      <c r="E30" s="599" t="s">
        <v>0</v>
      </c>
      <c r="F30" s="600"/>
      <c r="G30" s="546"/>
      <c r="H30" s="546"/>
      <c r="I30" s="546"/>
      <c r="J30" s="546"/>
      <c r="K30" s="546"/>
    </row>
    <row r="31" spans="1:28">
      <c r="A31" s="601" t="s">
        <v>412</v>
      </c>
      <c r="B31" s="537"/>
      <c r="C31" s="558"/>
      <c r="D31" s="598"/>
      <c r="E31" s="599"/>
      <c r="F31" s="600"/>
      <c r="G31" s="546"/>
      <c r="H31" s="546"/>
      <c r="I31" s="546"/>
      <c r="J31" s="546"/>
      <c r="K31" s="546"/>
    </row>
    <row r="32" spans="1:28">
      <c r="A32" s="578"/>
      <c r="B32" s="537"/>
      <c r="C32" s="558"/>
      <c r="D32" s="598"/>
      <c r="E32" s="599"/>
      <c r="F32" s="600"/>
      <c r="G32" s="544" t="s">
        <v>27</v>
      </c>
      <c r="H32" s="544" t="s">
        <v>113</v>
      </c>
      <c r="I32" s="546"/>
      <c r="J32" s="546"/>
      <c r="K32" s="546"/>
    </row>
    <row r="33" spans="1:11">
      <c r="A33" s="602" t="s">
        <v>413</v>
      </c>
      <c r="B33" s="537"/>
      <c r="C33" s="558"/>
      <c r="D33" s="598"/>
      <c r="E33" s="599"/>
      <c r="F33" s="600"/>
      <c r="G33" s="544" t="s">
        <v>414</v>
      </c>
      <c r="H33" s="544" t="s">
        <v>414</v>
      </c>
      <c r="I33" s="546"/>
      <c r="J33" s="546"/>
      <c r="K33" s="546"/>
    </row>
    <row r="34" spans="1:11">
      <c r="A34" s="537" t="s">
        <v>415</v>
      </c>
      <c r="B34" s="537"/>
      <c r="C34" s="537"/>
      <c r="D34" s="603">
        <f>ROUND(D11/D29,2)</f>
        <v>221.75</v>
      </c>
      <c r="E34" s="603">
        <f>D48</f>
        <v>261.5</v>
      </c>
      <c r="F34" s="537"/>
      <c r="G34" s="604">
        <f>E34-D34</f>
        <v>39.75</v>
      </c>
      <c r="H34" s="605">
        <f>G34/D34</f>
        <v>0.17925591882750846</v>
      </c>
      <c r="I34" s="537"/>
      <c r="J34" s="537" t="s">
        <v>0</v>
      </c>
      <c r="K34" s="537"/>
    </row>
    <row r="35" spans="1:11">
      <c r="A35" s="578" t="s">
        <v>416</v>
      </c>
      <c r="B35" s="537"/>
      <c r="C35" s="537"/>
      <c r="D35" s="606">
        <v>48</v>
      </c>
      <c r="E35" s="606">
        <v>48</v>
      </c>
      <c r="F35" s="537"/>
      <c r="G35" s="537"/>
      <c r="H35" s="537"/>
      <c r="I35" s="537"/>
      <c r="J35" s="537"/>
      <c r="K35" s="537"/>
    </row>
    <row r="36" spans="1:11">
      <c r="A36" s="578" t="s">
        <v>417</v>
      </c>
      <c r="B36" s="537"/>
      <c r="C36" s="537"/>
      <c r="D36" s="603">
        <f>SUM(D34:D35)</f>
        <v>269.75</v>
      </c>
      <c r="E36" s="603">
        <f>SUM(E34:E35)</f>
        <v>309.5</v>
      </c>
      <c r="F36" s="537"/>
      <c r="G36" s="537"/>
      <c r="H36" s="537"/>
      <c r="I36" s="537"/>
      <c r="J36" s="537"/>
      <c r="K36" s="537"/>
    </row>
    <row r="37" spans="1:11">
      <c r="A37" s="578"/>
      <c r="B37" s="537"/>
      <c r="C37" s="537"/>
      <c r="D37" s="603"/>
      <c r="E37" s="603"/>
      <c r="F37" s="537"/>
      <c r="G37" s="537"/>
      <c r="H37" s="537"/>
      <c r="I37" s="537"/>
      <c r="J37" s="537"/>
      <c r="K37" s="537"/>
    </row>
    <row r="38" spans="1:11">
      <c r="A38" s="578" t="s">
        <v>418</v>
      </c>
      <c r="B38" s="537"/>
      <c r="C38" s="537"/>
      <c r="D38" s="607">
        <f>D36*D29</f>
        <v>1207131.25</v>
      </c>
      <c r="E38" s="607">
        <f>E36*E29</f>
        <v>1460840</v>
      </c>
      <c r="F38" s="537"/>
      <c r="G38" s="537"/>
      <c r="H38" s="537"/>
      <c r="I38" s="537"/>
      <c r="J38" s="537"/>
      <c r="K38" s="537"/>
    </row>
    <row r="39" spans="1:11">
      <c r="A39" s="608" t="s">
        <v>419</v>
      </c>
      <c r="B39" s="537"/>
      <c r="C39" s="537"/>
      <c r="D39" s="607">
        <f>D46*D29</f>
        <v>992331.25</v>
      </c>
      <c r="E39" s="607">
        <f>E34*E29</f>
        <v>1234280</v>
      </c>
      <c r="F39" s="537"/>
      <c r="G39" s="609" t="s">
        <v>0</v>
      </c>
      <c r="H39" s="537"/>
      <c r="I39" s="537"/>
      <c r="J39" s="537"/>
      <c r="K39" s="537"/>
    </row>
    <row r="40" spans="1:11">
      <c r="A40" s="608"/>
      <c r="B40" s="537"/>
      <c r="C40" s="537"/>
      <c r="D40" s="607"/>
      <c r="E40" s="607"/>
      <c r="F40" s="537"/>
      <c r="G40" s="537"/>
      <c r="H40" s="537"/>
      <c r="I40" s="537"/>
      <c r="J40" s="537"/>
      <c r="K40" s="537"/>
    </row>
    <row r="41" spans="1:11">
      <c r="A41" s="608" t="s">
        <v>420</v>
      </c>
      <c r="B41" s="537"/>
      <c r="E41" s="610" t="s">
        <v>421</v>
      </c>
      <c r="F41" s="537"/>
      <c r="G41" s="607">
        <f>E36*(E29-D29)</f>
        <v>75827.5</v>
      </c>
      <c r="H41" s="537"/>
      <c r="I41" s="537"/>
      <c r="J41" s="537"/>
      <c r="K41" s="537"/>
    </row>
    <row r="42" spans="1:11">
      <c r="A42" s="608" t="s">
        <v>422</v>
      </c>
      <c r="B42" s="537"/>
      <c r="C42" s="537"/>
      <c r="D42" s="607"/>
      <c r="E42" s="611" t="s">
        <v>423</v>
      </c>
      <c r="F42" s="537"/>
      <c r="G42" s="607">
        <f>G34*D29</f>
        <v>177881.25</v>
      </c>
      <c r="H42" s="537"/>
      <c r="I42" s="537"/>
      <c r="J42" s="537"/>
      <c r="K42" s="537"/>
    </row>
    <row r="43" spans="1:11">
      <c r="A43" s="608" t="s">
        <v>117</v>
      </c>
      <c r="B43" s="537"/>
      <c r="C43" s="537"/>
      <c r="D43" s="607"/>
      <c r="F43" s="537"/>
      <c r="G43" s="607">
        <f>SUM(G41:G42)</f>
        <v>253708.75</v>
      </c>
      <c r="H43" s="537"/>
      <c r="I43" s="537"/>
      <c r="J43" s="537"/>
      <c r="K43" s="537"/>
    </row>
    <row r="44" spans="1:11">
      <c r="A44" s="578"/>
      <c r="B44" s="537"/>
      <c r="C44" s="537"/>
      <c r="D44" s="603"/>
      <c r="E44" s="603"/>
      <c r="F44" s="537"/>
      <c r="G44" s="537"/>
      <c r="H44" s="537"/>
      <c r="I44" s="612" t="s">
        <v>0</v>
      </c>
      <c r="J44" s="537"/>
      <c r="K44" s="537"/>
    </row>
    <row r="45" spans="1:11">
      <c r="A45" s="602" t="s">
        <v>424</v>
      </c>
      <c r="B45" s="537"/>
      <c r="C45" s="537"/>
      <c r="D45" s="603"/>
      <c r="E45" s="603"/>
      <c r="F45" s="537"/>
      <c r="G45" s="537"/>
      <c r="H45" s="537"/>
      <c r="I45" s="537"/>
      <c r="J45" s="537"/>
      <c r="K45" s="537"/>
    </row>
    <row r="46" spans="1:11">
      <c r="A46" s="578" t="s">
        <v>425</v>
      </c>
      <c r="B46" s="537"/>
      <c r="C46" s="537"/>
      <c r="D46" s="603">
        <f>D34</f>
        <v>221.75</v>
      </c>
      <c r="E46" s="613" t="s">
        <v>426</v>
      </c>
      <c r="F46" s="537"/>
      <c r="G46" s="537"/>
      <c r="H46" s="537"/>
      <c r="I46" s="537"/>
      <c r="J46" s="537"/>
      <c r="K46" s="537"/>
    </row>
    <row r="47" spans="1:11">
      <c r="A47" s="608" t="s">
        <v>427</v>
      </c>
      <c r="B47" s="537"/>
      <c r="C47" s="537"/>
      <c r="D47" s="606">
        <f>ROUND(G50/D29,2)+0.04</f>
        <v>39.75</v>
      </c>
      <c r="E47" s="613" t="s">
        <v>428</v>
      </c>
      <c r="F47" s="537"/>
      <c r="G47" s="537"/>
      <c r="H47" s="537"/>
      <c r="I47" s="537"/>
      <c r="J47" s="537"/>
      <c r="K47" s="537"/>
    </row>
    <row r="48" spans="1:11">
      <c r="A48" s="578" t="s">
        <v>429</v>
      </c>
      <c r="B48" s="537"/>
      <c r="C48" s="537"/>
      <c r="D48" s="603">
        <f>SUM(D46:D47)</f>
        <v>261.5</v>
      </c>
      <c r="E48" s="603"/>
      <c r="F48" s="537"/>
      <c r="G48" s="537"/>
      <c r="H48" s="537"/>
      <c r="I48" s="537"/>
      <c r="J48" s="537"/>
      <c r="K48" s="537"/>
    </row>
    <row r="49" spans="1:11">
      <c r="A49" s="578"/>
      <c r="B49" s="537"/>
      <c r="C49" s="537"/>
      <c r="D49" s="603"/>
      <c r="E49" s="603"/>
      <c r="F49" s="537"/>
      <c r="G49" s="537"/>
      <c r="H49" s="537"/>
      <c r="I49" s="537"/>
      <c r="J49" s="537"/>
      <c r="K49" s="537"/>
    </row>
    <row r="50" spans="1:11">
      <c r="A50" s="537" t="s">
        <v>430</v>
      </c>
      <c r="B50" s="537"/>
      <c r="C50" s="537"/>
      <c r="D50" s="603"/>
      <c r="E50" s="607">
        <f>E9-D9</f>
        <v>253850.88590799435</v>
      </c>
      <c r="F50" s="537"/>
      <c r="G50" s="609">
        <f>E50*0.7</f>
        <v>177695.62013559602</v>
      </c>
      <c r="H50" s="537"/>
      <c r="I50" s="537"/>
      <c r="J50" s="537"/>
      <c r="K50" s="537"/>
    </row>
  </sheetData>
  <mergeCells count="3">
    <mergeCell ref="A1:J1"/>
    <mergeCell ref="A2:J2"/>
    <mergeCell ref="A3:J3"/>
  </mergeCells>
  <printOptions horizontalCentered="1"/>
  <pageMargins left="0.25" right="0.25" top="0.5" bottom="0.5" header="0.5" footer="0.5"/>
  <pageSetup scale="8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view="pageBreakPreview" zoomScaleNormal="100" workbookViewId="0">
      <selection sqref="A1:F1"/>
    </sheetView>
  </sheetViews>
  <sheetFormatPr defaultRowHeight="15.75"/>
  <cols>
    <col min="1" max="1" width="16.125" customWidth="1"/>
    <col min="3" max="3" width="10.5" bestFit="1" customWidth="1"/>
    <col min="5" max="5" width="9.625" customWidth="1"/>
    <col min="6" max="6" width="13.25" customWidth="1"/>
  </cols>
  <sheetData>
    <row r="1" spans="1:8">
      <c r="A1" s="614" t="s">
        <v>387</v>
      </c>
      <c r="B1" s="614"/>
      <c r="C1" s="614"/>
      <c r="D1" s="614"/>
      <c r="E1" s="614"/>
      <c r="F1" s="614"/>
    </row>
    <row r="2" spans="1:8">
      <c r="A2" s="614" t="s">
        <v>431</v>
      </c>
      <c r="B2" s="614"/>
      <c r="C2" s="614"/>
      <c r="D2" s="614"/>
      <c r="E2" s="614"/>
      <c r="F2" s="614"/>
    </row>
    <row r="3" spans="1:8">
      <c r="A3" s="614" t="s">
        <v>432</v>
      </c>
      <c r="B3" s="614"/>
      <c r="C3" s="614"/>
      <c r="D3" s="614"/>
      <c r="E3" s="614"/>
      <c r="F3" s="614"/>
    </row>
    <row r="4" spans="1:8">
      <c r="A4" s="537"/>
      <c r="B4" s="537"/>
      <c r="C4" s="537"/>
      <c r="D4" s="537"/>
      <c r="E4" s="537"/>
      <c r="F4" s="537"/>
    </row>
    <row r="5" spans="1:8">
      <c r="A5" s="537"/>
      <c r="B5" s="615"/>
      <c r="C5" s="615"/>
      <c r="D5" s="615"/>
      <c r="E5" s="615"/>
      <c r="F5" s="615"/>
      <c r="H5" s="616" t="s">
        <v>98</v>
      </c>
    </row>
    <row r="6" spans="1:8">
      <c r="A6" s="578" t="s">
        <v>433</v>
      </c>
      <c r="B6" s="553" t="s">
        <v>395</v>
      </c>
      <c r="C6" s="553" t="s">
        <v>434</v>
      </c>
      <c r="D6" s="553" t="s">
        <v>435</v>
      </c>
      <c r="E6" s="553" t="s">
        <v>31</v>
      </c>
      <c r="F6" s="544" t="s">
        <v>395</v>
      </c>
      <c r="H6" s="553" t="s">
        <v>31</v>
      </c>
    </row>
    <row r="7" spans="1:8">
      <c r="A7" s="617" t="s">
        <v>436</v>
      </c>
      <c r="B7" s="618" t="s">
        <v>400</v>
      </c>
      <c r="C7" s="618" t="s">
        <v>437</v>
      </c>
      <c r="D7" s="618" t="s">
        <v>438</v>
      </c>
      <c r="E7" s="619" t="s">
        <v>439</v>
      </c>
      <c r="F7" s="618" t="s">
        <v>440</v>
      </c>
      <c r="H7" s="619" t="s">
        <v>439</v>
      </c>
    </row>
    <row r="8" spans="1:8">
      <c r="A8" s="601" t="s">
        <v>441</v>
      </c>
      <c r="B8" s="620">
        <v>2295.6203288490283</v>
      </c>
      <c r="C8" s="562">
        <f>F8*E8/100</f>
        <v>763161.03562331852</v>
      </c>
      <c r="D8" s="604">
        <f>C8/B8</f>
        <v>332.44218394160589</v>
      </c>
      <c r="E8" s="621">
        <f>ROUND(H8*(1+$E$14),3)</f>
        <v>4.7</v>
      </c>
      <c r="F8" s="620">
        <v>16237468.843049329</v>
      </c>
      <c r="H8" s="622">
        <v>4.07</v>
      </c>
    </row>
    <row r="9" spans="1:8">
      <c r="A9" s="601" t="s">
        <v>442</v>
      </c>
      <c r="B9" s="620">
        <v>1496.9596412556054</v>
      </c>
      <c r="C9" s="562">
        <f>F9*E9/100</f>
        <v>337454.34237632289</v>
      </c>
      <c r="D9" s="604">
        <f>C9/B9</f>
        <v>225.42647983032873</v>
      </c>
      <c r="E9" s="621">
        <f>ROUND(H9*(1+$E$14),3)</f>
        <v>3.1619999999999999</v>
      </c>
      <c r="F9" s="620">
        <v>10672180.340807175</v>
      </c>
      <c r="H9">
        <v>2.738</v>
      </c>
    </row>
    <row r="10" spans="1:8">
      <c r="A10" s="601" t="s">
        <v>443</v>
      </c>
      <c r="B10" s="620">
        <v>927.42002989536616</v>
      </c>
      <c r="C10" s="562">
        <f>F10*E10/100</f>
        <v>135938.13597991032</v>
      </c>
      <c r="D10" s="604">
        <f>C10/B10</f>
        <v>146.57666601749716</v>
      </c>
      <c r="E10" s="621">
        <f>ROUND(H10*(1+$E$14),3)</f>
        <v>1.976</v>
      </c>
      <c r="F10" s="620">
        <v>6879460.3228699556</v>
      </c>
      <c r="H10">
        <v>1.7110000000000001</v>
      </c>
    </row>
    <row r="11" spans="1:8">
      <c r="A11" s="578" t="s">
        <v>444</v>
      </c>
      <c r="B11" s="620">
        <f>'Schedule 191 p1'!E29</f>
        <v>4720</v>
      </c>
      <c r="C11" s="562">
        <f>SUM(C8:C10)</f>
        <v>1236553.5139795518</v>
      </c>
      <c r="D11" s="604">
        <f>C11/B11</f>
        <v>261.98167669058301</v>
      </c>
      <c r="E11" s="621">
        <f>C11/F11*100</f>
        <v>3.6596214935270459</v>
      </c>
      <c r="F11" s="620">
        <f>SUM(F8:F10)</f>
        <v>33789109.506726459</v>
      </c>
    </row>
    <row r="13" spans="1:8">
      <c r="B13" t="s">
        <v>0</v>
      </c>
    </row>
    <row r="14" spans="1:8">
      <c r="E14" s="549">
        <v>0.1547</v>
      </c>
    </row>
    <row r="16" spans="1:8">
      <c r="C16" s="623">
        <f>'Schedule 191 p1'!D39</f>
        <v>992331.25</v>
      </c>
      <c r="D16" s="624">
        <v>206.91</v>
      </c>
      <c r="H16" t="s">
        <v>0</v>
      </c>
    </row>
    <row r="17" spans="3:4">
      <c r="C17" s="623">
        <f>'Schedule 191 p1'!E39</f>
        <v>1234280</v>
      </c>
      <c r="D17" s="624">
        <f>'Schedule 191 p1'!D48</f>
        <v>261.5</v>
      </c>
    </row>
  </sheetData>
  <mergeCells count="4">
    <mergeCell ref="A1:F1"/>
    <mergeCell ref="A2:F2"/>
    <mergeCell ref="A3:F3"/>
    <mergeCell ref="B5:F5"/>
  </mergeCells>
  <printOptions horizontalCentered="1"/>
  <pageMargins left="0.25" right="0.25" top="0.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/>
  <dimension ref="A1:AQ1214"/>
  <sheetViews>
    <sheetView view="pageBreakPreview" zoomScale="60" zoomScaleNormal="75" zoomScaleSheetLayoutView="75" workbookViewId="0">
      <pane ySplit="11" topLeftCell="A12" activePane="bottomLeft" state="frozen"/>
      <selection sqref="A1:J1"/>
      <selection pane="bottomLeft" sqref="A1:J1"/>
    </sheetView>
  </sheetViews>
  <sheetFormatPr defaultColWidth="10.25" defaultRowHeight="15.75"/>
  <cols>
    <col min="1" max="1" width="21.625" style="143" customWidth="1"/>
    <col min="2" max="2" width="15.625" style="143" customWidth="1"/>
    <col min="3" max="3" width="16.625" style="143" customWidth="1"/>
    <col min="4" max="4" width="14.875" style="143" hidden="1" customWidth="1"/>
    <col min="5" max="5" width="2.125" style="143" hidden="1" customWidth="1"/>
    <col min="6" max="6" width="16.875" style="143" hidden="1" customWidth="1"/>
    <col min="7" max="7" width="14.875" style="143" customWidth="1"/>
    <col min="8" max="8" width="2.625" style="143" customWidth="1"/>
    <col min="9" max="9" width="16.875" style="143" customWidth="1"/>
    <col min="10" max="10" width="12.625" style="143" customWidth="1"/>
    <col min="11" max="11" width="2.125" style="143" bestFit="1" customWidth="1"/>
    <col min="12" max="12" width="17.875" style="143" customWidth="1"/>
    <col min="13" max="13" width="1.25" style="143" customWidth="1"/>
    <col min="14" max="14" width="16.375" style="143" hidden="1" customWidth="1"/>
    <col min="15" max="15" width="13.625" style="143" customWidth="1"/>
    <col min="16" max="16" width="13.5" style="175" bestFit="1" customWidth="1"/>
    <col min="17" max="17" width="10.5" style="175" customWidth="1"/>
    <col min="18" max="18" width="8.625" style="143" customWidth="1"/>
    <col min="19" max="19" width="7.375" style="143" bestFit="1" customWidth="1"/>
    <col min="20" max="20" width="13" style="143" customWidth="1"/>
    <col min="21" max="21" width="14.125" style="143" bestFit="1" customWidth="1"/>
    <col min="22" max="22" width="14.75" style="143" customWidth="1"/>
    <col min="23" max="23" width="13.25" style="143" bestFit="1" customWidth="1"/>
    <col min="24" max="24" width="13" style="143" bestFit="1" customWidth="1"/>
    <col min="25" max="25" width="12.25" style="143" bestFit="1" customWidth="1"/>
    <col min="26" max="26" width="5.5" style="143" bestFit="1" customWidth="1"/>
    <col min="27" max="27" width="18" style="143" customWidth="1"/>
    <col min="28" max="28" width="10.25" style="143" customWidth="1"/>
    <col min="29" max="29" width="12.125" style="143" customWidth="1"/>
    <col min="30" max="16384" width="10.25" style="143"/>
  </cols>
  <sheetData>
    <row r="1" spans="1:36" ht="18">
      <c r="A1" s="140" t="s">
        <v>0</v>
      </c>
      <c r="B1" s="141"/>
      <c r="C1" s="141"/>
      <c r="D1" s="142"/>
      <c r="E1" s="142"/>
      <c r="F1" s="141"/>
      <c r="G1" s="142"/>
      <c r="H1" s="142"/>
      <c r="I1" s="141"/>
      <c r="J1" s="142"/>
      <c r="K1" s="141"/>
      <c r="L1" s="141"/>
      <c r="N1" s="76"/>
      <c r="O1" s="76"/>
      <c r="P1" s="144"/>
      <c r="Q1" s="144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6" ht="18">
      <c r="A2" s="145" t="s">
        <v>91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N2" s="76"/>
      <c r="O2" s="76"/>
      <c r="P2" s="144"/>
      <c r="Q2" s="144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</row>
    <row r="3" spans="1:36" ht="18">
      <c r="A3" s="145" t="s">
        <v>92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N3" s="76"/>
      <c r="O3" s="76"/>
      <c r="P3" s="144"/>
      <c r="Q3" s="144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</row>
    <row r="4" spans="1:36">
      <c r="A4" s="146" t="s">
        <v>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N4" s="76"/>
      <c r="O4" s="76"/>
      <c r="P4" s="144"/>
      <c r="Q4" s="144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</row>
    <row r="5" spans="1:36">
      <c r="A5" s="147" t="s">
        <v>93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N5" s="76"/>
      <c r="O5" s="76"/>
      <c r="P5" s="144"/>
      <c r="Q5" s="144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</row>
    <row r="6" spans="1:36">
      <c r="A6" s="148"/>
      <c r="B6" s="149"/>
      <c r="C6" s="149"/>
      <c r="D6" s="150"/>
      <c r="E6" s="150"/>
      <c r="F6" s="149"/>
      <c r="G6" s="150"/>
      <c r="H6" s="150"/>
      <c r="I6" s="149"/>
      <c r="J6" s="150"/>
      <c r="K6" s="149"/>
      <c r="L6" s="149"/>
      <c r="N6" s="76"/>
      <c r="O6" s="76"/>
      <c r="P6" s="144"/>
      <c r="Q6" s="144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</row>
    <row r="7" spans="1:36">
      <c r="A7" s="148"/>
      <c r="B7" s="149"/>
      <c r="C7" s="149"/>
      <c r="D7" s="150"/>
      <c r="E7" s="150"/>
      <c r="F7" s="149"/>
      <c r="G7" s="150"/>
      <c r="H7" s="150"/>
      <c r="I7" s="149"/>
      <c r="J7" s="150"/>
      <c r="K7" s="149"/>
      <c r="L7" s="149"/>
      <c r="N7" s="76"/>
      <c r="O7" s="76"/>
      <c r="P7" s="144"/>
      <c r="Q7" s="144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</row>
    <row r="8" spans="1:36">
      <c r="A8" s="149"/>
      <c r="B8" s="149"/>
      <c r="C8" s="149"/>
      <c r="D8" s="150"/>
      <c r="E8" s="150"/>
      <c r="F8" s="149"/>
      <c r="G8" s="150"/>
      <c r="H8" s="150"/>
      <c r="I8" s="149"/>
      <c r="J8" s="150"/>
      <c r="K8" s="149"/>
      <c r="L8" s="149"/>
      <c r="N8" s="76"/>
      <c r="O8" s="76"/>
      <c r="P8" s="144"/>
      <c r="Q8" s="144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</row>
    <row r="9" spans="1:36">
      <c r="A9" s="151"/>
      <c r="B9" s="151"/>
      <c r="C9" s="152"/>
      <c r="D9" s="153"/>
      <c r="E9" s="153"/>
      <c r="F9" s="154" t="s">
        <v>94</v>
      </c>
      <c r="G9" s="153"/>
      <c r="H9" s="153"/>
      <c r="I9" s="155" t="s">
        <v>9</v>
      </c>
      <c r="J9" s="153"/>
      <c r="K9" s="154"/>
      <c r="L9" s="154"/>
      <c r="N9" s="76"/>
      <c r="O9" s="76"/>
      <c r="P9" s="144"/>
      <c r="Q9" s="144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</row>
    <row r="10" spans="1:36">
      <c r="A10" s="151"/>
      <c r="B10" s="151"/>
      <c r="C10" s="152" t="s">
        <v>95</v>
      </c>
      <c r="D10" s="154" t="s">
        <v>96</v>
      </c>
      <c r="E10" s="153"/>
      <c r="F10" s="156" t="s">
        <v>97</v>
      </c>
      <c r="G10" s="154" t="s">
        <v>98</v>
      </c>
      <c r="H10" s="154"/>
      <c r="I10" s="155" t="s">
        <v>97</v>
      </c>
      <c r="J10" s="154" t="s">
        <v>10</v>
      </c>
      <c r="K10" s="152"/>
      <c r="L10" s="154" t="s">
        <v>10</v>
      </c>
      <c r="N10" s="76"/>
      <c r="O10" s="76"/>
      <c r="P10" s="144"/>
      <c r="Q10" s="144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</row>
    <row r="11" spans="1:36">
      <c r="A11" s="151"/>
      <c r="B11" s="151"/>
      <c r="C11" s="157" t="s">
        <v>8</v>
      </c>
      <c r="D11" s="158" t="s">
        <v>99</v>
      </c>
      <c r="E11" s="159"/>
      <c r="F11" s="158" t="s">
        <v>8</v>
      </c>
      <c r="G11" s="158" t="s">
        <v>99</v>
      </c>
      <c r="H11" s="156"/>
      <c r="I11" s="154" t="s">
        <v>8</v>
      </c>
      <c r="J11" s="158" t="s">
        <v>99</v>
      </c>
      <c r="K11" s="158"/>
      <c r="L11" s="158" t="s">
        <v>97</v>
      </c>
      <c r="N11" s="156"/>
      <c r="O11" s="76"/>
      <c r="P11" s="144"/>
      <c r="Q11" s="144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</row>
    <row r="12" spans="1:36">
      <c r="A12" s="160" t="s">
        <v>100</v>
      </c>
      <c r="F12" s="161"/>
      <c r="I12" s="161"/>
      <c r="N12" s="76"/>
      <c r="O12" s="76"/>
      <c r="P12" s="144"/>
      <c r="Q12" s="144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</row>
    <row r="13" spans="1:36">
      <c r="A13" s="143" t="s">
        <v>101</v>
      </c>
      <c r="F13" s="161"/>
      <c r="I13" s="161"/>
      <c r="N13" s="76"/>
      <c r="O13" s="76"/>
      <c r="P13" s="144"/>
      <c r="Q13" s="144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</row>
    <row r="14" spans="1:36">
      <c r="F14" s="161"/>
      <c r="I14" s="161"/>
      <c r="N14" s="76"/>
      <c r="O14" s="76"/>
      <c r="P14" s="144"/>
      <c r="Q14" s="144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</row>
    <row r="15" spans="1:36">
      <c r="A15" s="143" t="s">
        <v>102</v>
      </c>
      <c r="F15" s="161"/>
      <c r="I15" s="161"/>
      <c r="N15" s="76"/>
      <c r="O15" s="76"/>
      <c r="P15" s="144"/>
      <c r="Q15" s="144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</row>
    <row r="16" spans="1:36">
      <c r="A16" s="143" t="s">
        <v>103</v>
      </c>
      <c r="C16" s="162">
        <f t="shared" ref="C16:C18" si="0">C33+C50+C67</f>
        <v>28835</v>
      </c>
      <c r="D16" s="163">
        <v>9.6</v>
      </c>
      <c r="F16" s="164">
        <f t="shared" ref="F16:I18" si="1">F33+F50+F67</f>
        <v>276816</v>
      </c>
      <c r="G16" s="163">
        <v>10.119999999999999</v>
      </c>
      <c r="H16" s="163"/>
      <c r="I16" s="164">
        <f t="shared" si="1"/>
        <v>291810.19999999995</v>
      </c>
      <c r="J16" s="163">
        <f>ROUND(G16+G16*$Q$26,2)</f>
        <v>10.63</v>
      </c>
      <c r="L16" s="164">
        <f>L33+L50+L67</f>
        <v>306516</v>
      </c>
      <c r="N16" s="165" t="e">
        <f>J16*#REF!</f>
        <v>#REF!</v>
      </c>
      <c r="P16" s="128"/>
      <c r="Q16" s="166"/>
      <c r="R16" s="166"/>
      <c r="S16" s="166"/>
      <c r="T16" s="167"/>
      <c r="U16" s="167"/>
      <c r="V16" s="167"/>
      <c r="W16" s="167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J16" s="165"/>
    </row>
    <row r="17" spans="1:36">
      <c r="A17" s="143" t="s">
        <v>104</v>
      </c>
      <c r="C17" s="162">
        <f t="shared" si="0"/>
        <v>4732</v>
      </c>
      <c r="D17" s="163">
        <v>18.28</v>
      </c>
      <c r="F17" s="164">
        <f t="shared" si="1"/>
        <v>86500</v>
      </c>
      <c r="G17" s="163">
        <v>19.25</v>
      </c>
      <c r="H17" s="163"/>
      <c r="I17" s="164">
        <f t="shared" si="1"/>
        <v>91091</v>
      </c>
      <c r="J17" s="163">
        <f>ROUND(G17+G17*$Q$26,2)</f>
        <v>20.23</v>
      </c>
      <c r="L17" s="164">
        <f>L34+L51+L68</f>
        <v>95727</v>
      </c>
      <c r="N17" s="165" t="e">
        <f>J17*#REF!</f>
        <v>#REF!</v>
      </c>
      <c r="P17" s="128"/>
      <c r="Q17" s="166"/>
      <c r="R17" s="166"/>
      <c r="S17" s="166"/>
      <c r="T17" s="167"/>
      <c r="U17" s="167"/>
      <c r="V17" s="167"/>
      <c r="W17" s="167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J17" s="165"/>
    </row>
    <row r="18" spans="1:36">
      <c r="A18" s="143" t="s">
        <v>105</v>
      </c>
      <c r="C18" s="162">
        <f t="shared" si="0"/>
        <v>612</v>
      </c>
      <c r="D18" s="163">
        <v>37.82</v>
      </c>
      <c r="F18" s="164">
        <f t="shared" si="1"/>
        <v>23145</v>
      </c>
      <c r="G18" s="163">
        <v>39.840000000000003</v>
      </c>
      <c r="H18" s="163"/>
      <c r="I18" s="164">
        <f t="shared" si="1"/>
        <v>24382.080000000002</v>
      </c>
      <c r="J18" s="163">
        <f>ROUND(G18+G18*$Q$26,2)</f>
        <v>41.86</v>
      </c>
      <c r="L18" s="164">
        <f>L35+L52+L69</f>
        <v>25618</v>
      </c>
      <c r="N18" s="165" t="e">
        <f>J18*#REF!</f>
        <v>#REF!</v>
      </c>
      <c r="P18" s="128"/>
      <c r="Q18" s="166"/>
      <c r="R18" s="166"/>
      <c r="S18" s="166"/>
      <c r="T18" s="167"/>
      <c r="U18" s="167"/>
      <c r="V18" s="167"/>
      <c r="W18" s="167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J18" s="165"/>
    </row>
    <row r="19" spans="1:36">
      <c r="A19" s="143" t="s">
        <v>106</v>
      </c>
      <c r="C19" s="162"/>
      <c r="D19" s="163"/>
      <c r="F19" s="164"/>
      <c r="G19" s="163"/>
      <c r="H19" s="163"/>
      <c r="I19" s="164"/>
      <c r="J19" s="168"/>
      <c r="L19" s="164"/>
      <c r="N19" s="165"/>
      <c r="P19" s="143"/>
      <c r="Q19" s="166"/>
      <c r="R19" s="166"/>
      <c r="S19" s="166"/>
      <c r="T19" s="169"/>
      <c r="U19" s="169"/>
      <c r="V19" s="169"/>
      <c r="W19" s="169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J19" s="165"/>
    </row>
    <row r="20" spans="1:36">
      <c r="A20" s="143" t="s">
        <v>107</v>
      </c>
      <c r="C20" s="162">
        <f t="shared" ref="C20:C25" si="2">C37+C54+C71</f>
        <v>1986</v>
      </c>
      <c r="D20" s="163">
        <v>10.92</v>
      </c>
      <c r="F20" s="164">
        <f t="shared" ref="F20:I23" si="3">F37+F54+F71</f>
        <v>21687</v>
      </c>
      <c r="G20" s="163">
        <v>11.51</v>
      </c>
      <c r="H20" s="163"/>
      <c r="I20" s="164">
        <f t="shared" si="3"/>
        <v>22858.859999999997</v>
      </c>
      <c r="J20" s="163">
        <f>ROUND(G20+G20*$Q$26,2)</f>
        <v>12.09</v>
      </c>
      <c r="L20" s="164">
        <f>L37+L54+L71</f>
        <v>24010</v>
      </c>
      <c r="N20" s="165" t="e">
        <f>J20*#REF!</f>
        <v>#REF!</v>
      </c>
      <c r="P20" s="128"/>
      <c r="Q20" s="166"/>
      <c r="R20" s="166"/>
      <c r="S20" s="166"/>
      <c r="T20" s="167"/>
      <c r="U20" s="167"/>
      <c r="V20" s="167"/>
      <c r="W20" s="167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J20" s="165"/>
    </row>
    <row r="21" spans="1:36">
      <c r="A21" s="143" t="s">
        <v>108</v>
      </c>
      <c r="C21" s="162">
        <f t="shared" si="2"/>
        <v>1777</v>
      </c>
      <c r="D21" s="163">
        <v>16.04</v>
      </c>
      <c r="F21" s="164">
        <f t="shared" si="3"/>
        <v>28503</v>
      </c>
      <c r="G21" s="163">
        <v>16.900000000000002</v>
      </c>
      <c r="H21" s="163"/>
      <c r="I21" s="164">
        <f t="shared" si="3"/>
        <v>30031.300000000007</v>
      </c>
      <c r="J21" s="163">
        <f>ROUND(G21+G21*$Q$26,2)</f>
        <v>17.760000000000002</v>
      </c>
      <c r="L21" s="164">
        <f>L38+L55+L72</f>
        <v>31559</v>
      </c>
      <c r="N21" s="165" t="e">
        <f>J21*#REF!</f>
        <v>#REF!</v>
      </c>
      <c r="P21" s="128"/>
      <c r="Q21" s="166"/>
      <c r="R21" s="166"/>
      <c r="S21" s="166"/>
      <c r="T21" s="167"/>
      <c r="U21" s="167"/>
      <c r="V21" s="167"/>
      <c r="W21" s="167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J21" s="165"/>
    </row>
    <row r="22" spans="1:36">
      <c r="A22" s="143" t="s">
        <v>109</v>
      </c>
      <c r="C22" s="162">
        <f t="shared" si="2"/>
        <v>468</v>
      </c>
      <c r="D22" s="163">
        <v>25.88</v>
      </c>
      <c r="F22" s="164">
        <f t="shared" si="3"/>
        <v>12112</v>
      </c>
      <c r="G22" s="163">
        <v>27.26</v>
      </c>
      <c r="H22" s="163"/>
      <c r="I22" s="164">
        <f t="shared" si="3"/>
        <v>12757.680000000002</v>
      </c>
      <c r="J22" s="163">
        <f>ROUND(G22+G22*$Q$26,2)</f>
        <v>28.64</v>
      </c>
      <c r="L22" s="164">
        <f>L39+L56+L73</f>
        <v>13403</v>
      </c>
      <c r="N22" s="165" t="e">
        <f>J22*#REF!</f>
        <v>#REF!</v>
      </c>
      <c r="P22" s="128"/>
      <c r="Q22" s="166"/>
      <c r="R22" s="166"/>
      <c r="S22" s="166"/>
      <c r="T22" s="167"/>
      <c r="U22" s="167"/>
      <c r="V22" s="167"/>
      <c r="W22" s="167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J22" s="165"/>
    </row>
    <row r="23" spans="1:36">
      <c r="A23" s="143" t="s">
        <v>110</v>
      </c>
      <c r="C23" s="162">
        <f t="shared" si="2"/>
        <v>612</v>
      </c>
      <c r="D23" s="170">
        <v>1</v>
      </c>
      <c r="E23" s="76"/>
      <c r="F23" s="164">
        <f t="shared" si="3"/>
        <v>612</v>
      </c>
      <c r="G23" s="170">
        <v>1</v>
      </c>
      <c r="H23" s="170"/>
      <c r="I23" s="164">
        <f t="shared" si="3"/>
        <v>612</v>
      </c>
      <c r="J23" s="163">
        <f>G23</f>
        <v>1</v>
      </c>
      <c r="K23" s="76"/>
      <c r="L23" s="164">
        <f>L40+L57+L74</f>
        <v>612</v>
      </c>
      <c r="N23" s="165" t="e">
        <f>J23*#REF!</f>
        <v>#REF!</v>
      </c>
      <c r="P23" s="128"/>
      <c r="Q23" s="143"/>
      <c r="R23" s="166"/>
      <c r="S23" s="16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J23" s="165"/>
    </row>
    <row r="24" spans="1:36">
      <c r="A24" s="143" t="s">
        <v>111</v>
      </c>
      <c r="C24" s="162">
        <f t="shared" si="2"/>
        <v>32043</v>
      </c>
      <c r="D24" s="163"/>
      <c r="F24" s="164"/>
      <c r="G24" s="163"/>
      <c r="H24" s="163"/>
      <c r="I24" s="164"/>
      <c r="J24" s="163"/>
      <c r="L24" s="164"/>
      <c r="N24" s="165"/>
      <c r="P24" s="165"/>
      <c r="Q24" s="143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J24" s="165"/>
    </row>
    <row r="25" spans="1:36">
      <c r="A25" s="143" t="s">
        <v>112</v>
      </c>
      <c r="C25" s="162">
        <f t="shared" si="2"/>
        <v>3541206</v>
      </c>
      <c r="D25" s="170"/>
      <c r="E25" s="76"/>
      <c r="F25" s="164">
        <f>F42+F59+F76</f>
        <v>449375</v>
      </c>
      <c r="G25" s="170"/>
      <c r="H25" s="170"/>
      <c r="I25" s="164">
        <f>I42+I59+I76</f>
        <v>473543.12</v>
      </c>
      <c r="J25" s="170"/>
      <c r="K25" s="76"/>
      <c r="L25" s="171">
        <f>L42+L59+L76</f>
        <v>497445</v>
      </c>
      <c r="N25" s="165" t="e">
        <f>SUM(N16:N24)</f>
        <v>#REF!</v>
      </c>
      <c r="P25" s="172"/>
      <c r="Q25" s="173" t="s">
        <v>113</v>
      </c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J25" s="165"/>
    </row>
    <row r="26" spans="1:36">
      <c r="A26" s="143" t="s">
        <v>114</v>
      </c>
      <c r="C26" s="162">
        <f>C43+C60+C77</f>
        <v>24160.464090375423</v>
      </c>
      <c r="D26" s="170"/>
      <c r="E26" s="76"/>
      <c r="F26" s="174">
        <f>F43+F60+F77</f>
        <v>3923.3617230318278</v>
      </c>
      <c r="G26" s="170"/>
      <c r="H26" s="170"/>
      <c r="I26" s="174">
        <f>I43+I60+I77</f>
        <v>3923.3617230318278</v>
      </c>
      <c r="J26" s="170"/>
      <c r="K26" s="76"/>
      <c r="L26" s="174">
        <f>F26</f>
        <v>3923.3617230318278</v>
      </c>
      <c r="Q26" s="176">
        <v>5.0700000000000044E-2</v>
      </c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J26" s="165"/>
    </row>
    <row r="27" spans="1:36" ht="16.5" thickBot="1">
      <c r="A27" s="143" t="s">
        <v>115</v>
      </c>
      <c r="C27" s="177">
        <f>C25+C26</f>
        <v>3565366.4640903752</v>
      </c>
      <c r="D27" s="178"/>
      <c r="E27" s="178"/>
      <c r="F27" s="178">
        <f>F25+F26</f>
        <v>453298.36172303185</v>
      </c>
      <c r="G27" s="178"/>
      <c r="H27" s="178"/>
      <c r="I27" s="178">
        <f>I25+I26</f>
        <v>477466.48172303184</v>
      </c>
      <c r="J27" s="178"/>
      <c r="K27" s="178"/>
      <c r="L27" s="178">
        <f>L25+L26</f>
        <v>501368.36172303185</v>
      </c>
      <c r="O27" s="179" t="s">
        <v>116</v>
      </c>
      <c r="P27" s="180">
        <v>501339.80580918345</v>
      </c>
      <c r="Q27" s="176">
        <v>5.0599999999999999E-2</v>
      </c>
      <c r="R27" s="88" t="s">
        <v>117</v>
      </c>
      <c r="S27" s="88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J27" s="165"/>
    </row>
    <row r="28" spans="1:36" ht="16.5" thickTop="1">
      <c r="C28" s="181"/>
      <c r="D28" s="181"/>
      <c r="E28" s="181"/>
      <c r="F28" s="161"/>
      <c r="G28" s="181"/>
      <c r="H28" s="181"/>
      <c r="I28" s="161"/>
      <c r="J28" s="182" t="s">
        <v>0</v>
      </c>
      <c r="K28" s="181"/>
      <c r="L28" s="164" t="s">
        <v>0</v>
      </c>
      <c r="O28" s="183" t="s">
        <v>118</v>
      </c>
      <c r="P28" s="184">
        <f>P27-L27</f>
        <v>-28.555913848394994</v>
      </c>
      <c r="Q28" s="88" t="s">
        <v>0</v>
      </c>
      <c r="R28" s="88"/>
      <c r="S28" s="88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J28" s="165"/>
    </row>
    <row r="29" spans="1:36" hidden="1">
      <c r="A29" s="160" t="s">
        <v>100</v>
      </c>
      <c r="F29" s="161"/>
      <c r="I29" s="161"/>
      <c r="P29" s="185" t="s">
        <v>0</v>
      </c>
      <c r="Q29" s="143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J29" s="165"/>
    </row>
    <row r="30" spans="1:36" hidden="1">
      <c r="A30" s="143" t="s">
        <v>119</v>
      </c>
      <c r="F30" s="161"/>
      <c r="I30" s="161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76"/>
      <c r="AE30" s="76"/>
      <c r="AF30" s="76"/>
      <c r="AG30" s="76"/>
      <c r="AH30" s="76"/>
      <c r="AJ30" s="165"/>
    </row>
    <row r="31" spans="1:36" hidden="1">
      <c r="D31" s="162"/>
      <c r="F31" s="161"/>
      <c r="G31" s="162"/>
      <c r="H31" s="162"/>
      <c r="I31" s="161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76"/>
      <c r="AE31" s="76"/>
      <c r="AF31" s="76"/>
      <c r="AG31" s="76"/>
      <c r="AH31" s="76"/>
      <c r="AJ31" s="165"/>
    </row>
    <row r="32" spans="1:36" hidden="1">
      <c r="A32" s="143" t="s">
        <v>102</v>
      </c>
      <c r="F32" s="161"/>
      <c r="I32" s="161"/>
      <c r="N32" s="186"/>
      <c r="O32" s="186"/>
      <c r="P32" s="186"/>
      <c r="Q32" s="144"/>
      <c r="R32" s="187"/>
      <c r="S32" s="187"/>
      <c r="T32" s="188"/>
      <c r="U32" s="188"/>
      <c r="V32" s="188"/>
      <c r="W32" s="188"/>
      <c r="X32" s="189"/>
      <c r="Y32" s="190"/>
      <c r="Z32" s="186"/>
      <c r="AA32" s="186"/>
      <c r="AB32" s="186"/>
      <c r="AC32" s="186"/>
      <c r="AD32" s="76"/>
      <c r="AE32" s="76"/>
      <c r="AF32" s="76"/>
      <c r="AG32" s="76"/>
      <c r="AH32" s="76"/>
      <c r="AJ32" s="165"/>
    </row>
    <row r="33" spans="1:36" hidden="1">
      <c r="A33" s="143" t="s">
        <v>103</v>
      </c>
      <c r="C33" s="162">
        <f>13235+108</f>
        <v>13343</v>
      </c>
      <c r="D33" s="163">
        <f>$D$16</f>
        <v>9.6</v>
      </c>
      <c r="F33" s="164">
        <f>ROUND(D33*$C33,0)</f>
        <v>128093</v>
      </c>
      <c r="G33" s="163">
        <f>$G$16</f>
        <v>10.119999999999999</v>
      </c>
      <c r="H33" s="163"/>
      <c r="I33" s="164">
        <f>G33*C33</f>
        <v>135031.16</v>
      </c>
      <c r="J33" s="163">
        <f>$J$16</f>
        <v>10.63</v>
      </c>
      <c r="L33" s="164">
        <f>ROUND(J33*$C33,0)</f>
        <v>141836</v>
      </c>
      <c r="N33" s="76"/>
      <c r="O33" s="76"/>
      <c r="P33" s="189"/>
      <c r="Q33" s="144"/>
      <c r="R33" s="186"/>
      <c r="S33" s="186"/>
      <c r="T33" s="191"/>
      <c r="U33" s="191"/>
      <c r="V33" s="191"/>
      <c r="W33" s="191"/>
      <c r="X33" s="192"/>
      <c r="Y33" s="186"/>
      <c r="Z33" s="189"/>
      <c r="AA33" s="189"/>
      <c r="AB33" s="193"/>
      <c r="AC33" s="189"/>
      <c r="AD33" s="76"/>
      <c r="AE33" s="76"/>
      <c r="AF33" s="76"/>
      <c r="AG33" s="76"/>
      <c r="AH33" s="76"/>
      <c r="AJ33" s="165"/>
    </row>
    <row r="34" spans="1:36" hidden="1">
      <c r="A34" s="143" t="s">
        <v>104</v>
      </c>
      <c r="C34" s="162">
        <f>264+12</f>
        <v>276</v>
      </c>
      <c r="D34" s="163">
        <f>$D$17</f>
        <v>18.28</v>
      </c>
      <c r="F34" s="164">
        <f>ROUND(D34*$C34,0)</f>
        <v>5045</v>
      </c>
      <c r="G34" s="163">
        <f>$G$17</f>
        <v>19.25</v>
      </c>
      <c r="H34" s="163"/>
      <c r="I34" s="164">
        <f t="shared" ref="I34:I35" si="4">G34*C34</f>
        <v>5313</v>
      </c>
      <c r="J34" s="163">
        <f>$J$17</f>
        <v>20.23</v>
      </c>
      <c r="L34" s="164">
        <f>ROUND(J34*$C34,0)</f>
        <v>5583</v>
      </c>
      <c r="N34" s="76"/>
      <c r="O34" s="76"/>
      <c r="P34" s="189"/>
      <c r="Q34" s="144"/>
      <c r="R34" s="76"/>
      <c r="S34" s="76"/>
      <c r="T34" s="194"/>
      <c r="U34" s="194"/>
      <c r="V34" s="194"/>
      <c r="W34" s="194"/>
      <c r="X34" s="186"/>
      <c r="Y34" s="186"/>
      <c r="Z34" s="189"/>
      <c r="AA34" s="189"/>
      <c r="AB34" s="193"/>
      <c r="AC34" s="189"/>
      <c r="AD34" s="76"/>
      <c r="AE34" s="76"/>
      <c r="AF34" s="76"/>
      <c r="AG34" s="76"/>
      <c r="AH34" s="76"/>
      <c r="AJ34" s="165"/>
    </row>
    <row r="35" spans="1:36" hidden="1">
      <c r="A35" s="143" t="s">
        <v>105</v>
      </c>
      <c r="C35" s="162">
        <v>0</v>
      </c>
      <c r="D35" s="163">
        <f>$D$18</f>
        <v>37.82</v>
      </c>
      <c r="F35" s="164">
        <f>ROUND(D35*$C35,0)</f>
        <v>0</v>
      </c>
      <c r="G35" s="163">
        <f>$G$18</f>
        <v>39.840000000000003</v>
      </c>
      <c r="H35" s="163"/>
      <c r="I35" s="164">
        <f t="shared" si="4"/>
        <v>0</v>
      </c>
      <c r="J35" s="163">
        <f>$J$18</f>
        <v>41.86</v>
      </c>
      <c r="L35" s="164">
        <f>ROUND(J35*$C35,0)</f>
        <v>0</v>
      </c>
      <c r="N35" s="76"/>
      <c r="O35" s="76"/>
      <c r="P35" s="189"/>
      <c r="Q35" s="144"/>
      <c r="R35" s="76"/>
      <c r="S35" s="76"/>
      <c r="T35" s="194"/>
      <c r="U35" s="194"/>
      <c r="V35" s="194"/>
      <c r="W35" s="194"/>
      <c r="X35" s="186"/>
      <c r="Y35" s="186"/>
      <c r="Z35" s="189"/>
      <c r="AA35" s="189"/>
      <c r="AB35" s="193"/>
      <c r="AC35" s="189"/>
      <c r="AD35" s="76"/>
      <c r="AE35" s="76"/>
      <c r="AF35" s="76"/>
      <c r="AG35" s="76"/>
      <c r="AH35" s="76"/>
      <c r="AJ35" s="165"/>
    </row>
    <row r="36" spans="1:36" hidden="1">
      <c r="A36" s="143" t="s">
        <v>106</v>
      </c>
      <c r="C36" s="162"/>
      <c r="D36" s="163"/>
      <c r="F36" s="164"/>
      <c r="G36" s="163"/>
      <c r="H36" s="163"/>
      <c r="I36" s="164"/>
      <c r="J36" s="163"/>
      <c r="L36" s="164"/>
      <c r="N36" s="76"/>
      <c r="O36" s="76"/>
      <c r="P36" s="189"/>
      <c r="Q36" s="144"/>
      <c r="R36" s="76"/>
      <c r="S36" s="76"/>
      <c r="T36" s="194"/>
      <c r="U36" s="194"/>
      <c r="V36" s="194"/>
      <c r="W36" s="194"/>
      <c r="X36" s="186"/>
      <c r="Y36" s="186"/>
      <c r="Z36" s="189"/>
      <c r="AA36" s="189"/>
      <c r="AB36" s="193"/>
      <c r="AC36" s="189"/>
      <c r="AD36" s="76"/>
      <c r="AE36" s="76"/>
      <c r="AF36" s="76"/>
      <c r="AG36" s="76"/>
      <c r="AH36" s="76"/>
      <c r="AJ36" s="165"/>
    </row>
    <row r="37" spans="1:36" hidden="1">
      <c r="A37" s="143" t="s">
        <v>107</v>
      </c>
      <c r="C37" s="162">
        <f>861</f>
        <v>861</v>
      </c>
      <c r="D37" s="163">
        <f>$D$20</f>
        <v>10.92</v>
      </c>
      <c r="F37" s="164">
        <f>ROUND(D37*$C37,0)</f>
        <v>9402</v>
      </c>
      <c r="G37" s="163">
        <f>$G$20</f>
        <v>11.51</v>
      </c>
      <c r="H37" s="163"/>
      <c r="I37" s="164">
        <f t="shared" ref="I37:I40" si="5">G37*C37</f>
        <v>9910.11</v>
      </c>
      <c r="J37" s="163">
        <f>$J$20</f>
        <v>12.09</v>
      </c>
      <c r="L37" s="164">
        <f>ROUND(J37*$C37,0)</f>
        <v>10409</v>
      </c>
      <c r="N37" s="76"/>
      <c r="O37" s="76"/>
      <c r="P37" s="189"/>
      <c r="Q37" s="144"/>
      <c r="R37" s="76"/>
      <c r="S37" s="76"/>
      <c r="T37" s="194"/>
      <c r="U37" s="194"/>
      <c r="V37" s="194"/>
      <c r="W37" s="194"/>
      <c r="X37" s="186"/>
      <c r="Y37" s="186"/>
      <c r="Z37" s="189"/>
      <c r="AA37" s="189"/>
      <c r="AB37" s="193"/>
      <c r="AC37" s="189"/>
      <c r="AD37" s="76"/>
      <c r="AE37" s="76"/>
      <c r="AF37" s="76"/>
      <c r="AG37" s="76"/>
      <c r="AH37" s="76"/>
      <c r="AJ37" s="165"/>
    </row>
    <row r="38" spans="1:36" hidden="1">
      <c r="A38" s="143" t="s">
        <v>108</v>
      </c>
      <c r="C38" s="162">
        <f>228</f>
        <v>228</v>
      </c>
      <c r="D38" s="163">
        <f>$D$21</f>
        <v>16.04</v>
      </c>
      <c r="F38" s="164">
        <f>ROUND(D38*$C38,0)</f>
        <v>3657</v>
      </c>
      <c r="G38" s="163">
        <f>$G$21</f>
        <v>16.900000000000002</v>
      </c>
      <c r="H38" s="163"/>
      <c r="I38" s="164">
        <f t="shared" si="5"/>
        <v>3853.2000000000003</v>
      </c>
      <c r="J38" s="163">
        <f>$J$21</f>
        <v>17.760000000000002</v>
      </c>
      <c r="L38" s="164">
        <f>ROUND(J38*$C38,0)</f>
        <v>4049</v>
      </c>
      <c r="N38" s="76"/>
      <c r="O38" s="76"/>
      <c r="P38" s="189"/>
      <c r="Q38" s="144"/>
      <c r="R38" s="76"/>
      <c r="S38" s="76"/>
      <c r="T38" s="194"/>
      <c r="U38" s="194"/>
      <c r="V38" s="194"/>
      <c r="W38" s="194"/>
      <c r="X38" s="186"/>
      <c r="Y38" s="186"/>
      <c r="Z38" s="189"/>
      <c r="AA38" s="189"/>
      <c r="AB38" s="193"/>
      <c r="AC38" s="189"/>
      <c r="AD38" s="76"/>
      <c r="AE38" s="76"/>
      <c r="AF38" s="76"/>
      <c r="AG38" s="76"/>
      <c r="AH38" s="76"/>
      <c r="AJ38" s="165"/>
    </row>
    <row r="39" spans="1:36" hidden="1">
      <c r="A39" s="143" t="s">
        <v>109</v>
      </c>
      <c r="C39" s="162">
        <f>12</f>
        <v>12</v>
      </c>
      <c r="D39" s="163">
        <f>$D$22</f>
        <v>25.88</v>
      </c>
      <c r="F39" s="164">
        <f>ROUND(D39*$C39,0)</f>
        <v>311</v>
      </c>
      <c r="G39" s="163">
        <f>$G$22</f>
        <v>27.26</v>
      </c>
      <c r="H39" s="163"/>
      <c r="I39" s="164">
        <f t="shared" si="5"/>
        <v>327.12</v>
      </c>
      <c r="J39" s="163">
        <f>$J$22</f>
        <v>28.64</v>
      </c>
      <c r="L39" s="164">
        <f>ROUND(J39*$C39,0)</f>
        <v>344</v>
      </c>
      <c r="N39" s="76"/>
      <c r="O39" s="76"/>
      <c r="P39" s="189"/>
      <c r="Q39" s="144"/>
      <c r="R39" s="76"/>
      <c r="S39" s="76"/>
      <c r="T39" s="194"/>
      <c r="U39" s="194"/>
      <c r="V39" s="194"/>
      <c r="W39" s="194"/>
      <c r="X39" s="186"/>
      <c r="Y39" s="186"/>
      <c r="Z39" s="189"/>
      <c r="AA39" s="189"/>
      <c r="AB39" s="193"/>
      <c r="AC39" s="189"/>
      <c r="AD39" s="76"/>
      <c r="AE39" s="76"/>
      <c r="AF39" s="76"/>
      <c r="AG39" s="76"/>
      <c r="AH39" s="76"/>
      <c r="AJ39" s="165"/>
    </row>
    <row r="40" spans="1:36" hidden="1">
      <c r="A40" s="143" t="s">
        <v>110</v>
      </c>
      <c r="C40" s="162">
        <f>108+12</f>
        <v>120</v>
      </c>
      <c r="D40" s="163">
        <f>$D$23</f>
        <v>1</v>
      </c>
      <c r="E40" s="76"/>
      <c r="F40" s="174">
        <f>ROUND(D40*$C40,0)</f>
        <v>120</v>
      </c>
      <c r="G40" s="163">
        <f>$D$23</f>
        <v>1</v>
      </c>
      <c r="H40" s="163"/>
      <c r="I40" s="164">
        <f t="shared" si="5"/>
        <v>120</v>
      </c>
      <c r="J40" s="170">
        <f>$J$23</f>
        <v>1</v>
      </c>
      <c r="K40" s="76"/>
      <c r="L40" s="174">
        <f>ROUND(J40*$C40,0)</f>
        <v>120</v>
      </c>
      <c r="N40" s="186"/>
      <c r="O40" s="186"/>
      <c r="P40" s="189"/>
      <c r="Q40" s="144"/>
      <c r="R40" s="76"/>
      <c r="S40" s="76"/>
      <c r="T40" s="186"/>
      <c r="U40" s="186"/>
      <c r="V40" s="186"/>
      <c r="W40" s="186"/>
      <c r="X40" s="186"/>
      <c r="Y40" s="186"/>
      <c r="Z40" s="189"/>
      <c r="AA40" s="189"/>
      <c r="AB40" s="189"/>
      <c r="AC40" s="189"/>
      <c r="AD40" s="76"/>
      <c r="AE40" s="76"/>
      <c r="AF40" s="76"/>
      <c r="AG40" s="76"/>
      <c r="AH40" s="76"/>
      <c r="AJ40" s="165"/>
    </row>
    <row r="41" spans="1:36" hidden="1">
      <c r="A41" s="143" t="s">
        <v>111</v>
      </c>
      <c r="C41" s="162">
        <v>14454</v>
      </c>
      <c r="D41" s="163"/>
      <c r="F41" s="164"/>
      <c r="G41" s="163"/>
      <c r="H41" s="163"/>
      <c r="I41" s="164"/>
      <c r="J41" s="163"/>
      <c r="L41" s="164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95"/>
      <c r="AA41" s="186"/>
      <c r="AB41" s="186"/>
      <c r="AC41" s="186"/>
      <c r="AD41" s="76"/>
      <c r="AE41" s="76"/>
      <c r="AF41" s="76"/>
      <c r="AG41" s="76"/>
      <c r="AH41" s="76"/>
      <c r="AJ41" s="165"/>
    </row>
    <row r="42" spans="1:36" hidden="1">
      <c r="A42" s="143" t="s">
        <v>112</v>
      </c>
      <c r="C42" s="162">
        <v>1106985</v>
      </c>
      <c r="D42" s="170"/>
      <c r="E42" s="76"/>
      <c r="F42" s="174">
        <f>SUM(F33:F40)</f>
        <v>146628</v>
      </c>
      <c r="G42" s="170"/>
      <c r="H42" s="170"/>
      <c r="I42" s="174">
        <f>SUM(I33:I40)</f>
        <v>154554.59000000003</v>
      </c>
      <c r="J42" s="170"/>
      <c r="K42" s="76"/>
      <c r="L42" s="174">
        <f>SUM(L33:L40)</f>
        <v>162341</v>
      </c>
      <c r="N42" s="186"/>
      <c r="O42" s="186"/>
      <c r="P42" s="194"/>
      <c r="Q42" s="186"/>
      <c r="R42" s="76"/>
      <c r="S42" s="76"/>
      <c r="T42" s="76"/>
      <c r="U42" s="76"/>
      <c r="V42" s="76"/>
      <c r="W42" s="76"/>
      <c r="X42" s="76"/>
      <c r="Y42" s="186"/>
      <c r="Z42" s="186"/>
      <c r="AA42" s="186"/>
      <c r="AB42" s="186"/>
      <c r="AC42" s="186"/>
      <c r="AD42" s="76"/>
      <c r="AE42" s="76"/>
      <c r="AF42" s="76"/>
      <c r="AG42" s="76"/>
      <c r="AH42" s="76"/>
      <c r="AJ42" s="165"/>
    </row>
    <row r="43" spans="1:36" hidden="1">
      <c r="A43" s="143" t="s">
        <v>114</v>
      </c>
      <c r="C43" s="162">
        <v>-18627.942197838438</v>
      </c>
      <c r="D43" s="170"/>
      <c r="E43" s="76"/>
      <c r="F43" s="174">
        <v>-1928.7907617942083</v>
      </c>
      <c r="G43" s="170"/>
      <c r="H43" s="170"/>
      <c r="I43" s="174">
        <f>F43</f>
        <v>-1928.7907617942083</v>
      </c>
      <c r="J43" s="170"/>
      <c r="K43" s="76"/>
      <c r="L43" s="174">
        <f>F43</f>
        <v>-1928.7907617942083</v>
      </c>
      <c r="N43" s="196"/>
      <c r="O43" s="196"/>
      <c r="P43" s="194"/>
      <c r="Q43" s="186"/>
      <c r="R43" s="186"/>
      <c r="S43" s="186"/>
      <c r="T43" s="191"/>
      <c r="U43" s="191"/>
      <c r="V43" s="191"/>
      <c r="W43" s="191"/>
      <c r="X43" s="189"/>
      <c r="Y43" s="186"/>
      <c r="Z43" s="186"/>
      <c r="AA43" s="186"/>
      <c r="AB43" s="186"/>
      <c r="AC43" s="186"/>
      <c r="AD43" s="76"/>
      <c r="AE43" s="76"/>
      <c r="AF43" s="76"/>
      <c r="AG43" s="76"/>
      <c r="AH43" s="76"/>
      <c r="AJ43" s="165"/>
    </row>
    <row r="44" spans="1:36" ht="16.5" hidden="1" thickBot="1">
      <c r="A44" s="143" t="s">
        <v>115</v>
      </c>
      <c r="C44" s="177">
        <f>C42+C43</f>
        <v>1088357.0578021617</v>
      </c>
      <c r="D44" s="178"/>
      <c r="E44" s="178"/>
      <c r="F44" s="178">
        <f>F42+F43</f>
        <v>144699.2092382058</v>
      </c>
      <c r="G44" s="178"/>
      <c r="H44" s="178"/>
      <c r="I44" s="178">
        <f>I42+I43</f>
        <v>152625.79923820583</v>
      </c>
      <c r="J44" s="178"/>
      <c r="K44" s="178"/>
      <c r="L44" s="178">
        <f>L42+L43</f>
        <v>160412.2092382058</v>
      </c>
      <c r="N44" s="197"/>
      <c r="O44" s="197"/>
      <c r="P44" s="198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86"/>
      <c r="AD44" s="76"/>
      <c r="AE44" s="76"/>
      <c r="AF44" s="76"/>
      <c r="AG44" s="76"/>
      <c r="AH44" s="76"/>
      <c r="AJ44" s="165"/>
    </row>
    <row r="45" spans="1:36" hidden="1">
      <c r="C45" s="181"/>
      <c r="D45" s="181"/>
      <c r="E45" s="181"/>
      <c r="F45" s="161"/>
      <c r="G45" s="181"/>
      <c r="H45" s="181"/>
      <c r="I45" s="161"/>
      <c r="J45" s="182" t="s">
        <v>0</v>
      </c>
      <c r="K45" s="181"/>
      <c r="L45" s="164" t="s">
        <v>0</v>
      </c>
      <c r="N45" s="76"/>
      <c r="O45" s="76"/>
      <c r="P45" s="144"/>
      <c r="Q45" s="144"/>
      <c r="R45" s="76"/>
      <c r="S45" s="76"/>
      <c r="T45" s="76"/>
      <c r="U45" s="76"/>
      <c r="V45" s="76"/>
      <c r="W45" s="76"/>
      <c r="X45" s="76"/>
      <c r="Y45" s="186"/>
      <c r="Z45" s="186"/>
      <c r="AA45" s="186"/>
      <c r="AB45" s="186"/>
      <c r="AC45" s="186"/>
      <c r="AD45" s="76"/>
      <c r="AE45" s="76"/>
      <c r="AF45" s="76"/>
      <c r="AG45" s="76"/>
      <c r="AH45" s="76"/>
      <c r="AJ45" s="165"/>
    </row>
    <row r="46" spans="1:36" hidden="1">
      <c r="A46" s="160" t="s">
        <v>100</v>
      </c>
      <c r="F46" s="161"/>
      <c r="I46" s="161"/>
      <c r="N46" s="76"/>
      <c r="O46" s="76"/>
      <c r="P46" s="144"/>
      <c r="Q46" s="144"/>
      <c r="R46" s="76"/>
      <c r="S46" s="76"/>
      <c r="T46" s="76"/>
      <c r="U46" s="76"/>
      <c r="V46" s="76"/>
      <c r="W46" s="76"/>
      <c r="X46" s="76"/>
      <c r="Y46" s="186"/>
      <c r="Z46" s="186"/>
      <c r="AA46" s="186"/>
      <c r="AB46" s="186"/>
      <c r="AC46" s="186"/>
      <c r="AD46" s="76"/>
      <c r="AE46" s="76"/>
      <c r="AF46" s="76"/>
      <c r="AG46" s="76"/>
      <c r="AH46" s="76"/>
      <c r="AJ46" s="165"/>
    </row>
    <row r="47" spans="1:36" hidden="1">
      <c r="A47" s="143" t="s">
        <v>120</v>
      </c>
      <c r="F47" s="161"/>
      <c r="I47" s="161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76"/>
      <c r="AE47" s="76"/>
      <c r="AF47" s="76"/>
      <c r="AG47" s="76"/>
      <c r="AH47" s="76"/>
      <c r="AJ47" s="165"/>
    </row>
    <row r="48" spans="1:36" hidden="1">
      <c r="F48" s="161"/>
      <c r="I48" s="161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76"/>
      <c r="AE48" s="76"/>
      <c r="AF48" s="76"/>
      <c r="AG48" s="76"/>
      <c r="AH48" s="76"/>
      <c r="AJ48" s="165"/>
    </row>
    <row r="49" spans="1:36" hidden="1">
      <c r="A49" s="143" t="s">
        <v>102</v>
      </c>
      <c r="F49" s="161"/>
      <c r="I49" s="161"/>
      <c r="N49" s="186"/>
      <c r="O49" s="186"/>
      <c r="P49" s="186"/>
      <c r="Q49" s="144"/>
      <c r="R49" s="187"/>
      <c r="S49" s="187"/>
      <c r="T49" s="188"/>
      <c r="U49" s="188"/>
      <c r="V49" s="188"/>
      <c r="W49" s="188"/>
      <c r="X49" s="189"/>
      <c r="Y49" s="190"/>
      <c r="Z49" s="186"/>
      <c r="AA49" s="186"/>
      <c r="AB49" s="186"/>
      <c r="AC49" s="186"/>
      <c r="AD49" s="76"/>
      <c r="AE49" s="76"/>
      <c r="AF49" s="76"/>
      <c r="AG49" s="76"/>
      <c r="AH49" s="76"/>
      <c r="AJ49" s="165"/>
    </row>
    <row r="50" spans="1:36" hidden="1">
      <c r="A50" s="143" t="s">
        <v>103</v>
      </c>
      <c r="C50" s="162">
        <f>8397+12+6404+36</f>
        <v>14849</v>
      </c>
      <c r="D50" s="163">
        <f>$D$16</f>
        <v>9.6</v>
      </c>
      <c r="F50" s="164">
        <f>ROUND(D50*$C50,0)</f>
        <v>142550</v>
      </c>
      <c r="G50" s="163">
        <f>$G$16</f>
        <v>10.119999999999999</v>
      </c>
      <c r="H50" s="163"/>
      <c r="I50" s="164">
        <f t="shared" ref="I50:I52" si="6">G50*C50</f>
        <v>150271.87999999998</v>
      </c>
      <c r="J50" s="163">
        <f>$J$16</f>
        <v>10.63</v>
      </c>
      <c r="L50" s="164">
        <f>ROUND(J50*$C50,0)</f>
        <v>157845</v>
      </c>
      <c r="N50" s="76"/>
      <c r="O50" s="76"/>
      <c r="P50" s="189"/>
      <c r="Q50" s="144"/>
      <c r="R50" s="186"/>
      <c r="S50" s="186"/>
      <c r="T50" s="191"/>
      <c r="U50" s="191"/>
      <c r="V50" s="191"/>
      <c r="W50" s="191"/>
      <c r="X50" s="192"/>
      <c r="Y50" s="186"/>
      <c r="Z50" s="189"/>
      <c r="AA50" s="189"/>
      <c r="AB50" s="193"/>
      <c r="AC50" s="189"/>
      <c r="AD50" s="76"/>
      <c r="AE50" s="76"/>
      <c r="AF50" s="76"/>
      <c r="AG50" s="76"/>
      <c r="AH50" s="76"/>
      <c r="AJ50" s="165"/>
    </row>
    <row r="51" spans="1:36" hidden="1">
      <c r="A51" s="143" t="s">
        <v>104</v>
      </c>
      <c r="C51" s="162">
        <f>3393+252+396</f>
        <v>4041</v>
      </c>
      <c r="D51" s="163">
        <f>$D$17</f>
        <v>18.28</v>
      </c>
      <c r="F51" s="164">
        <f>ROUND(D51*$C51,0)</f>
        <v>73869</v>
      </c>
      <c r="G51" s="163">
        <f>$G$17</f>
        <v>19.25</v>
      </c>
      <c r="H51" s="163"/>
      <c r="I51" s="164">
        <f t="shared" si="6"/>
        <v>77789.25</v>
      </c>
      <c r="J51" s="163">
        <f>$J$17</f>
        <v>20.23</v>
      </c>
      <c r="L51" s="164">
        <f>ROUND(J51*$C51,0)</f>
        <v>81749</v>
      </c>
      <c r="N51" s="76"/>
      <c r="O51" s="76"/>
      <c r="P51" s="189"/>
      <c r="Q51" s="144"/>
      <c r="R51" s="76"/>
      <c r="S51" s="76"/>
      <c r="T51" s="194"/>
      <c r="U51" s="194"/>
      <c r="V51" s="194"/>
      <c r="W51" s="194"/>
      <c r="X51" s="186"/>
      <c r="Y51" s="186"/>
      <c r="Z51" s="189"/>
      <c r="AA51" s="189"/>
      <c r="AB51" s="193"/>
      <c r="AC51" s="189"/>
      <c r="AD51" s="76"/>
      <c r="AE51" s="76"/>
      <c r="AF51" s="76"/>
      <c r="AG51" s="76"/>
      <c r="AH51" s="76"/>
      <c r="AJ51" s="165"/>
    </row>
    <row r="52" spans="1:36" hidden="1">
      <c r="A52" s="143" t="s">
        <v>105</v>
      </c>
      <c r="C52" s="162">
        <f>468+48+36+12</f>
        <v>564</v>
      </c>
      <c r="D52" s="163">
        <f>$D$18</f>
        <v>37.82</v>
      </c>
      <c r="F52" s="164">
        <f>ROUND(D52*$C52,0)</f>
        <v>21330</v>
      </c>
      <c r="G52" s="163">
        <f>$G$18</f>
        <v>39.840000000000003</v>
      </c>
      <c r="H52" s="163"/>
      <c r="I52" s="164">
        <f t="shared" si="6"/>
        <v>22469.760000000002</v>
      </c>
      <c r="J52" s="163">
        <f>$J$18</f>
        <v>41.86</v>
      </c>
      <c r="L52" s="164">
        <f>ROUND(J52*$C52,0)</f>
        <v>23609</v>
      </c>
      <c r="N52" s="76"/>
      <c r="O52" s="76"/>
      <c r="P52" s="189"/>
      <c r="Q52" s="144"/>
      <c r="R52" s="76"/>
      <c r="S52" s="76"/>
      <c r="T52" s="194"/>
      <c r="U52" s="194"/>
      <c r="V52" s="194"/>
      <c r="W52" s="194"/>
      <c r="X52" s="186"/>
      <c r="Y52" s="186"/>
      <c r="Z52" s="189"/>
      <c r="AA52" s="189"/>
      <c r="AB52" s="193"/>
      <c r="AC52" s="189"/>
      <c r="AD52" s="76"/>
      <c r="AE52" s="76"/>
      <c r="AF52" s="76"/>
      <c r="AG52" s="76"/>
      <c r="AH52" s="76"/>
      <c r="AJ52" s="165"/>
    </row>
    <row r="53" spans="1:36" hidden="1">
      <c r="A53" s="143" t="s">
        <v>106</v>
      </c>
      <c r="C53" s="162"/>
      <c r="D53" s="163"/>
      <c r="F53" s="164"/>
      <c r="G53" s="163"/>
      <c r="H53" s="163"/>
      <c r="I53" s="164"/>
      <c r="J53" s="163"/>
      <c r="L53" s="164"/>
      <c r="N53" s="76"/>
      <c r="O53" s="76"/>
      <c r="P53" s="189"/>
      <c r="Q53" s="144"/>
      <c r="R53" s="76"/>
      <c r="S53" s="76"/>
      <c r="T53" s="194"/>
      <c r="U53" s="194"/>
      <c r="V53" s="194"/>
      <c r="W53" s="194"/>
      <c r="X53" s="186"/>
      <c r="Y53" s="186"/>
      <c r="Z53" s="189"/>
      <c r="AA53" s="189"/>
      <c r="AB53" s="193"/>
      <c r="AC53" s="189"/>
      <c r="AD53" s="76"/>
      <c r="AE53" s="76"/>
      <c r="AF53" s="76"/>
      <c r="AG53" s="76"/>
      <c r="AH53" s="76"/>
      <c r="AJ53" s="165"/>
    </row>
    <row r="54" spans="1:36" hidden="1">
      <c r="A54" s="143" t="s">
        <v>107</v>
      </c>
      <c r="C54" s="162">
        <f>613+500</f>
        <v>1113</v>
      </c>
      <c r="D54" s="163">
        <f>$D$20</f>
        <v>10.92</v>
      </c>
      <c r="F54" s="164">
        <f>ROUND(D54*$C54,0)</f>
        <v>12154</v>
      </c>
      <c r="G54" s="163">
        <f>$G$20</f>
        <v>11.51</v>
      </c>
      <c r="H54" s="163"/>
      <c r="I54" s="164">
        <f t="shared" ref="I54:I57" si="7">G54*C54</f>
        <v>12810.63</v>
      </c>
      <c r="J54" s="163">
        <f>$J$20</f>
        <v>12.09</v>
      </c>
      <c r="L54" s="164">
        <f>ROUND(J54*$C54,0)</f>
        <v>13456</v>
      </c>
      <c r="N54" s="76"/>
      <c r="O54" s="76"/>
      <c r="P54" s="189"/>
      <c r="Q54" s="144"/>
      <c r="R54" s="76"/>
      <c r="S54" s="76"/>
      <c r="T54" s="194"/>
      <c r="U54" s="194"/>
      <c r="V54" s="194"/>
      <c r="W54" s="194"/>
      <c r="X54" s="186"/>
      <c r="Y54" s="186"/>
      <c r="Z54" s="189"/>
      <c r="AA54" s="189"/>
      <c r="AB54" s="193"/>
      <c r="AC54" s="189"/>
      <c r="AD54" s="76"/>
      <c r="AE54" s="76"/>
      <c r="AF54" s="76"/>
      <c r="AG54" s="76"/>
      <c r="AH54" s="76"/>
      <c r="AJ54" s="165"/>
    </row>
    <row r="55" spans="1:36" hidden="1">
      <c r="A55" s="143" t="s">
        <v>108</v>
      </c>
      <c r="C55" s="162">
        <f>1248+205</f>
        <v>1453</v>
      </c>
      <c r="D55" s="163">
        <f>$D$21</f>
        <v>16.04</v>
      </c>
      <c r="F55" s="164">
        <f>ROUND(D55*$C55,0)</f>
        <v>23306</v>
      </c>
      <c r="G55" s="163">
        <f>$G$21</f>
        <v>16.900000000000002</v>
      </c>
      <c r="H55" s="163"/>
      <c r="I55" s="164">
        <f t="shared" si="7"/>
        <v>24555.700000000004</v>
      </c>
      <c r="J55" s="163">
        <f>$J$21</f>
        <v>17.760000000000002</v>
      </c>
      <c r="L55" s="164">
        <f>ROUND(J55*$C55,0)</f>
        <v>25805</v>
      </c>
      <c r="N55" s="76"/>
      <c r="O55" s="76"/>
      <c r="P55" s="189"/>
      <c r="Q55" s="144"/>
      <c r="R55" s="76"/>
      <c r="S55" s="76"/>
      <c r="T55" s="194"/>
      <c r="U55" s="194"/>
      <c r="V55" s="194"/>
      <c r="W55" s="194"/>
      <c r="X55" s="186"/>
      <c r="Y55" s="186"/>
      <c r="Z55" s="189"/>
      <c r="AA55" s="189"/>
      <c r="AB55" s="193"/>
      <c r="AC55" s="189"/>
      <c r="AD55" s="76"/>
      <c r="AE55" s="76"/>
      <c r="AF55" s="76"/>
      <c r="AG55" s="76"/>
      <c r="AH55" s="76"/>
      <c r="AJ55" s="165"/>
    </row>
    <row r="56" spans="1:36" hidden="1">
      <c r="A56" s="143" t="s">
        <v>109</v>
      </c>
      <c r="C56" s="162">
        <f>384+48</f>
        <v>432</v>
      </c>
      <c r="D56" s="163">
        <f>$D$22</f>
        <v>25.88</v>
      </c>
      <c r="F56" s="164">
        <f>ROUND(D56*$C56,0)</f>
        <v>11180</v>
      </c>
      <c r="G56" s="163">
        <f>$G$22</f>
        <v>27.26</v>
      </c>
      <c r="H56" s="163"/>
      <c r="I56" s="164">
        <f t="shared" si="7"/>
        <v>11776.320000000002</v>
      </c>
      <c r="J56" s="163">
        <f>$J$22</f>
        <v>28.64</v>
      </c>
      <c r="L56" s="164">
        <f>ROUND(J56*$C56,0)</f>
        <v>12372</v>
      </c>
      <c r="N56" s="76"/>
      <c r="O56" s="76"/>
      <c r="P56" s="189"/>
      <c r="Q56" s="144"/>
      <c r="R56" s="76"/>
      <c r="S56" s="76"/>
      <c r="T56" s="194"/>
      <c r="U56" s="194"/>
      <c r="V56" s="194"/>
      <c r="W56" s="194"/>
      <c r="X56" s="186"/>
      <c r="Y56" s="186"/>
      <c r="Z56" s="189"/>
      <c r="AA56" s="189"/>
      <c r="AB56" s="193"/>
      <c r="AC56" s="189"/>
      <c r="AD56" s="76"/>
      <c r="AE56" s="76"/>
      <c r="AF56" s="76"/>
      <c r="AG56" s="76"/>
      <c r="AH56" s="76"/>
      <c r="AJ56" s="165"/>
    </row>
    <row r="57" spans="1:36" hidden="1">
      <c r="A57" s="143" t="s">
        <v>110</v>
      </c>
      <c r="C57" s="162">
        <f>12+252+48+36+12</f>
        <v>360</v>
      </c>
      <c r="D57" s="163">
        <f>$D$23</f>
        <v>1</v>
      </c>
      <c r="E57" s="76"/>
      <c r="F57" s="174">
        <f>ROUND(D57*$C57,0)</f>
        <v>360</v>
      </c>
      <c r="G57" s="163">
        <f>$G$23</f>
        <v>1</v>
      </c>
      <c r="H57" s="163"/>
      <c r="I57" s="164">
        <f t="shared" si="7"/>
        <v>360</v>
      </c>
      <c r="J57" s="170">
        <f>$J$23</f>
        <v>1</v>
      </c>
      <c r="K57" s="76"/>
      <c r="L57" s="174">
        <f>ROUND(J57*$C57,0)</f>
        <v>360</v>
      </c>
      <c r="N57" s="186"/>
      <c r="O57" s="186"/>
      <c r="P57" s="189"/>
      <c r="Q57" s="144"/>
      <c r="R57" s="76"/>
      <c r="S57" s="76"/>
      <c r="T57" s="186"/>
      <c r="U57" s="186"/>
      <c r="V57" s="186"/>
      <c r="W57" s="186"/>
      <c r="X57" s="186"/>
      <c r="Y57" s="186"/>
      <c r="Z57" s="189"/>
      <c r="AA57" s="189"/>
      <c r="AB57" s="189"/>
      <c r="AC57" s="189"/>
      <c r="AD57" s="76"/>
      <c r="AE57" s="76"/>
      <c r="AF57" s="76"/>
      <c r="AG57" s="76"/>
      <c r="AH57" s="76"/>
      <c r="AJ57" s="165"/>
    </row>
    <row r="58" spans="1:36" hidden="1">
      <c r="A58" s="143" t="s">
        <v>111</v>
      </c>
      <c r="C58" s="162">
        <f>10412+6467</f>
        <v>16879</v>
      </c>
      <c r="D58" s="163"/>
      <c r="F58" s="164"/>
      <c r="G58" s="163"/>
      <c r="H58" s="163"/>
      <c r="I58" s="164"/>
      <c r="J58" s="163"/>
      <c r="L58" s="164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95"/>
      <c r="AA58" s="186"/>
      <c r="AB58" s="186"/>
      <c r="AC58" s="186"/>
      <c r="AD58" s="76"/>
      <c r="AE58" s="76"/>
      <c r="AF58" s="76"/>
      <c r="AG58" s="76"/>
      <c r="AH58" s="76"/>
      <c r="AJ58" s="165"/>
    </row>
    <row r="59" spans="1:36" hidden="1">
      <c r="A59" s="143" t="s">
        <v>112</v>
      </c>
      <c r="C59" s="162">
        <f>1670715+610498</f>
        <v>2281213</v>
      </c>
      <c r="D59" s="170"/>
      <c r="E59" s="76"/>
      <c r="F59" s="174">
        <f>SUM(F50:F57)</f>
        <v>284749</v>
      </c>
      <c r="G59" s="170"/>
      <c r="H59" s="170"/>
      <c r="I59" s="174">
        <f>SUM(I50:I57)</f>
        <v>300033.53999999998</v>
      </c>
      <c r="J59" s="170"/>
      <c r="K59" s="76"/>
      <c r="L59" s="174">
        <f>SUM(L50:L57)</f>
        <v>315196</v>
      </c>
      <c r="N59" s="186"/>
      <c r="O59" s="186"/>
      <c r="P59" s="194"/>
      <c r="Q59" s="186"/>
      <c r="R59" s="76"/>
      <c r="S59" s="76"/>
      <c r="T59" s="76"/>
      <c r="U59" s="76"/>
      <c r="V59" s="76"/>
      <c r="W59" s="76"/>
      <c r="X59" s="76"/>
      <c r="Y59" s="186"/>
      <c r="Z59" s="186"/>
      <c r="AA59" s="186"/>
      <c r="AB59" s="186"/>
      <c r="AC59" s="186"/>
      <c r="AD59" s="76"/>
      <c r="AE59" s="76"/>
      <c r="AF59" s="76"/>
      <c r="AG59" s="76"/>
      <c r="AH59" s="76"/>
      <c r="AJ59" s="165"/>
    </row>
    <row r="60" spans="1:36" hidden="1">
      <c r="A60" s="143" t="s">
        <v>114</v>
      </c>
      <c r="C60" s="162">
        <v>39681.084646905954</v>
      </c>
      <c r="D60" s="170"/>
      <c r="E60" s="76"/>
      <c r="F60" s="174">
        <v>5311.6790752018187</v>
      </c>
      <c r="G60" s="170"/>
      <c r="H60" s="170"/>
      <c r="I60" s="174">
        <f>F60</f>
        <v>5311.6790752018187</v>
      </c>
      <c r="J60" s="170"/>
      <c r="K60" s="76"/>
      <c r="L60" s="174">
        <f>F60</f>
        <v>5311.6790752018187</v>
      </c>
      <c r="N60" s="196"/>
      <c r="O60" s="196"/>
      <c r="P60" s="194"/>
      <c r="Q60" s="186"/>
      <c r="R60" s="186"/>
      <c r="S60" s="186"/>
      <c r="T60" s="191"/>
      <c r="U60" s="191"/>
      <c r="V60" s="191"/>
      <c r="W60" s="191"/>
      <c r="X60" s="189"/>
      <c r="Y60" s="186"/>
      <c r="Z60" s="186"/>
      <c r="AA60" s="186"/>
      <c r="AB60" s="186"/>
      <c r="AC60" s="186"/>
      <c r="AD60" s="76"/>
      <c r="AE60" s="76"/>
      <c r="AF60" s="76"/>
      <c r="AG60" s="76"/>
      <c r="AH60" s="76"/>
      <c r="AJ60" s="165"/>
    </row>
    <row r="61" spans="1:36" ht="16.5" hidden="1" thickBot="1">
      <c r="A61" s="143" t="s">
        <v>115</v>
      </c>
      <c r="C61" s="177">
        <f>C59+C60</f>
        <v>2320894.0846469058</v>
      </c>
      <c r="D61" s="178"/>
      <c r="E61" s="178"/>
      <c r="F61" s="178">
        <f>F59+F60</f>
        <v>290060.6790752018</v>
      </c>
      <c r="G61" s="178"/>
      <c r="H61" s="178"/>
      <c r="I61" s="178">
        <f>I59+I60</f>
        <v>305345.21907520178</v>
      </c>
      <c r="J61" s="178"/>
      <c r="K61" s="178"/>
      <c r="L61" s="178">
        <f>L59+L60</f>
        <v>320507.6790752018</v>
      </c>
      <c r="N61" s="197"/>
      <c r="O61" s="197"/>
      <c r="P61" s="198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76"/>
      <c r="AE61" s="76"/>
      <c r="AF61" s="76"/>
      <c r="AG61" s="76"/>
      <c r="AH61" s="76"/>
      <c r="AJ61" s="165"/>
    </row>
    <row r="62" spans="1:36" hidden="1">
      <c r="C62" s="181"/>
      <c r="D62" s="181"/>
      <c r="E62" s="181"/>
      <c r="F62" s="161"/>
      <c r="G62" s="181"/>
      <c r="H62" s="181"/>
      <c r="I62" s="161"/>
      <c r="J62" s="182" t="s">
        <v>0</v>
      </c>
      <c r="K62" s="181"/>
      <c r="L62" s="164" t="s">
        <v>0</v>
      </c>
      <c r="N62" s="76"/>
      <c r="O62" s="76"/>
      <c r="P62" s="144"/>
      <c r="Q62" s="144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J62" s="165"/>
    </row>
    <row r="63" spans="1:36" hidden="1">
      <c r="A63" s="160" t="s">
        <v>100</v>
      </c>
      <c r="F63" s="161"/>
      <c r="I63" s="161"/>
      <c r="N63" s="76"/>
      <c r="O63" s="76"/>
      <c r="P63" s="144"/>
      <c r="Q63" s="144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J63" s="165"/>
    </row>
    <row r="64" spans="1:36" hidden="1">
      <c r="A64" s="143" t="s">
        <v>121</v>
      </c>
      <c r="F64" s="161"/>
      <c r="I64" s="161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76"/>
      <c r="AE64" s="76"/>
      <c r="AF64" s="76"/>
      <c r="AG64" s="76"/>
      <c r="AH64" s="76"/>
      <c r="AJ64" s="165"/>
    </row>
    <row r="65" spans="1:36" hidden="1">
      <c r="F65" s="161"/>
      <c r="I65" s="161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76"/>
      <c r="AE65" s="76"/>
      <c r="AF65" s="76"/>
      <c r="AG65" s="76"/>
      <c r="AH65" s="76"/>
      <c r="AJ65" s="165"/>
    </row>
    <row r="66" spans="1:36" hidden="1">
      <c r="A66" s="143" t="s">
        <v>102</v>
      </c>
      <c r="F66" s="161"/>
      <c r="I66" s="161"/>
      <c r="N66" s="186"/>
      <c r="O66" s="186"/>
      <c r="P66" s="186"/>
      <c r="Q66" s="144"/>
      <c r="R66" s="187"/>
      <c r="S66" s="187"/>
      <c r="T66" s="188"/>
      <c r="U66" s="188"/>
      <c r="V66" s="188"/>
      <c r="W66" s="188"/>
      <c r="X66" s="189"/>
      <c r="Y66" s="190"/>
      <c r="Z66" s="186"/>
      <c r="AA66" s="186"/>
      <c r="AB66" s="186"/>
      <c r="AC66" s="186"/>
      <c r="AD66" s="76"/>
      <c r="AE66" s="76"/>
      <c r="AF66" s="76"/>
      <c r="AG66" s="76"/>
      <c r="AH66" s="76"/>
      <c r="AJ66" s="165"/>
    </row>
    <row r="67" spans="1:36" hidden="1">
      <c r="A67" s="143" t="s">
        <v>103</v>
      </c>
      <c r="C67" s="162">
        <f>340+171+132</f>
        <v>643</v>
      </c>
      <c r="D67" s="163">
        <f>$D$16</f>
        <v>9.6</v>
      </c>
      <c r="F67" s="164">
        <f>ROUND(D67*$C67,0)</f>
        <v>6173</v>
      </c>
      <c r="G67" s="163">
        <f>$G$16</f>
        <v>10.119999999999999</v>
      </c>
      <c r="H67" s="163"/>
      <c r="I67" s="164">
        <f t="shared" ref="I67:I69" si="8">G67*C67</f>
        <v>6507.16</v>
      </c>
      <c r="J67" s="163">
        <f>$J$16</f>
        <v>10.63</v>
      </c>
      <c r="L67" s="164">
        <f>ROUND(J67*$C67,0)</f>
        <v>6835</v>
      </c>
      <c r="N67" s="76"/>
      <c r="O67" s="76"/>
      <c r="P67" s="189"/>
      <c r="Q67" s="144"/>
      <c r="R67" s="186"/>
      <c r="S67" s="186"/>
      <c r="T67" s="191"/>
      <c r="U67" s="191"/>
      <c r="V67" s="191"/>
      <c r="W67" s="191"/>
      <c r="X67" s="192"/>
      <c r="Y67" s="186"/>
      <c r="Z67" s="189"/>
      <c r="AA67" s="189"/>
      <c r="AB67" s="193"/>
      <c r="AC67" s="189"/>
      <c r="AD67" s="76"/>
      <c r="AE67" s="76"/>
      <c r="AF67" s="76"/>
      <c r="AG67" s="76"/>
      <c r="AH67" s="76"/>
      <c r="AJ67" s="165"/>
    </row>
    <row r="68" spans="1:36" hidden="1">
      <c r="A68" s="143" t="s">
        <v>104</v>
      </c>
      <c r="C68" s="162">
        <f>379+36</f>
        <v>415</v>
      </c>
      <c r="D68" s="163">
        <f>$D$17</f>
        <v>18.28</v>
      </c>
      <c r="F68" s="164">
        <f>ROUND(D68*$C68,0)</f>
        <v>7586</v>
      </c>
      <c r="G68" s="163">
        <f>$G$17</f>
        <v>19.25</v>
      </c>
      <c r="H68" s="163"/>
      <c r="I68" s="164">
        <f t="shared" si="8"/>
        <v>7988.75</v>
      </c>
      <c r="J68" s="163">
        <f>$J$17</f>
        <v>20.23</v>
      </c>
      <c r="L68" s="164">
        <f>ROUND(J68*$C68,0)</f>
        <v>8395</v>
      </c>
      <c r="N68" s="76"/>
      <c r="O68" s="76"/>
      <c r="P68" s="189"/>
      <c r="Q68" s="144"/>
      <c r="R68" s="76"/>
      <c r="S68" s="76"/>
      <c r="T68" s="194"/>
      <c r="U68" s="194"/>
      <c r="V68" s="194"/>
      <c r="W68" s="194"/>
      <c r="X68" s="186"/>
      <c r="Y68" s="186"/>
      <c r="Z68" s="189"/>
      <c r="AA68" s="189"/>
      <c r="AB68" s="193"/>
      <c r="AC68" s="189"/>
      <c r="AD68" s="76"/>
      <c r="AE68" s="76"/>
      <c r="AF68" s="76"/>
      <c r="AG68" s="76"/>
      <c r="AH68" s="76"/>
      <c r="AJ68" s="165"/>
    </row>
    <row r="69" spans="1:36" hidden="1">
      <c r="A69" s="143" t="s">
        <v>105</v>
      </c>
      <c r="C69" s="162">
        <f>48</f>
        <v>48</v>
      </c>
      <c r="D69" s="163">
        <f>$D$18</f>
        <v>37.82</v>
      </c>
      <c r="F69" s="164">
        <f>ROUND(D69*$C69,0)</f>
        <v>1815</v>
      </c>
      <c r="G69" s="163">
        <f>$G$18</f>
        <v>39.840000000000003</v>
      </c>
      <c r="H69" s="163"/>
      <c r="I69" s="164">
        <f t="shared" si="8"/>
        <v>1912.3200000000002</v>
      </c>
      <c r="J69" s="163">
        <f>$J$18</f>
        <v>41.86</v>
      </c>
      <c r="L69" s="164">
        <f>ROUND(J69*$C69,0)</f>
        <v>2009</v>
      </c>
      <c r="N69" s="76"/>
      <c r="O69" s="76"/>
      <c r="P69" s="189"/>
      <c r="Q69" s="144"/>
      <c r="R69" s="76"/>
      <c r="S69" s="76"/>
      <c r="T69" s="194"/>
      <c r="U69" s="194"/>
      <c r="V69" s="194"/>
      <c r="W69" s="194"/>
      <c r="X69" s="186"/>
      <c r="Y69" s="186"/>
      <c r="Z69" s="189"/>
      <c r="AA69" s="189"/>
      <c r="AB69" s="193"/>
      <c r="AC69" s="189"/>
      <c r="AD69" s="76"/>
      <c r="AE69" s="76"/>
      <c r="AF69" s="76"/>
      <c r="AG69" s="76"/>
      <c r="AH69" s="76"/>
      <c r="AJ69" s="165"/>
    </row>
    <row r="70" spans="1:36" hidden="1">
      <c r="A70" s="143" t="s">
        <v>106</v>
      </c>
      <c r="C70" s="162"/>
      <c r="D70" s="163"/>
      <c r="F70" s="164"/>
      <c r="G70" s="163"/>
      <c r="H70" s="163"/>
      <c r="I70" s="164"/>
      <c r="J70" s="163"/>
      <c r="L70" s="164"/>
      <c r="N70" s="76"/>
      <c r="O70" s="76"/>
      <c r="P70" s="189"/>
      <c r="Q70" s="144"/>
      <c r="R70" s="76"/>
      <c r="S70" s="76"/>
      <c r="T70" s="194"/>
      <c r="U70" s="194"/>
      <c r="V70" s="194"/>
      <c r="W70" s="194"/>
      <c r="X70" s="186"/>
      <c r="Y70" s="186"/>
      <c r="Z70" s="189"/>
      <c r="AA70" s="189"/>
      <c r="AB70" s="193"/>
      <c r="AC70" s="189"/>
      <c r="AD70" s="76"/>
      <c r="AE70" s="76"/>
      <c r="AF70" s="76"/>
      <c r="AG70" s="76"/>
      <c r="AH70" s="76"/>
      <c r="AJ70" s="165"/>
    </row>
    <row r="71" spans="1:36" hidden="1">
      <c r="A71" s="143" t="s">
        <v>107</v>
      </c>
      <c r="C71" s="162">
        <f>12</f>
        <v>12</v>
      </c>
      <c r="D71" s="163">
        <f>$D$20</f>
        <v>10.92</v>
      </c>
      <c r="F71" s="164">
        <f>ROUND(D71*$C71,0)</f>
        <v>131</v>
      </c>
      <c r="G71" s="163">
        <f>$G$20</f>
        <v>11.51</v>
      </c>
      <c r="H71" s="163"/>
      <c r="I71" s="164">
        <f t="shared" ref="I71:I74" si="9">G71*C71</f>
        <v>138.12</v>
      </c>
      <c r="J71" s="163">
        <f>$J$20</f>
        <v>12.09</v>
      </c>
      <c r="L71" s="164">
        <f>ROUND(J71*$C71,0)</f>
        <v>145</v>
      </c>
      <c r="N71" s="76"/>
      <c r="O71" s="76"/>
      <c r="P71" s="189"/>
      <c r="Q71" s="144"/>
      <c r="R71" s="76"/>
      <c r="S71" s="76"/>
      <c r="T71" s="194"/>
      <c r="U71" s="194"/>
      <c r="V71" s="194"/>
      <c r="W71" s="194"/>
      <c r="X71" s="186"/>
      <c r="Y71" s="186"/>
      <c r="Z71" s="189"/>
      <c r="AA71" s="189"/>
      <c r="AB71" s="193"/>
      <c r="AC71" s="189"/>
      <c r="AD71" s="76"/>
      <c r="AE71" s="76"/>
      <c r="AF71" s="76"/>
      <c r="AG71" s="76"/>
      <c r="AH71" s="76"/>
      <c r="AJ71" s="165"/>
    </row>
    <row r="72" spans="1:36" hidden="1">
      <c r="A72" s="143" t="s">
        <v>108</v>
      </c>
      <c r="C72" s="162">
        <f>84+12</f>
        <v>96</v>
      </c>
      <c r="D72" s="163">
        <f>$D$21</f>
        <v>16.04</v>
      </c>
      <c r="F72" s="164">
        <f>ROUND(D72*$C72,0)</f>
        <v>1540</v>
      </c>
      <c r="G72" s="163">
        <f>$G$21</f>
        <v>16.900000000000002</v>
      </c>
      <c r="H72" s="163"/>
      <c r="I72" s="164">
        <f t="shared" si="9"/>
        <v>1622.4</v>
      </c>
      <c r="J72" s="163">
        <f>$J$21</f>
        <v>17.760000000000002</v>
      </c>
      <c r="L72" s="164">
        <f>ROUND(J72*$C72,0)</f>
        <v>1705</v>
      </c>
      <c r="N72" s="76"/>
      <c r="O72" s="76"/>
      <c r="P72" s="189"/>
      <c r="Q72" s="144"/>
      <c r="R72" s="76"/>
      <c r="S72" s="76"/>
      <c r="T72" s="194"/>
      <c r="U72" s="194"/>
      <c r="V72" s="194"/>
      <c r="W72" s="194"/>
      <c r="X72" s="186"/>
      <c r="Y72" s="186"/>
      <c r="Z72" s="189"/>
      <c r="AA72" s="189"/>
      <c r="AB72" s="193"/>
      <c r="AC72" s="189"/>
      <c r="AD72" s="76"/>
      <c r="AE72" s="76"/>
      <c r="AF72" s="76"/>
      <c r="AG72" s="76"/>
      <c r="AH72" s="76"/>
      <c r="AJ72" s="165"/>
    </row>
    <row r="73" spans="1:36" hidden="1">
      <c r="A73" s="143" t="s">
        <v>109</v>
      </c>
      <c r="C73" s="162">
        <f>24</f>
        <v>24</v>
      </c>
      <c r="D73" s="163">
        <f>$D$22</f>
        <v>25.88</v>
      </c>
      <c r="F73" s="164">
        <f>ROUND(D73*$C73,0)</f>
        <v>621</v>
      </c>
      <c r="G73" s="163">
        <f>$G$22</f>
        <v>27.26</v>
      </c>
      <c r="H73" s="163"/>
      <c r="I73" s="164">
        <f t="shared" si="9"/>
        <v>654.24</v>
      </c>
      <c r="J73" s="163">
        <f>$J$22</f>
        <v>28.64</v>
      </c>
      <c r="L73" s="164">
        <f>ROUND(J73*$C73,0)</f>
        <v>687</v>
      </c>
      <c r="N73" s="76"/>
      <c r="O73" s="76"/>
      <c r="P73" s="189"/>
      <c r="Q73" s="144"/>
      <c r="R73" s="76"/>
      <c r="S73" s="76"/>
      <c r="T73" s="194"/>
      <c r="U73" s="194"/>
      <c r="V73" s="194"/>
      <c r="W73" s="194"/>
      <c r="X73" s="186"/>
      <c r="Y73" s="186"/>
      <c r="Z73" s="189"/>
      <c r="AA73" s="189"/>
      <c r="AB73" s="193"/>
      <c r="AC73" s="189"/>
      <c r="AD73" s="76"/>
      <c r="AE73" s="76"/>
      <c r="AF73" s="76"/>
      <c r="AG73" s="76"/>
      <c r="AH73" s="76"/>
      <c r="AJ73" s="165"/>
    </row>
    <row r="74" spans="1:36" hidden="1">
      <c r="A74" s="143" t="s">
        <v>110</v>
      </c>
      <c r="C74" s="162">
        <f>132</f>
        <v>132</v>
      </c>
      <c r="D74" s="163">
        <f>$D$23</f>
        <v>1</v>
      </c>
      <c r="E74" s="76"/>
      <c r="F74" s="174">
        <f>ROUND(D74*$C74,0)</f>
        <v>132</v>
      </c>
      <c r="G74" s="163">
        <f>$G$23</f>
        <v>1</v>
      </c>
      <c r="H74" s="163"/>
      <c r="I74" s="164">
        <f t="shared" si="9"/>
        <v>132</v>
      </c>
      <c r="J74" s="170">
        <f>$J$23</f>
        <v>1</v>
      </c>
      <c r="K74" s="76"/>
      <c r="L74" s="174">
        <f>ROUND(J74*$C74,0)</f>
        <v>132</v>
      </c>
      <c r="N74" s="186"/>
      <c r="O74" s="186"/>
      <c r="P74" s="189"/>
      <c r="Q74" s="144"/>
      <c r="R74" s="76"/>
      <c r="S74" s="76"/>
      <c r="T74" s="186"/>
      <c r="U74" s="186"/>
      <c r="V74" s="186"/>
      <c r="W74" s="186"/>
      <c r="X74" s="186"/>
      <c r="Y74" s="186"/>
      <c r="Z74" s="189"/>
      <c r="AA74" s="189"/>
      <c r="AB74" s="189"/>
      <c r="AC74" s="189"/>
      <c r="AD74" s="76"/>
      <c r="AE74" s="76"/>
      <c r="AF74" s="76"/>
      <c r="AG74" s="76"/>
      <c r="AH74" s="76"/>
      <c r="AJ74" s="165"/>
    </row>
    <row r="75" spans="1:36" hidden="1">
      <c r="A75" s="143" t="s">
        <v>111</v>
      </c>
      <c r="C75" s="162">
        <f>501+209</f>
        <v>710</v>
      </c>
      <c r="D75" s="163"/>
      <c r="F75" s="164"/>
      <c r="G75" s="163"/>
      <c r="H75" s="163"/>
      <c r="I75" s="164"/>
      <c r="J75" s="163"/>
      <c r="L75" s="164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95"/>
      <c r="AA75" s="186"/>
      <c r="AB75" s="186"/>
      <c r="AC75" s="186"/>
      <c r="AD75" s="76"/>
      <c r="AE75" s="76"/>
      <c r="AF75" s="76"/>
      <c r="AG75" s="76"/>
      <c r="AH75" s="76"/>
      <c r="AJ75" s="165"/>
    </row>
    <row r="76" spans="1:36" hidden="1">
      <c r="A76" s="143" t="s">
        <v>112</v>
      </c>
      <c r="C76" s="162">
        <f>122206+30802</f>
        <v>153008</v>
      </c>
      <c r="D76" s="170"/>
      <c r="E76" s="76"/>
      <c r="F76" s="174">
        <f>SUM(F67:F74)</f>
        <v>17998</v>
      </c>
      <c r="G76" s="170"/>
      <c r="H76" s="170"/>
      <c r="I76" s="174">
        <f>SUM(I67:I74)</f>
        <v>18954.990000000002</v>
      </c>
      <c r="J76" s="170"/>
      <c r="K76" s="76"/>
      <c r="L76" s="174">
        <f>SUM(L67:L74)</f>
        <v>19908</v>
      </c>
      <c r="N76" s="186"/>
      <c r="O76" s="186"/>
      <c r="P76" s="194"/>
      <c r="Q76" s="186"/>
      <c r="R76" s="76"/>
      <c r="S76" s="76"/>
      <c r="T76" s="76"/>
      <c r="U76" s="76"/>
      <c r="V76" s="76"/>
      <c r="W76" s="76"/>
      <c r="X76" s="76"/>
      <c r="Y76" s="186"/>
      <c r="Z76" s="186"/>
      <c r="AA76" s="186"/>
      <c r="AB76" s="186"/>
      <c r="AC76" s="186"/>
      <c r="AD76" s="76"/>
      <c r="AE76" s="76"/>
      <c r="AF76" s="76"/>
      <c r="AG76" s="76"/>
      <c r="AH76" s="76"/>
      <c r="AJ76" s="165"/>
    </row>
    <row r="77" spans="1:36" hidden="1">
      <c r="A77" s="143" t="s">
        <v>114</v>
      </c>
      <c r="C77" s="162">
        <v>3107.3216413079062</v>
      </c>
      <c r="D77" s="170"/>
      <c r="E77" s="76"/>
      <c r="F77" s="174">
        <v>540.47340962421754</v>
      </c>
      <c r="G77" s="170"/>
      <c r="H77" s="170"/>
      <c r="I77" s="174">
        <f>F77</f>
        <v>540.47340962421754</v>
      </c>
      <c r="J77" s="170"/>
      <c r="K77" s="76"/>
      <c r="L77" s="174">
        <f>F77</f>
        <v>540.47340962421754</v>
      </c>
      <c r="N77" s="196"/>
      <c r="O77" s="196"/>
      <c r="P77" s="194"/>
      <c r="Q77" s="186"/>
      <c r="R77" s="186"/>
      <c r="S77" s="186"/>
      <c r="T77" s="191"/>
      <c r="U77" s="191"/>
      <c r="V77" s="191"/>
      <c r="W77" s="191"/>
      <c r="X77" s="189"/>
      <c r="Y77" s="186"/>
      <c r="Z77" s="186"/>
      <c r="AA77" s="186"/>
      <c r="AB77" s="186"/>
      <c r="AC77" s="186"/>
      <c r="AD77" s="76"/>
      <c r="AE77" s="76"/>
      <c r="AF77" s="76"/>
      <c r="AG77" s="76"/>
      <c r="AH77" s="76"/>
      <c r="AJ77" s="165"/>
    </row>
    <row r="78" spans="1:36" ht="16.5" hidden="1" thickBot="1">
      <c r="A78" s="143" t="s">
        <v>115</v>
      </c>
      <c r="C78" s="177">
        <f>C76+C77</f>
        <v>156115.32164130791</v>
      </c>
      <c r="D78" s="178"/>
      <c r="E78" s="178"/>
      <c r="F78" s="178">
        <f>F76+F77</f>
        <v>18538.473409624217</v>
      </c>
      <c r="G78" s="178"/>
      <c r="H78" s="178"/>
      <c r="I78" s="178">
        <f>I76+I77</f>
        <v>19495.463409624219</v>
      </c>
      <c r="J78" s="178"/>
      <c r="K78" s="178"/>
      <c r="L78" s="178">
        <f>L76+L77</f>
        <v>20448.473409624217</v>
      </c>
      <c r="N78" s="197"/>
      <c r="O78" s="197"/>
      <c r="P78" s="198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76"/>
      <c r="AE78" s="76"/>
      <c r="AF78" s="76"/>
      <c r="AG78" s="76"/>
      <c r="AH78" s="76"/>
      <c r="AJ78" s="165"/>
    </row>
    <row r="79" spans="1:36" hidden="1">
      <c r="C79" s="181"/>
      <c r="D79" s="181"/>
      <c r="E79" s="181"/>
      <c r="F79" s="161"/>
      <c r="G79" s="181"/>
      <c r="H79" s="181"/>
      <c r="I79" s="161"/>
      <c r="J79" s="182" t="s">
        <v>0</v>
      </c>
      <c r="K79" s="181"/>
      <c r="L79" s="164" t="s">
        <v>0</v>
      </c>
      <c r="N79" s="76"/>
      <c r="O79" s="76"/>
      <c r="P79" s="144"/>
      <c r="Q79" s="144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J79" s="165"/>
    </row>
    <row r="80" spans="1:36">
      <c r="A80" s="199" t="s">
        <v>122</v>
      </c>
      <c r="B80" s="182"/>
      <c r="C80" s="182"/>
      <c r="D80" s="200"/>
      <c r="E80" s="200"/>
      <c r="F80" s="182"/>
      <c r="G80" s="200"/>
      <c r="H80" s="200"/>
      <c r="I80" s="182"/>
      <c r="J80" s="200"/>
      <c r="K80" s="182"/>
      <c r="L80" s="182"/>
      <c r="N80" s="76"/>
      <c r="O80" s="76"/>
      <c r="P80" s="144"/>
      <c r="Q80" s="144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J80" s="165"/>
    </row>
    <row r="81" spans="1:36">
      <c r="A81" s="182" t="s">
        <v>123</v>
      </c>
      <c r="B81" s="182"/>
      <c r="C81" s="182"/>
      <c r="D81" s="200"/>
      <c r="E81" s="200"/>
      <c r="F81" s="182"/>
      <c r="G81" s="200"/>
      <c r="H81" s="200"/>
      <c r="I81" s="182"/>
      <c r="J81" s="200"/>
      <c r="K81" s="182"/>
      <c r="L81" s="182"/>
      <c r="N81" s="201"/>
      <c r="O81" s="201"/>
      <c r="P81" s="144"/>
      <c r="Q81" s="144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J81" s="165"/>
    </row>
    <row r="82" spans="1:36">
      <c r="A82" s="202"/>
      <c r="B82" s="182"/>
      <c r="C82" s="182"/>
      <c r="D82" s="200"/>
      <c r="E82" s="200"/>
      <c r="F82" s="182"/>
      <c r="G82" s="200"/>
      <c r="H82" s="200"/>
      <c r="I82" s="182"/>
      <c r="J82" s="200"/>
      <c r="K82" s="182"/>
      <c r="L82" s="182"/>
      <c r="N82" s="76"/>
      <c r="O82" s="76"/>
      <c r="P82" s="144"/>
      <c r="Q82" s="203" t="s">
        <v>113</v>
      </c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J82" s="165"/>
    </row>
    <row r="83" spans="1:36">
      <c r="A83" s="182" t="s">
        <v>124</v>
      </c>
      <c r="B83" s="182"/>
      <c r="C83" s="200">
        <f t="shared" ref="C83:C90" si="10">C96+C109+C122+C135</f>
        <v>1242500</v>
      </c>
      <c r="D83" s="204">
        <v>6</v>
      </c>
      <c r="E83" s="182"/>
      <c r="F83" s="164">
        <f t="shared" ref="F83:I90" si="11">F96+F109+F122+F135</f>
        <v>7455000</v>
      </c>
      <c r="G83" s="204">
        <v>6</v>
      </c>
      <c r="H83" s="204"/>
      <c r="I83" s="164">
        <f t="shared" si="11"/>
        <v>7455000</v>
      </c>
      <c r="J83" s="204">
        <f>G83</f>
        <v>6</v>
      </c>
      <c r="K83" s="182"/>
      <c r="L83" s="164">
        <f t="shared" ref="L83:L89" si="12">L96+L109+L122+L135</f>
        <v>7455000</v>
      </c>
      <c r="N83" s="165" t="e">
        <f>J83*#REF!</f>
        <v>#REF!</v>
      </c>
      <c r="Q83" s="205">
        <f t="shared" ref="Q83:Q88" si="13">(J83-G83)/G83</f>
        <v>0</v>
      </c>
      <c r="R83" s="206" t="s">
        <v>0</v>
      </c>
      <c r="AC83" s="76"/>
      <c r="AD83" s="76"/>
      <c r="AE83" s="76"/>
      <c r="AF83" s="76"/>
      <c r="AG83" s="76"/>
      <c r="AH83" s="76"/>
      <c r="AJ83" s="165"/>
    </row>
    <row r="84" spans="1:36">
      <c r="A84" s="182" t="s">
        <v>125</v>
      </c>
      <c r="B84" s="182"/>
      <c r="C84" s="200">
        <f t="shared" si="10"/>
        <v>652055859.07771778</v>
      </c>
      <c r="D84" s="207">
        <v>4.9139999999999997</v>
      </c>
      <c r="E84" s="182" t="s">
        <v>126</v>
      </c>
      <c r="F84" s="164">
        <f t="shared" si="11"/>
        <v>32042026</v>
      </c>
      <c r="G84" s="207">
        <v>5.1929999999999996</v>
      </c>
      <c r="H84" s="207"/>
      <c r="I84" s="164">
        <f t="shared" si="11"/>
        <v>33861261</v>
      </c>
      <c r="J84" s="207">
        <v>5.8579999999999997</v>
      </c>
      <c r="K84" s="182" t="s">
        <v>126</v>
      </c>
      <c r="L84" s="164">
        <f t="shared" si="12"/>
        <v>38197432</v>
      </c>
      <c r="N84" s="165" t="e">
        <f>(J84/100)*#REF!</f>
        <v>#REF!</v>
      </c>
      <c r="Q84" s="208">
        <f t="shared" si="13"/>
        <v>0.1280569998074331</v>
      </c>
      <c r="R84" s="175"/>
      <c r="S84" s="131">
        <f>(G85-G84)/G84</f>
        <v>0.5777007510109764</v>
      </c>
      <c r="T84" s="131"/>
      <c r="V84" s="165"/>
      <c r="W84" s="165"/>
      <c r="X84" s="131"/>
      <c r="AC84" s="76"/>
      <c r="AD84" s="76"/>
      <c r="AE84" s="76"/>
      <c r="AF84" s="76"/>
      <c r="AG84" s="76"/>
      <c r="AH84" s="76"/>
      <c r="AJ84" s="165"/>
    </row>
    <row r="85" spans="1:36">
      <c r="A85" s="182" t="s">
        <v>127</v>
      </c>
      <c r="B85" s="182"/>
      <c r="C85" s="200">
        <f t="shared" si="10"/>
        <v>959994451.92228222</v>
      </c>
      <c r="D85" s="207">
        <v>7.7510000000000003</v>
      </c>
      <c r="E85" s="182" t="s">
        <v>126</v>
      </c>
      <c r="F85" s="164">
        <f t="shared" si="11"/>
        <v>74409170</v>
      </c>
      <c r="G85" s="207">
        <v>8.1929999999999996</v>
      </c>
      <c r="H85" s="207"/>
      <c r="I85" s="164">
        <f t="shared" si="11"/>
        <v>78652345</v>
      </c>
      <c r="J85" s="207">
        <f>ROUND((G85/G84*J84),3)+0.022</f>
        <v>9.2640000000000011</v>
      </c>
      <c r="K85" s="182" t="s">
        <v>126</v>
      </c>
      <c r="L85" s="164">
        <f t="shared" si="12"/>
        <v>88933886</v>
      </c>
      <c r="N85" s="165" t="e">
        <f>(J85/100)*#REF!</f>
        <v>#REF!</v>
      </c>
      <c r="O85" s="209"/>
      <c r="Q85" s="208">
        <f t="shared" si="13"/>
        <v>0.13072134749176145</v>
      </c>
      <c r="R85" s="175"/>
      <c r="S85" s="131">
        <f>(J85-J84)/J84</f>
        <v>0.58142710822806443</v>
      </c>
      <c r="T85" s="131"/>
      <c r="V85" s="210"/>
      <c r="W85" s="210"/>
      <c r="X85" s="131"/>
      <c r="AC85" s="76"/>
      <c r="AD85" s="76"/>
      <c r="AE85" s="76"/>
      <c r="AF85" s="76"/>
      <c r="AG85" s="76"/>
      <c r="AH85" s="76"/>
      <c r="AJ85" s="165"/>
    </row>
    <row r="86" spans="1:36">
      <c r="A86" s="182" t="s">
        <v>128</v>
      </c>
      <c r="B86" s="182"/>
      <c r="C86" s="200">
        <f t="shared" si="10"/>
        <v>6177</v>
      </c>
      <c r="D86" s="204">
        <v>1.55</v>
      </c>
      <c r="E86" s="182"/>
      <c r="F86" s="164">
        <f t="shared" si="11"/>
        <v>9574</v>
      </c>
      <c r="G86" s="204">
        <v>1.6</v>
      </c>
      <c r="H86" s="204"/>
      <c r="I86" s="164">
        <f t="shared" si="11"/>
        <v>9884</v>
      </c>
      <c r="J86" s="204">
        <v>1.65</v>
      </c>
      <c r="K86" s="182"/>
      <c r="L86" s="164">
        <f t="shared" si="12"/>
        <v>10192</v>
      </c>
      <c r="N86" s="165" t="e">
        <f>J86*#REF!</f>
        <v>#REF!</v>
      </c>
      <c r="Q86" s="205">
        <f t="shared" si="13"/>
        <v>3.1249999999999889E-2</v>
      </c>
      <c r="R86" s="175"/>
      <c r="V86" s="165"/>
      <c r="W86" s="165"/>
      <c r="X86" s="131"/>
      <c r="AC86" s="76"/>
      <c r="AD86" s="76"/>
      <c r="AE86" s="76"/>
      <c r="AF86" s="76"/>
      <c r="AG86" s="76"/>
      <c r="AH86" s="76"/>
      <c r="AJ86" s="165"/>
    </row>
    <row r="87" spans="1:36">
      <c r="A87" s="211" t="s">
        <v>129</v>
      </c>
      <c r="B87" s="211"/>
      <c r="C87" s="200">
        <f t="shared" si="10"/>
        <v>880</v>
      </c>
      <c r="D87" s="204">
        <v>3</v>
      </c>
      <c r="E87" s="211"/>
      <c r="F87" s="164">
        <f t="shared" si="11"/>
        <v>2640</v>
      </c>
      <c r="G87" s="204">
        <v>3.1</v>
      </c>
      <c r="H87" s="204"/>
      <c r="I87" s="164">
        <f t="shared" si="11"/>
        <v>2728</v>
      </c>
      <c r="J87" s="204">
        <f>ROUND(J86/G86*G87,2)</f>
        <v>3.2</v>
      </c>
      <c r="K87" s="211"/>
      <c r="L87" s="164">
        <f t="shared" si="12"/>
        <v>2816</v>
      </c>
      <c r="N87" s="165" t="e">
        <f>J87*#REF!</f>
        <v>#REF!</v>
      </c>
      <c r="Q87" s="205">
        <f t="shared" si="13"/>
        <v>3.2258064516129059E-2</v>
      </c>
      <c r="R87" s="175"/>
      <c r="AC87" s="76"/>
      <c r="AD87" s="76"/>
      <c r="AE87" s="76"/>
      <c r="AF87" s="76"/>
      <c r="AG87" s="76"/>
      <c r="AH87" s="76"/>
      <c r="AJ87" s="165"/>
    </row>
    <row r="88" spans="1:36">
      <c r="A88" s="211" t="s">
        <v>130</v>
      </c>
      <c r="B88" s="211"/>
      <c r="C88" s="200">
        <f t="shared" si="10"/>
        <v>58</v>
      </c>
      <c r="D88" s="212">
        <v>-1.55</v>
      </c>
      <c r="E88" s="211"/>
      <c r="F88" s="164">
        <f t="shared" si="11"/>
        <v>-90</v>
      </c>
      <c r="G88" s="212">
        <v>-1.6</v>
      </c>
      <c r="H88" s="212"/>
      <c r="I88" s="164">
        <f t="shared" si="11"/>
        <v>-93</v>
      </c>
      <c r="J88" s="212">
        <f>-J86</f>
        <v>-1.65</v>
      </c>
      <c r="K88" s="211"/>
      <c r="L88" s="164">
        <f t="shared" si="12"/>
        <v>-96</v>
      </c>
      <c r="N88" s="165" t="e">
        <f>J88*#REF!</f>
        <v>#REF!</v>
      </c>
      <c r="Q88" s="205">
        <f t="shared" si="13"/>
        <v>3.1249999999999889E-2</v>
      </c>
      <c r="R88" s="175"/>
      <c r="AC88" s="76"/>
      <c r="AD88" s="76"/>
      <c r="AE88" s="76"/>
      <c r="AF88" s="76"/>
      <c r="AG88" s="76"/>
      <c r="AH88" s="76"/>
      <c r="AJ88" s="165"/>
    </row>
    <row r="89" spans="1:36">
      <c r="A89" s="182" t="s">
        <v>131</v>
      </c>
      <c r="B89" s="213"/>
      <c r="C89" s="200">
        <f t="shared" si="10"/>
        <v>1612050311</v>
      </c>
      <c r="D89" s="214"/>
      <c r="E89" s="164"/>
      <c r="F89" s="164">
        <f t="shared" si="11"/>
        <v>113918320</v>
      </c>
      <c r="G89" s="214"/>
      <c r="H89" s="214"/>
      <c r="I89" s="164">
        <f t="shared" si="11"/>
        <v>119981125</v>
      </c>
      <c r="J89" s="164"/>
      <c r="K89" s="164"/>
      <c r="L89" s="164">
        <f t="shared" si="12"/>
        <v>134599230</v>
      </c>
      <c r="N89" s="165" t="e">
        <f>SUM(N83:N88)</f>
        <v>#REF!</v>
      </c>
      <c r="P89" s="88"/>
      <c r="AC89" s="76"/>
      <c r="AD89" s="76"/>
      <c r="AE89" s="76"/>
      <c r="AF89" s="76"/>
      <c r="AG89" s="76"/>
      <c r="AH89" s="76"/>
      <c r="AJ89" s="165"/>
    </row>
    <row r="90" spans="1:36">
      <c r="A90" s="182" t="s">
        <v>114</v>
      </c>
      <c r="B90" s="215"/>
      <c r="C90" s="216">
        <f t="shared" si="10"/>
        <v>-28548372.057802163</v>
      </c>
      <c r="D90" s="217"/>
      <c r="E90" s="217"/>
      <c r="F90" s="218">
        <f t="shared" si="11"/>
        <v>-1569071.209238206</v>
      </c>
      <c r="G90" s="217"/>
      <c r="H90" s="217"/>
      <c r="I90" s="218">
        <f>F90</f>
        <v>-1569071.209238206</v>
      </c>
      <c r="J90" s="217"/>
      <c r="K90" s="217"/>
      <c r="L90" s="218">
        <f>F90</f>
        <v>-1569071.209238206</v>
      </c>
      <c r="AC90" s="76"/>
      <c r="AD90" s="76"/>
      <c r="AE90" s="76"/>
      <c r="AF90" s="76"/>
      <c r="AG90" s="76"/>
      <c r="AH90" s="76"/>
      <c r="AJ90" s="165"/>
    </row>
    <row r="91" spans="1:36" ht="16.5" thickBot="1">
      <c r="A91" s="182" t="s">
        <v>132</v>
      </c>
      <c r="B91" s="182"/>
      <c r="C91" s="219">
        <f>C89+C90</f>
        <v>1583501938.9421978</v>
      </c>
      <c r="D91" s="220"/>
      <c r="E91" s="220"/>
      <c r="F91" s="220">
        <f>F89+F90</f>
        <v>112349248.7907618</v>
      </c>
      <c r="G91" s="220"/>
      <c r="H91" s="220"/>
      <c r="I91" s="220">
        <f>I89+I90</f>
        <v>118412053.7907618</v>
      </c>
      <c r="J91" s="220"/>
      <c r="K91" s="220"/>
      <c r="L91" s="220">
        <f>L89+L90</f>
        <v>133030158.7907618</v>
      </c>
      <c r="O91" s="179" t="s">
        <v>116</v>
      </c>
      <c r="P91" s="180">
        <v>133030167.41285388</v>
      </c>
      <c r="Q91" s="176">
        <f>(L91-I91)/I91</f>
        <v>0.12345115663503901</v>
      </c>
      <c r="R91" s="88" t="s">
        <v>117</v>
      </c>
      <c r="AC91" s="76"/>
      <c r="AD91" s="76"/>
      <c r="AE91" s="76"/>
      <c r="AF91" s="76"/>
      <c r="AG91" s="76"/>
      <c r="AH91" s="76"/>
      <c r="AJ91" s="165"/>
    </row>
    <row r="92" spans="1:36" ht="16.5" thickTop="1">
      <c r="A92" s="182"/>
      <c r="B92" s="221"/>
      <c r="C92" s="200"/>
      <c r="D92" s="200"/>
      <c r="E92" s="200"/>
      <c r="G92" s="200"/>
      <c r="H92" s="200"/>
      <c r="J92" s="182" t="s">
        <v>0</v>
      </c>
      <c r="K92" s="182"/>
      <c r="L92" s="164" t="s">
        <v>0</v>
      </c>
      <c r="O92" s="183" t="s">
        <v>118</v>
      </c>
      <c r="P92" s="222">
        <f>P91-L91</f>
        <v>8.6220920830965042</v>
      </c>
      <c r="Q92" s="223" t="s">
        <v>0</v>
      </c>
      <c r="AC92" s="76"/>
      <c r="AD92" s="76"/>
      <c r="AE92" s="76"/>
      <c r="AF92" s="76"/>
      <c r="AG92" s="76"/>
      <c r="AH92" s="76"/>
      <c r="AJ92" s="165"/>
    </row>
    <row r="93" spans="1:36">
      <c r="A93" s="199" t="s">
        <v>133</v>
      </c>
      <c r="B93" s="182"/>
      <c r="C93" s="182" t="s">
        <v>0</v>
      </c>
      <c r="D93" s="200"/>
      <c r="E93" s="200"/>
      <c r="F93" s="182"/>
      <c r="G93" s="200" t="s">
        <v>0</v>
      </c>
      <c r="H93" s="200"/>
      <c r="I93" s="182"/>
      <c r="J93" s="200"/>
      <c r="K93" s="182"/>
      <c r="L93" s="182"/>
      <c r="N93" s="76"/>
      <c r="O93" s="76"/>
      <c r="P93" s="135"/>
      <c r="Q93" s="144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J93" s="165"/>
    </row>
    <row r="94" spans="1:36">
      <c r="A94" s="182" t="s">
        <v>64</v>
      </c>
      <c r="B94" s="182"/>
      <c r="C94" s="182"/>
      <c r="D94" s="200"/>
      <c r="E94" s="200"/>
      <c r="F94" s="182"/>
      <c r="G94" s="200"/>
      <c r="H94" s="200"/>
      <c r="I94" s="182"/>
      <c r="J94" s="200"/>
      <c r="K94" s="182"/>
      <c r="L94" s="182"/>
      <c r="N94" s="76"/>
      <c r="O94" s="76"/>
      <c r="P94" s="144"/>
      <c r="Q94" s="144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J94" s="165"/>
    </row>
    <row r="95" spans="1:36">
      <c r="A95" s="224" t="s">
        <v>134</v>
      </c>
      <c r="B95" s="182"/>
      <c r="C95" s="182"/>
      <c r="D95" s="200"/>
      <c r="E95" s="200"/>
      <c r="F95" s="182"/>
      <c r="G95" s="200"/>
      <c r="H95" s="200"/>
      <c r="I95" s="182"/>
      <c r="J95" s="200"/>
      <c r="K95" s="182"/>
      <c r="L95" s="182"/>
      <c r="N95" s="76"/>
      <c r="O95" s="76"/>
      <c r="P95" s="144"/>
      <c r="Q95" s="144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J95" s="165"/>
    </row>
    <row r="96" spans="1:36">
      <c r="A96" s="182" t="s">
        <v>124</v>
      </c>
      <c r="B96" s="182"/>
      <c r="C96" s="200">
        <f>1191863+19+101</f>
        <v>1191983</v>
      </c>
      <c r="D96" s="204">
        <f>$D$83</f>
        <v>6</v>
      </c>
      <c r="E96" s="182"/>
      <c r="F96" s="164">
        <f>ROUND(D96*$C96,0)</f>
        <v>7151898</v>
      </c>
      <c r="G96" s="204">
        <f>$G$83</f>
        <v>6</v>
      </c>
      <c r="H96" s="204"/>
      <c r="I96" s="164">
        <f>ROUND(G96*C96,0)</f>
        <v>7151898</v>
      </c>
      <c r="J96" s="204">
        <f>$J$83</f>
        <v>6</v>
      </c>
      <c r="K96" s="182"/>
      <c r="L96" s="164">
        <f>ROUND(J96*$C96,0)</f>
        <v>7151898</v>
      </c>
      <c r="N96" s="76"/>
      <c r="O96" s="76"/>
      <c r="P96" s="144"/>
      <c r="Q96" s="144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J96" s="165"/>
    </row>
    <row r="97" spans="1:36">
      <c r="A97" s="182" t="s">
        <v>125</v>
      </c>
      <c r="B97" s="182"/>
      <c r="C97" s="200">
        <v>623110134.55778718</v>
      </c>
      <c r="D97" s="207">
        <f>$D$84</f>
        <v>4.9139999999999997</v>
      </c>
      <c r="E97" s="182" t="s">
        <v>126</v>
      </c>
      <c r="F97" s="164">
        <f>ROUND(D97*$C97/100,0)</f>
        <v>30619632</v>
      </c>
      <c r="G97" s="207">
        <f>$G$84</f>
        <v>5.1929999999999996</v>
      </c>
      <c r="H97" s="207"/>
      <c r="I97" s="164">
        <f>ROUND(C97*G97/100,0)</f>
        <v>32358109</v>
      </c>
      <c r="J97" s="207">
        <f>$J$84</f>
        <v>5.8579999999999997</v>
      </c>
      <c r="K97" s="182" t="s">
        <v>126</v>
      </c>
      <c r="L97" s="164">
        <f>ROUND(J97*$C97/100,0)</f>
        <v>36501792</v>
      </c>
      <c r="N97" s="76"/>
      <c r="O97" s="76"/>
      <c r="P97" s="144"/>
      <c r="Q97" s="144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J97" s="165"/>
    </row>
    <row r="98" spans="1:36">
      <c r="A98" s="182" t="s">
        <v>127</v>
      </c>
      <c r="B98" s="200"/>
      <c r="C98" s="200">
        <v>915029697.57002258</v>
      </c>
      <c r="D98" s="207">
        <f>$D$85</f>
        <v>7.7510000000000003</v>
      </c>
      <c r="E98" s="182" t="s">
        <v>126</v>
      </c>
      <c r="F98" s="164">
        <f>ROUND(D98*$C98/100,0)</f>
        <v>70923952</v>
      </c>
      <c r="G98" s="207">
        <f>$G$85</f>
        <v>8.1929999999999996</v>
      </c>
      <c r="H98" s="207"/>
      <c r="I98" s="164">
        <f>ROUND(C98*G98/100,0)</f>
        <v>74968383</v>
      </c>
      <c r="J98" s="207">
        <f>$J$85</f>
        <v>9.2640000000000011</v>
      </c>
      <c r="K98" s="182" t="s">
        <v>126</v>
      </c>
      <c r="L98" s="164">
        <f>ROUND(J98*$C98/100,0)</f>
        <v>84768351</v>
      </c>
      <c r="N98" s="76"/>
      <c r="O98" s="76"/>
      <c r="P98" s="144"/>
      <c r="Q98" s="144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J98" s="165"/>
    </row>
    <row r="99" spans="1:36">
      <c r="A99" s="182" t="s">
        <v>128</v>
      </c>
      <c r="B99" s="182"/>
      <c r="C99" s="200">
        <v>0</v>
      </c>
      <c r="D99" s="204">
        <f>$D$86</f>
        <v>1.55</v>
      </c>
      <c r="E99" s="182"/>
      <c r="F99" s="164">
        <f>ROUND(D99*$C99,0)</f>
        <v>0</v>
      </c>
      <c r="G99" s="204">
        <f>$G$86</f>
        <v>1.6</v>
      </c>
      <c r="H99" s="204"/>
      <c r="I99" s="164">
        <v>0</v>
      </c>
      <c r="J99" s="204">
        <f>$J$86</f>
        <v>1.65</v>
      </c>
      <c r="K99" s="182"/>
      <c r="L99" s="164">
        <f>ROUND(J99*$C99,0)</f>
        <v>0</v>
      </c>
      <c r="N99" s="76"/>
      <c r="O99" s="76"/>
      <c r="P99" s="144"/>
      <c r="Q99" s="144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J99" s="165"/>
    </row>
    <row r="100" spans="1:36">
      <c r="A100" s="211" t="s">
        <v>129</v>
      </c>
      <c r="B100" s="211"/>
      <c r="C100" s="200">
        <v>0</v>
      </c>
      <c r="D100" s="204">
        <f>$D$87</f>
        <v>3</v>
      </c>
      <c r="E100" s="211"/>
      <c r="F100" s="164">
        <f>ROUND(D100*$C100,0)</f>
        <v>0</v>
      </c>
      <c r="G100" s="204">
        <f>$G$87</f>
        <v>3.1</v>
      </c>
      <c r="H100" s="204"/>
      <c r="I100" s="164">
        <v>0</v>
      </c>
      <c r="J100" s="204">
        <f>$J$87</f>
        <v>3.2</v>
      </c>
      <c r="K100" s="211"/>
      <c r="L100" s="164">
        <f>ROUND(J100*$C100,0)</f>
        <v>0</v>
      </c>
      <c r="N100" s="76"/>
      <c r="O100" s="76"/>
      <c r="P100" s="144"/>
      <c r="Q100" s="144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J100" s="165"/>
    </row>
    <row r="101" spans="1:36">
      <c r="A101" s="211" t="s">
        <v>130</v>
      </c>
      <c r="B101" s="211"/>
      <c r="C101" s="200">
        <v>0</v>
      </c>
      <c r="D101" s="212">
        <f>-D99</f>
        <v>-1.55</v>
      </c>
      <c r="E101" s="211"/>
      <c r="F101" s="164">
        <f>ROUND(D101*$C101,0)</f>
        <v>0</v>
      </c>
      <c r="G101" s="212">
        <f>-G99</f>
        <v>-1.6</v>
      </c>
      <c r="H101" s="212"/>
      <c r="I101" s="164">
        <v>0</v>
      </c>
      <c r="J101" s="212">
        <f>-J99</f>
        <v>-1.65</v>
      </c>
      <c r="K101" s="211"/>
      <c r="L101" s="164">
        <f>ROUND(J101*$C101,0)</f>
        <v>0</v>
      </c>
      <c r="N101" s="76"/>
      <c r="O101" s="76"/>
      <c r="P101" s="144"/>
      <c r="Q101" s="144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J101" s="165"/>
    </row>
    <row r="102" spans="1:36">
      <c r="A102" s="182" t="s">
        <v>131</v>
      </c>
      <c r="B102" s="213"/>
      <c r="C102" s="200">
        <f>SUM(C97:C98)</f>
        <v>1538139832.1278098</v>
      </c>
      <c r="D102" s="214"/>
      <c r="E102" s="164"/>
      <c r="F102" s="164">
        <f>SUM(F96:F101)</f>
        <v>108695482</v>
      </c>
      <c r="G102" s="214"/>
      <c r="H102" s="214"/>
      <c r="I102" s="164">
        <f>SUM(I96:I101)</f>
        <v>114478390</v>
      </c>
      <c r="J102" s="164"/>
      <c r="K102" s="164"/>
      <c r="L102" s="164">
        <f>SUM(L96:L101)</f>
        <v>128422041</v>
      </c>
      <c r="N102" s="76"/>
      <c r="O102" s="76"/>
      <c r="P102" s="225"/>
      <c r="Q102" s="144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J102" s="165"/>
    </row>
    <row r="103" spans="1:36">
      <c r="A103" s="182" t="s">
        <v>114</v>
      </c>
      <c r="B103" s="215"/>
      <c r="C103" s="226">
        <v>-27302689.383002054</v>
      </c>
      <c r="D103" s="217"/>
      <c r="E103" s="217"/>
      <c r="F103" s="218">
        <v>-1500331.8267888098</v>
      </c>
      <c r="G103" s="217"/>
      <c r="H103" s="217"/>
      <c r="I103" s="216">
        <f>F103</f>
        <v>-1500331.8267888098</v>
      </c>
      <c r="J103" s="217"/>
      <c r="K103" s="217"/>
      <c r="L103" s="218">
        <f>F103</f>
        <v>-1500331.8267888098</v>
      </c>
      <c r="N103" s="196"/>
      <c r="O103" s="196"/>
      <c r="P103" s="194"/>
      <c r="Q103" s="144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J103" s="165"/>
    </row>
    <row r="104" spans="1:36" ht="16.5" thickBot="1">
      <c r="A104" s="182" t="s">
        <v>132</v>
      </c>
      <c r="B104" s="182"/>
      <c r="C104" s="219">
        <f>C102+C103</f>
        <v>1510837142.7448077</v>
      </c>
      <c r="D104" s="220"/>
      <c r="E104" s="220"/>
      <c r="F104" s="220">
        <f>F102+F103</f>
        <v>107195150.17321119</v>
      </c>
      <c r="G104" s="220"/>
      <c r="H104" s="220"/>
      <c r="I104" s="227">
        <f>SUM(I102:I103)</f>
        <v>112978058.17321119</v>
      </c>
      <c r="J104" s="220"/>
      <c r="K104" s="220"/>
      <c r="L104" s="220">
        <f>L102+L103</f>
        <v>126921709.17321119</v>
      </c>
      <c r="N104" s="197"/>
      <c r="O104" s="197"/>
      <c r="P104" s="198"/>
      <c r="Q104" s="144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J104" s="165"/>
    </row>
    <row r="105" spans="1:36" ht="16.5" thickTop="1">
      <c r="A105" s="182"/>
      <c r="B105" s="221"/>
      <c r="C105" s="200"/>
      <c r="D105" s="200"/>
      <c r="E105" s="200"/>
      <c r="G105" s="200"/>
      <c r="H105" s="200"/>
      <c r="J105" s="182" t="s">
        <v>0</v>
      </c>
      <c r="K105" s="182"/>
      <c r="L105" s="164" t="s">
        <v>0</v>
      </c>
      <c r="N105" s="76"/>
      <c r="O105" s="76"/>
      <c r="P105" s="144"/>
      <c r="Q105" s="144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J105" s="165"/>
    </row>
    <row r="106" spans="1:36">
      <c r="A106" s="199" t="s">
        <v>135</v>
      </c>
      <c r="B106" s="182"/>
      <c r="C106" s="182"/>
      <c r="D106" s="200"/>
      <c r="E106" s="200"/>
      <c r="F106" s="182"/>
      <c r="G106" s="200"/>
      <c r="H106" s="200"/>
      <c r="I106" s="182"/>
      <c r="J106" s="200"/>
      <c r="K106" s="182"/>
      <c r="L106" s="182"/>
      <c r="N106" s="76"/>
      <c r="O106" s="76"/>
      <c r="P106" s="144"/>
      <c r="Q106" s="144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J106" s="165"/>
    </row>
    <row r="107" spans="1:36">
      <c r="A107" s="182" t="s">
        <v>64</v>
      </c>
      <c r="B107" s="182"/>
      <c r="C107" s="182"/>
      <c r="D107" s="200"/>
      <c r="E107" s="200"/>
      <c r="F107" s="182"/>
      <c r="G107" s="200"/>
      <c r="H107" s="200"/>
      <c r="I107" s="182"/>
      <c r="J107" s="200"/>
      <c r="K107" s="182"/>
      <c r="L107" s="182"/>
      <c r="N107" s="76"/>
      <c r="O107" s="76"/>
      <c r="P107" s="144"/>
      <c r="Q107" s="144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J107" s="165"/>
    </row>
    <row r="108" spans="1:36">
      <c r="A108" s="202"/>
      <c r="B108" s="182"/>
      <c r="C108" s="182"/>
      <c r="D108" s="200"/>
      <c r="E108" s="200"/>
      <c r="F108" s="182"/>
      <c r="G108" s="200"/>
      <c r="H108" s="200"/>
      <c r="I108" s="182"/>
      <c r="J108" s="200"/>
      <c r="K108" s="182"/>
      <c r="L108" s="182"/>
      <c r="N108" s="76"/>
      <c r="O108" s="76"/>
      <c r="P108" s="144"/>
      <c r="Q108" s="144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J108" s="165"/>
    </row>
    <row r="109" spans="1:36">
      <c r="A109" s="182" t="s">
        <v>124</v>
      </c>
      <c r="B109" s="182"/>
      <c r="C109" s="200">
        <f>49110</f>
        <v>49110</v>
      </c>
      <c r="D109" s="204">
        <f>$D$83</f>
        <v>6</v>
      </c>
      <c r="E109" s="182"/>
      <c r="F109" s="164">
        <f>ROUND(D109*$C109,0)</f>
        <v>294660</v>
      </c>
      <c r="G109" s="204">
        <f>$G$83</f>
        <v>6</v>
      </c>
      <c r="H109" s="204"/>
      <c r="I109" s="164">
        <f>ROUND(G109*C109,0)</f>
        <v>294660</v>
      </c>
      <c r="J109" s="204">
        <f>$J$83</f>
        <v>6</v>
      </c>
      <c r="K109" s="182"/>
      <c r="L109" s="164">
        <f>ROUND(J109*$C109,0)</f>
        <v>294660</v>
      </c>
      <c r="N109" s="76"/>
      <c r="O109" s="76"/>
      <c r="P109" s="144"/>
      <c r="Q109" s="144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J109" s="165"/>
    </row>
    <row r="110" spans="1:36">
      <c r="A110" s="182" t="s">
        <v>125</v>
      </c>
      <c r="B110" s="182"/>
      <c r="C110" s="200">
        <f>28183981</f>
        <v>28183981</v>
      </c>
      <c r="D110" s="207">
        <f>$D$84</f>
        <v>4.9139999999999997</v>
      </c>
      <c r="E110" s="182" t="s">
        <v>126</v>
      </c>
      <c r="F110" s="164">
        <f>ROUND(D110*$C110/100,0)</f>
        <v>1384961</v>
      </c>
      <c r="G110" s="207">
        <f>$G$84</f>
        <v>5.1929999999999996</v>
      </c>
      <c r="H110" s="207"/>
      <c r="I110" s="164">
        <f>ROUND(C110*G110/100,0)</f>
        <v>1463594</v>
      </c>
      <c r="J110" s="207">
        <f>$J$84</f>
        <v>5.8579999999999997</v>
      </c>
      <c r="K110" s="182" t="s">
        <v>126</v>
      </c>
      <c r="L110" s="164">
        <f>ROUND(J110*$C110/100,0)</f>
        <v>1651018</v>
      </c>
      <c r="N110" s="76"/>
      <c r="O110" s="76"/>
      <c r="P110" s="144"/>
      <c r="Q110" s="144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J110" s="165"/>
    </row>
    <row r="111" spans="1:36">
      <c r="A111" s="182" t="s">
        <v>127</v>
      </c>
      <c r="B111" s="182"/>
      <c r="C111" s="200">
        <f>70769908-C110</f>
        <v>42585927</v>
      </c>
      <c r="D111" s="207">
        <f>$D$85</f>
        <v>7.7510000000000003</v>
      </c>
      <c r="E111" s="182" t="s">
        <v>126</v>
      </c>
      <c r="F111" s="164">
        <f>ROUND(D111*$C111/100,0)</f>
        <v>3300835</v>
      </c>
      <c r="G111" s="207">
        <f>$G$85</f>
        <v>8.1929999999999996</v>
      </c>
      <c r="H111" s="207"/>
      <c r="I111" s="164">
        <f>ROUND(C111*G111/100,0)</f>
        <v>3489065</v>
      </c>
      <c r="J111" s="207">
        <f>$J$85</f>
        <v>9.2640000000000011</v>
      </c>
      <c r="K111" s="182" t="s">
        <v>126</v>
      </c>
      <c r="L111" s="164">
        <f>ROUND(J111*$C111/100,0)</f>
        <v>3945160</v>
      </c>
      <c r="N111" s="76"/>
      <c r="O111" s="76"/>
      <c r="P111" s="144"/>
      <c r="Q111" s="144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J111" s="165"/>
    </row>
    <row r="112" spans="1:36">
      <c r="A112" s="182" t="s">
        <v>128</v>
      </c>
      <c r="B112" s="182"/>
      <c r="C112" s="200">
        <v>0</v>
      </c>
      <c r="D112" s="204">
        <f>$D$86</f>
        <v>1.55</v>
      </c>
      <c r="E112" s="182"/>
      <c r="F112" s="164">
        <f>ROUND(D112*$C112,0)</f>
        <v>0</v>
      </c>
      <c r="G112" s="204">
        <f>$G$86</f>
        <v>1.6</v>
      </c>
      <c r="H112" s="204"/>
      <c r="I112" s="164">
        <v>0</v>
      </c>
      <c r="J112" s="204">
        <f>$J$86</f>
        <v>1.65</v>
      </c>
      <c r="K112" s="182"/>
      <c r="L112" s="164">
        <f>ROUND(J112*$C112,0)</f>
        <v>0</v>
      </c>
      <c r="N112" s="76"/>
      <c r="O112" s="76"/>
      <c r="P112" s="144"/>
      <c r="Q112" s="144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J112" s="165"/>
    </row>
    <row r="113" spans="1:36">
      <c r="A113" s="211" t="s">
        <v>129</v>
      </c>
      <c r="B113" s="211"/>
      <c r="C113" s="200">
        <v>0</v>
      </c>
      <c r="D113" s="204">
        <f>$D$87</f>
        <v>3</v>
      </c>
      <c r="E113" s="211"/>
      <c r="F113" s="164">
        <f>ROUND(D113*$C113,0)</f>
        <v>0</v>
      </c>
      <c r="G113" s="204">
        <f>$G$87</f>
        <v>3.1</v>
      </c>
      <c r="H113" s="204"/>
      <c r="I113" s="164">
        <v>0</v>
      </c>
      <c r="J113" s="204">
        <f>$J$87</f>
        <v>3.2</v>
      </c>
      <c r="K113" s="211"/>
      <c r="L113" s="164">
        <f>ROUND(J113*$C113,0)</f>
        <v>0</v>
      </c>
      <c r="N113" s="76"/>
      <c r="O113" s="76"/>
      <c r="P113" s="144"/>
      <c r="Q113" s="144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J113" s="165"/>
    </row>
    <row r="114" spans="1:36">
      <c r="A114" s="211" t="s">
        <v>130</v>
      </c>
      <c r="B114" s="211"/>
      <c r="C114" s="200">
        <v>0</v>
      </c>
      <c r="D114" s="212">
        <f>-D112</f>
        <v>-1.55</v>
      </c>
      <c r="E114" s="211"/>
      <c r="F114" s="164">
        <f>ROUND(D114*$C114,0)</f>
        <v>0</v>
      </c>
      <c r="G114" s="212">
        <f>-G112</f>
        <v>-1.6</v>
      </c>
      <c r="H114" s="212"/>
      <c r="I114" s="164">
        <v>0</v>
      </c>
      <c r="J114" s="212">
        <f>-J112</f>
        <v>-1.65</v>
      </c>
      <c r="K114" s="211"/>
      <c r="L114" s="164">
        <f>ROUND(J114*$C114,0)</f>
        <v>0</v>
      </c>
      <c r="N114" s="76"/>
      <c r="O114" s="76"/>
      <c r="P114" s="144"/>
      <c r="Q114" s="144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J114" s="165"/>
    </row>
    <row r="115" spans="1:36">
      <c r="A115" s="182" t="s">
        <v>131</v>
      </c>
      <c r="B115" s="182"/>
      <c r="C115" s="200">
        <f>SUM(C110:C111)</f>
        <v>70769908</v>
      </c>
      <c r="D115" s="214"/>
      <c r="E115" s="164"/>
      <c r="F115" s="164">
        <f>SUM(F109:F114)</f>
        <v>4980456</v>
      </c>
      <c r="G115" s="214"/>
      <c r="H115" s="214"/>
      <c r="I115" s="164">
        <f>SUM(I109:I114)</f>
        <v>5247319</v>
      </c>
      <c r="J115" s="164"/>
      <c r="K115" s="164"/>
      <c r="L115" s="164">
        <f>SUM(L109:L114)</f>
        <v>5890838</v>
      </c>
      <c r="N115" s="76"/>
      <c r="O115" s="76"/>
      <c r="P115" s="144"/>
      <c r="Q115" s="144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J115" s="165"/>
    </row>
    <row r="116" spans="1:36">
      <c r="A116" s="182" t="s">
        <v>114</v>
      </c>
      <c r="B116" s="182"/>
      <c r="C116" s="226">
        <v>-1190890.082383974</v>
      </c>
      <c r="D116" s="217"/>
      <c r="E116" s="217"/>
      <c r="F116" s="218">
        <v>-65444.946591037937</v>
      </c>
      <c r="G116" s="217"/>
      <c r="H116" s="217"/>
      <c r="I116" s="216">
        <f>F116</f>
        <v>-65444.946591037937</v>
      </c>
      <c r="J116" s="217"/>
      <c r="K116" s="217"/>
      <c r="L116" s="218">
        <f>F116</f>
        <v>-65444.946591037937</v>
      </c>
      <c r="N116" s="196"/>
      <c r="O116" s="196"/>
      <c r="P116" s="194"/>
      <c r="Q116" s="144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J116" s="165"/>
    </row>
    <row r="117" spans="1:36" ht="16.5" thickBot="1">
      <c r="A117" s="182" t="s">
        <v>132</v>
      </c>
      <c r="B117" s="182"/>
      <c r="C117" s="219">
        <f>C115+C116</f>
        <v>69579017.917616025</v>
      </c>
      <c r="D117" s="220"/>
      <c r="E117" s="220"/>
      <c r="F117" s="220">
        <f>F115+F116</f>
        <v>4915011.0534089617</v>
      </c>
      <c r="G117" s="220"/>
      <c r="H117" s="220"/>
      <c r="I117" s="227">
        <f>SUM(I115:I116)</f>
        <v>5181874.0534089617</v>
      </c>
      <c r="J117" s="220"/>
      <c r="K117" s="220"/>
      <c r="L117" s="220">
        <f>L115+L116</f>
        <v>5825393.0534089617</v>
      </c>
      <c r="N117" s="197"/>
      <c r="O117" s="197"/>
      <c r="P117" s="198"/>
      <c r="Q117" s="144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J117" s="165"/>
    </row>
    <row r="118" spans="1:36" ht="16.5" thickTop="1">
      <c r="A118" s="182"/>
      <c r="B118" s="221"/>
      <c r="C118" s="200"/>
      <c r="D118" s="200"/>
      <c r="E118" s="200"/>
      <c r="G118" s="200"/>
      <c r="H118" s="200"/>
      <c r="J118" s="182" t="s">
        <v>0</v>
      </c>
      <c r="K118" s="182"/>
      <c r="L118" s="164" t="s">
        <v>0</v>
      </c>
      <c r="N118" s="76"/>
      <c r="O118" s="76"/>
      <c r="P118" s="144"/>
      <c r="Q118" s="144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J118" s="165"/>
    </row>
    <row r="119" spans="1:36">
      <c r="A119" s="199" t="s">
        <v>136</v>
      </c>
      <c r="B119" s="182"/>
      <c r="C119" s="182"/>
      <c r="D119" s="200"/>
      <c r="E119" s="200"/>
      <c r="F119" s="182"/>
      <c r="G119" s="200"/>
      <c r="H119" s="200"/>
      <c r="I119" s="182"/>
      <c r="J119" s="200"/>
      <c r="K119" s="182"/>
      <c r="L119" s="182"/>
      <c r="N119" s="76"/>
      <c r="O119" s="76"/>
      <c r="P119" s="144"/>
      <c r="Q119" s="144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J119" s="165"/>
    </row>
    <row r="120" spans="1:36">
      <c r="A120" s="182" t="s">
        <v>64</v>
      </c>
      <c r="B120" s="182"/>
      <c r="C120" s="182"/>
      <c r="D120" s="200"/>
      <c r="E120" s="200"/>
      <c r="F120" s="182"/>
      <c r="G120" s="200"/>
      <c r="H120" s="200"/>
      <c r="I120" s="182"/>
      <c r="J120" s="200"/>
      <c r="K120" s="182"/>
      <c r="L120" s="182"/>
      <c r="N120" s="76"/>
      <c r="O120" s="76"/>
      <c r="P120" s="144"/>
      <c r="Q120" s="144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J120" s="165"/>
    </row>
    <row r="121" spans="1:36">
      <c r="A121" s="202"/>
      <c r="B121" s="182"/>
      <c r="C121" s="182"/>
      <c r="D121" s="200"/>
      <c r="E121" s="200"/>
      <c r="F121" s="182"/>
      <c r="G121" s="200"/>
      <c r="H121" s="200"/>
      <c r="I121" s="182"/>
      <c r="J121" s="200"/>
      <c r="K121" s="182"/>
      <c r="L121" s="182"/>
      <c r="N121" s="76"/>
      <c r="O121" s="76"/>
      <c r="P121" s="144"/>
      <c r="Q121" s="144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J121" s="165"/>
    </row>
    <row r="122" spans="1:36">
      <c r="A122" s="182" t="s">
        <v>124</v>
      </c>
      <c r="B122" s="182"/>
      <c r="C122" s="200">
        <v>1127</v>
      </c>
      <c r="D122" s="204">
        <f>$D$83</f>
        <v>6</v>
      </c>
      <c r="E122" s="182"/>
      <c r="F122" s="164">
        <f>ROUND(D122*$C122,0)</f>
        <v>6762</v>
      </c>
      <c r="G122" s="204">
        <f>$G$83</f>
        <v>6</v>
      </c>
      <c r="H122" s="204"/>
      <c r="I122" s="164">
        <f>ROUND(G122*C122,0)</f>
        <v>6762</v>
      </c>
      <c r="J122" s="204">
        <f>$J$83</f>
        <v>6</v>
      </c>
      <c r="K122" s="182"/>
      <c r="L122" s="164">
        <f>ROUND(J122*$C122,0)</f>
        <v>6762</v>
      </c>
      <c r="N122" s="76"/>
      <c r="O122" s="76"/>
      <c r="P122" s="144"/>
      <c r="Q122" s="144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J122" s="165"/>
    </row>
    <row r="123" spans="1:36">
      <c r="A123" s="182" t="s">
        <v>125</v>
      </c>
      <c r="B123" s="182"/>
      <c r="C123" s="200">
        <v>599359.51993062103</v>
      </c>
      <c r="D123" s="207">
        <f>$D$84</f>
        <v>4.9139999999999997</v>
      </c>
      <c r="E123" s="182" t="s">
        <v>126</v>
      </c>
      <c r="F123" s="164">
        <f>ROUND(D123*$C123/100,0)</f>
        <v>29453</v>
      </c>
      <c r="G123" s="207">
        <f>$G$84</f>
        <v>5.1929999999999996</v>
      </c>
      <c r="H123" s="207"/>
      <c r="I123" s="164">
        <f>ROUND(C123*G123/100,0)</f>
        <v>31125</v>
      </c>
      <c r="J123" s="207">
        <f>$J$84</f>
        <v>5.8579999999999997</v>
      </c>
      <c r="K123" s="182" t="s">
        <v>126</v>
      </c>
      <c r="L123" s="164">
        <f>ROUND(J123*$C123/100,0)</f>
        <v>35110</v>
      </c>
      <c r="N123" s="76"/>
      <c r="O123" s="76"/>
      <c r="P123" s="144"/>
      <c r="Q123" s="144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J123" s="165"/>
    </row>
    <row r="124" spans="1:36">
      <c r="A124" s="182" t="s">
        <v>127</v>
      </c>
      <c r="B124" s="182"/>
      <c r="C124" s="200">
        <v>1957769.3522596811</v>
      </c>
      <c r="D124" s="207">
        <f>$D$85</f>
        <v>7.7510000000000003</v>
      </c>
      <c r="E124" s="182" t="s">
        <v>126</v>
      </c>
      <c r="F124" s="164">
        <f>ROUND(D124*$C124/100,0)</f>
        <v>151747</v>
      </c>
      <c r="G124" s="207">
        <f>$G$85</f>
        <v>8.1929999999999996</v>
      </c>
      <c r="H124" s="207"/>
      <c r="I124" s="164">
        <f>ROUND(C124*G124/100,0)</f>
        <v>160400</v>
      </c>
      <c r="J124" s="207">
        <f>$J$85</f>
        <v>9.2640000000000011</v>
      </c>
      <c r="K124" s="182" t="s">
        <v>126</v>
      </c>
      <c r="L124" s="164">
        <f>ROUND(J124*$C124/100,0)</f>
        <v>181368</v>
      </c>
      <c r="N124" s="76"/>
      <c r="O124" s="76"/>
      <c r="P124" s="144"/>
      <c r="Q124" s="144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J124" s="165"/>
    </row>
    <row r="125" spans="1:36">
      <c r="A125" s="182" t="s">
        <v>128</v>
      </c>
      <c r="B125" s="182"/>
      <c r="C125" s="200">
        <v>5226</v>
      </c>
      <c r="D125" s="204">
        <f>$D$86</f>
        <v>1.55</v>
      </c>
      <c r="E125" s="182"/>
      <c r="F125" s="164">
        <f>ROUND(D125*$C125,0)</f>
        <v>8100</v>
      </c>
      <c r="G125" s="204">
        <f>$G$86</f>
        <v>1.6</v>
      </c>
      <c r="H125" s="204"/>
      <c r="I125" s="164">
        <f t="shared" ref="I125:I126" si="14">ROUND(G125*C125,0)</f>
        <v>8362</v>
      </c>
      <c r="J125" s="204">
        <f>$J$86</f>
        <v>1.65</v>
      </c>
      <c r="K125" s="182"/>
      <c r="L125" s="164">
        <f>ROUND(J125*$C125,0)</f>
        <v>8623</v>
      </c>
      <c r="N125" s="76"/>
      <c r="O125" s="76"/>
      <c r="P125" s="144"/>
      <c r="Q125" s="144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J125" s="165"/>
    </row>
    <row r="126" spans="1:36">
      <c r="A126" s="211" t="s">
        <v>129</v>
      </c>
      <c r="B126" s="211"/>
      <c r="C126" s="200">
        <v>731</v>
      </c>
      <c r="D126" s="204">
        <f>$D$87</f>
        <v>3</v>
      </c>
      <c r="E126" s="211"/>
      <c r="F126" s="164">
        <f>ROUND(D126*$C126,0)</f>
        <v>2193</v>
      </c>
      <c r="G126" s="204">
        <f>$G$87</f>
        <v>3.1</v>
      </c>
      <c r="H126" s="204"/>
      <c r="I126" s="164">
        <f t="shared" si="14"/>
        <v>2266</v>
      </c>
      <c r="J126" s="204">
        <f>$J$87</f>
        <v>3.2</v>
      </c>
      <c r="K126" s="211"/>
      <c r="L126" s="164">
        <f>ROUND(J126*$C126,0)</f>
        <v>2339</v>
      </c>
      <c r="N126" s="76"/>
      <c r="O126" s="76"/>
      <c r="P126" s="144"/>
      <c r="Q126" s="144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J126" s="165"/>
    </row>
    <row r="127" spans="1:36">
      <c r="A127" s="211" t="s">
        <v>130</v>
      </c>
      <c r="B127" s="211"/>
      <c r="C127" s="200">
        <v>47</v>
      </c>
      <c r="D127" s="212">
        <f>-D125</f>
        <v>-1.55</v>
      </c>
      <c r="E127" s="211"/>
      <c r="F127" s="164">
        <f>ROUND(D127*$C127,0)</f>
        <v>-73</v>
      </c>
      <c r="G127" s="212">
        <f>-G125</f>
        <v>-1.6</v>
      </c>
      <c r="H127" s="212"/>
      <c r="I127" s="164">
        <f>ROUND(G127*C127,0)</f>
        <v>-75</v>
      </c>
      <c r="J127" s="212">
        <f>-J125</f>
        <v>-1.65</v>
      </c>
      <c r="K127" s="211"/>
      <c r="L127" s="164">
        <f>ROUND(J127*$C127,0)</f>
        <v>-78</v>
      </c>
      <c r="N127" s="76"/>
      <c r="O127" s="76"/>
      <c r="P127" s="144"/>
      <c r="Q127" s="144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J127" s="165"/>
    </row>
    <row r="128" spans="1:36">
      <c r="A128" s="182" t="s">
        <v>131</v>
      </c>
      <c r="B128" s="213"/>
      <c r="C128" s="200">
        <f>SUM(C123:C124)</f>
        <v>2557128.8721903022</v>
      </c>
      <c r="D128" s="214"/>
      <c r="E128" s="164"/>
      <c r="F128" s="164">
        <f>SUM(F122:F127)</f>
        <v>198182</v>
      </c>
      <c r="G128" s="214"/>
      <c r="H128" s="214"/>
      <c r="I128" s="164">
        <f>SUM(I122:I127)</f>
        <v>208840</v>
      </c>
      <c r="J128" s="164"/>
      <c r="K128" s="164"/>
      <c r="L128" s="164">
        <f>SUM(L122:L127)</f>
        <v>234124</v>
      </c>
      <c r="N128" s="76"/>
      <c r="O128" s="76"/>
      <c r="P128" s="144"/>
      <c r="Q128" s="144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J128" s="165"/>
    </row>
    <row r="129" spans="1:36">
      <c r="A129" s="182" t="s">
        <v>114</v>
      </c>
      <c r="B129" s="228"/>
      <c r="C129" s="226">
        <v>-44974.644207886304</v>
      </c>
      <c r="D129" s="217"/>
      <c r="E129" s="217"/>
      <c r="F129" s="218">
        <v>-2713.2396275452215</v>
      </c>
      <c r="G129" s="217"/>
      <c r="H129" s="217"/>
      <c r="I129" s="218">
        <f>F129</f>
        <v>-2713.2396275452215</v>
      </c>
      <c r="J129" s="217"/>
      <c r="K129" s="217"/>
      <c r="L129" s="218">
        <f>F129</f>
        <v>-2713.2396275452215</v>
      </c>
      <c r="N129" s="196"/>
      <c r="O129" s="196"/>
      <c r="P129" s="194"/>
      <c r="Q129" s="144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J129" s="165"/>
    </row>
    <row r="130" spans="1:36" ht="16.5" thickBot="1">
      <c r="A130" s="182" t="s">
        <v>132</v>
      </c>
      <c r="B130" s="182"/>
      <c r="C130" s="219">
        <f>C128+C129</f>
        <v>2512154.2279824158</v>
      </c>
      <c r="D130" s="220"/>
      <c r="E130" s="220"/>
      <c r="F130" s="220">
        <f>F128+F129</f>
        <v>195468.76037245477</v>
      </c>
      <c r="G130" s="220"/>
      <c r="H130" s="220"/>
      <c r="I130" s="220">
        <f>I128+I129</f>
        <v>206126.76037245477</v>
      </c>
      <c r="J130" s="220"/>
      <c r="K130" s="220"/>
      <c r="L130" s="220">
        <f>L128+L129</f>
        <v>231410.76037245477</v>
      </c>
      <c r="N130" s="197"/>
      <c r="O130" s="197"/>
      <c r="P130" s="198"/>
      <c r="Q130" s="144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J130" s="165"/>
    </row>
    <row r="131" spans="1:36" ht="16.5" thickTop="1">
      <c r="A131" s="182"/>
      <c r="B131" s="221"/>
      <c r="C131" s="200"/>
      <c r="D131" s="200"/>
      <c r="E131" s="200"/>
      <c r="G131" s="200"/>
      <c r="H131" s="200"/>
      <c r="J131" s="182" t="s">
        <v>0</v>
      </c>
      <c r="K131" s="182"/>
      <c r="L131" s="164" t="s">
        <v>0</v>
      </c>
      <c r="N131" s="76"/>
      <c r="O131" s="76"/>
      <c r="P131" s="144"/>
      <c r="Q131" s="144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J131" s="165"/>
    </row>
    <row r="132" spans="1:36">
      <c r="A132" s="199" t="s">
        <v>137</v>
      </c>
      <c r="B132" s="182"/>
      <c r="C132" s="182"/>
      <c r="D132" s="200"/>
      <c r="E132" s="200"/>
      <c r="F132" s="182"/>
      <c r="G132" s="200"/>
      <c r="H132" s="200"/>
      <c r="I132" s="182"/>
      <c r="J132" s="200"/>
      <c r="K132" s="182"/>
      <c r="L132" s="182"/>
      <c r="N132" s="76"/>
      <c r="O132" s="76"/>
      <c r="P132" s="144"/>
      <c r="Q132" s="144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J132" s="165"/>
    </row>
    <row r="133" spans="1:36">
      <c r="A133" s="182" t="s">
        <v>64</v>
      </c>
      <c r="B133" s="182"/>
      <c r="C133" s="182"/>
      <c r="D133" s="200"/>
      <c r="E133" s="200"/>
      <c r="F133" s="182"/>
      <c r="G133" s="200"/>
      <c r="H133" s="200"/>
      <c r="I133" s="182"/>
      <c r="J133" s="200"/>
      <c r="K133" s="182"/>
      <c r="L133" s="182"/>
      <c r="N133" s="76"/>
      <c r="O133" s="76"/>
      <c r="P133" s="144"/>
      <c r="Q133" s="144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J133" s="165"/>
    </row>
    <row r="134" spans="1:36">
      <c r="A134" s="202"/>
      <c r="B134" s="182"/>
      <c r="C134" s="182"/>
      <c r="D134" s="200"/>
      <c r="E134" s="200"/>
      <c r="F134" s="182"/>
      <c r="G134" s="200"/>
      <c r="H134" s="200"/>
      <c r="I134" s="182"/>
      <c r="J134" s="200"/>
      <c r="K134" s="182"/>
      <c r="L134" s="182"/>
      <c r="N134" s="76"/>
      <c r="O134" s="76"/>
      <c r="P134" s="144"/>
      <c r="Q134" s="144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J134" s="165"/>
    </row>
    <row r="135" spans="1:36">
      <c r="A135" s="182" t="s">
        <v>124</v>
      </c>
      <c r="B135" s="182"/>
      <c r="C135" s="200">
        <v>280</v>
      </c>
      <c r="D135" s="204">
        <f>$D$83</f>
        <v>6</v>
      </c>
      <c r="E135" s="182"/>
      <c r="F135" s="164">
        <f>ROUND(D135*$C135,0)</f>
        <v>1680</v>
      </c>
      <c r="G135" s="204">
        <f>$G$83</f>
        <v>6</v>
      </c>
      <c r="H135" s="204"/>
      <c r="I135" s="164">
        <f>ROUND(G135*C135,0)</f>
        <v>1680</v>
      </c>
      <c r="J135" s="204">
        <f>$J$83</f>
        <v>6</v>
      </c>
      <c r="K135" s="182"/>
      <c r="L135" s="164">
        <f>ROUND(J135*$C135,0)</f>
        <v>1680</v>
      </c>
      <c r="N135" s="76"/>
      <c r="O135" s="76"/>
      <c r="P135" s="144"/>
      <c r="Q135" s="144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J135" s="165"/>
    </row>
    <row r="136" spans="1:36">
      <c r="A136" s="182" t="s">
        <v>125</v>
      </c>
      <c r="B136" s="182"/>
      <c r="C136" s="200">
        <v>162384</v>
      </c>
      <c r="D136" s="207">
        <f>$D$84</f>
        <v>4.9139999999999997</v>
      </c>
      <c r="E136" s="182" t="s">
        <v>126</v>
      </c>
      <c r="F136" s="164">
        <f>ROUND(D136*$C136/100,0)</f>
        <v>7980</v>
      </c>
      <c r="G136" s="207">
        <f>$G$84</f>
        <v>5.1929999999999996</v>
      </c>
      <c r="H136" s="207"/>
      <c r="I136" s="164">
        <f>ROUND(C136*G136/100,0)</f>
        <v>8433</v>
      </c>
      <c r="J136" s="207">
        <f>$J$84</f>
        <v>5.8579999999999997</v>
      </c>
      <c r="K136" s="182" t="s">
        <v>126</v>
      </c>
      <c r="L136" s="164">
        <f>ROUND(J136*$C136/100,0)</f>
        <v>9512</v>
      </c>
      <c r="N136" s="76"/>
      <c r="O136" s="76"/>
      <c r="P136" s="144"/>
      <c r="Q136" s="144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J136" s="165"/>
    </row>
    <row r="137" spans="1:36">
      <c r="A137" s="182" t="s">
        <v>127</v>
      </c>
      <c r="B137" s="182"/>
      <c r="C137" s="200">
        <f>583442-C136</f>
        <v>421058</v>
      </c>
      <c r="D137" s="207">
        <f>$D$85</f>
        <v>7.7510000000000003</v>
      </c>
      <c r="E137" s="182" t="s">
        <v>126</v>
      </c>
      <c r="F137" s="164">
        <f>ROUND(D137*$C137/100,0)</f>
        <v>32636</v>
      </c>
      <c r="G137" s="207">
        <f>$G$85</f>
        <v>8.1929999999999996</v>
      </c>
      <c r="H137" s="207"/>
      <c r="I137" s="164">
        <f>ROUND(C137*G137/100,0)</f>
        <v>34497</v>
      </c>
      <c r="J137" s="207">
        <f>$J$85</f>
        <v>9.2640000000000011</v>
      </c>
      <c r="K137" s="182" t="s">
        <v>126</v>
      </c>
      <c r="L137" s="164">
        <f>ROUND(J137*$C137/100,0)</f>
        <v>39007</v>
      </c>
      <c r="N137" s="76"/>
      <c r="O137" s="76"/>
      <c r="P137" s="144"/>
      <c r="Q137" s="144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J137" s="165"/>
    </row>
    <row r="138" spans="1:36">
      <c r="A138" s="182" t="s">
        <v>128</v>
      </c>
      <c r="B138" s="182"/>
      <c r="C138" s="200">
        <v>951</v>
      </c>
      <c r="D138" s="204">
        <f>$D$86</f>
        <v>1.55</v>
      </c>
      <c r="E138" s="182"/>
      <c r="F138" s="164">
        <f>ROUND(D138*$C138,0)</f>
        <v>1474</v>
      </c>
      <c r="G138" s="204">
        <f>$G$86</f>
        <v>1.6</v>
      </c>
      <c r="H138" s="204"/>
      <c r="I138" s="164">
        <f t="shared" ref="I138:I139" si="15">ROUND(G138*C138,0)</f>
        <v>1522</v>
      </c>
      <c r="J138" s="204">
        <f>$J$86</f>
        <v>1.65</v>
      </c>
      <c r="K138" s="182"/>
      <c r="L138" s="164">
        <f>ROUND(J138*$C138,0)</f>
        <v>1569</v>
      </c>
      <c r="N138" s="76"/>
      <c r="O138" s="76"/>
      <c r="P138" s="144"/>
      <c r="Q138" s="144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J138" s="165"/>
    </row>
    <row r="139" spans="1:36">
      <c r="A139" s="211" t="s">
        <v>129</v>
      </c>
      <c r="B139" s="211"/>
      <c r="C139" s="200">
        <v>149</v>
      </c>
      <c r="D139" s="204">
        <f>$D$87</f>
        <v>3</v>
      </c>
      <c r="E139" s="211"/>
      <c r="F139" s="164">
        <f>ROUND(D139*$C139,0)</f>
        <v>447</v>
      </c>
      <c r="G139" s="204">
        <f>$G$87</f>
        <v>3.1</v>
      </c>
      <c r="H139" s="204"/>
      <c r="I139" s="164">
        <f t="shared" si="15"/>
        <v>462</v>
      </c>
      <c r="J139" s="204">
        <f>$J$87</f>
        <v>3.2</v>
      </c>
      <c r="K139" s="211"/>
      <c r="L139" s="164">
        <f>ROUND(J139*$C139,0)</f>
        <v>477</v>
      </c>
      <c r="N139" s="76"/>
      <c r="O139" s="76"/>
      <c r="P139" s="144"/>
      <c r="Q139" s="144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J139" s="165"/>
    </row>
    <row r="140" spans="1:36">
      <c r="A140" s="211" t="s">
        <v>130</v>
      </c>
      <c r="B140" s="211"/>
      <c r="C140" s="200">
        <v>11</v>
      </c>
      <c r="D140" s="212">
        <f>-D138</f>
        <v>-1.55</v>
      </c>
      <c r="E140" s="211"/>
      <c r="F140" s="164">
        <f>ROUND(D140*$C140,0)</f>
        <v>-17</v>
      </c>
      <c r="G140" s="212">
        <f>-G138</f>
        <v>-1.6</v>
      </c>
      <c r="H140" s="212"/>
      <c r="I140" s="164">
        <f>ROUND(G140*C140,0)</f>
        <v>-18</v>
      </c>
      <c r="J140" s="212">
        <f>-J138</f>
        <v>-1.65</v>
      </c>
      <c r="K140" s="211"/>
      <c r="L140" s="164">
        <f>ROUND(J140*$C140,0)</f>
        <v>-18</v>
      </c>
      <c r="N140" s="76"/>
      <c r="O140" s="76"/>
      <c r="P140" s="144"/>
      <c r="Q140" s="144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J140" s="165"/>
    </row>
    <row r="141" spans="1:36">
      <c r="A141" s="182" t="s">
        <v>131</v>
      </c>
      <c r="B141" s="182"/>
      <c r="C141" s="200">
        <f>SUM(C136:C137)</f>
        <v>583442</v>
      </c>
      <c r="D141" s="214"/>
      <c r="E141" s="164"/>
      <c r="F141" s="164">
        <f>SUM(F135:F140)</f>
        <v>44200</v>
      </c>
      <c r="G141" s="214"/>
      <c r="H141" s="214"/>
      <c r="I141" s="164">
        <f>SUM(I135:I140)</f>
        <v>46576</v>
      </c>
      <c r="J141" s="164"/>
      <c r="K141" s="164"/>
      <c r="L141" s="164">
        <f>SUM(L135:L140)</f>
        <v>52227</v>
      </c>
      <c r="N141" s="76"/>
      <c r="O141" s="76"/>
      <c r="P141" s="144"/>
      <c r="Q141" s="144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J141" s="165"/>
    </row>
    <row r="142" spans="1:36">
      <c r="A142" s="182" t="s">
        <v>114</v>
      </c>
      <c r="B142" s="182"/>
      <c r="C142" s="226">
        <v>-9817.9482082450995</v>
      </c>
      <c r="D142" s="217"/>
      <c r="E142" s="217"/>
      <c r="F142" s="218">
        <v>-581.19623081297163</v>
      </c>
      <c r="G142" s="217"/>
      <c r="H142" s="217"/>
      <c r="I142" s="218">
        <f>F142</f>
        <v>-581.19623081297163</v>
      </c>
      <c r="J142" s="217"/>
      <c r="K142" s="217"/>
      <c r="L142" s="218">
        <f>F142</f>
        <v>-581.19623081297163</v>
      </c>
      <c r="N142" s="196"/>
      <c r="O142" s="196"/>
      <c r="P142" s="194"/>
      <c r="Q142" s="144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J142" s="165"/>
    </row>
    <row r="143" spans="1:36" ht="16.5" thickBot="1">
      <c r="A143" s="182" t="s">
        <v>132</v>
      </c>
      <c r="B143" s="182"/>
      <c r="C143" s="219">
        <f>C141+C142</f>
        <v>573624.0517917549</v>
      </c>
      <c r="D143" s="220"/>
      <c r="E143" s="220"/>
      <c r="F143" s="220">
        <f>F141+F142</f>
        <v>43618.803769187027</v>
      </c>
      <c r="G143" s="220"/>
      <c r="H143" s="220"/>
      <c r="I143" s="220">
        <f>I141+I142</f>
        <v>45994.803769187027</v>
      </c>
      <c r="J143" s="220"/>
      <c r="K143" s="220"/>
      <c r="L143" s="220">
        <f>L141+L142</f>
        <v>51645.803769187027</v>
      </c>
      <c r="N143" s="197"/>
      <c r="O143" s="197"/>
      <c r="P143" s="198"/>
      <c r="Q143" s="144"/>
      <c r="R143" s="76" t="s">
        <v>0</v>
      </c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J143" s="165"/>
    </row>
    <row r="144" spans="1:36" ht="16.5" thickTop="1">
      <c r="A144" s="182"/>
      <c r="B144" s="221"/>
      <c r="C144" s="200"/>
      <c r="D144" s="200"/>
      <c r="E144" s="200"/>
      <c r="G144" s="200"/>
      <c r="H144" s="200"/>
      <c r="J144" s="182" t="s">
        <v>0</v>
      </c>
      <c r="K144" s="182"/>
      <c r="L144" s="164" t="s">
        <v>0</v>
      </c>
      <c r="N144" s="76"/>
      <c r="O144" s="76"/>
      <c r="P144" s="144"/>
      <c r="Q144" s="144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J144" s="165"/>
    </row>
    <row r="145" spans="1:43">
      <c r="A145" s="199" t="s">
        <v>138</v>
      </c>
      <c r="B145" s="182"/>
      <c r="C145" s="182" t="s">
        <v>0</v>
      </c>
      <c r="D145" s="164" t="s">
        <v>0</v>
      </c>
      <c r="E145" s="164"/>
      <c r="F145" s="182" t="s">
        <v>0</v>
      </c>
      <c r="G145" s="164" t="s">
        <v>0</v>
      </c>
      <c r="H145" s="164"/>
      <c r="I145" s="182"/>
      <c r="J145" s="164"/>
      <c r="K145" s="182"/>
      <c r="L145" s="182"/>
      <c r="N145" s="76"/>
      <c r="O145" s="76"/>
      <c r="P145" s="144"/>
      <c r="Q145" s="144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J145" s="165"/>
    </row>
    <row r="146" spans="1:43">
      <c r="A146" s="182" t="s">
        <v>139</v>
      </c>
      <c r="B146" s="182"/>
      <c r="C146" s="182"/>
      <c r="D146" s="164"/>
      <c r="E146" s="164"/>
      <c r="F146" s="182"/>
      <c r="G146" s="164"/>
      <c r="H146" s="164"/>
      <c r="I146" s="182"/>
      <c r="J146" s="164"/>
      <c r="K146" s="182"/>
      <c r="L146" s="182"/>
      <c r="N146" s="76"/>
      <c r="O146" s="76"/>
      <c r="P146" s="144"/>
      <c r="Q146" s="144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J146" s="165"/>
    </row>
    <row r="147" spans="1:43">
      <c r="A147" s="182"/>
      <c r="B147" s="182"/>
      <c r="C147" s="182"/>
      <c r="D147" s="164"/>
      <c r="E147" s="164"/>
      <c r="F147" s="182"/>
      <c r="G147" s="164"/>
      <c r="H147" s="164"/>
      <c r="I147" s="182"/>
      <c r="J147" s="164"/>
      <c r="K147" s="182"/>
      <c r="L147" s="182"/>
      <c r="N147" s="76"/>
      <c r="O147" s="76"/>
      <c r="Q147" s="229" t="s">
        <v>0</v>
      </c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J147" s="165"/>
    </row>
    <row r="148" spans="1:43">
      <c r="A148" s="182" t="s">
        <v>140</v>
      </c>
      <c r="B148" s="182"/>
      <c r="C148" s="182"/>
      <c r="D148" s="164"/>
      <c r="E148" s="164"/>
      <c r="F148" s="182"/>
      <c r="G148" s="164"/>
      <c r="H148" s="164"/>
      <c r="I148" s="182"/>
      <c r="J148" s="164"/>
      <c r="K148" s="182"/>
      <c r="L148" s="182"/>
      <c r="N148" s="76"/>
      <c r="O148" s="76"/>
      <c r="Q148" s="203" t="s">
        <v>113</v>
      </c>
      <c r="R148" s="230"/>
      <c r="S148" s="230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J148" s="165"/>
    </row>
    <row r="149" spans="1:43">
      <c r="A149" s="182" t="s">
        <v>141</v>
      </c>
      <c r="B149" s="182"/>
      <c r="C149" s="200">
        <f>C384</f>
        <v>1</v>
      </c>
      <c r="D149" s="204">
        <v>90.36</v>
      </c>
      <c r="E149" s="164"/>
      <c r="F149" s="164">
        <f t="shared" ref="F149:I151" si="16">F355</f>
        <v>90</v>
      </c>
      <c r="G149" s="204">
        <v>91.679999999999993</v>
      </c>
      <c r="H149" s="204"/>
      <c r="I149" s="164">
        <f t="shared" si="16"/>
        <v>92</v>
      </c>
      <c r="J149" s="204">
        <f>J153*12</f>
        <v>103.19999999999999</v>
      </c>
      <c r="K149" s="182"/>
      <c r="L149" s="164">
        <f>L355</f>
        <v>103</v>
      </c>
      <c r="N149" s="165" t="e">
        <f>J149*#REF!</f>
        <v>#REF!</v>
      </c>
      <c r="Q149" s="88">
        <f>(J149-G149)/G149</f>
        <v>0.12565445026178007</v>
      </c>
      <c r="R149" s="231"/>
      <c r="S149" s="232"/>
      <c r="V149" s="233"/>
      <c r="X149" s="233"/>
      <c r="Z149" s="233"/>
      <c r="AA149" s="233"/>
      <c r="AJ149" s="76"/>
      <c r="AK149" s="76"/>
      <c r="AL149" s="76"/>
      <c r="AM149" s="76"/>
      <c r="AN149" s="76"/>
      <c r="AO149" s="76"/>
      <c r="AQ149" s="165"/>
    </row>
    <row r="150" spans="1:43">
      <c r="A150" s="182" t="s">
        <v>142</v>
      </c>
      <c r="B150" s="182"/>
      <c r="C150" s="200">
        <f>C356</f>
        <v>101</v>
      </c>
      <c r="D150" s="204">
        <v>134.16</v>
      </c>
      <c r="E150" s="164"/>
      <c r="F150" s="164">
        <f t="shared" si="16"/>
        <v>13550</v>
      </c>
      <c r="G150" s="204">
        <v>136.32</v>
      </c>
      <c r="H150" s="204"/>
      <c r="I150" s="164">
        <f t="shared" si="16"/>
        <v>13768</v>
      </c>
      <c r="J150" s="204">
        <f>J154*12</f>
        <v>153.47999999999999</v>
      </c>
      <c r="K150" s="182"/>
      <c r="L150" s="164">
        <f>L356</f>
        <v>15501</v>
      </c>
      <c r="N150" s="165" t="e">
        <f>J150*#REF!</f>
        <v>#REF!</v>
      </c>
      <c r="O150" s="165"/>
      <c r="Q150" s="88">
        <f>(J150-G150)/G150</f>
        <v>0.12588028169014082</v>
      </c>
      <c r="R150" s="231"/>
      <c r="S150" s="232"/>
      <c r="U150" s="165"/>
      <c r="V150" s="208"/>
      <c r="W150" s="165"/>
      <c r="X150" s="208"/>
      <c r="Y150" s="165"/>
      <c r="Z150" s="165"/>
      <c r="AA150" s="208"/>
      <c r="AB150" s="165"/>
      <c r="AJ150" s="76"/>
      <c r="AK150" s="76"/>
      <c r="AL150" s="76"/>
      <c r="AM150" s="76"/>
      <c r="AN150" s="76"/>
      <c r="AO150" s="76"/>
      <c r="AQ150" s="165"/>
    </row>
    <row r="151" spans="1:43">
      <c r="A151" s="182" t="s">
        <v>143</v>
      </c>
      <c r="B151" s="182"/>
      <c r="C151" s="200">
        <f>C357</f>
        <v>3965</v>
      </c>
      <c r="D151" s="204">
        <f>D155*12</f>
        <v>9.36</v>
      </c>
      <c r="E151" s="164"/>
      <c r="F151" s="164">
        <f t="shared" si="16"/>
        <v>37112</v>
      </c>
      <c r="G151" s="204">
        <v>9.66</v>
      </c>
      <c r="H151" s="204"/>
      <c r="I151" s="164">
        <f t="shared" si="16"/>
        <v>38302</v>
      </c>
      <c r="J151" s="204">
        <f>J155*12</f>
        <v>10.92</v>
      </c>
      <c r="K151" s="182"/>
      <c r="L151" s="164">
        <f>L357</f>
        <v>43298</v>
      </c>
      <c r="N151" s="165" t="e">
        <f>J151*#REF!</f>
        <v>#REF!</v>
      </c>
      <c r="Q151" s="88">
        <f>(J151-G151)/G151</f>
        <v>0.13043478260869562</v>
      </c>
      <c r="R151" s="231"/>
      <c r="S151" s="232"/>
      <c r="U151" s="165"/>
      <c r="V151" s="208"/>
      <c r="W151" s="165"/>
      <c r="X151" s="208"/>
      <c r="Y151" s="165"/>
      <c r="Z151" s="165"/>
      <c r="AA151" s="208"/>
      <c r="AB151" s="165"/>
      <c r="AJ151" s="76"/>
      <c r="AK151" s="76"/>
      <c r="AL151" s="76"/>
      <c r="AM151" s="76"/>
      <c r="AN151" s="76"/>
      <c r="AO151" s="76"/>
      <c r="AQ151" s="165"/>
    </row>
    <row r="152" spans="1:43">
      <c r="A152" s="182" t="s">
        <v>144</v>
      </c>
      <c r="B152" s="182"/>
      <c r="C152" s="234"/>
      <c r="D152" s="164"/>
      <c r="E152" s="164"/>
      <c r="F152" s="182"/>
      <c r="G152" s="164"/>
      <c r="H152" s="164"/>
      <c r="I152" s="182"/>
      <c r="J152" s="164"/>
      <c r="K152" s="182"/>
      <c r="L152" s="182"/>
      <c r="Q152" s="235"/>
      <c r="R152" s="165"/>
      <c r="S152" s="235"/>
      <c r="U152" s="165"/>
      <c r="V152" s="208"/>
      <c r="W152" s="165"/>
      <c r="X152" s="208"/>
      <c r="Y152" s="165"/>
      <c r="Z152" s="165"/>
      <c r="AA152" s="208"/>
      <c r="AB152" s="165"/>
      <c r="AJ152" s="76"/>
      <c r="AK152" s="76"/>
      <c r="AL152" s="76"/>
      <c r="AM152" s="76"/>
      <c r="AN152" s="76"/>
      <c r="AO152" s="76"/>
      <c r="AQ152" s="165"/>
    </row>
    <row r="153" spans="1:43">
      <c r="A153" s="182" t="s">
        <v>141</v>
      </c>
      <c r="B153" s="182"/>
      <c r="C153" s="234">
        <f t="shared" ref="C153:C155" si="17">C183+C267</f>
        <v>156422</v>
      </c>
      <c r="D153" s="204">
        <v>7.53</v>
      </c>
      <c r="E153" s="236"/>
      <c r="F153" s="237">
        <f t="shared" ref="F153:I155" si="18">F183+F267</f>
        <v>1177857</v>
      </c>
      <c r="G153" s="204">
        <v>7.64</v>
      </c>
      <c r="H153" s="204"/>
      <c r="I153" s="237">
        <f t="shared" si="18"/>
        <v>1195064</v>
      </c>
      <c r="J153" s="204">
        <f t="shared" ref="J153:J155" si="19">ROUND(G153*(1+$Q$174),2)</f>
        <v>8.6</v>
      </c>
      <c r="K153" s="238"/>
      <c r="L153" s="237">
        <f>L183+L267</f>
        <v>1345230</v>
      </c>
      <c r="N153" s="165" t="e">
        <f>J153*#REF!</f>
        <v>#REF!</v>
      </c>
      <c r="Q153" s="88">
        <f>(J153-G153)/G153</f>
        <v>0.1256544502617801</v>
      </c>
      <c r="R153" s="231"/>
      <c r="S153" s="232"/>
      <c r="U153" s="165"/>
      <c r="V153" s="208"/>
      <c r="W153" s="165"/>
      <c r="X153" s="208"/>
      <c r="Y153" s="165"/>
      <c r="Z153" s="165"/>
      <c r="AA153" s="208"/>
      <c r="AB153" s="165"/>
      <c r="AJ153" s="76"/>
      <c r="AK153" s="76"/>
      <c r="AL153" s="76"/>
      <c r="AM153" s="76"/>
      <c r="AN153" s="76"/>
      <c r="AO153" s="76"/>
      <c r="AQ153" s="165"/>
    </row>
    <row r="154" spans="1:43">
      <c r="A154" s="182" t="s">
        <v>142</v>
      </c>
      <c r="B154" s="182"/>
      <c r="C154" s="234">
        <f t="shared" si="17"/>
        <v>61349</v>
      </c>
      <c r="D154" s="204">
        <v>11.18</v>
      </c>
      <c r="E154" s="239"/>
      <c r="F154" s="237">
        <f t="shared" si="18"/>
        <v>685882</v>
      </c>
      <c r="G154" s="204">
        <v>11.36</v>
      </c>
      <c r="H154" s="204"/>
      <c r="I154" s="237">
        <f t="shared" si="18"/>
        <v>696925</v>
      </c>
      <c r="J154" s="204">
        <f t="shared" si="19"/>
        <v>12.79</v>
      </c>
      <c r="K154" s="240"/>
      <c r="L154" s="237">
        <f>L184+L268</f>
        <v>784654</v>
      </c>
      <c r="N154" s="165" t="e">
        <f>J154*#REF!</f>
        <v>#REF!</v>
      </c>
      <c r="Q154" s="88">
        <f>(J154-G154)/G154</f>
        <v>0.12588028169014082</v>
      </c>
      <c r="R154" s="231"/>
      <c r="S154" s="232"/>
      <c r="T154" s="175"/>
      <c r="U154" s="165"/>
      <c r="V154" s="208"/>
      <c r="W154" s="165"/>
      <c r="X154" s="241"/>
      <c r="Y154" s="165"/>
      <c r="Z154" s="165"/>
      <c r="AA154" s="241"/>
      <c r="AB154" s="76"/>
      <c r="AC154" s="76"/>
      <c r="AD154" s="76"/>
      <c r="AE154" s="76"/>
      <c r="AF154" s="76"/>
      <c r="AG154" s="76"/>
      <c r="AH154" s="76"/>
      <c r="AJ154" s="165"/>
    </row>
    <row r="155" spans="1:43">
      <c r="A155" s="182" t="s">
        <v>143</v>
      </c>
      <c r="B155" s="182"/>
      <c r="C155" s="234">
        <f t="shared" si="17"/>
        <v>1204160</v>
      </c>
      <c r="D155" s="204">
        <v>0.78</v>
      </c>
      <c r="E155" s="239"/>
      <c r="F155" s="237">
        <f t="shared" si="18"/>
        <v>939245</v>
      </c>
      <c r="G155" s="204">
        <v>0.81</v>
      </c>
      <c r="H155" s="204"/>
      <c r="I155" s="237">
        <f t="shared" si="18"/>
        <v>975370</v>
      </c>
      <c r="J155" s="204">
        <f t="shared" si="19"/>
        <v>0.91</v>
      </c>
      <c r="K155" s="240"/>
      <c r="L155" s="237">
        <f>L185+L269</f>
        <v>1095786</v>
      </c>
      <c r="N155" s="165" t="e">
        <f>J155*#REF!</f>
        <v>#REF!</v>
      </c>
      <c r="Q155" s="88">
        <f>(J155-G155)/G155</f>
        <v>0.12345679012345676</v>
      </c>
      <c r="R155" s="231"/>
      <c r="S155" s="232"/>
      <c r="T155" s="175"/>
      <c r="W155" s="242"/>
      <c r="X155" s="242"/>
      <c r="Y155" s="242"/>
      <c r="Z155" s="242"/>
      <c r="AA155" s="242"/>
      <c r="AB155" s="76"/>
      <c r="AC155" s="76"/>
      <c r="AD155" s="76"/>
      <c r="AE155" s="76"/>
      <c r="AF155" s="76"/>
      <c r="AG155" s="76"/>
      <c r="AH155" s="76"/>
      <c r="AJ155" s="165"/>
    </row>
    <row r="156" spans="1:43">
      <c r="A156" s="182" t="s">
        <v>145</v>
      </c>
      <c r="B156" s="182"/>
      <c r="C156" s="234">
        <f>SUM(C153:C154)</f>
        <v>217771</v>
      </c>
      <c r="D156" s="204"/>
      <c r="E156" s="236"/>
      <c r="F156" s="237"/>
      <c r="G156" s="204"/>
      <c r="H156" s="204"/>
      <c r="I156" s="237"/>
      <c r="J156" s="204"/>
      <c r="K156" s="238"/>
      <c r="L156" s="237"/>
      <c r="Q156" s="235"/>
      <c r="R156" s="231"/>
      <c r="S156" s="235"/>
      <c r="T156" s="175"/>
      <c r="AB156" s="76"/>
      <c r="AC156" s="76"/>
      <c r="AD156" s="76"/>
      <c r="AE156" s="76"/>
      <c r="AF156" s="76"/>
      <c r="AG156" s="76"/>
      <c r="AH156" s="76"/>
      <c r="AJ156" s="165"/>
    </row>
    <row r="157" spans="1:43">
      <c r="A157" s="182" t="s">
        <v>111</v>
      </c>
      <c r="B157" s="182"/>
      <c r="C157" s="234">
        <f>C186+C271+C359</f>
        <v>215933</v>
      </c>
      <c r="D157" s="204"/>
      <c r="E157" s="236"/>
      <c r="F157" s="237"/>
      <c r="G157" s="204"/>
      <c r="H157" s="204"/>
      <c r="I157" s="237"/>
      <c r="J157" s="204"/>
      <c r="K157" s="238"/>
      <c r="L157" s="237"/>
      <c r="Q157" s="235"/>
      <c r="R157" s="231"/>
      <c r="S157" s="235"/>
      <c r="T157" s="175"/>
      <c r="AB157" s="76"/>
      <c r="AC157" s="76"/>
      <c r="AD157" s="76"/>
      <c r="AE157" s="76"/>
      <c r="AF157" s="76"/>
      <c r="AG157" s="76"/>
      <c r="AH157" s="76"/>
      <c r="AJ157" s="165"/>
    </row>
    <row r="158" spans="1:43">
      <c r="A158" s="182" t="s">
        <v>146</v>
      </c>
      <c r="B158" s="182"/>
      <c r="C158" s="234">
        <f t="shared" ref="C158:C162" si="20">C187+C272+C360</f>
        <v>788284</v>
      </c>
      <c r="D158" s="204">
        <v>2.88</v>
      </c>
      <c r="E158" s="238"/>
      <c r="F158" s="237">
        <f t="shared" ref="F158:I162" si="21">F187+F272+F360</f>
        <v>2270258</v>
      </c>
      <c r="G158" s="204">
        <v>2.98</v>
      </c>
      <c r="H158" s="204"/>
      <c r="I158" s="237">
        <f t="shared" si="21"/>
        <v>2349085</v>
      </c>
      <c r="J158" s="204">
        <f t="shared" ref="J158" si="22">ROUND(G158*(1+$Q$174),2)</f>
        <v>3.35</v>
      </c>
      <c r="K158" s="238"/>
      <c r="L158" s="237">
        <f>L187+L272+L360</f>
        <v>2640752</v>
      </c>
      <c r="N158" s="165" t="e">
        <f>J158*#REF!</f>
        <v>#REF!</v>
      </c>
      <c r="Q158" s="88">
        <f>(J158-G158)/G158</f>
        <v>0.1241610738255034</v>
      </c>
      <c r="R158" s="231"/>
      <c r="S158" s="232"/>
      <c r="T158" s="175"/>
      <c r="AB158" s="76"/>
      <c r="AC158" s="76"/>
      <c r="AD158" s="76"/>
      <c r="AE158" s="76"/>
      <c r="AF158" s="76"/>
      <c r="AG158" s="76"/>
      <c r="AH158" s="76"/>
      <c r="AJ158" s="165"/>
    </row>
    <row r="159" spans="1:43">
      <c r="A159" s="182" t="s">
        <v>147</v>
      </c>
      <c r="B159" s="182"/>
      <c r="C159" s="234">
        <f t="shared" si="20"/>
        <v>130213627</v>
      </c>
      <c r="D159" s="207">
        <v>8.0890000000000004</v>
      </c>
      <c r="E159" s="238" t="s">
        <v>126</v>
      </c>
      <c r="F159" s="237">
        <f t="shared" si="21"/>
        <v>10532981</v>
      </c>
      <c r="G159" s="207">
        <v>8.5489999999999995</v>
      </c>
      <c r="H159" s="207"/>
      <c r="I159" s="237">
        <f t="shared" si="21"/>
        <v>11131964</v>
      </c>
      <c r="J159" s="207">
        <f>ROUND(G159*(1+$Q$174),3)</f>
        <v>9.6240000000000006</v>
      </c>
      <c r="K159" s="238" t="s">
        <v>126</v>
      </c>
      <c r="L159" s="237">
        <f>L188+L273+L361</f>
        <v>12531760</v>
      </c>
      <c r="N159" s="165" t="e">
        <f>(J159/100)*#REF!</f>
        <v>#REF!</v>
      </c>
      <c r="P159" s="175" t="s">
        <v>0</v>
      </c>
      <c r="Q159" s="88">
        <f>(J159-G159)/G159</f>
        <v>0.1257457012516085</v>
      </c>
      <c r="R159" s="243"/>
      <c r="S159" s="232"/>
      <c r="T159" s="175"/>
      <c r="U159" s="130"/>
      <c r="V159" s="130"/>
      <c r="W159" s="130"/>
      <c r="X159" s="130"/>
      <c r="Y159" s="130"/>
      <c r="Z159" s="130"/>
      <c r="AB159" s="76"/>
      <c r="AC159" s="76"/>
      <c r="AD159" s="76"/>
      <c r="AE159" s="76"/>
      <c r="AF159" s="76"/>
      <c r="AG159" s="76"/>
      <c r="AH159" s="76"/>
      <c r="AJ159" s="165"/>
    </row>
    <row r="160" spans="1:43">
      <c r="A160" s="182" t="s">
        <v>148</v>
      </c>
      <c r="B160" s="182"/>
      <c r="C160" s="234">
        <f t="shared" si="20"/>
        <v>290350863</v>
      </c>
      <c r="D160" s="207">
        <v>5.5839999999999996</v>
      </c>
      <c r="E160" s="238" t="s">
        <v>126</v>
      </c>
      <c r="F160" s="237">
        <f t="shared" si="21"/>
        <v>16213192</v>
      </c>
      <c r="G160" s="207">
        <v>5.9020000000000001</v>
      </c>
      <c r="H160" s="207"/>
      <c r="I160" s="237">
        <f t="shared" si="21"/>
        <v>17136507</v>
      </c>
      <c r="J160" s="207">
        <f>ROUND(G160*(1+$Q$174),3)+0.001</f>
        <v>6.6450000000000005</v>
      </c>
      <c r="K160" s="238" t="s">
        <v>126</v>
      </c>
      <c r="L160" s="237">
        <f>L189+L274+L362</f>
        <v>19293815</v>
      </c>
      <c r="N160" s="165" t="e">
        <f>(J160/100)*#REF!</f>
        <v>#REF!</v>
      </c>
      <c r="O160" s="231"/>
      <c r="Q160" s="88">
        <f>(J160-G160)/G160</f>
        <v>0.12588952897322947</v>
      </c>
      <c r="R160" s="243"/>
      <c r="S160" s="232"/>
      <c r="T160" s="175"/>
      <c r="AB160" s="76"/>
      <c r="AC160" s="76"/>
      <c r="AD160" s="76"/>
      <c r="AE160" s="76"/>
      <c r="AF160" s="76"/>
      <c r="AG160" s="76"/>
      <c r="AH160" s="76"/>
      <c r="AJ160" s="165"/>
    </row>
    <row r="161" spans="1:36">
      <c r="A161" s="182" t="s">
        <v>149</v>
      </c>
      <c r="B161" s="182"/>
      <c r="C161" s="234">
        <f t="shared" si="20"/>
        <v>120608638</v>
      </c>
      <c r="D161" s="207">
        <v>4.8099999999999996</v>
      </c>
      <c r="E161" s="238" t="s">
        <v>126</v>
      </c>
      <c r="F161" s="237">
        <f t="shared" si="21"/>
        <v>5801276</v>
      </c>
      <c r="G161" s="207">
        <v>5.0839999999999996</v>
      </c>
      <c r="H161" s="207"/>
      <c r="I161" s="237">
        <f t="shared" si="21"/>
        <v>6131743</v>
      </c>
      <c r="J161" s="207">
        <f>ROUND(G161*(1+$Q$174),3)+0.002</f>
        <v>5.7249999999999996</v>
      </c>
      <c r="K161" s="238" t="s">
        <v>126</v>
      </c>
      <c r="L161" s="237">
        <f>L190+L275+L363</f>
        <v>6904844</v>
      </c>
      <c r="N161" s="165" t="e">
        <f>(J161/100)*#REF!</f>
        <v>#REF!</v>
      </c>
      <c r="O161" s="209"/>
      <c r="Q161" s="88">
        <f>(J161-G161)/G161</f>
        <v>0.12608182533438239</v>
      </c>
      <c r="R161" s="243"/>
      <c r="S161" s="232"/>
      <c r="T161" s="175"/>
      <c r="U161" s="165"/>
      <c r="V161" s="165"/>
      <c r="AB161" s="76"/>
      <c r="AC161" s="76"/>
      <c r="AD161" s="76"/>
      <c r="AE161" s="76"/>
      <c r="AF161" s="76"/>
      <c r="AG161" s="76"/>
      <c r="AH161" s="76"/>
      <c r="AJ161" s="165"/>
    </row>
    <row r="162" spans="1:36">
      <c r="A162" s="182" t="s">
        <v>150</v>
      </c>
      <c r="B162" s="182"/>
      <c r="C162" s="234">
        <f t="shared" si="20"/>
        <v>101459</v>
      </c>
      <c r="D162" s="244">
        <v>45</v>
      </c>
      <c r="E162" s="236" t="s">
        <v>126</v>
      </c>
      <c r="F162" s="237">
        <f t="shared" si="21"/>
        <v>45656</v>
      </c>
      <c r="G162" s="244">
        <v>50</v>
      </c>
      <c r="H162" s="244"/>
      <c r="I162" s="237">
        <f t="shared" si="21"/>
        <v>50730</v>
      </c>
      <c r="J162" s="244">
        <f>ROUND(G162*(1+$Q$174),0)</f>
        <v>56</v>
      </c>
      <c r="K162" s="238" t="s">
        <v>126</v>
      </c>
      <c r="L162" s="237">
        <f>L191+L276+L364</f>
        <v>56817</v>
      </c>
      <c r="N162" s="165" t="e">
        <f>(J162/100)*#REF!</f>
        <v>#REF!</v>
      </c>
      <c r="Q162" s="88">
        <f>(J162-G162)/G162</f>
        <v>0.12</v>
      </c>
      <c r="R162" s="245"/>
      <c r="S162" s="232"/>
      <c r="T162" s="175"/>
      <c r="AB162" s="76"/>
      <c r="AC162" s="76"/>
      <c r="AD162" s="76"/>
      <c r="AE162" s="76"/>
      <c r="AF162" s="76"/>
      <c r="AG162" s="76"/>
      <c r="AH162" s="76"/>
      <c r="AJ162" s="165"/>
    </row>
    <row r="163" spans="1:36">
      <c r="A163" s="246" t="s">
        <v>151</v>
      </c>
      <c r="B163" s="182"/>
      <c r="C163" s="234"/>
      <c r="D163" s="247">
        <v>-0.01</v>
      </c>
      <c r="E163" s="236"/>
      <c r="F163" s="237"/>
      <c r="G163" s="247">
        <v>-0.01</v>
      </c>
      <c r="H163" s="247"/>
      <c r="I163" s="237"/>
      <c r="J163" s="247">
        <v>-0.01</v>
      </c>
      <c r="K163" s="238"/>
      <c r="L163" s="237"/>
      <c r="P163" s="248"/>
      <c r="AA163" s="76"/>
      <c r="AB163" s="76"/>
      <c r="AC163" s="76"/>
      <c r="AD163" s="76"/>
      <c r="AE163" s="76"/>
      <c r="AF163" s="76"/>
      <c r="AG163" s="76"/>
      <c r="AH163" s="76"/>
      <c r="AJ163" s="165"/>
    </row>
    <row r="164" spans="1:36">
      <c r="A164" s="182" t="s">
        <v>141</v>
      </c>
      <c r="B164" s="182"/>
      <c r="C164" s="234">
        <f t="shared" ref="C164:C175" si="23">C193+C278+C366</f>
        <v>52</v>
      </c>
      <c r="D164" s="249">
        <f>D153</f>
        <v>7.53</v>
      </c>
      <c r="E164" s="236"/>
      <c r="F164" s="237">
        <f t="shared" ref="F164:I175" si="24">F193+F278+F366</f>
        <v>-4</v>
      </c>
      <c r="G164" s="249">
        <f>G153</f>
        <v>7.64</v>
      </c>
      <c r="H164" s="249"/>
      <c r="I164" s="237">
        <f t="shared" si="24"/>
        <v>-4</v>
      </c>
      <c r="J164" s="249">
        <f>J153</f>
        <v>8.6</v>
      </c>
      <c r="K164" s="236"/>
      <c r="L164" s="237">
        <f t="shared" ref="L164:L174" si="25">L193+L278+L366</f>
        <v>-4</v>
      </c>
      <c r="N164" s="165" t="e">
        <f>-(J164/100)*#REF!</f>
        <v>#REF!</v>
      </c>
      <c r="AA164" s="76"/>
      <c r="AB164" s="76"/>
      <c r="AC164" s="76"/>
      <c r="AD164" s="76"/>
      <c r="AE164" s="76"/>
      <c r="AF164" s="76"/>
      <c r="AG164" s="76"/>
      <c r="AH164" s="76"/>
      <c r="AJ164" s="165"/>
    </row>
    <row r="165" spans="1:36">
      <c r="A165" s="182" t="s">
        <v>142</v>
      </c>
      <c r="B165" s="182"/>
      <c r="C165" s="234">
        <f t="shared" si="23"/>
        <v>84</v>
      </c>
      <c r="D165" s="249">
        <f>D154</f>
        <v>11.18</v>
      </c>
      <c r="E165" s="236"/>
      <c r="F165" s="237">
        <f t="shared" si="24"/>
        <v>-9</v>
      </c>
      <c r="G165" s="249">
        <f>G154</f>
        <v>11.36</v>
      </c>
      <c r="H165" s="249"/>
      <c r="I165" s="237">
        <f t="shared" si="24"/>
        <v>-10</v>
      </c>
      <c r="J165" s="249">
        <f>J154</f>
        <v>12.79</v>
      </c>
      <c r="K165" s="236"/>
      <c r="L165" s="237">
        <f t="shared" si="25"/>
        <v>-11</v>
      </c>
      <c r="N165" s="165" t="e">
        <f>-(J165/100)*#REF!</f>
        <v>#REF!</v>
      </c>
      <c r="AC165" s="76"/>
      <c r="AD165" s="76"/>
      <c r="AE165" s="76"/>
      <c r="AF165" s="76"/>
      <c r="AG165" s="76"/>
      <c r="AH165" s="76"/>
      <c r="AJ165" s="165"/>
    </row>
    <row r="166" spans="1:36">
      <c r="A166" s="182" t="s">
        <v>152</v>
      </c>
      <c r="B166" s="182"/>
      <c r="C166" s="234">
        <f t="shared" si="23"/>
        <v>1963</v>
      </c>
      <c r="D166" s="249">
        <f>D155</f>
        <v>0.78</v>
      </c>
      <c r="E166" s="236"/>
      <c r="F166" s="237">
        <f t="shared" si="24"/>
        <v>-15</v>
      </c>
      <c r="G166" s="249">
        <f>G155</f>
        <v>0.81</v>
      </c>
      <c r="H166" s="249"/>
      <c r="I166" s="237">
        <f t="shared" si="24"/>
        <v>-16</v>
      </c>
      <c r="J166" s="249">
        <f>J155</f>
        <v>0.91</v>
      </c>
      <c r="K166" s="236"/>
      <c r="L166" s="237">
        <f t="shared" si="25"/>
        <v>-18</v>
      </c>
      <c r="N166" s="165" t="e">
        <f>-(J166/100)*#REF!</f>
        <v>#REF!</v>
      </c>
      <c r="AC166" s="76"/>
      <c r="AD166" s="76"/>
      <c r="AE166" s="76"/>
      <c r="AF166" s="76"/>
      <c r="AG166" s="76"/>
      <c r="AH166" s="76"/>
      <c r="AJ166" s="165"/>
    </row>
    <row r="167" spans="1:36">
      <c r="A167" s="182" t="s">
        <v>153</v>
      </c>
      <c r="B167" s="182"/>
      <c r="C167" s="234">
        <f t="shared" si="23"/>
        <v>778</v>
      </c>
      <c r="D167" s="249">
        <f>D158</f>
        <v>2.88</v>
      </c>
      <c r="E167" s="238"/>
      <c r="F167" s="237">
        <f t="shared" si="24"/>
        <v>-22</v>
      </c>
      <c r="G167" s="249">
        <f>G158</f>
        <v>2.98</v>
      </c>
      <c r="H167" s="249"/>
      <c r="I167" s="237">
        <f t="shared" si="24"/>
        <v>-23</v>
      </c>
      <c r="J167" s="249">
        <f>J158</f>
        <v>3.35</v>
      </c>
      <c r="K167" s="238"/>
      <c r="L167" s="237">
        <f t="shared" si="25"/>
        <v>-26</v>
      </c>
      <c r="N167" s="165" t="e">
        <f>-(J167/100)*#REF!</f>
        <v>#REF!</v>
      </c>
      <c r="S167" s="143" t="s">
        <v>0</v>
      </c>
      <c r="AC167" s="76"/>
      <c r="AD167" s="76"/>
      <c r="AE167" s="76"/>
      <c r="AF167" s="76"/>
      <c r="AG167" s="76"/>
      <c r="AH167" s="76"/>
      <c r="AJ167" s="165"/>
    </row>
    <row r="168" spans="1:36">
      <c r="A168" s="182" t="s">
        <v>154</v>
      </c>
      <c r="B168" s="182"/>
      <c r="C168" s="234">
        <f t="shared" si="23"/>
        <v>91016</v>
      </c>
      <c r="D168" s="250">
        <f>D159</f>
        <v>8.0890000000000004</v>
      </c>
      <c r="E168" s="238" t="s">
        <v>126</v>
      </c>
      <c r="F168" s="237">
        <f t="shared" si="24"/>
        <v>-74</v>
      </c>
      <c r="G168" s="250">
        <f>G159</f>
        <v>8.5489999999999995</v>
      </c>
      <c r="H168" s="250"/>
      <c r="I168" s="237">
        <f t="shared" si="24"/>
        <v>-78</v>
      </c>
      <c r="J168" s="250">
        <f>J159</f>
        <v>9.6240000000000006</v>
      </c>
      <c r="K168" s="238" t="s">
        <v>126</v>
      </c>
      <c r="L168" s="237">
        <f t="shared" si="25"/>
        <v>-88</v>
      </c>
      <c r="N168" s="165" t="e">
        <f>-((J168/100)*#REF!)/100</f>
        <v>#REF!</v>
      </c>
      <c r="AC168" s="76"/>
      <c r="AD168" s="76"/>
      <c r="AE168" s="76"/>
      <c r="AF168" s="76"/>
      <c r="AG168" s="76"/>
      <c r="AH168" s="76"/>
      <c r="AJ168" s="165"/>
    </row>
    <row r="169" spans="1:36">
      <c r="A169" s="182" t="s">
        <v>148</v>
      </c>
      <c r="B169" s="182"/>
      <c r="C169" s="234">
        <f t="shared" si="23"/>
        <v>300043</v>
      </c>
      <c r="D169" s="250">
        <f>D160</f>
        <v>5.5839999999999996</v>
      </c>
      <c r="E169" s="238" t="s">
        <v>126</v>
      </c>
      <c r="F169" s="237">
        <f t="shared" si="24"/>
        <v>-168</v>
      </c>
      <c r="G169" s="250">
        <f>G160</f>
        <v>5.9020000000000001</v>
      </c>
      <c r="H169" s="250"/>
      <c r="I169" s="237">
        <f t="shared" si="24"/>
        <v>-177</v>
      </c>
      <c r="J169" s="250">
        <f>J160</f>
        <v>6.6450000000000005</v>
      </c>
      <c r="K169" s="238" t="s">
        <v>126</v>
      </c>
      <c r="L169" s="237">
        <f t="shared" si="25"/>
        <v>-199</v>
      </c>
      <c r="N169" s="165" t="e">
        <f>-((J169/100)*#REF!)/100</f>
        <v>#REF!</v>
      </c>
      <c r="AC169" s="76"/>
      <c r="AD169" s="76"/>
      <c r="AE169" s="76"/>
      <c r="AF169" s="76"/>
      <c r="AG169" s="76"/>
      <c r="AH169" s="76"/>
      <c r="AJ169" s="165"/>
    </row>
    <row r="170" spans="1:36">
      <c r="A170" s="182" t="s">
        <v>149</v>
      </c>
      <c r="B170" s="182"/>
      <c r="C170" s="234">
        <f t="shared" si="23"/>
        <v>73360</v>
      </c>
      <c r="D170" s="250">
        <f>D161</f>
        <v>4.8099999999999996</v>
      </c>
      <c r="E170" s="238" t="s">
        <v>126</v>
      </c>
      <c r="F170" s="237">
        <f t="shared" si="24"/>
        <v>-35</v>
      </c>
      <c r="G170" s="250">
        <f>G161</f>
        <v>5.0839999999999996</v>
      </c>
      <c r="H170" s="250"/>
      <c r="I170" s="237">
        <f t="shared" si="24"/>
        <v>-37</v>
      </c>
      <c r="J170" s="250">
        <f>J161</f>
        <v>5.7249999999999996</v>
      </c>
      <c r="K170" s="238" t="s">
        <v>126</v>
      </c>
      <c r="L170" s="237">
        <f t="shared" si="25"/>
        <v>-42</v>
      </c>
      <c r="N170" s="165" t="e">
        <f>-((J170/100)*#REF!)/100</f>
        <v>#REF!</v>
      </c>
      <c r="AA170" s="76"/>
      <c r="AB170" s="76"/>
      <c r="AC170" s="76"/>
      <c r="AD170" s="76"/>
      <c r="AE170" s="76"/>
      <c r="AF170" s="76"/>
      <c r="AG170" s="76"/>
      <c r="AH170" s="76"/>
      <c r="AJ170" s="165"/>
    </row>
    <row r="171" spans="1:36">
      <c r="A171" s="182" t="s">
        <v>150</v>
      </c>
      <c r="B171" s="182"/>
      <c r="C171" s="234">
        <f t="shared" si="23"/>
        <v>2946</v>
      </c>
      <c r="D171" s="251">
        <f>D162</f>
        <v>45</v>
      </c>
      <c r="E171" s="238" t="s">
        <v>126</v>
      </c>
      <c r="F171" s="237">
        <f t="shared" si="24"/>
        <v>-13</v>
      </c>
      <c r="G171" s="251">
        <f>G162</f>
        <v>50</v>
      </c>
      <c r="H171" s="251"/>
      <c r="I171" s="237">
        <f t="shared" si="24"/>
        <v>-15</v>
      </c>
      <c r="J171" s="251">
        <f>J162</f>
        <v>56</v>
      </c>
      <c r="K171" s="238" t="s">
        <v>126</v>
      </c>
      <c r="L171" s="237">
        <f t="shared" si="25"/>
        <v>-16</v>
      </c>
      <c r="N171" s="165" t="e">
        <f>-((J171/100)*#REF!)/100</f>
        <v>#REF!</v>
      </c>
      <c r="AA171" s="76"/>
      <c r="AB171" s="76"/>
      <c r="AC171" s="76"/>
      <c r="AD171" s="76"/>
      <c r="AE171" s="76"/>
      <c r="AF171" s="76"/>
      <c r="AG171" s="76"/>
      <c r="AH171" s="76"/>
      <c r="AJ171" s="165"/>
    </row>
    <row r="172" spans="1:36">
      <c r="A172" s="182" t="s">
        <v>155</v>
      </c>
      <c r="B172" s="182"/>
      <c r="C172" s="234">
        <f t="shared" si="23"/>
        <v>84</v>
      </c>
      <c r="D172" s="252">
        <v>60</v>
      </c>
      <c r="E172" s="236"/>
      <c r="F172" s="237">
        <f t="shared" si="24"/>
        <v>5040</v>
      </c>
      <c r="G172" s="252">
        <v>60</v>
      </c>
      <c r="H172" s="252"/>
      <c r="I172" s="237">
        <f t="shared" si="24"/>
        <v>5040</v>
      </c>
      <c r="J172" s="252">
        <v>60</v>
      </c>
      <c r="K172" s="238"/>
      <c r="L172" s="237">
        <f t="shared" si="25"/>
        <v>5040</v>
      </c>
      <c r="N172" s="165" t="e">
        <f>J172*#REF!</f>
        <v>#REF!</v>
      </c>
      <c r="AA172" s="76"/>
      <c r="AB172" s="76"/>
      <c r="AC172" s="76"/>
      <c r="AD172" s="76"/>
      <c r="AE172" s="76"/>
      <c r="AF172" s="76"/>
      <c r="AG172" s="76"/>
      <c r="AH172" s="76"/>
      <c r="AJ172" s="165"/>
    </row>
    <row r="173" spans="1:36">
      <c r="A173" s="182" t="s">
        <v>156</v>
      </c>
      <c r="B173" s="182"/>
      <c r="C173" s="234">
        <f t="shared" si="23"/>
        <v>1344</v>
      </c>
      <c r="D173" s="253">
        <v>-30</v>
      </c>
      <c r="E173" s="236" t="s">
        <v>126</v>
      </c>
      <c r="F173" s="237">
        <f t="shared" si="24"/>
        <v>-403</v>
      </c>
      <c r="G173" s="253">
        <v>-30</v>
      </c>
      <c r="H173" s="253"/>
      <c r="I173" s="237">
        <f t="shared" si="24"/>
        <v>-403</v>
      </c>
      <c r="J173" s="253">
        <v>-30</v>
      </c>
      <c r="K173" s="238" t="s">
        <v>126</v>
      </c>
      <c r="L173" s="237">
        <f t="shared" si="25"/>
        <v>-403</v>
      </c>
      <c r="N173" s="165" t="e">
        <f>(J173/100)*#REF!</f>
        <v>#REF!</v>
      </c>
      <c r="R173" s="254"/>
      <c r="S173" s="254"/>
      <c r="AA173" s="76"/>
      <c r="AB173" s="76"/>
      <c r="AC173" s="76"/>
      <c r="AD173" s="76"/>
      <c r="AE173" s="76"/>
      <c r="AF173" s="76"/>
      <c r="AG173" s="76"/>
      <c r="AH173" s="76"/>
      <c r="AJ173" s="165"/>
    </row>
    <row r="174" spans="1:36">
      <c r="A174" s="182" t="s">
        <v>131</v>
      </c>
      <c r="B174" s="162"/>
      <c r="C174" s="234">
        <f t="shared" si="23"/>
        <v>541173128</v>
      </c>
      <c r="D174" s="244"/>
      <c r="E174" s="164"/>
      <c r="F174" s="237">
        <f t="shared" si="24"/>
        <v>37721396</v>
      </c>
      <c r="G174" s="244"/>
      <c r="H174" s="244"/>
      <c r="I174" s="237">
        <f t="shared" si="24"/>
        <v>39723827</v>
      </c>
      <c r="J174" s="244"/>
      <c r="K174" s="238"/>
      <c r="L174" s="237">
        <f t="shared" si="25"/>
        <v>44716793</v>
      </c>
      <c r="N174" s="165" t="e">
        <f>SUM(N149:N173)</f>
        <v>#REF!</v>
      </c>
      <c r="Q174" s="131">
        <v>0.12575122944934994</v>
      </c>
      <c r="R174" s="143" t="s">
        <v>0</v>
      </c>
      <c r="AA174" s="76"/>
      <c r="AB174" s="76"/>
      <c r="AC174" s="76"/>
      <c r="AD174" s="76"/>
      <c r="AE174" s="76"/>
      <c r="AF174" s="76"/>
      <c r="AG174" s="76"/>
      <c r="AH174" s="76"/>
      <c r="AJ174" s="165"/>
    </row>
    <row r="175" spans="1:36">
      <c r="A175" s="182" t="s">
        <v>114</v>
      </c>
      <c r="B175" s="228"/>
      <c r="C175" s="255">
        <f t="shared" si="23"/>
        <v>9469832.7009582445</v>
      </c>
      <c r="D175" s="217"/>
      <c r="E175" s="217"/>
      <c r="F175" s="256">
        <f t="shared" si="24"/>
        <v>719277.07728217077</v>
      </c>
      <c r="G175" s="217"/>
      <c r="H175" s="217"/>
      <c r="I175" s="256">
        <f t="shared" si="24"/>
        <v>719277.07728217077</v>
      </c>
      <c r="J175" s="217"/>
      <c r="K175" s="217"/>
      <c r="L175" s="256">
        <f>F175</f>
        <v>719277.07728217077</v>
      </c>
      <c r="N175" s="257"/>
      <c r="Q175" s="131"/>
      <c r="AA175" s="76"/>
      <c r="AB175" s="76"/>
      <c r="AC175" s="76"/>
      <c r="AD175" s="76"/>
      <c r="AE175" s="76"/>
      <c r="AF175" s="76"/>
      <c r="AG175" s="76"/>
      <c r="AH175" s="76"/>
      <c r="AJ175" s="165"/>
    </row>
    <row r="176" spans="1:36" ht="16.5" thickBot="1">
      <c r="A176" s="182" t="s">
        <v>132</v>
      </c>
      <c r="B176" s="182"/>
      <c r="C176" s="219">
        <f>SUM(C174:C175)</f>
        <v>550642960.70095825</v>
      </c>
      <c r="D176" s="258"/>
      <c r="E176" s="259"/>
      <c r="F176" s="260">
        <f>F174+F175</f>
        <v>38440673.077282168</v>
      </c>
      <c r="G176" s="258"/>
      <c r="H176" s="258"/>
      <c r="I176" s="260">
        <f>I174+I175</f>
        <v>40443104.077282168</v>
      </c>
      <c r="J176" s="261"/>
      <c r="K176" s="262"/>
      <c r="L176" s="260">
        <f>L174+L175</f>
        <v>45436070.077282168</v>
      </c>
      <c r="N176" s="263"/>
      <c r="O176" s="179" t="s">
        <v>157</v>
      </c>
      <c r="P176" s="264">
        <v>45435854.99837067</v>
      </c>
      <c r="Q176" s="176">
        <f>(L176-I176)/I176</f>
        <v>0.12345654751076995</v>
      </c>
      <c r="R176" s="88" t="s">
        <v>117</v>
      </c>
      <c r="AA176" s="76"/>
      <c r="AB176" s="76"/>
      <c r="AC176" s="76"/>
      <c r="AD176" s="76"/>
      <c r="AE176" s="76"/>
      <c r="AF176" s="76"/>
      <c r="AG176" s="76"/>
      <c r="AH176" s="76"/>
      <c r="AJ176" s="165"/>
    </row>
    <row r="177" spans="1:36" ht="16.5" thickTop="1">
      <c r="A177" s="182"/>
      <c r="B177" s="182"/>
      <c r="C177" s="200"/>
      <c r="D177" s="252"/>
      <c r="E177" s="164"/>
      <c r="F177" s="164"/>
      <c r="G177" s="252"/>
      <c r="H177" s="252"/>
      <c r="I177" s="164"/>
      <c r="J177" s="252"/>
      <c r="K177" s="182"/>
      <c r="L177" s="164" t="s">
        <v>0</v>
      </c>
      <c r="O177" s="183" t="s">
        <v>118</v>
      </c>
      <c r="P177" s="265">
        <f>P176-L176</f>
        <v>-215.07891149818897</v>
      </c>
      <c r="Q177" s="185" t="s">
        <v>0</v>
      </c>
      <c r="AA177" s="76"/>
      <c r="AB177" s="76"/>
      <c r="AC177" s="76"/>
      <c r="AD177" s="76"/>
      <c r="AE177" s="76"/>
      <c r="AF177" s="76"/>
      <c r="AG177" s="76"/>
      <c r="AH177" s="76"/>
      <c r="AJ177" s="165"/>
    </row>
    <row r="178" spans="1:36" hidden="1">
      <c r="A178" s="182"/>
      <c r="B178" s="182"/>
      <c r="C178" s="200"/>
      <c r="D178" s="252"/>
      <c r="E178" s="164"/>
      <c r="F178" s="164"/>
      <c r="G178" s="252"/>
      <c r="H178" s="252"/>
      <c r="I178" s="164"/>
      <c r="J178" s="252"/>
      <c r="K178" s="182"/>
      <c r="AA178" s="76"/>
      <c r="AB178" s="76"/>
      <c r="AC178" s="76"/>
      <c r="AD178" s="76"/>
      <c r="AE178" s="76"/>
      <c r="AF178" s="76"/>
      <c r="AG178" s="76"/>
      <c r="AH178" s="76"/>
      <c r="AJ178" s="165"/>
    </row>
    <row r="179" spans="1:36" hidden="1">
      <c r="A179" s="199" t="s">
        <v>138</v>
      </c>
      <c r="B179" s="182"/>
      <c r="C179" s="182"/>
      <c r="D179" s="164"/>
      <c r="E179" s="164"/>
      <c r="F179" s="182" t="s">
        <v>0</v>
      </c>
      <c r="G179" s="164"/>
      <c r="H179" s="164"/>
      <c r="I179" s="182"/>
      <c r="J179" s="164"/>
      <c r="K179" s="182"/>
      <c r="L179" s="182"/>
      <c r="P179" s="266" t="s">
        <v>0</v>
      </c>
      <c r="Q179" s="88"/>
      <c r="AA179" s="76"/>
      <c r="AB179" s="76"/>
      <c r="AC179" s="76"/>
      <c r="AD179" s="76"/>
      <c r="AE179" s="76"/>
      <c r="AF179" s="76"/>
      <c r="AG179" s="76"/>
      <c r="AH179" s="76"/>
      <c r="AJ179" s="165"/>
    </row>
    <row r="180" spans="1:36" hidden="1">
      <c r="A180" s="182" t="s">
        <v>158</v>
      </c>
      <c r="B180" s="182"/>
      <c r="C180" s="182"/>
      <c r="D180" s="164"/>
      <c r="E180" s="164"/>
      <c r="F180" s="182"/>
      <c r="G180" s="164"/>
      <c r="H180" s="164"/>
      <c r="I180" s="182"/>
      <c r="J180" s="164"/>
      <c r="K180" s="182"/>
      <c r="L180" s="182"/>
      <c r="N180" s="267"/>
      <c r="O180" s="267"/>
      <c r="P180" s="144"/>
      <c r="Q180" s="144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J180" s="165"/>
    </row>
    <row r="181" spans="1:36" hidden="1">
      <c r="A181" s="182"/>
      <c r="B181" s="182"/>
      <c r="C181" s="182"/>
      <c r="D181" s="164"/>
      <c r="E181" s="164"/>
      <c r="F181" s="182"/>
      <c r="G181" s="164"/>
      <c r="H181" s="164"/>
      <c r="I181" s="182"/>
      <c r="J181" s="164"/>
      <c r="K181" s="182"/>
      <c r="L181" s="182"/>
      <c r="N181" s="267"/>
      <c r="O181" s="267"/>
      <c r="P181" s="144"/>
      <c r="Q181" s="144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J181" s="165"/>
    </row>
    <row r="182" spans="1:36" hidden="1">
      <c r="A182" s="182" t="s">
        <v>144</v>
      </c>
      <c r="B182" s="182"/>
      <c r="C182" s="234"/>
      <c r="D182" s="164"/>
      <c r="E182" s="164"/>
      <c r="F182" s="182"/>
      <c r="G182" s="164"/>
      <c r="H182" s="164"/>
      <c r="I182" s="182"/>
      <c r="J182" s="164"/>
      <c r="K182" s="182"/>
      <c r="L182" s="182"/>
      <c r="N182" s="76"/>
      <c r="O182" s="76"/>
      <c r="P182" s="144"/>
      <c r="Q182" s="144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J182" s="165"/>
    </row>
    <row r="183" spans="1:36" hidden="1">
      <c r="A183" s="182" t="s">
        <v>141</v>
      </c>
      <c r="B183" s="182"/>
      <c r="C183" s="234">
        <f t="shared" ref="C183:C185" si="26">C211+C239</f>
        <v>151880</v>
      </c>
      <c r="D183" s="204">
        <f>$D$153</f>
        <v>7.53</v>
      </c>
      <c r="E183" s="236"/>
      <c r="F183" s="164">
        <f t="shared" ref="F183:I185" si="27">F211+F239</f>
        <v>1143656</v>
      </c>
      <c r="G183" s="204">
        <f>$G$153</f>
        <v>7.64</v>
      </c>
      <c r="H183" s="204"/>
      <c r="I183" s="164">
        <f t="shared" si="27"/>
        <v>1160363</v>
      </c>
      <c r="J183" s="204">
        <f>$J$153</f>
        <v>8.6</v>
      </c>
      <c r="K183" s="238"/>
      <c r="L183" s="164">
        <f>L211+L239</f>
        <v>1306168</v>
      </c>
      <c r="N183" s="76"/>
      <c r="O183" s="76"/>
      <c r="P183" s="144"/>
      <c r="Q183" s="144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J183" s="165"/>
    </row>
    <row r="184" spans="1:36" hidden="1">
      <c r="A184" s="182" t="s">
        <v>142</v>
      </c>
      <c r="B184" s="182"/>
      <c r="C184" s="234">
        <f t="shared" si="26"/>
        <v>61349</v>
      </c>
      <c r="D184" s="204">
        <f>$D$154</f>
        <v>11.18</v>
      </c>
      <c r="E184" s="239"/>
      <c r="F184" s="164">
        <f t="shared" si="27"/>
        <v>685882</v>
      </c>
      <c r="G184" s="204">
        <f>$G$154</f>
        <v>11.36</v>
      </c>
      <c r="H184" s="204"/>
      <c r="I184" s="164">
        <f t="shared" si="27"/>
        <v>696925</v>
      </c>
      <c r="J184" s="204">
        <f>$J$154</f>
        <v>12.79</v>
      </c>
      <c r="K184" s="240"/>
      <c r="L184" s="164">
        <f>L212+L240</f>
        <v>784654</v>
      </c>
      <c r="N184" s="76"/>
      <c r="O184" s="76"/>
      <c r="P184" s="144"/>
      <c r="Q184" s="144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J184" s="165"/>
    </row>
    <row r="185" spans="1:36" hidden="1">
      <c r="A185" s="182" t="s">
        <v>143</v>
      </c>
      <c r="B185" s="182"/>
      <c r="C185" s="234">
        <f t="shared" si="26"/>
        <v>1204160</v>
      </c>
      <c r="D185" s="204">
        <f>$D$155</f>
        <v>0.78</v>
      </c>
      <c r="E185" s="239"/>
      <c r="F185" s="164">
        <f t="shared" si="27"/>
        <v>939245</v>
      </c>
      <c r="G185" s="204">
        <f>$G$155</f>
        <v>0.81</v>
      </c>
      <c r="H185" s="204"/>
      <c r="I185" s="164">
        <f t="shared" si="27"/>
        <v>975370</v>
      </c>
      <c r="J185" s="204">
        <f>$J$155</f>
        <v>0.91</v>
      </c>
      <c r="K185" s="240"/>
      <c r="L185" s="164">
        <f>L213+L241</f>
        <v>1095786</v>
      </c>
      <c r="N185" s="76"/>
      <c r="O185" s="76"/>
      <c r="P185" s="144"/>
      <c r="Q185" s="144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J185" s="165"/>
    </row>
    <row r="186" spans="1:36" hidden="1">
      <c r="A186" s="182" t="s">
        <v>145</v>
      </c>
      <c r="B186" s="182"/>
      <c r="C186" s="234">
        <f>SUM(C183:C184)</f>
        <v>213229</v>
      </c>
      <c r="D186" s="204"/>
      <c r="E186" s="236"/>
      <c r="F186" s="164"/>
      <c r="G186" s="204"/>
      <c r="H186" s="204"/>
      <c r="I186" s="164"/>
      <c r="J186" s="204"/>
      <c r="K186" s="238"/>
      <c r="L186" s="164"/>
      <c r="N186" s="76"/>
      <c r="O186" s="76"/>
      <c r="P186" s="144"/>
      <c r="Q186" s="144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J186" s="165"/>
    </row>
    <row r="187" spans="1:36" hidden="1">
      <c r="A187" s="182" t="s">
        <v>146</v>
      </c>
      <c r="B187" s="182"/>
      <c r="C187" s="234">
        <f t="shared" ref="C187:C191" si="28">C215+C243</f>
        <v>777222</v>
      </c>
      <c r="D187" s="252">
        <f>$D$158</f>
        <v>2.88</v>
      </c>
      <c r="E187" s="238"/>
      <c r="F187" s="164">
        <f t="shared" ref="F187:I191" si="29">F215+F243</f>
        <v>2238399</v>
      </c>
      <c r="G187" s="252">
        <f>$G$158</f>
        <v>2.98</v>
      </c>
      <c r="H187" s="252"/>
      <c r="I187" s="164">
        <f t="shared" si="29"/>
        <v>2316121</v>
      </c>
      <c r="J187" s="252">
        <f>$J$158</f>
        <v>3.35</v>
      </c>
      <c r="K187" s="238"/>
      <c r="L187" s="164">
        <f>L215+L243</f>
        <v>2603694</v>
      </c>
      <c r="N187" s="76"/>
      <c r="O187" s="76"/>
      <c r="P187" s="144"/>
      <c r="Q187" s="144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J187" s="165"/>
    </row>
    <row r="188" spans="1:36" hidden="1">
      <c r="A188" s="182" t="s">
        <v>147</v>
      </c>
      <c r="B188" s="182"/>
      <c r="C188" s="234">
        <f t="shared" si="28"/>
        <v>128841939</v>
      </c>
      <c r="D188" s="207">
        <f>$D$159</f>
        <v>8.0890000000000004</v>
      </c>
      <c r="E188" s="238" t="s">
        <v>126</v>
      </c>
      <c r="F188" s="164">
        <f t="shared" si="29"/>
        <v>10422024</v>
      </c>
      <c r="G188" s="207">
        <f>$G$159</f>
        <v>8.5489999999999995</v>
      </c>
      <c r="H188" s="207"/>
      <c r="I188" s="164">
        <f t="shared" si="29"/>
        <v>11014698</v>
      </c>
      <c r="J188" s="207">
        <f>$J$159</f>
        <v>9.6240000000000006</v>
      </c>
      <c r="K188" s="238" t="s">
        <v>126</v>
      </c>
      <c r="L188" s="164">
        <f>L216+L244</f>
        <v>12399749</v>
      </c>
      <c r="N188" s="76"/>
      <c r="O188" s="76"/>
      <c r="P188" s="144"/>
      <c r="Q188" s="144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J188" s="165"/>
    </row>
    <row r="189" spans="1:36" hidden="1">
      <c r="A189" s="182" t="s">
        <v>148</v>
      </c>
      <c r="B189" s="182"/>
      <c r="C189" s="234">
        <f t="shared" si="28"/>
        <v>290217233</v>
      </c>
      <c r="D189" s="207">
        <f>$D$160</f>
        <v>5.5839999999999996</v>
      </c>
      <c r="E189" s="238" t="s">
        <v>126</v>
      </c>
      <c r="F189" s="164">
        <f t="shared" si="29"/>
        <v>16205730</v>
      </c>
      <c r="G189" s="207">
        <f>$G$160</f>
        <v>5.9020000000000001</v>
      </c>
      <c r="H189" s="207"/>
      <c r="I189" s="164">
        <f t="shared" si="29"/>
        <v>17128621</v>
      </c>
      <c r="J189" s="207">
        <f>$J$160</f>
        <v>6.6450000000000005</v>
      </c>
      <c r="K189" s="238" t="s">
        <v>126</v>
      </c>
      <c r="L189" s="164">
        <f>L217+L245</f>
        <v>19284935</v>
      </c>
      <c r="N189" s="76"/>
      <c r="O189" s="76"/>
      <c r="P189" s="144"/>
      <c r="Q189" s="144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J189" s="165"/>
    </row>
    <row r="190" spans="1:36" hidden="1">
      <c r="A190" s="182" t="s">
        <v>149</v>
      </c>
      <c r="B190" s="182"/>
      <c r="C190" s="234">
        <f t="shared" si="28"/>
        <v>120608638</v>
      </c>
      <c r="D190" s="207">
        <f>$D$161</f>
        <v>4.8099999999999996</v>
      </c>
      <c r="E190" s="238" t="s">
        <v>126</v>
      </c>
      <c r="F190" s="164">
        <f t="shared" si="29"/>
        <v>5801276</v>
      </c>
      <c r="G190" s="207">
        <f>$G$161</f>
        <v>5.0839999999999996</v>
      </c>
      <c r="H190" s="207"/>
      <c r="I190" s="164">
        <f t="shared" si="29"/>
        <v>6131743</v>
      </c>
      <c r="J190" s="207">
        <f>$J$161</f>
        <v>5.7249999999999996</v>
      </c>
      <c r="K190" s="238" t="s">
        <v>126</v>
      </c>
      <c r="L190" s="164">
        <f>L218+L246</f>
        <v>6904844</v>
      </c>
      <c r="N190" s="76"/>
      <c r="O190" s="76"/>
      <c r="P190" s="144"/>
      <c r="Q190" s="144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J190" s="165"/>
    </row>
    <row r="191" spans="1:36" hidden="1">
      <c r="A191" s="182" t="s">
        <v>150</v>
      </c>
      <c r="B191" s="182"/>
      <c r="C191" s="234">
        <f t="shared" si="28"/>
        <v>99828</v>
      </c>
      <c r="D191" s="244">
        <f>$D$162</f>
        <v>45</v>
      </c>
      <c r="E191" s="236" t="s">
        <v>126</v>
      </c>
      <c r="F191" s="164">
        <f t="shared" si="29"/>
        <v>44922</v>
      </c>
      <c r="G191" s="244">
        <f>$G$162</f>
        <v>50</v>
      </c>
      <c r="H191" s="244"/>
      <c r="I191" s="164">
        <f t="shared" si="29"/>
        <v>49914</v>
      </c>
      <c r="J191" s="244">
        <f>$J$162</f>
        <v>56</v>
      </c>
      <c r="K191" s="238" t="s">
        <v>126</v>
      </c>
      <c r="L191" s="164">
        <f>L219+L247</f>
        <v>55904</v>
      </c>
      <c r="N191" s="76"/>
      <c r="O191" s="76"/>
      <c r="P191" s="144"/>
      <c r="Q191" s="144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J191" s="165"/>
    </row>
    <row r="192" spans="1:36" hidden="1">
      <c r="A192" s="246" t="s">
        <v>151</v>
      </c>
      <c r="B192" s="182"/>
      <c r="C192" s="234"/>
      <c r="D192" s="247">
        <v>-0.01</v>
      </c>
      <c r="E192" s="236"/>
      <c r="F192" s="164"/>
      <c r="G192" s="247">
        <v>-0.01</v>
      </c>
      <c r="H192" s="247"/>
      <c r="I192" s="164"/>
      <c r="J192" s="247">
        <v>-0.01</v>
      </c>
      <c r="K192" s="238"/>
      <c r="L192" s="164"/>
      <c r="N192" s="76"/>
      <c r="O192" s="76"/>
      <c r="P192" s="144"/>
      <c r="Q192" s="144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J192" s="165"/>
    </row>
    <row r="193" spans="1:36" hidden="1">
      <c r="A193" s="182" t="s">
        <v>141</v>
      </c>
      <c r="B193" s="182"/>
      <c r="C193" s="234">
        <f t="shared" ref="C193:C204" si="30">C221+C249</f>
        <v>52</v>
      </c>
      <c r="D193" s="249">
        <f>D183</f>
        <v>7.53</v>
      </c>
      <c r="E193" s="236"/>
      <c r="F193" s="164">
        <f t="shared" ref="F193:I204" si="31">F221+F249</f>
        <v>-4</v>
      </c>
      <c r="G193" s="249">
        <f>G183</f>
        <v>7.64</v>
      </c>
      <c r="H193" s="249"/>
      <c r="I193" s="164">
        <f t="shared" si="31"/>
        <v>-4</v>
      </c>
      <c r="J193" s="249">
        <f>J183</f>
        <v>8.6</v>
      </c>
      <c r="K193" s="236"/>
      <c r="L193" s="164">
        <f t="shared" ref="L193:L203" si="32">L221+L249</f>
        <v>-4</v>
      </c>
      <c r="N193" s="76"/>
      <c r="O193" s="76"/>
      <c r="P193" s="144"/>
      <c r="Q193" s="144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J193" s="165"/>
    </row>
    <row r="194" spans="1:36" hidden="1">
      <c r="A194" s="182" t="s">
        <v>142</v>
      </c>
      <c r="B194" s="182"/>
      <c r="C194" s="234">
        <f t="shared" si="30"/>
        <v>84</v>
      </c>
      <c r="D194" s="249">
        <f>D184</f>
        <v>11.18</v>
      </c>
      <c r="E194" s="236"/>
      <c r="F194" s="164">
        <f t="shared" si="31"/>
        <v>-9</v>
      </c>
      <c r="G194" s="249">
        <f>G184</f>
        <v>11.36</v>
      </c>
      <c r="H194" s="249"/>
      <c r="I194" s="164">
        <f t="shared" si="31"/>
        <v>-10</v>
      </c>
      <c r="J194" s="249">
        <f>J184</f>
        <v>12.79</v>
      </c>
      <c r="K194" s="236"/>
      <c r="L194" s="164">
        <f t="shared" si="32"/>
        <v>-11</v>
      </c>
      <c r="N194" s="76"/>
      <c r="O194" s="76"/>
      <c r="P194" s="144"/>
      <c r="Q194" s="144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J194" s="165"/>
    </row>
    <row r="195" spans="1:36" hidden="1">
      <c r="A195" s="182" t="s">
        <v>152</v>
      </c>
      <c r="B195" s="182"/>
      <c r="C195" s="234">
        <f t="shared" si="30"/>
        <v>1963</v>
      </c>
      <c r="D195" s="249">
        <f>D185</f>
        <v>0.78</v>
      </c>
      <c r="E195" s="236"/>
      <c r="F195" s="164">
        <f t="shared" si="31"/>
        <v>-15</v>
      </c>
      <c r="G195" s="249">
        <f>G185</f>
        <v>0.81</v>
      </c>
      <c r="H195" s="249"/>
      <c r="I195" s="164">
        <f t="shared" si="31"/>
        <v>-16</v>
      </c>
      <c r="J195" s="249">
        <f>J185</f>
        <v>0.91</v>
      </c>
      <c r="K195" s="236"/>
      <c r="L195" s="164">
        <f t="shared" si="32"/>
        <v>-18</v>
      </c>
      <c r="N195" s="76"/>
      <c r="O195" s="76"/>
      <c r="P195" s="144"/>
      <c r="Q195" s="144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J195" s="165"/>
    </row>
    <row r="196" spans="1:36" hidden="1">
      <c r="A196" s="182" t="s">
        <v>153</v>
      </c>
      <c r="B196" s="182"/>
      <c r="C196" s="234">
        <f t="shared" si="30"/>
        <v>778</v>
      </c>
      <c r="D196" s="249">
        <f>D187</f>
        <v>2.88</v>
      </c>
      <c r="E196" s="238"/>
      <c r="F196" s="164">
        <f t="shared" si="31"/>
        <v>-22</v>
      </c>
      <c r="G196" s="249">
        <f>G187</f>
        <v>2.98</v>
      </c>
      <c r="H196" s="249"/>
      <c r="I196" s="164">
        <f t="shared" si="31"/>
        <v>-23</v>
      </c>
      <c r="J196" s="249">
        <f>J187</f>
        <v>3.35</v>
      </c>
      <c r="K196" s="238"/>
      <c r="L196" s="164">
        <f t="shared" si="32"/>
        <v>-26</v>
      </c>
      <c r="N196" s="76"/>
      <c r="O196" s="76"/>
      <c r="P196" s="144"/>
      <c r="Q196" s="144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J196" s="165"/>
    </row>
    <row r="197" spans="1:36" hidden="1">
      <c r="A197" s="182" t="s">
        <v>154</v>
      </c>
      <c r="B197" s="182"/>
      <c r="C197" s="234">
        <f t="shared" si="30"/>
        <v>91016</v>
      </c>
      <c r="D197" s="250">
        <f>D188</f>
        <v>8.0890000000000004</v>
      </c>
      <c r="E197" s="238" t="s">
        <v>126</v>
      </c>
      <c r="F197" s="164">
        <f t="shared" si="31"/>
        <v>-74</v>
      </c>
      <c r="G197" s="250">
        <f>G188</f>
        <v>8.5489999999999995</v>
      </c>
      <c r="H197" s="250"/>
      <c r="I197" s="164">
        <f t="shared" si="31"/>
        <v>-78</v>
      </c>
      <c r="J197" s="250">
        <f>J188</f>
        <v>9.6240000000000006</v>
      </c>
      <c r="K197" s="238" t="s">
        <v>126</v>
      </c>
      <c r="L197" s="164">
        <f t="shared" si="32"/>
        <v>-88</v>
      </c>
      <c r="N197" s="76"/>
      <c r="O197" s="76"/>
      <c r="P197" s="144"/>
      <c r="Q197" s="144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J197" s="165"/>
    </row>
    <row r="198" spans="1:36" hidden="1">
      <c r="A198" s="182" t="s">
        <v>148</v>
      </c>
      <c r="B198" s="182"/>
      <c r="C198" s="234">
        <f t="shared" si="30"/>
        <v>300043</v>
      </c>
      <c r="D198" s="250">
        <f>D189</f>
        <v>5.5839999999999996</v>
      </c>
      <c r="E198" s="238" t="s">
        <v>126</v>
      </c>
      <c r="F198" s="164">
        <f t="shared" si="31"/>
        <v>-168</v>
      </c>
      <c r="G198" s="250">
        <f>G189</f>
        <v>5.9020000000000001</v>
      </c>
      <c r="H198" s="250"/>
      <c r="I198" s="164">
        <f t="shared" si="31"/>
        <v>-177</v>
      </c>
      <c r="J198" s="250">
        <f>J189</f>
        <v>6.6450000000000005</v>
      </c>
      <c r="K198" s="238" t="s">
        <v>126</v>
      </c>
      <c r="L198" s="164">
        <f t="shared" si="32"/>
        <v>-199</v>
      </c>
      <c r="N198" s="76"/>
      <c r="O198" s="76"/>
      <c r="P198" s="144"/>
      <c r="Q198" s="144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J198" s="165"/>
    </row>
    <row r="199" spans="1:36" hidden="1">
      <c r="A199" s="182" t="s">
        <v>149</v>
      </c>
      <c r="B199" s="182"/>
      <c r="C199" s="234">
        <f t="shared" si="30"/>
        <v>73360</v>
      </c>
      <c r="D199" s="250">
        <f>D190</f>
        <v>4.8099999999999996</v>
      </c>
      <c r="E199" s="238" t="s">
        <v>126</v>
      </c>
      <c r="F199" s="164">
        <f t="shared" si="31"/>
        <v>-35</v>
      </c>
      <c r="G199" s="250">
        <f>G190</f>
        <v>5.0839999999999996</v>
      </c>
      <c r="H199" s="250"/>
      <c r="I199" s="164">
        <f t="shared" si="31"/>
        <v>-37</v>
      </c>
      <c r="J199" s="250">
        <f>J190</f>
        <v>5.7249999999999996</v>
      </c>
      <c r="K199" s="238" t="s">
        <v>126</v>
      </c>
      <c r="L199" s="164">
        <f t="shared" si="32"/>
        <v>-42</v>
      </c>
      <c r="N199" s="76"/>
      <c r="O199" s="76"/>
      <c r="P199" s="144"/>
      <c r="Q199" s="144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J199" s="165"/>
    </row>
    <row r="200" spans="1:36" hidden="1">
      <c r="A200" s="182" t="s">
        <v>150</v>
      </c>
      <c r="B200" s="182"/>
      <c r="C200" s="234">
        <f t="shared" si="30"/>
        <v>2946</v>
      </c>
      <c r="D200" s="251">
        <f>D191</f>
        <v>45</v>
      </c>
      <c r="E200" s="238" t="s">
        <v>126</v>
      </c>
      <c r="F200" s="164">
        <f t="shared" si="31"/>
        <v>-13</v>
      </c>
      <c r="G200" s="251">
        <f>G191</f>
        <v>50</v>
      </c>
      <c r="H200" s="251"/>
      <c r="I200" s="164">
        <f t="shared" si="31"/>
        <v>-15</v>
      </c>
      <c r="J200" s="251">
        <f>J191</f>
        <v>56</v>
      </c>
      <c r="K200" s="238" t="s">
        <v>126</v>
      </c>
      <c r="L200" s="164">
        <f t="shared" si="32"/>
        <v>-16</v>
      </c>
      <c r="N200" s="76"/>
      <c r="O200" s="76"/>
      <c r="P200" s="144"/>
      <c r="Q200" s="144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J200" s="165"/>
    </row>
    <row r="201" spans="1:36" hidden="1">
      <c r="A201" s="182" t="s">
        <v>155</v>
      </c>
      <c r="B201" s="182"/>
      <c r="C201" s="234">
        <f t="shared" si="30"/>
        <v>84</v>
      </c>
      <c r="D201" s="252">
        <f>$D$172</f>
        <v>60</v>
      </c>
      <c r="E201" s="236"/>
      <c r="F201" s="164">
        <f t="shared" si="31"/>
        <v>5040</v>
      </c>
      <c r="G201" s="252">
        <f>$D$172</f>
        <v>60</v>
      </c>
      <c r="H201" s="252"/>
      <c r="I201" s="164">
        <f t="shared" si="31"/>
        <v>5040</v>
      </c>
      <c r="J201" s="252">
        <f>$J$172</f>
        <v>60</v>
      </c>
      <c r="K201" s="238"/>
      <c r="L201" s="164">
        <f t="shared" si="32"/>
        <v>5040</v>
      </c>
      <c r="N201" s="76"/>
      <c r="O201" s="76"/>
      <c r="P201" s="144"/>
      <c r="Q201" s="144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J201" s="165"/>
    </row>
    <row r="202" spans="1:36" hidden="1">
      <c r="A202" s="182" t="s">
        <v>156</v>
      </c>
      <c r="B202" s="182"/>
      <c r="C202" s="234">
        <f t="shared" si="30"/>
        <v>1344</v>
      </c>
      <c r="D202" s="253">
        <f>$D$173</f>
        <v>-30</v>
      </c>
      <c r="E202" s="236" t="s">
        <v>126</v>
      </c>
      <c r="F202" s="164">
        <f t="shared" si="31"/>
        <v>-403</v>
      </c>
      <c r="G202" s="253">
        <f>$D$173</f>
        <v>-30</v>
      </c>
      <c r="H202" s="253"/>
      <c r="I202" s="164">
        <f t="shared" si="31"/>
        <v>-403</v>
      </c>
      <c r="J202" s="253">
        <f>$J$173</f>
        <v>-30</v>
      </c>
      <c r="K202" s="238" t="s">
        <v>126</v>
      </c>
      <c r="L202" s="164">
        <f t="shared" si="32"/>
        <v>-403</v>
      </c>
      <c r="N202" s="76"/>
      <c r="O202" s="76"/>
      <c r="P202" s="144"/>
      <c r="Q202" s="144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J202" s="165"/>
    </row>
    <row r="203" spans="1:36" hidden="1">
      <c r="A203" s="182" t="s">
        <v>131</v>
      </c>
      <c r="B203" s="162"/>
      <c r="C203" s="234">
        <f t="shared" si="30"/>
        <v>539667810</v>
      </c>
      <c r="D203" s="244"/>
      <c r="E203" s="164"/>
      <c r="F203" s="164">
        <f t="shared" si="31"/>
        <v>37485431</v>
      </c>
      <c r="G203" s="244"/>
      <c r="H203" s="244"/>
      <c r="I203" s="164">
        <f t="shared" si="31"/>
        <v>39478032</v>
      </c>
      <c r="J203" s="244"/>
      <c r="K203" s="238"/>
      <c r="L203" s="164">
        <f t="shared" si="32"/>
        <v>44439967</v>
      </c>
      <c r="N203" s="76"/>
      <c r="O203" s="76"/>
      <c r="P203" s="144"/>
      <c r="Q203" s="144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J203" s="165"/>
    </row>
    <row r="204" spans="1:36" hidden="1">
      <c r="A204" s="182" t="s">
        <v>114</v>
      </c>
      <c r="B204" s="268"/>
      <c r="C204" s="255">
        <f t="shared" si="30"/>
        <v>9443537.1983663347</v>
      </c>
      <c r="D204" s="217"/>
      <c r="E204" s="217"/>
      <c r="F204" s="256">
        <f t="shared" si="31"/>
        <v>714777.84685967199</v>
      </c>
      <c r="G204" s="217"/>
      <c r="H204" s="217"/>
      <c r="I204" s="256">
        <f t="shared" si="31"/>
        <v>714777.84685967199</v>
      </c>
      <c r="J204" s="217"/>
      <c r="K204" s="217"/>
      <c r="L204" s="256">
        <f>F204</f>
        <v>714777.84685967199</v>
      </c>
      <c r="N204" s="196"/>
      <c r="O204" s="196"/>
      <c r="P204" s="194"/>
      <c r="Q204" s="144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J204" s="165"/>
    </row>
    <row r="205" spans="1:36" ht="16.5" hidden="1" thickBot="1">
      <c r="A205" s="182" t="s">
        <v>132</v>
      </c>
      <c r="B205" s="182"/>
      <c r="C205" s="219">
        <f>SUM(C203:C204)</f>
        <v>549111347.19836628</v>
      </c>
      <c r="D205" s="258"/>
      <c r="E205" s="259"/>
      <c r="F205" s="260">
        <f>F203+F204</f>
        <v>38200208.846859671</v>
      </c>
      <c r="G205" s="258"/>
      <c r="H205" s="258"/>
      <c r="I205" s="260">
        <f>I203+I204</f>
        <v>40192809.846859671</v>
      </c>
      <c r="J205" s="258"/>
      <c r="K205" s="262"/>
      <c r="L205" s="260">
        <f>L203+L204</f>
        <v>45154744.846859671</v>
      </c>
      <c r="N205" s="197"/>
      <c r="O205" s="197"/>
      <c r="P205" s="198"/>
      <c r="Q205" s="144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J205" s="165"/>
    </row>
    <row r="206" spans="1:36" hidden="1">
      <c r="A206" s="182"/>
      <c r="B206" s="182"/>
      <c r="C206" s="200"/>
      <c r="D206" s="252"/>
      <c r="E206" s="164"/>
      <c r="F206" s="164"/>
      <c r="G206" s="252"/>
      <c r="H206" s="252"/>
      <c r="I206" s="164"/>
      <c r="J206" s="252"/>
      <c r="K206" s="182"/>
      <c r="L206" s="164" t="s">
        <v>0</v>
      </c>
      <c r="N206" s="76"/>
      <c r="O206" s="76"/>
      <c r="P206" s="144"/>
      <c r="Q206" s="144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J206" s="165"/>
    </row>
    <row r="207" spans="1:36" hidden="1">
      <c r="A207" s="199" t="s">
        <v>138</v>
      </c>
      <c r="B207" s="182"/>
      <c r="C207" s="182"/>
      <c r="D207" s="164"/>
      <c r="E207" s="164"/>
      <c r="F207" s="182" t="s">
        <v>0</v>
      </c>
      <c r="G207" s="164"/>
      <c r="H207" s="164"/>
      <c r="I207" s="182"/>
      <c r="J207" s="164"/>
      <c r="K207" s="182"/>
      <c r="L207" s="182"/>
      <c r="N207" s="76"/>
      <c r="O207" s="76"/>
      <c r="P207" s="144"/>
      <c r="Q207" s="144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J207" s="165"/>
    </row>
    <row r="208" spans="1:36" hidden="1">
      <c r="A208" s="182" t="s">
        <v>159</v>
      </c>
      <c r="B208" s="182"/>
      <c r="C208" s="182"/>
      <c r="D208" s="164"/>
      <c r="E208" s="164"/>
      <c r="F208" s="182"/>
      <c r="G208" s="164"/>
      <c r="H208" s="164"/>
      <c r="I208" s="182"/>
      <c r="J208" s="164"/>
      <c r="K208" s="182"/>
      <c r="L208" s="182"/>
      <c r="N208" s="76"/>
      <c r="O208" s="76"/>
      <c r="P208" s="144"/>
      <c r="Q208" s="144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J208" s="165"/>
    </row>
    <row r="209" spans="1:36" hidden="1">
      <c r="A209" s="224" t="s">
        <v>160</v>
      </c>
      <c r="B209" s="182"/>
      <c r="C209" s="200"/>
      <c r="D209" s="164"/>
      <c r="E209" s="164"/>
      <c r="F209" s="182"/>
      <c r="G209" s="164"/>
      <c r="H209" s="164"/>
      <c r="I209" s="182"/>
      <c r="J209" s="164"/>
      <c r="K209" s="182"/>
      <c r="L209" s="182"/>
      <c r="N209" s="76"/>
      <c r="O209" s="76"/>
      <c r="P209" s="144"/>
      <c r="Q209" s="144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J209" s="165"/>
    </row>
    <row r="210" spans="1:36" hidden="1">
      <c r="A210" s="182" t="s">
        <v>144</v>
      </c>
      <c r="B210" s="182"/>
      <c r="C210" s="234"/>
      <c r="D210" s="164"/>
      <c r="E210" s="164"/>
      <c r="F210" s="182"/>
      <c r="G210" s="164"/>
      <c r="H210" s="164"/>
      <c r="I210" s="182"/>
      <c r="J210" s="164"/>
      <c r="K210" s="182"/>
      <c r="L210" s="182"/>
      <c r="N210" s="76"/>
      <c r="O210" s="76"/>
      <c r="P210" s="144"/>
      <c r="Q210" s="144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J210" s="165"/>
    </row>
    <row r="211" spans="1:36" hidden="1">
      <c r="A211" s="182" t="s">
        <v>141</v>
      </c>
      <c r="B211" s="182"/>
      <c r="C211" s="234">
        <f>31235+4+48+118225+9+26+86</f>
        <v>149633</v>
      </c>
      <c r="D211" s="204">
        <f>$D$153</f>
        <v>7.53</v>
      </c>
      <c r="E211" s="236"/>
      <c r="F211" s="164">
        <f>ROUND(D211*$C211,0)</f>
        <v>1126736</v>
      </c>
      <c r="G211" s="204">
        <f>$G$153</f>
        <v>7.64</v>
      </c>
      <c r="H211" s="204"/>
      <c r="I211" s="164">
        <f>ROUND(G211*$C211,0)</f>
        <v>1143196</v>
      </c>
      <c r="J211" s="204">
        <f>$J$153</f>
        <v>8.6</v>
      </c>
      <c r="K211" s="238"/>
      <c r="L211" s="164">
        <f>ROUND(J211*$C211,0)</f>
        <v>1286844</v>
      </c>
      <c r="N211" s="76"/>
      <c r="O211" s="76"/>
      <c r="P211" s="144"/>
      <c r="Q211" s="144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J211" s="165"/>
    </row>
    <row r="212" spans="1:36" hidden="1">
      <c r="A212" s="182" t="s">
        <v>142</v>
      </c>
      <c r="B212" s="182"/>
      <c r="C212" s="234">
        <f>12+7020+43+48+36+50791+35+14</f>
        <v>57999</v>
      </c>
      <c r="D212" s="204">
        <f>$D$154</f>
        <v>11.18</v>
      </c>
      <c r="E212" s="239"/>
      <c r="F212" s="164">
        <f>ROUND(D212*$C212,0)</f>
        <v>648429</v>
      </c>
      <c r="G212" s="204">
        <f>$G$154</f>
        <v>11.36</v>
      </c>
      <c r="H212" s="204"/>
      <c r="I212" s="164">
        <f t="shared" ref="I212:I213" si="33">ROUND(G212*$C212,0)</f>
        <v>658869</v>
      </c>
      <c r="J212" s="204">
        <f>$J$154</f>
        <v>12.79</v>
      </c>
      <c r="K212" s="240"/>
      <c r="L212" s="164">
        <f>ROUND(J212*$C212,0)</f>
        <v>741807</v>
      </c>
      <c r="N212" s="76"/>
      <c r="O212" s="76"/>
      <c r="P212" s="144"/>
      <c r="Q212" s="144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J212" s="165"/>
    </row>
    <row r="213" spans="1:36" hidden="1">
      <c r="A213" s="182" t="s">
        <v>143</v>
      </c>
      <c r="B213" s="182"/>
      <c r="C213" s="234">
        <f>17759+67055+121+246746+400+1019+823+802917+62</f>
        <v>1136902</v>
      </c>
      <c r="D213" s="204">
        <f>$D$155</f>
        <v>0.78</v>
      </c>
      <c r="E213" s="239"/>
      <c r="F213" s="164">
        <f>ROUND(D213*$C213,0)</f>
        <v>886784</v>
      </c>
      <c r="G213" s="204">
        <f>$G$155</f>
        <v>0.81</v>
      </c>
      <c r="H213" s="204"/>
      <c r="I213" s="164">
        <f t="shared" si="33"/>
        <v>920891</v>
      </c>
      <c r="J213" s="204">
        <f>$J$155</f>
        <v>0.91</v>
      </c>
      <c r="K213" s="240"/>
      <c r="L213" s="164">
        <f>ROUND(J213*$C213,0)</f>
        <v>1034581</v>
      </c>
      <c r="N213" s="76"/>
      <c r="O213" s="76"/>
      <c r="P213" s="144"/>
      <c r="Q213" s="144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J213" s="165"/>
    </row>
    <row r="214" spans="1:36" hidden="1">
      <c r="A214" s="182" t="s">
        <v>145</v>
      </c>
      <c r="B214" s="182"/>
      <c r="C214" s="234">
        <f>SUM(C211:C212)</f>
        <v>207632</v>
      </c>
      <c r="D214" s="204"/>
      <c r="E214" s="236"/>
      <c r="F214" s="164"/>
      <c r="G214" s="204"/>
      <c r="H214" s="204"/>
      <c r="I214" s="164"/>
      <c r="J214" s="204"/>
      <c r="K214" s="238"/>
      <c r="L214" s="164"/>
      <c r="N214" s="76"/>
      <c r="O214" s="76"/>
      <c r="P214" s="144"/>
      <c r="Q214" s="144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J214" s="165"/>
    </row>
    <row r="215" spans="1:36" hidden="1">
      <c r="A215" s="182" t="s">
        <v>146</v>
      </c>
      <c r="B215" s="182"/>
      <c r="C215" s="234">
        <f>11408+41361+72+144111+194+291+415+538222+65</f>
        <v>736139</v>
      </c>
      <c r="D215" s="252">
        <f>$D$158</f>
        <v>2.88</v>
      </c>
      <c r="E215" s="238"/>
      <c r="F215" s="164">
        <f>ROUND(D215*$C215,0)</f>
        <v>2120080</v>
      </c>
      <c r="G215" s="252">
        <f>$G$158</f>
        <v>2.98</v>
      </c>
      <c r="H215" s="252"/>
      <c r="I215" s="164">
        <f>ROUND(G215*C215,0)</f>
        <v>2193694</v>
      </c>
      <c r="J215" s="252">
        <f>$J$158</f>
        <v>3.35</v>
      </c>
      <c r="K215" s="238"/>
      <c r="L215" s="164">
        <f>ROUND(J215*$C215,0)</f>
        <v>2466066</v>
      </c>
      <c r="N215" s="76"/>
      <c r="O215" s="76"/>
      <c r="P215" s="144"/>
      <c r="Q215" s="144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J215" s="165"/>
    </row>
    <row r="216" spans="1:36" hidden="1">
      <c r="A216" s="182" t="s">
        <v>147</v>
      </c>
      <c r="B216" s="234"/>
      <c r="C216" s="234">
        <v>125111177</v>
      </c>
      <c r="D216" s="207">
        <f>$D$159</f>
        <v>8.0890000000000004</v>
      </c>
      <c r="E216" s="238" t="s">
        <v>126</v>
      </c>
      <c r="F216" s="164">
        <f>ROUND(D216*$C216/100,0)</f>
        <v>10120243</v>
      </c>
      <c r="G216" s="207">
        <f>$G$159</f>
        <v>8.5489999999999995</v>
      </c>
      <c r="H216" s="207"/>
      <c r="I216" s="164">
        <f>ROUND(G216*C216/100,0)</f>
        <v>10695755</v>
      </c>
      <c r="J216" s="207">
        <f>$J$159</f>
        <v>9.6240000000000006</v>
      </c>
      <c r="K216" s="238" t="s">
        <v>126</v>
      </c>
      <c r="L216" s="164">
        <f>ROUND(J216*$C216/100,0)</f>
        <v>12040700</v>
      </c>
      <c r="N216" s="269"/>
      <c r="O216" s="269"/>
      <c r="P216" s="144"/>
      <c r="Q216" s="144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J216" s="165"/>
    </row>
    <row r="217" spans="1:36" hidden="1">
      <c r="A217" s="182" t="s">
        <v>148</v>
      </c>
      <c r="B217" s="234"/>
      <c r="C217" s="234">
        <v>279243557</v>
      </c>
      <c r="D217" s="207">
        <f>$D$160</f>
        <v>5.5839999999999996</v>
      </c>
      <c r="E217" s="238" t="s">
        <v>126</v>
      </c>
      <c r="F217" s="164">
        <f>ROUND(D217*$C217/100,0)</f>
        <v>15592960</v>
      </c>
      <c r="G217" s="207">
        <f>$G$160</f>
        <v>5.9020000000000001</v>
      </c>
      <c r="H217" s="207"/>
      <c r="I217" s="164">
        <f t="shared" ref="I217:I219" si="34">ROUND(G217*C217/100,0)</f>
        <v>16480955</v>
      </c>
      <c r="J217" s="207">
        <f>$J$160</f>
        <v>6.6450000000000005</v>
      </c>
      <c r="K217" s="238" t="s">
        <v>126</v>
      </c>
      <c r="L217" s="164">
        <f>ROUND(J217*$C217/100,0)</f>
        <v>18555734</v>
      </c>
      <c r="N217" s="269"/>
      <c r="O217" s="269"/>
      <c r="P217" s="144"/>
      <c r="Q217" s="144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J217" s="165"/>
    </row>
    <row r="218" spans="1:36" hidden="1">
      <c r="A218" s="182" t="s">
        <v>149</v>
      </c>
      <c r="B218" s="234"/>
      <c r="C218" s="234">
        <v>116036860</v>
      </c>
      <c r="D218" s="207">
        <f>$D$161</f>
        <v>4.8099999999999996</v>
      </c>
      <c r="E218" s="238" t="s">
        <v>126</v>
      </c>
      <c r="F218" s="164">
        <f>ROUND(D218*$C218/100,0)</f>
        <v>5581373</v>
      </c>
      <c r="G218" s="207">
        <f>$G$161</f>
        <v>5.0839999999999996</v>
      </c>
      <c r="H218" s="207"/>
      <c r="I218" s="164">
        <f t="shared" si="34"/>
        <v>5899314</v>
      </c>
      <c r="J218" s="207">
        <f>$J$161</f>
        <v>5.7249999999999996</v>
      </c>
      <c r="K218" s="238" t="s">
        <v>126</v>
      </c>
      <c r="L218" s="164">
        <f>ROUND(J218*$C218/100,0)</f>
        <v>6643110</v>
      </c>
      <c r="N218" s="269"/>
      <c r="O218" s="269"/>
      <c r="P218" s="144"/>
      <c r="Q218" s="144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J218" s="165"/>
    </row>
    <row r="219" spans="1:36" hidden="1">
      <c r="A219" s="182" t="s">
        <v>150</v>
      </c>
      <c r="B219" s="200"/>
      <c r="C219" s="234">
        <f>1+9694+540+1+1526+1420+72438+16</f>
        <v>85636</v>
      </c>
      <c r="D219" s="244">
        <f>$D$162</f>
        <v>45</v>
      </c>
      <c r="E219" s="236" t="s">
        <v>126</v>
      </c>
      <c r="F219" s="164">
        <f>ROUND(D219*$C219/100,0)</f>
        <v>38536</v>
      </c>
      <c r="G219" s="244">
        <f>$G$162</f>
        <v>50</v>
      </c>
      <c r="H219" s="244"/>
      <c r="I219" s="164">
        <f t="shared" si="34"/>
        <v>42818</v>
      </c>
      <c r="J219" s="244">
        <f>$J$162</f>
        <v>56</v>
      </c>
      <c r="K219" s="238" t="s">
        <v>126</v>
      </c>
      <c r="L219" s="164">
        <f>ROUND(J219*$C219/100,0)</f>
        <v>47956</v>
      </c>
      <c r="N219" s="76"/>
      <c r="O219" s="76"/>
      <c r="P219" s="144"/>
      <c r="Q219" s="144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J219" s="165"/>
    </row>
    <row r="220" spans="1:36" hidden="1">
      <c r="A220" s="246" t="s">
        <v>151</v>
      </c>
      <c r="B220" s="200"/>
      <c r="C220" s="234"/>
      <c r="D220" s="247">
        <v>-0.01</v>
      </c>
      <c r="E220" s="236"/>
      <c r="F220" s="164"/>
      <c r="G220" s="247">
        <v>-0.01</v>
      </c>
      <c r="H220" s="247"/>
      <c r="I220" s="164"/>
      <c r="J220" s="247">
        <v>-0.01</v>
      </c>
      <c r="K220" s="238"/>
      <c r="L220" s="164"/>
      <c r="N220" s="76"/>
      <c r="O220" s="76"/>
      <c r="P220" s="144"/>
      <c r="Q220" s="144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J220" s="165"/>
    </row>
    <row r="221" spans="1:36" hidden="1">
      <c r="A221" s="182" t="s">
        <v>141</v>
      </c>
      <c r="B221" s="182"/>
      <c r="C221" s="234">
        <f>48+4</f>
        <v>52</v>
      </c>
      <c r="D221" s="249">
        <f>D211</f>
        <v>7.53</v>
      </c>
      <c r="E221" s="236"/>
      <c r="F221" s="164">
        <f>-ROUND(D221*$C221/100,0)</f>
        <v>-4</v>
      </c>
      <c r="G221" s="249">
        <f>G211</f>
        <v>7.64</v>
      </c>
      <c r="H221" s="249"/>
      <c r="I221" s="164">
        <f>-ROUND(G221*$C221/100,0)</f>
        <v>-4</v>
      </c>
      <c r="J221" s="249">
        <f>J211</f>
        <v>8.6</v>
      </c>
      <c r="K221" s="236"/>
      <c r="L221" s="164">
        <f>-ROUND(J221*$C221/100,0)</f>
        <v>-4</v>
      </c>
      <c r="N221" s="76"/>
      <c r="O221" s="76"/>
      <c r="P221" s="144"/>
      <c r="Q221" s="144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J221" s="165"/>
    </row>
    <row r="222" spans="1:36" hidden="1">
      <c r="A222" s="182" t="s">
        <v>142</v>
      </c>
      <c r="B222" s="182"/>
      <c r="C222" s="234">
        <f>48+36</f>
        <v>84</v>
      </c>
      <c r="D222" s="249">
        <f>D212</f>
        <v>11.18</v>
      </c>
      <c r="E222" s="236"/>
      <c r="F222" s="164">
        <f>-ROUND(D222*$C222/100,0)</f>
        <v>-9</v>
      </c>
      <c r="G222" s="249">
        <f>G212</f>
        <v>11.36</v>
      </c>
      <c r="H222" s="249"/>
      <c r="I222" s="164">
        <f t="shared" ref="I222:I224" si="35">-ROUND(G222*$C222/100,0)</f>
        <v>-10</v>
      </c>
      <c r="J222" s="249">
        <f>J212</f>
        <v>12.79</v>
      </c>
      <c r="K222" s="236"/>
      <c r="L222" s="164">
        <f>-ROUND(J222*$C222/100,0)</f>
        <v>-11</v>
      </c>
      <c r="N222" s="76"/>
      <c r="O222" s="76"/>
      <c r="P222" s="144"/>
      <c r="Q222" s="144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J222" s="165"/>
    </row>
    <row r="223" spans="1:36" hidden="1">
      <c r="A223" s="182" t="s">
        <v>152</v>
      </c>
      <c r="B223" s="182"/>
      <c r="C223" s="234">
        <f>121+1019+823</f>
        <v>1963</v>
      </c>
      <c r="D223" s="249">
        <f>D213</f>
        <v>0.78</v>
      </c>
      <c r="E223" s="236"/>
      <c r="F223" s="164">
        <f>-ROUND(D223*$C223/100,0)</f>
        <v>-15</v>
      </c>
      <c r="G223" s="249">
        <f>G213</f>
        <v>0.81</v>
      </c>
      <c r="H223" s="249"/>
      <c r="I223" s="164">
        <f t="shared" si="35"/>
        <v>-16</v>
      </c>
      <c r="J223" s="249">
        <f>J213</f>
        <v>0.91</v>
      </c>
      <c r="K223" s="236"/>
      <c r="L223" s="164">
        <f>-ROUND(J223*$C223/100,0)</f>
        <v>-18</v>
      </c>
      <c r="N223" s="76"/>
      <c r="O223" s="76"/>
      <c r="P223" s="144"/>
      <c r="Q223" s="144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J223" s="165"/>
    </row>
    <row r="224" spans="1:36" hidden="1">
      <c r="A224" s="182" t="s">
        <v>161</v>
      </c>
      <c r="B224" s="182"/>
      <c r="C224" s="234">
        <f>72+291+415</f>
        <v>778</v>
      </c>
      <c r="D224" s="249">
        <f>D215</f>
        <v>2.88</v>
      </c>
      <c r="E224" s="238"/>
      <c r="F224" s="164">
        <f>-ROUND(D224*$C224/100,0)</f>
        <v>-22</v>
      </c>
      <c r="G224" s="249">
        <f>G215</f>
        <v>2.98</v>
      </c>
      <c r="H224" s="249"/>
      <c r="I224" s="164">
        <f t="shared" si="35"/>
        <v>-23</v>
      </c>
      <c r="J224" s="249">
        <f>J215</f>
        <v>3.35</v>
      </c>
      <c r="K224" s="238"/>
      <c r="L224" s="164">
        <f>-ROUND(J224*$C224/100,0)</f>
        <v>-26</v>
      </c>
      <c r="N224" s="76"/>
      <c r="O224" s="76"/>
      <c r="P224" s="144"/>
      <c r="Q224" s="144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J224" s="165"/>
    </row>
    <row r="225" spans="1:36" hidden="1">
      <c r="A225" s="182" t="s">
        <v>154</v>
      </c>
      <c r="B225" s="182"/>
      <c r="C225" s="234">
        <f>4000+47440+13576+26000</f>
        <v>91016</v>
      </c>
      <c r="D225" s="250">
        <f>D216</f>
        <v>8.0890000000000004</v>
      </c>
      <c r="E225" s="238" t="s">
        <v>126</v>
      </c>
      <c r="F225" s="164">
        <f>ROUND(D225*$C225/100*D220,0)</f>
        <v>-74</v>
      </c>
      <c r="G225" s="250">
        <f>G216</f>
        <v>8.5489999999999995</v>
      </c>
      <c r="H225" s="250"/>
      <c r="I225" s="164">
        <f>ROUND(G225*$C225/100*G220,0)</f>
        <v>-78</v>
      </c>
      <c r="J225" s="250">
        <f>J216</f>
        <v>9.6240000000000006</v>
      </c>
      <c r="K225" s="238" t="s">
        <v>126</v>
      </c>
      <c r="L225" s="164">
        <f>ROUND(J225*$C225/100*J220,0)</f>
        <v>-88</v>
      </c>
      <c r="N225" s="76"/>
      <c r="O225" s="76"/>
      <c r="P225" s="144"/>
      <c r="Q225" s="144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J225" s="165"/>
    </row>
    <row r="226" spans="1:36" hidden="1">
      <c r="A226" s="182" t="s">
        <v>148</v>
      </c>
      <c r="B226" s="182"/>
      <c r="C226" s="234">
        <f>4960+108263+96000+90820</f>
        <v>300043</v>
      </c>
      <c r="D226" s="250">
        <f>D217</f>
        <v>5.5839999999999996</v>
      </c>
      <c r="E226" s="238" t="s">
        <v>126</v>
      </c>
      <c r="F226" s="164">
        <f>ROUND(D226*$C226/100*D220,0)</f>
        <v>-168</v>
      </c>
      <c r="G226" s="250">
        <f>G217</f>
        <v>5.9020000000000001</v>
      </c>
      <c r="H226" s="250"/>
      <c r="I226" s="164">
        <f>ROUND(G226*$C226/100*G220,0)</f>
        <v>-177</v>
      </c>
      <c r="J226" s="250">
        <f>J217</f>
        <v>6.6450000000000005</v>
      </c>
      <c r="K226" s="238" t="s">
        <v>126</v>
      </c>
      <c r="L226" s="164">
        <f>ROUND(J226*$C226/100*J220,0)</f>
        <v>-199</v>
      </c>
      <c r="N226" s="76"/>
      <c r="O226" s="76"/>
      <c r="P226" s="144"/>
      <c r="Q226" s="144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J226" s="165"/>
    </row>
    <row r="227" spans="1:36" hidden="1">
      <c r="A227" s="182" t="s">
        <v>149</v>
      </c>
      <c r="B227" s="182"/>
      <c r="C227" s="234">
        <f>66880+6480</f>
        <v>73360</v>
      </c>
      <c r="D227" s="250">
        <f>D218</f>
        <v>4.8099999999999996</v>
      </c>
      <c r="E227" s="238" t="s">
        <v>126</v>
      </c>
      <c r="F227" s="164">
        <f>ROUND(D227*$C227/100*D220,0)</f>
        <v>-35</v>
      </c>
      <c r="G227" s="250">
        <f>G218</f>
        <v>5.0839999999999996</v>
      </c>
      <c r="H227" s="250"/>
      <c r="I227" s="164">
        <f>ROUND(G227*$C227/100*G220,0)</f>
        <v>-37</v>
      </c>
      <c r="J227" s="250">
        <f>J218</f>
        <v>5.7249999999999996</v>
      </c>
      <c r="K227" s="238" t="s">
        <v>126</v>
      </c>
      <c r="L227" s="164">
        <f>ROUND(J227*$C227/100*J220,0)</f>
        <v>-42</v>
      </c>
      <c r="N227" s="76"/>
      <c r="O227" s="76"/>
      <c r="P227" s="144"/>
      <c r="Q227" s="144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J227" s="165"/>
    </row>
    <row r="228" spans="1:36" hidden="1">
      <c r="A228" s="182" t="s">
        <v>150</v>
      </c>
      <c r="B228" s="182"/>
      <c r="C228" s="234">
        <f>1526+1420</f>
        <v>2946</v>
      </c>
      <c r="D228" s="251">
        <f>D219</f>
        <v>45</v>
      </c>
      <c r="E228" s="238" t="s">
        <v>126</v>
      </c>
      <c r="F228" s="164">
        <f>ROUND(D228*$C228/100*D220,0)</f>
        <v>-13</v>
      </c>
      <c r="G228" s="251">
        <f>G219</f>
        <v>50</v>
      </c>
      <c r="H228" s="251"/>
      <c r="I228" s="164">
        <f>ROUND(G228*$C228/100*G220,0)</f>
        <v>-15</v>
      </c>
      <c r="J228" s="251">
        <f>J219</f>
        <v>56</v>
      </c>
      <c r="K228" s="238" t="s">
        <v>126</v>
      </c>
      <c r="L228" s="164">
        <f>ROUND(J228*$C228/100*J220,0)</f>
        <v>-16</v>
      </c>
      <c r="N228" s="76"/>
      <c r="O228" s="76"/>
      <c r="P228" s="144"/>
      <c r="Q228" s="144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J228" s="165"/>
    </row>
    <row r="229" spans="1:36" hidden="1">
      <c r="A229" s="182" t="s">
        <v>155</v>
      </c>
      <c r="B229" s="182"/>
      <c r="C229" s="234">
        <f>48+36</f>
        <v>84</v>
      </c>
      <c r="D229" s="252">
        <f>$D$172</f>
        <v>60</v>
      </c>
      <c r="E229" s="236"/>
      <c r="F229" s="164">
        <f>ROUND(D229*$C229,0)</f>
        <v>5040</v>
      </c>
      <c r="G229" s="252">
        <f>$D$172</f>
        <v>60</v>
      </c>
      <c r="H229" s="252"/>
      <c r="I229" s="164">
        <f>ROUND(G229*C229,0)</f>
        <v>5040</v>
      </c>
      <c r="J229" s="252">
        <f>$J$172</f>
        <v>60</v>
      </c>
      <c r="K229" s="238"/>
      <c r="L229" s="164">
        <f>ROUND(J229*$C229,0)</f>
        <v>5040</v>
      </c>
      <c r="N229" s="76"/>
      <c r="O229" s="76"/>
      <c r="P229" s="144"/>
      <c r="Q229" s="144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J229" s="165"/>
    </row>
    <row r="230" spans="1:36" hidden="1">
      <c r="A230" s="182" t="s">
        <v>156</v>
      </c>
      <c r="B230" s="182"/>
      <c r="C230" s="234">
        <f>121+400+823</f>
        <v>1344</v>
      </c>
      <c r="D230" s="253">
        <f>$D$173</f>
        <v>-30</v>
      </c>
      <c r="E230" s="236" t="s">
        <v>126</v>
      </c>
      <c r="F230" s="164">
        <f>ROUND(D230*$C230/100,0)</f>
        <v>-403</v>
      </c>
      <c r="G230" s="253">
        <f>$D$173</f>
        <v>-30</v>
      </c>
      <c r="H230" s="253"/>
      <c r="I230" s="164">
        <f>ROUND(G230*C230/100,0)</f>
        <v>-403</v>
      </c>
      <c r="J230" s="253">
        <f>$J$173</f>
        <v>-30</v>
      </c>
      <c r="K230" s="238" t="s">
        <v>126</v>
      </c>
      <c r="L230" s="164">
        <f>ROUND(J230*$C230/100,0)</f>
        <v>-403</v>
      </c>
      <c r="N230" s="76"/>
      <c r="O230" s="76"/>
      <c r="P230" s="144"/>
      <c r="Q230" s="144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J230" s="165"/>
    </row>
    <row r="231" spans="1:36" hidden="1">
      <c r="A231" s="182" t="s">
        <v>131</v>
      </c>
      <c r="B231" s="215"/>
      <c r="C231" s="234">
        <f>SUM(C216:C218)</f>
        <v>520391594</v>
      </c>
      <c r="D231" s="244"/>
      <c r="E231" s="164"/>
      <c r="F231" s="164">
        <f>SUM(F211:F230)</f>
        <v>36119438</v>
      </c>
      <c r="G231" s="244"/>
      <c r="H231" s="244"/>
      <c r="I231" s="164">
        <f>SUM(I211:I230)</f>
        <v>38039769</v>
      </c>
      <c r="J231" s="244"/>
      <c r="K231" s="238"/>
      <c r="L231" s="164">
        <f>SUM(L211:L230)</f>
        <v>42821031</v>
      </c>
      <c r="N231" s="267"/>
      <c r="O231" s="267"/>
      <c r="P231" s="144"/>
      <c r="Q231" s="144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J231" s="165"/>
    </row>
    <row r="232" spans="1:36" hidden="1">
      <c r="A232" s="182" t="s">
        <v>114</v>
      </c>
      <c r="B232" s="182"/>
      <c r="C232" s="270">
        <v>9052071.3721394334</v>
      </c>
      <c r="D232" s="217"/>
      <c r="E232" s="217"/>
      <c r="F232" s="256">
        <v>673851.08866136416</v>
      </c>
      <c r="G232" s="217"/>
      <c r="H232" s="217"/>
      <c r="I232" s="256">
        <f>F232</f>
        <v>673851.08866136416</v>
      </c>
      <c r="J232" s="217"/>
      <c r="K232" s="217"/>
      <c r="L232" s="256">
        <f>F232</f>
        <v>673851.08866136416</v>
      </c>
      <c r="N232" s="196"/>
      <c r="O232" s="196"/>
      <c r="P232" s="194"/>
      <c r="Q232" s="144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J232" s="165"/>
    </row>
    <row r="233" spans="1:36" ht="16.5" hidden="1" thickBot="1">
      <c r="A233" s="182" t="s">
        <v>132</v>
      </c>
      <c r="B233" s="182"/>
      <c r="C233" s="219">
        <f>SUM(C231:C232)</f>
        <v>529443665.37213945</v>
      </c>
      <c r="D233" s="258"/>
      <c r="E233" s="259"/>
      <c r="F233" s="260">
        <f>F231+F232</f>
        <v>36793289.088661365</v>
      </c>
      <c r="G233" s="258"/>
      <c r="H233" s="258"/>
      <c r="I233" s="260">
        <f>I231+I232</f>
        <v>38713620.088661365</v>
      </c>
      <c r="J233" s="258"/>
      <c r="K233" s="262"/>
      <c r="L233" s="260">
        <f>L231+L232</f>
        <v>43494882.088661365</v>
      </c>
      <c r="N233" s="197"/>
      <c r="O233" s="197"/>
      <c r="P233" s="198"/>
      <c r="Q233" s="144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J233" s="165"/>
    </row>
    <row r="234" spans="1:36" hidden="1">
      <c r="A234" s="182"/>
      <c r="B234" s="182"/>
      <c r="C234" s="200"/>
      <c r="D234" s="252"/>
      <c r="E234" s="164"/>
      <c r="F234" s="164"/>
      <c r="G234" s="252"/>
      <c r="H234" s="252"/>
      <c r="I234" s="164"/>
      <c r="J234" s="252"/>
      <c r="K234" s="182"/>
      <c r="L234" s="164" t="s">
        <v>0</v>
      </c>
      <c r="N234" s="76"/>
      <c r="O234" s="76"/>
      <c r="P234" s="144"/>
      <c r="Q234" s="144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J234" s="165"/>
    </row>
    <row r="235" spans="1:36" hidden="1">
      <c r="A235" s="199" t="s">
        <v>138</v>
      </c>
      <c r="B235" s="182"/>
      <c r="C235" s="182"/>
      <c r="D235" s="164"/>
      <c r="E235" s="164"/>
      <c r="F235" s="182" t="s">
        <v>0</v>
      </c>
      <c r="G235" s="164"/>
      <c r="H235" s="164"/>
      <c r="I235" s="182"/>
      <c r="J235" s="164"/>
      <c r="K235" s="182"/>
      <c r="L235" s="182"/>
      <c r="N235" s="76"/>
      <c r="O235" s="76"/>
      <c r="P235" s="144"/>
      <c r="Q235" s="144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J235" s="165"/>
    </row>
    <row r="236" spans="1:36" hidden="1">
      <c r="A236" s="182" t="s">
        <v>162</v>
      </c>
      <c r="B236" s="182"/>
      <c r="C236" s="200"/>
      <c r="D236" s="164"/>
      <c r="E236" s="164"/>
      <c r="F236" s="182"/>
      <c r="G236" s="164"/>
      <c r="H236" s="164"/>
      <c r="I236" s="182"/>
      <c r="J236" s="164"/>
      <c r="K236" s="182"/>
      <c r="L236" s="182"/>
      <c r="N236" s="76"/>
      <c r="O236" s="76"/>
      <c r="P236" s="144"/>
      <c r="Q236" s="144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J236" s="165"/>
    </row>
    <row r="237" spans="1:36" hidden="1">
      <c r="A237" s="182"/>
      <c r="B237" s="182"/>
      <c r="C237" s="182"/>
      <c r="D237" s="164"/>
      <c r="E237" s="164"/>
      <c r="F237" s="182"/>
      <c r="G237" s="164"/>
      <c r="H237" s="164"/>
      <c r="I237" s="182"/>
      <c r="J237" s="164"/>
      <c r="K237" s="182"/>
      <c r="L237" s="182"/>
      <c r="N237" s="76"/>
      <c r="O237" s="76"/>
      <c r="P237" s="144"/>
      <c r="Q237" s="144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J237" s="165"/>
    </row>
    <row r="238" spans="1:36" hidden="1">
      <c r="A238" s="182" t="s">
        <v>144</v>
      </c>
      <c r="B238" s="182"/>
      <c r="C238" s="234"/>
      <c r="D238" s="164"/>
      <c r="E238" s="164"/>
      <c r="F238" s="182"/>
      <c r="G238" s="164"/>
      <c r="H238" s="164"/>
      <c r="I238" s="182"/>
      <c r="J238" s="164"/>
      <c r="K238" s="182"/>
      <c r="L238" s="182"/>
      <c r="N238" s="76"/>
      <c r="O238" s="76"/>
      <c r="P238" s="144"/>
      <c r="Q238" s="144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J238" s="165"/>
    </row>
    <row r="239" spans="1:36" hidden="1">
      <c r="A239" s="182" t="s">
        <v>141</v>
      </c>
      <c r="B239" s="182"/>
      <c r="C239" s="234">
        <f>541+1706</f>
        <v>2247</v>
      </c>
      <c r="D239" s="204">
        <f>$D$153</f>
        <v>7.53</v>
      </c>
      <c r="E239" s="236"/>
      <c r="F239" s="164">
        <f>ROUND(D239*$C239,0)</f>
        <v>16920</v>
      </c>
      <c r="G239" s="204">
        <f>$G$153</f>
        <v>7.64</v>
      </c>
      <c r="H239" s="204"/>
      <c r="I239" s="164">
        <f>ROUND(G239*$C239,0)</f>
        <v>17167</v>
      </c>
      <c r="J239" s="204">
        <f>$J$153</f>
        <v>8.6</v>
      </c>
      <c r="K239" s="238"/>
      <c r="L239" s="164">
        <f>ROUND(J239*$C239,0)</f>
        <v>19324</v>
      </c>
      <c r="N239" s="76"/>
      <c r="O239" s="76"/>
      <c r="P239" s="144"/>
      <c r="Q239" s="144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J239" s="165"/>
    </row>
    <row r="240" spans="1:36" hidden="1">
      <c r="A240" s="182" t="s">
        <v>142</v>
      </c>
      <c r="B240" s="182"/>
      <c r="C240" s="234">
        <f>636+2714</f>
        <v>3350</v>
      </c>
      <c r="D240" s="204">
        <f>$D$154</f>
        <v>11.18</v>
      </c>
      <c r="E240" s="239"/>
      <c r="F240" s="164">
        <f>ROUND(D240*$C240,0)</f>
        <v>37453</v>
      </c>
      <c r="G240" s="204">
        <f>$G$154</f>
        <v>11.36</v>
      </c>
      <c r="H240" s="204"/>
      <c r="I240" s="164">
        <f t="shared" ref="I240:I241" si="36">ROUND(G240*$C240,0)</f>
        <v>38056</v>
      </c>
      <c r="J240" s="204">
        <f>$J$154</f>
        <v>12.79</v>
      </c>
      <c r="K240" s="240"/>
      <c r="L240" s="164">
        <f>ROUND(J240*$C240,0)</f>
        <v>42847</v>
      </c>
      <c r="N240" s="76"/>
      <c r="O240" s="76"/>
      <c r="P240" s="144"/>
      <c r="Q240" s="144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J240" s="165"/>
    </row>
    <row r="241" spans="1:36" hidden="1">
      <c r="A241" s="182" t="s">
        <v>143</v>
      </c>
      <c r="B241" s="182"/>
      <c r="C241" s="234">
        <f>894+14062+3483+48819</f>
        <v>67258</v>
      </c>
      <c r="D241" s="204">
        <f>$D$155</f>
        <v>0.78</v>
      </c>
      <c r="E241" s="239"/>
      <c r="F241" s="164">
        <f>ROUND(D241*$C241,0)</f>
        <v>52461</v>
      </c>
      <c r="G241" s="204">
        <f>$G$155</f>
        <v>0.81</v>
      </c>
      <c r="H241" s="204"/>
      <c r="I241" s="164">
        <f t="shared" si="36"/>
        <v>54479</v>
      </c>
      <c r="J241" s="204">
        <f>$J$155</f>
        <v>0.91</v>
      </c>
      <c r="K241" s="240"/>
      <c r="L241" s="164">
        <f>ROUND(J241*$C241,0)</f>
        <v>61205</v>
      </c>
      <c r="N241" s="76"/>
      <c r="O241" s="76"/>
      <c r="P241" s="144"/>
      <c r="Q241" s="144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J241" s="165"/>
    </row>
    <row r="242" spans="1:36" hidden="1">
      <c r="A242" s="182" t="s">
        <v>145</v>
      </c>
      <c r="B242" s="182"/>
      <c r="C242" s="234">
        <f>SUM(C239:C240)</f>
        <v>5597</v>
      </c>
      <c r="D242" s="204"/>
      <c r="E242" s="236"/>
      <c r="F242" s="164"/>
      <c r="G242" s="204"/>
      <c r="H242" s="204"/>
      <c r="I242" s="164"/>
      <c r="J242" s="204"/>
      <c r="K242" s="238"/>
      <c r="L242" s="164"/>
      <c r="N242" s="76"/>
      <c r="O242" s="76"/>
      <c r="P242" s="144"/>
      <c r="Q242" s="144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J242" s="165"/>
    </row>
    <row r="243" spans="1:36" hidden="1">
      <c r="A243" s="182" t="s">
        <v>146</v>
      </c>
      <c r="B243" s="182"/>
      <c r="C243" s="234">
        <f>589+4877+1703+33914</f>
        <v>41083</v>
      </c>
      <c r="D243" s="252">
        <f>$D$158</f>
        <v>2.88</v>
      </c>
      <c r="E243" s="238"/>
      <c r="F243" s="164">
        <f>ROUND(D243*$C243,0)</f>
        <v>118319</v>
      </c>
      <c r="G243" s="252">
        <f>$G$158</f>
        <v>2.98</v>
      </c>
      <c r="H243" s="252"/>
      <c r="I243" s="164">
        <f>ROUND(G243*C243,0)</f>
        <v>122427</v>
      </c>
      <c r="J243" s="252">
        <f>$J$158</f>
        <v>3.35</v>
      </c>
      <c r="K243" s="238"/>
      <c r="L243" s="164">
        <f>ROUND(J243*$C243,0)</f>
        <v>137628</v>
      </c>
      <c r="N243" s="76"/>
      <c r="O243" s="76"/>
      <c r="P243" s="144"/>
      <c r="Q243" s="144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J243" s="165"/>
    </row>
    <row r="244" spans="1:36" hidden="1">
      <c r="A244" s="182" t="s">
        <v>147</v>
      </c>
      <c r="B244" s="182"/>
      <c r="C244" s="234">
        <f>175918+397940+1002450+2154454</f>
        <v>3730762</v>
      </c>
      <c r="D244" s="207">
        <f>$D$159</f>
        <v>8.0890000000000004</v>
      </c>
      <c r="E244" s="238" t="s">
        <v>126</v>
      </c>
      <c r="F244" s="164">
        <f>ROUND(D244*$C244/100,0)</f>
        <v>301781</v>
      </c>
      <c r="G244" s="207">
        <f>$G$159</f>
        <v>8.5489999999999995</v>
      </c>
      <c r="H244" s="207"/>
      <c r="I244" s="164">
        <f>ROUND(G244*C244/100,0)</f>
        <v>318943</v>
      </c>
      <c r="J244" s="207">
        <f>$J$159</f>
        <v>9.6240000000000006</v>
      </c>
      <c r="K244" s="238" t="s">
        <v>126</v>
      </c>
      <c r="L244" s="164">
        <f>ROUND(J244*$C244/100,0)</f>
        <v>359049</v>
      </c>
      <c r="N244" s="76"/>
      <c r="O244" s="76"/>
      <c r="P244" s="144"/>
      <c r="Q244" s="144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J244" s="165"/>
    </row>
    <row r="245" spans="1:36" hidden="1">
      <c r="A245" s="182" t="s">
        <v>148</v>
      </c>
      <c r="B245" s="182"/>
      <c r="C245" s="234">
        <f>241390+1135307+1599856+7997123</f>
        <v>10973676</v>
      </c>
      <c r="D245" s="207">
        <f>$D$160</f>
        <v>5.5839999999999996</v>
      </c>
      <c r="E245" s="238" t="s">
        <v>126</v>
      </c>
      <c r="F245" s="164">
        <f>ROUND(D245*$C245/100,0)</f>
        <v>612770</v>
      </c>
      <c r="G245" s="207">
        <f>$G$160</f>
        <v>5.9020000000000001</v>
      </c>
      <c r="H245" s="207"/>
      <c r="I245" s="164">
        <f t="shared" ref="I245:I247" si="37">ROUND(G245*C245/100,0)</f>
        <v>647666</v>
      </c>
      <c r="J245" s="207">
        <f>$J$160</f>
        <v>6.6450000000000005</v>
      </c>
      <c r="K245" s="238" t="s">
        <v>126</v>
      </c>
      <c r="L245" s="164">
        <f>ROUND(J245*$C245/100,0)</f>
        <v>729201</v>
      </c>
      <c r="N245" s="76"/>
      <c r="O245" s="76"/>
      <c r="P245" s="144"/>
      <c r="Q245" s="144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J245" s="165"/>
    </row>
    <row r="246" spans="1:36" hidden="1">
      <c r="A246" s="182" t="s">
        <v>149</v>
      </c>
      <c r="B246" s="182"/>
      <c r="C246" s="234">
        <f>498670+2240756+2684483+13852307-C244-C245</f>
        <v>4571778</v>
      </c>
      <c r="D246" s="207">
        <f>$D$161</f>
        <v>4.8099999999999996</v>
      </c>
      <c r="E246" s="238" t="s">
        <v>126</v>
      </c>
      <c r="F246" s="164">
        <f>ROUND(D246*$C246/100,0)</f>
        <v>219903</v>
      </c>
      <c r="G246" s="207">
        <f>$G$161</f>
        <v>5.0839999999999996</v>
      </c>
      <c r="H246" s="207"/>
      <c r="I246" s="164">
        <f t="shared" si="37"/>
        <v>232429</v>
      </c>
      <c r="J246" s="207">
        <f>$J$161</f>
        <v>5.7249999999999996</v>
      </c>
      <c r="K246" s="238" t="s">
        <v>126</v>
      </c>
      <c r="L246" s="164">
        <f>ROUND(J246*$C246/100,0)</f>
        <v>261734</v>
      </c>
      <c r="N246" s="76"/>
      <c r="O246" s="76"/>
      <c r="P246" s="144"/>
      <c r="Q246" s="144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J246" s="165"/>
    </row>
    <row r="247" spans="1:36" hidden="1">
      <c r="A247" s="182" t="s">
        <v>150</v>
      </c>
      <c r="B247" s="182"/>
      <c r="C247" s="234">
        <f>1975+12217</f>
        <v>14192</v>
      </c>
      <c r="D247" s="244">
        <f>$D$162</f>
        <v>45</v>
      </c>
      <c r="E247" s="236" t="s">
        <v>126</v>
      </c>
      <c r="F247" s="164">
        <f>ROUND(D247*$C247/100,0)</f>
        <v>6386</v>
      </c>
      <c r="G247" s="244">
        <f>$G$162</f>
        <v>50</v>
      </c>
      <c r="H247" s="244"/>
      <c r="I247" s="164">
        <f t="shared" si="37"/>
        <v>7096</v>
      </c>
      <c r="J247" s="244">
        <f>$J$162</f>
        <v>56</v>
      </c>
      <c r="K247" s="238" t="s">
        <v>126</v>
      </c>
      <c r="L247" s="164">
        <f>ROUND(J247*$C247/100,0)</f>
        <v>7948</v>
      </c>
      <c r="N247" s="76"/>
      <c r="O247" s="76"/>
      <c r="P247" s="144"/>
      <c r="Q247" s="144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J247" s="165"/>
    </row>
    <row r="248" spans="1:36" hidden="1">
      <c r="A248" s="246" t="s">
        <v>151</v>
      </c>
      <c r="B248" s="182"/>
      <c r="C248" s="234"/>
      <c r="D248" s="247">
        <v>-0.01</v>
      </c>
      <c r="E248" s="236"/>
      <c r="F248" s="164"/>
      <c r="G248" s="247">
        <v>-0.01</v>
      </c>
      <c r="H248" s="247"/>
      <c r="I248" s="164"/>
      <c r="J248" s="247">
        <v>-0.01</v>
      </c>
      <c r="K248" s="238"/>
      <c r="L248" s="164"/>
      <c r="N248" s="76"/>
      <c r="O248" s="76"/>
      <c r="P248" s="144"/>
      <c r="Q248" s="144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  <c r="AH248" s="76"/>
      <c r="AJ248" s="165"/>
    </row>
    <row r="249" spans="1:36" hidden="1">
      <c r="A249" s="182" t="s">
        <v>141</v>
      </c>
      <c r="B249" s="182"/>
      <c r="C249" s="234">
        <v>0</v>
      </c>
      <c r="D249" s="249">
        <f>D239</f>
        <v>7.53</v>
      </c>
      <c r="E249" s="236"/>
      <c r="F249" s="164">
        <f>-ROUND(D249*$C249/100,0)</f>
        <v>0</v>
      </c>
      <c r="G249" s="249">
        <f>G239</f>
        <v>7.64</v>
      </c>
      <c r="H249" s="249"/>
      <c r="I249" s="164">
        <f>-ROUND(G249*$C249/100,0)</f>
        <v>0</v>
      </c>
      <c r="J249" s="249">
        <f>J239</f>
        <v>8.6</v>
      </c>
      <c r="K249" s="236"/>
      <c r="L249" s="164">
        <f>-ROUND(J249*$C249/100,0)</f>
        <v>0</v>
      </c>
      <c r="N249" s="76"/>
      <c r="O249" s="76"/>
      <c r="P249" s="144"/>
      <c r="Q249" s="144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J249" s="165"/>
    </row>
    <row r="250" spans="1:36" hidden="1">
      <c r="A250" s="182" t="s">
        <v>142</v>
      </c>
      <c r="B250" s="182"/>
      <c r="C250" s="234">
        <v>0</v>
      </c>
      <c r="D250" s="249">
        <f>D240</f>
        <v>11.18</v>
      </c>
      <c r="E250" s="236"/>
      <c r="F250" s="164">
        <f>-ROUND(D250*$C250/100,0)</f>
        <v>0</v>
      </c>
      <c r="G250" s="249">
        <f>G240</f>
        <v>11.36</v>
      </c>
      <c r="H250" s="249"/>
      <c r="I250" s="164">
        <f t="shared" ref="I250:I252" si="38">-ROUND(G250*$C250/100,0)</f>
        <v>0</v>
      </c>
      <c r="J250" s="249">
        <f>J240</f>
        <v>12.79</v>
      </c>
      <c r="K250" s="236"/>
      <c r="L250" s="164">
        <f>-ROUND(J250*$C250/100,0)</f>
        <v>0</v>
      </c>
      <c r="N250" s="76"/>
      <c r="O250" s="76"/>
      <c r="P250" s="144"/>
      <c r="Q250" s="144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J250" s="165"/>
    </row>
    <row r="251" spans="1:36" hidden="1">
      <c r="A251" s="182" t="s">
        <v>152</v>
      </c>
      <c r="B251" s="182"/>
      <c r="C251" s="234">
        <v>0</v>
      </c>
      <c r="D251" s="249">
        <f>D241</f>
        <v>0.78</v>
      </c>
      <c r="E251" s="236"/>
      <c r="F251" s="164">
        <f>-ROUND(D251*$C251/100,0)</f>
        <v>0</v>
      </c>
      <c r="G251" s="249">
        <f>G241</f>
        <v>0.81</v>
      </c>
      <c r="H251" s="249"/>
      <c r="I251" s="164">
        <f t="shared" si="38"/>
        <v>0</v>
      </c>
      <c r="J251" s="249">
        <f>J241</f>
        <v>0.91</v>
      </c>
      <c r="K251" s="236"/>
      <c r="L251" s="164">
        <f>-ROUND(J251*$C251/100,0)</f>
        <v>0</v>
      </c>
      <c r="N251" s="76"/>
      <c r="O251" s="76"/>
      <c r="P251" s="144"/>
      <c r="Q251" s="144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J251" s="165"/>
    </row>
    <row r="252" spans="1:36" hidden="1">
      <c r="A252" s="182" t="s">
        <v>153</v>
      </c>
      <c r="B252" s="182"/>
      <c r="C252" s="234">
        <v>0</v>
      </c>
      <c r="D252" s="249">
        <f>D243</f>
        <v>2.88</v>
      </c>
      <c r="E252" s="238"/>
      <c r="F252" s="164">
        <f>-ROUND(D252*$C252/100,0)</f>
        <v>0</v>
      </c>
      <c r="G252" s="249">
        <f>G243</f>
        <v>2.98</v>
      </c>
      <c r="H252" s="249"/>
      <c r="I252" s="164">
        <f t="shared" si="38"/>
        <v>0</v>
      </c>
      <c r="J252" s="249">
        <f>J243</f>
        <v>3.35</v>
      </c>
      <c r="K252" s="238"/>
      <c r="L252" s="164">
        <f>-ROUND(J252*$C252/100,0)</f>
        <v>0</v>
      </c>
      <c r="N252" s="76"/>
      <c r="O252" s="76"/>
      <c r="P252" s="144"/>
      <c r="Q252" s="144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J252" s="165"/>
    </row>
    <row r="253" spans="1:36" hidden="1">
      <c r="A253" s="182" t="s">
        <v>154</v>
      </c>
      <c r="B253" s="182"/>
      <c r="C253" s="234">
        <v>0</v>
      </c>
      <c r="D253" s="250">
        <f>D244</f>
        <v>8.0890000000000004</v>
      </c>
      <c r="E253" s="238" t="s">
        <v>126</v>
      </c>
      <c r="F253" s="164">
        <f>ROUND(D253*$C253/100*D248,0)</f>
        <v>0</v>
      </c>
      <c r="G253" s="250">
        <f>G244</f>
        <v>8.5489999999999995</v>
      </c>
      <c r="H253" s="250"/>
      <c r="I253" s="164">
        <f>ROUND(G253*$C253/100*G248,0)</f>
        <v>0</v>
      </c>
      <c r="J253" s="250">
        <f>J244</f>
        <v>9.6240000000000006</v>
      </c>
      <c r="K253" s="238" t="s">
        <v>126</v>
      </c>
      <c r="L253" s="164">
        <f>ROUND(J253*$C253/100*J248,0)</f>
        <v>0</v>
      </c>
      <c r="N253" s="76"/>
      <c r="O253" s="76"/>
      <c r="P253" s="144"/>
      <c r="Q253" s="144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J253" s="165"/>
    </row>
    <row r="254" spans="1:36" hidden="1">
      <c r="A254" s="182" t="s">
        <v>148</v>
      </c>
      <c r="B254" s="182"/>
      <c r="C254" s="234">
        <v>0</v>
      </c>
      <c r="D254" s="250">
        <f>D245</f>
        <v>5.5839999999999996</v>
      </c>
      <c r="E254" s="238" t="s">
        <v>126</v>
      </c>
      <c r="F254" s="164">
        <f>ROUND(D254*$C254/100*D248,0)</f>
        <v>0</v>
      </c>
      <c r="G254" s="250">
        <f>G245</f>
        <v>5.9020000000000001</v>
      </c>
      <c r="H254" s="250"/>
      <c r="I254" s="164">
        <f>ROUND(G254*$C254/100*G248,0)</f>
        <v>0</v>
      </c>
      <c r="J254" s="250">
        <f>J245</f>
        <v>6.6450000000000005</v>
      </c>
      <c r="K254" s="238" t="s">
        <v>126</v>
      </c>
      <c r="L254" s="164">
        <f>ROUND(J254*$C254/100*J248,0)</f>
        <v>0</v>
      </c>
      <c r="N254" s="76"/>
      <c r="O254" s="76"/>
      <c r="P254" s="144"/>
      <c r="Q254" s="144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  <c r="AJ254" s="165"/>
    </row>
    <row r="255" spans="1:36" hidden="1">
      <c r="A255" s="182" t="s">
        <v>149</v>
      </c>
      <c r="B255" s="182"/>
      <c r="C255" s="234">
        <v>0</v>
      </c>
      <c r="D255" s="250">
        <f>D246</f>
        <v>4.8099999999999996</v>
      </c>
      <c r="E255" s="238" t="s">
        <v>126</v>
      </c>
      <c r="F255" s="164">
        <f>ROUND(D255*$C255/100*D248,0)</f>
        <v>0</v>
      </c>
      <c r="G255" s="250">
        <f>G246</f>
        <v>5.0839999999999996</v>
      </c>
      <c r="H255" s="250"/>
      <c r="I255" s="164">
        <f>ROUND(G255*$C255/100*G248,0)</f>
        <v>0</v>
      </c>
      <c r="J255" s="250">
        <f>J246</f>
        <v>5.7249999999999996</v>
      </c>
      <c r="K255" s="238" t="s">
        <v>126</v>
      </c>
      <c r="L255" s="164">
        <f>ROUND(J255*$C255/100*J248,0)</f>
        <v>0</v>
      </c>
      <c r="N255" s="76"/>
      <c r="O255" s="76"/>
      <c r="P255" s="144"/>
      <c r="Q255" s="144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J255" s="165"/>
    </row>
    <row r="256" spans="1:36" hidden="1">
      <c r="A256" s="182" t="s">
        <v>150</v>
      </c>
      <c r="B256" s="182"/>
      <c r="C256" s="234">
        <v>0</v>
      </c>
      <c r="D256" s="251">
        <f>D247</f>
        <v>45</v>
      </c>
      <c r="E256" s="238" t="s">
        <v>126</v>
      </c>
      <c r="F256" s="164">
        <f>ROUND(D256*$C256/100*D248,0)</f>
        <v>0</v>
      </c>
      <c r="G256" s="251">
        <f>G247</f>
        <v>50</v>
      </c>
      <c r="H256" s="251"/>
      <c r="I256" s="164">
        <f>ROUND(G256*$C256/100*G248,0)</f>
        <v>0</v>
      </c>
      <c r="J256" s="251">
        <f>J247</f>
        <v>56</v>
      </c>
      <c r="K256" s="238" t="s">
        <v>126</v>
      </c>
      <c r="L256" s="164">
        <f>ROUND(J256*$C256/100*J248,0)</f>
        <v>0</v>
      </c>
      <c r="N256" s="76"/>
      <c r="O256" s="76"/>
      <c r="P256" s="144"/>
      <c r="Q256" s="144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  <c r="AJ256" s="165"/>
    </row>
    <row r="257" spans="1:36" hidden="1">
      <c r="A257" s="182" t="s">
        <v>155</v>
      </c>
      <c r="B257" s="182"/>
      <c r="C257" s="234">
        <v>0</v>
      </c>
      <c r="D257" s="252">
        <f>$D$172</f>
        <v>60</v>
      </c>
      <c r="E257" s="236"/>
      <c r="F257" s="164">
        <f>ROUND(D257*$C257,0)</f>
        <v>0</v>
      </c>
      <c r="G257" s="252">
        <f>$D$172</f>
        <v>60</v>
      </c>
      <c r="H257" s="252"/>
      <c r="I257" s="164">
        <f>ROUND(G257*C257,0)</f>
        <v>0</v>
      </c>
      <c r="J257" s="252">
        <f>$J$172</f>
        <v>60</v>
      </c>
      <c r="K257" s="238"/>
      <c r="L257" s="164">
        <f>ROUND(J257*$C257,0)</f>
        <v>0</v>
      </c>
      <c r="N257" s="76"/>
      <c r="O257" s="76"/>
      <c r="P257" s="144"/>
      <c r="Q257" s="144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J257" s="165"/>
    </row>
    <row r="258" spans="1:36" hidden="1">
      <c r="A258" s="182" t="s">
        <v>156</v>
      </c>
      <c r="B258" s="182"/>
      <c r="C258" s="234">
        <v>0</v>
      </c>
      <c r="D258" s="253">
        <f>$D$173</f>
        <v>-30</v>
      </c>
      <c r="E258" s="236" t="s">
        <v>126</v>
      </c>
      <c r="F258" s="164">
        <f>ROUND(D258*$C258/100,0)</f>
        <v>0</v>
      </c>
      <c r="G258" s="253">
        <f>$D$173</f>
        <v>-30</v>
      </c>
      <c r="H258" s="253"/>
      <c r="I258" s="164">
        <f>ROUND(G258*C258/100,0)</f>
        <v>0</v>
      </c>
      <c r="J258" s="253">
        <f>$J$173</f>
        <v>-30</v>
      </c>
      <c r="K258" s="238" t="s">
        <v>126</v>
      </c>
      <c r="L258" s="164">
        <f>ROUND(J258*$C258/100,0)</f>
        <v>0</v>
      </c>
      <c r="N258" s="76"/>
      <c r="O258" s="76"/>
      <c r="P258" s="144"/>
      <c r="Q258" s="144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J258" s="165"/>
    </row>
    <row r="259" spans="1:36" hidden="1">
      <c r="A259" s="182" t="s">
        <v>131</v>
      </c>
      <c r="B259" s="182"/>
      <c r="C259" s="234">
        <f>SUM(C244:C246)</f>
        <v>19276216</v>
      </c>
      <c r="D259" s="244"/>
      <c r="E259" s="164"/>
      <c r="F259" s="164">
        <f>SUM(F239:F258)</f>
        <v>1365993</v>
      </c>
      <c r="G259" s="244"/>
      <c r="H259" s="244"/>
      <c r="I259" s="164">
        <f>SUM(I239:I258)</f>
        <v>1438263</v>
      </c>
      <c r="J259" s="244"/>
      <c r="K259" s="238"/>
      <c r="L259" s="164">
        <f>SUM(L239:L258)</f>
        <v>1618936</v>
      </c>
      <c r="N259" s="76"/>
      <c r="O259" s="76"/>
      <c r="P259" s="144"/>
      <c r="Q259" s="144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J259" s="165"/>
    </row>
    <row r="260" spans="1:36" hidden="1">
      <c r="A260" s="182" t="s">
        <v>114</v>
      </c>
      <c r="B260" s="182"/>
      <c r="C260" s="270">
        <v>391465.82622690144</v>
      </c>
      <c r="D260" s="217"/>
      <c r="E260" s="217"/>
      <c r="F260" s="256">
        <v>40926.758198307783</v>
      </c>
      <c r="G260" s="217"/>
      <c r="H260" s="217"/>
      <c r="I260" s="256">
        <f>F260</f>
        <v>40926.758198307783</v>
      </c>
      <c r="J260" s="217"/>
      <c r="K260" s="217"/>
      <c r="L260" s="256">
        <f>F260</f>
        <v>40926.758198307783</v>
      </c>
      <c r="N260" s="196"/>
      <c r="O260" s="196"/>
      <c r="P260" s="194"/>
      <c r="Q260" s="144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  <c r="AJ260" s="165"/>
    </row>
    <row r="261" spans="1:36" ht="16.5" hidden="1" thickBot="1">
      <c r="A261" s="182" t="s">
        <v>132</v>
      </c>
      <c r="B261" s="182"/>
      <c r="C261" s="219">
        <f>SUM(C259:C260)</f>
        <v>19667681.826226901</v>
      </c>
      <c r="D261" s="258"/>
      <c r="E261" s="259"/>
      <c r="F261" s="260">
        <f>F259+F260</f>
        <v>1406919.7581983078</v>
      </c>
      <c r="G261" s="258"/>
      <c r="H261" s="258"/>
      <c r="I261" s="260">
        <f>I259+I260</f>
        <v>1479189.7581983078</v>
      </c>
      <c r="J261" s="258"/>
      <c r="K261" s="262"/>
      <c r="L261" s="260">
        <f>L259+L260</f>
        <v>1659862.7581983078</v>
      </c>
      <c r="N261" s="197"/>
      <c r="O261" s="197"/>
      <c r="P261" s="198"/>
      <c r="Q261" s="144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J261" s="165"/>
    </row>
    <row r="262" spans="1:36" hidden="1">
      <c r="A262" s="182"/>
      <c r="B262" s="182"/>
      <c r="C262" s="271"/>
      <c r="D262" s="272"/>
      <c r="E262" s="273"/>
      <c r="F262" s="237"/>
      <c r="G262" s="272"/>
      <c r="H262" s="272"/>
      <c r="I262" s="237"/>
      <c r="J262" s="272"/>
      <c r="K262" s="274"/>
      <c r="L262" s="237"/>
      <c r="N262" s="76"/>
      <c r="O262" s="76"/>
      <c r="P262" s="144"/>
      <c r="Q262" s="144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J262" s="165"/>
    </row>
    <row r="263" spans="1:36" hidden="1">
      <c r="A263" s="199" t="s">
        <v>163</v>
      </c>
      <c r="B263" s="182"/>
      <c r="C263" s="182"/>
      <c r="D263" s="164"/>
      <c r="E263" s="164"/>
      <c r="F263" s="182" t="s">
        <v>0</v>
      </c>
      <c r="G263" s="164"/>
      <c r="H263" s="164"/>
      <c r="I263" s="182"/>
      <c r="J263" s="164"/>
      <c r="K263" s="182"/>
      <c r="L263" s="182"/>
      <c r="N263" s="76"/>
      <c r="O263" s="76"/>
      <c r="P263" s="144"/>
      <c r="Q263" s="144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J263" s="165"/>
    </row>
    <row r="264" spans="1:36" hidden="1">
      <c r="A264" s="182" t="s">
        <v>158</v>
      </c>
      <c r="B264" s="182"/>
      <c r="C264" s="182"/>
      <c r="D264" s="164"/>
      <c r="E264" s="164"/>
      <c r="F264" s="182"/>
      <c r="G264" s="164"/>
      <c r="H264" s="164"/>
      <c r="I264" s="182"/>
      <c r="J264" s="164"/>
      <c r="K264" s="182"/>
      <c r="L264" s="182"/>
      <c r="N264" s="76"/>
      <c r="O264" s="76"/>
      <c r="P264" s="144"/>
      <c r="Q264" s="144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  <c r="AJ264" s="165"/>
    </row>
    <row r="265" spans="1:36" hidden="1">
      <c r="A265" s="182"/>
      <c r="B265" s="182"/>
      <c r="C265" s="182"/>
      <c r="D265" s="164"/>
      <c r="E265" s="164"/>
      <c r="F265" s="182"/>
      <c r="G265" s="164"/>
      <c r="H265" s="164"/>
      <c r="I265" s="182"/>
      <c r="J265" s="164"/>
      <c r="K265" s="182"/>
      <c r="L265" s="182"/>
      <c r="N265" s="76"/>
      <c r="O265" s="76"/>
      <c r="P265" s="144"/>
      <c r="Q265" s="144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J265" s="165"/>
    </row>
    <row r="266" spans="1:36" hidden="1">
      <c r="A266" s="182" t="s">
        <v>144</v>
      </c>
      <c r="B266" s="182"/>
      <c r="C266" s="234"/>
      <c r="D266" s="164"/>
      <c r="E266" s="164"/>
      <c r="F266" s="182"/>
      <c r="G266" s="164"/>
      <c r="H266" s="164"/>
      <c r="I266" s="182"/>
      <c r="J266" s="164"/>
      <c r="K266" s="182"/>
      <c r="L266" s="182"/>
      <c r="N266" s="76"/>
      <c r="O266" s="76"/>
      <c r="P266" s="144"/>
      <c r="Q266" s="144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  <c r="AJ266" s="165"/>
    </row>
    <row r="267" spans="1:36" hidden="1">
      <c r="A267" s="182" t="s">
        <v>164</v>
      </c>
      <c r="B267" s="182"/>
      <c r="C267" s="234">
        <f t="shared" ref="C267:C269" si="39">C296+C325</f>
        <v>4542</v>
      </c>
      <c r="D267" s="204">
        <f>$D$153</f>
        <v>7.53</v>
      </c>
      <c r="E267" s="236"/>
      <c r="F267" s="164">
        <f t="shared" ref="F267:F269" si="40">F296+F325</f>
        <v>34201</v>
      </c>
      <c r="G267" s="204">
        <f>$G$153</f>
        <v>7.64</v>
      </c>
      <c r="H267" s="204"/>
      <c r="I267" s="164">
        <f>ROUND(G267*$C267,0)</f>
        <v>34701</v>
      </c>
      <c r="J267" s="204">
        <f>$J$153</f>
        <v>8.6</v>
      </c>
      <c r="K267" s="238"/>
      <c r="L267" s="164">
        <f>L296+L325</f>
        <v>39062</v>
      </c>
      <c r="N267" s="76"/>
      <c r="O267" s="76"/>
      <c r="P267" s="144"/>
      <c r="Q267" s="144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J267" s="165"/>
    </row>
    <row r="268" spans="1:36" hidden="1">
      <c r="A268" s="182" t="s">
        <v>142</v>
      </c>
      <c r="B268" s="182"/>
      <c r="C268" s="234">
        <f t="shared" si="39"/>
        <v>0</v>
      </c>
      <c r="D268" s="204">
        <f>$D$154</f>
        <v>11.18</v>
      </c>
      <c r="E268" s="239"/>
      <c r="F268" s="164">
        <f t="shared" si="40"/>
        <v>0</v>
      </c>
      <c r="G268" s="204">
        <f>$G$154</f>
        <v>11.36</v>
      </c>
      <c r="H268" s="204"/>
      <c r="I268" s="164">
        <f t="shared" ref="I268:I269" si="41">ROUND(G268*$C268,0)</f>
        <v>0</v>
      </c>
      <c r="J268" s="204">
        <f>$J$154</f>
        <v>12.79</v>
      </c>
      <c r="K268" s="240"/>
      <c r="L268" s="164">
        <f>L297+L326</f>
        <v>0</v>
      </c>
      <c r="N268" s="76"/>
      <c r="O268" s="76"/>
      <c r="P268" s="144"/>
      <c r="Q268" s="144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  <c r="AJ268" s="165"/>
    </row>
    <row r="269" spans="1:36" hidden="1">
      <c r="A269" s="182" t="s">
        <v>143</v>
      </c>
      <c r="B269" s="182"/>
      <c r="C269" s="234">
        <f t="shared" si="39"/>
        <v>0</v>
      </c>
      <c r="D269" s="204">
        <f>$D$155</f>
        <v>0.78</v>
      </c>
      <c r="E269" s="239"/>
      <c r="F269" s="164">
        <f t="shared" si="40"/>
        <v>0</v>
      </c>
      <c r="G269" s="204">
        <f>$G$155</f>
        <v>0.81</v>
      </c>
      <c r="H269" s="204"/>
      <c r="I269" s="164">
        <f t="shared" si="41"/>
        <v>0</v>
      </c>
      <c r="J269" s="204">
        <f>$J$155</f>
        <v>0.91</v>
      </c>
      <c r="K269" s="240"/>
      <c r="L269" s="164">
        <f>L298+L327</f>
        <v>0</v>
      </c>
      <c r="N269" s="76"/>
      <c r="O269" s="76"/>
      <c r="P269" s="144"/>
      <c r="Q269" s="144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J269" s="165"/>
    </row>
    <row r="270" spans="1:36" hidden="1">
      <c r="A270" s="182" t="s">
        <v>145</v>
      </c>
      <c r="B270" s="182"/>
      <c r="C270" s="234">
        <f>SUM(C267:C268)</f>
        <v>4542</v>
      </c>
      <c r="D270" s="204"/>
      <c r="E270" s="236"/>
      <c r="F270" s="164"/>
      <c r="G270" s="204"/>
      <c r="H270" s="204"/>
      <c r="I270" s="164"/>
      <c r="J270" s="204"/>
      <c r="K270" s="238"/>
      <c r="L270" s="164"/>
      <c r="N270" s="76"/>
      <c r="O270" s="76"/>
      <c r="P270" s="144"/>
      <c r="Q270" s="144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J270" s="165"/>
    </row>
    <row r="271" spans="1:36" hidden="1">
      <c r="A271" s="182" t="s">
        <v>111</v>
      </c>
      <c r="B271" s="182"/>
      <c r="C271" s="234">
        <f t="shared" ref="C271:C276" si="42">C300+C329</f>
        <v>1477</v>
      </c>
      <c r="D271" s="204"/>
      <c r="E271" s="236"/>
      <c r="F271" s="164"/>
      <c r="G271" s="204"/>
      <c r="H271" s="204"/>
      <c r="I271" s="164"/>
      <c r="J271" s="204"/>
      <c r="K271" s="238"/>
      <c r="L271" s="164"/>
      <c r="N271" s="76"/>
      <c r="O271" s="76"/>
      <c r="P271" s="144"/>
      <c r="Q271" s="144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J271" s="165"/>
    </row>
    <row r="272" spans="1:36" hidden="1">
      <c r="A272" s="182" t="s">
        <v>146</v>
      </c>
      <c r="B272" s="182"/>
      <c r="C272" s="234">
        <f t="shared" si="42"/>
        <v>0</v>
      </c>
      <c r="D272" s="252">
        <f>$D$158</f>
        <v>2.88</v>
      </c>
      <c r="E272" s="238"/>
      <c r="F272" s="164">
        <f t="shared" ref="F272:F276" si="43">F301+F330</f>
        <v>0</v>
      </c>
      <c r="G272" s="252">
        <f>$G$158</f>
        <v>2.98</v>
      </c>
      <c r="H272" s="252"/>
      <c r="I272" s="164">
        <f>ROUND(G272*C272,0)</f>
        <v>0</v>
      </c>
      <c r="J272" s="252">
        <f>$J$158</f>
        <v>3.35</v>
      </c>
      <c r="K272" s="238"/>
      <c r="L272" s="164">
        <f>L301+L330</f>
        <v>0</v>
      </c>
      <c r="N272" s="76"/>
      <c r="O272" s="76"/>
      <c r="P272" s="144"/>
      <c r="Q272" s="144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J272" s="165"/>
    </row>
    <row r="273" spans="1:36" hidden="1">
      <c r="A273" s="182" t="s">
        <v>147</v>
      </c>
      <c r="B273" s="182"/>
      <c r="C273" s="234">
        <f t="shared" si="42"/>
        <v>1238215</v>
      </c>
      <c r="D273" s="207">
        <f>$D$159</f>
        <v>8.0890000000000004</v>
      </c>
      <c r="E273" s="238" t="s">
        <v>126</v>
      </c>
      <c r="F273" s="164">
        <f t="shared" si="43"/>
        <v>100160</v>
      </c>
      <c r="G273" s="207">
        <f>$G$159</f>
        <v>8.5489999999999995</v>
      </c>
      <c r="H273" s="207"/>
      <c r="I273" s="164">
        <f>ROUND(G273*C273/100,0)</f>
        <v>105855</v>
      </c>
      <c r="J273" s="207">
        <f>$J$159</f>
        <v>9.6240000000000006</v>
      </c>
      <c r="K273" s="238" t="s">
        <v>126</v>
      </c>
      <c r="L273" s="164">
        <f>L302+L331</f>
        <v>119166</v>
      </c>
      <c r="N273" s="76"/>
      <c r="O273" s="76"/>
      <c r="P273" s="144"/>
      <c r="Q273" s="144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J273" s="165"/>
    </row>
    <row r="274" spans="1:36" hidden="1">
      <c r="A274" s="182" t="s">
        <v>148</v>
      </c>
      <c r="B274" s="182"/>
      <c r="C274" s="234">
        <f t="shared" si="42"/>
        <v>64812</v>
      </c>
      <c r="D274" s="207">
        <f>$D$160</f>
        <v>5.5839999999999996</v>
      </c>
      <c r="E274" s="238" t="s">
        <v>126</v>
      </c>
      <c r="F274" s="164">
        <f t="shared" si="43"/>
        <v>3619</v>
      </c>
      <c r="G274" s="207">
        <f>$G$160</f>
        <v>5.9020000000000001</v>
      </c>
      <c r="H274" s="207"/>
      <c r="I274" s="164">
        <f t="shared" ref="I274:I276" si="44">ROUND(G274*C274/100,0)</f>
        <v>3825</v>
      </c>
      <c r="J274" s="207">
        <f>$J$160</f>
        <v>6.6450000000000005</v>
      </c>
      <c r="K274" s="238" t="s">
        <v>126</v>
      </c>
      <c r="L274" s="164">
        <f>L303+L332</f>
        <v>4307</v>
      </c>
      <c r="N274" s="76"/>
      <c r="O274" s="76"/>
      <c r="P274" s="144"/>
      <c r="Q274" s="144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J274" s="165"/>
    </row>
    <row r="275" spans="1:36" hidden="1">
      <c r="A275" s="182" t="s">
        <v>149</v>
      </c>
      <c r="B275" s="182"/>
      <c r="C275" s="234">
        <f t="shared" si="42"/>
        <v>0</v>
      </c>
      <c r="D275" s="207">
        <f>$D$161</f>
        <v>4.8099999999999996</v>
      </c>
      <c r="E275" s="238" t="s">
        <v>126</v>
      </c>
      <c r="F275" s="164">
        <f t="shared" si="43"/>
        <v>0</v>
      </c>
      <c r="G275" s="207">
        <f>$G$161</f>
        <v>5.0839999999999996</v>
      </c>
      <c r="H275" s="207"/>
      <c r="I275" s="164">
        <f t="shared" si="44"/>
        <v>0</v>
      </c>
      <c r="J275" s="207">
        <f>$J$161</f>
        <v>5.7249999999999996</v>
      </c>
      <c r="K275" s="238" t="s">
        <v>126</v>
      </c>
      <c r="L275" s="164">
        <f>L304+L333</f>
        <v>0</v>
      </c>
      <c r="N275" s="76"/>
      <c r="O275" s="76"/>
      <c r="P275" s="144"/>
      <c r="Q275" s="144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J275" s="165"/>
    </row>
    <row r="276" spans="1:36" hidden="1">
      <c r="A276" s="182" t="s">
        <v>150</v>
      </c>
      <c r="B276" s="182"/>
      <c r="C276" s="234">
        <f t="shared" si="42"/>
        <v>0</v>
      </c>
      <c r="D276" s="244">
        <f>$D$162</f>
        <v>45</v>
      </c>
      <c r="E276" s="236" t="s">
        <v>126</v>
      </c>
      <c r="F276" s="164">
        <f t="shared" si="43"/>
        <v>0</v>
      </c>
      <c r="G276" s="244">
        <f>$G$162</f>
        <v>50</v>
      </c>
      <c r="H276" s="244"/>
      <c r="I276" s="164">
        <f t="shared" si="44"/>
        <v>0</v>
      </c>
      <c r="J276" s="244">
        <f>$J$162</f>
        <v>56</v>
      </c>
      <c r="K276" s="238" t="s">
        <v>126</v>
      </c>
      <c r="L276" s="164">
        <f>L305+L334</f>
        <v>0</v>
      </c>
      <c r="N276" s="76"/>
      <c r="O276" s="76"/>
      <c r="P276" s="144"/>
      <c r="Q276" s="144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  <c r="AJ276" s="165"/>
    </row>
    <row r="277" spans="1:36" hidden="1">
      <c r="A277" s="246" t="s">
        <v>151</v>
      </c>
      <c r="B277" s="182"/>
      <c r="C277" s="234"/>
      <c r="D277" s="247">
        <v>-0.01</v>
      </c>
      <c r="E277" s="236"/>
      <c r="F277" s="164"/>
      <c r="G277" s="247">
        <v>-0.01</v>
      </c>
      <c r="H277" s="247"/>
      <c r="I277" s="164"/>
      <c r="J277" s="247">
        <v>-0.01</v>
      </c>
      <c r="K277" s="238"/>
      <c r="L277" s="164"/>
      <c r="N277" s="76"/>
      <c r="O277" s="76"/>
      <c r="P277" s="144"/>
      <c r="Q277" s="144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J277" s="165"/>
    </row>
    <row r="278" spans="1:36" hidden="1">
      <c r="A278" s="182" t="s">
        <v>141</v>
      </c>
      <c r="B278" s="182"/>
      <c r="C278" s="234">
        <v>0</v>
      </c>
      <c r="D278" s="249">
        <f>D267</f>
        <v>7.53</v>
      </c>
      <c r="E278" s="236"/>
      <c r="F278" s="164">
        <f t="shared" ref="F278:I289" si="45">F307+F336</f>
        <v>0</v>
      </c>
      <c r="G278" s="249">
        <f>G267</f>
        <v>7.64</v>
      </c>
      <c r="H278" s="249"/>
      <c r="I278" s="164">
        <f>-ROUND(G278*$C278/100,0)</f>
        <v>0</v>
      </c>
      <c r="J278" s="249">
        <f>J267</f>
        <v>8.6</v>
      </c>
      <c r="K278" s="236"/>
      <c r="L278" s="164">
        <f t="shared" ref="L278:L288" si="46">L307+L336</f>
        <v>0</v>
      </c>
      <c r="N278" s="76"/>
      <c r="O278" s="76"/>
      <c r="P278" s="144"/>
      <c r="Q278" s="144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J278" s="165"/>
    </row>
    <row r="279" spans="1:36" hidden="1">
      <c r="A279" s="182" t="s">
        <v>142</v>
      </c>
      <c r="B279" s="182"/>
      <c r="C279" s="234">
        <v>0</v>
      </c>
      <c r="D279" s="249">
        <f>D268</f>
        <v>11.18</v>
      </c>
      <c r="E279" s="236"/>
      <c r="F279" s="164">
        <f t="shared" si="45"/>
        <v>0</v>
      </c>
      <c r="G279" s="249">
        <f>G268</f>
        <v>11.36</v>
      </c>
      <c r="H279" s="249"/>
      <c r="I279" s="164">
        <f t="shared" ref="I279:I281" si="47">-ROUND(G279*$C279/100,0)</f>
        <v>0</v>
      </c>
      <c r="J279" s="249">
        <f>J268</f>
        <v>12.79</v>
      </c>
      <c r="K279" s="236"/>
      <c r="L279" s="164">
        <f t="shared" si="46"/>
        <v>0</v>
      </c>
      <c r="N279" s="76"/>
      <c r="O279" s="76"/>
      <c r="P279" s="144"/>
      <c r="Q279" s="144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J279" s="165"/>
    </row>
    <row r="280" spans="1:36" hidden="1">
      <c r="A280" s="182" t="s">
        <v>152</v>
      </c>
      <c r="B280" s="182"/>
      <c r="C280" s="234">
        <v>0</v>
      </c>
      <c r="D280" s="249">
        <f>D269</f>
        <v>0.78</v>
      </c>
      <c r="E280" s="236"/>
      <c r="F280" s="164">
        <f t="shared" si="45"/>
        <v>0</v>
      </c>
      <c r="G280" s="249">
        <f>G269</f>
        <v>0.81</v>
      </c>
      <c r="H280" s="249"/>
      <c r="I280" s="164">
        <f t="shared" si="47"/>
        <v>0</v>
      </c>
      <c r="J280" s="249">
        <f>J269</f>
        <v>0.91</v>
      </c>
      <c r="K280" s="236"/>
      <c r="L280" s="164">
        <f t="shared" si="46"/>
        <v>0</v>
      </c>
      <c r="N280" s="76"/>
      <c r="O280" s="76"/>
      <c r="P280" s="144"/>
      <c r="Q280" s="144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J280" s="165"/>
    </row>
    <row r="281" spans="1:36" hidden="1">
      <c r="A281" s="182" t="s">
        <v>153</v>
      </c>
      <c r="B281" s="182"/>
      <c r="C281" s="234">
        <v>0</v>
      </c>
      <c r="D281" s="249">
        <f>D272</f>
        <v>2.88</v>
      </c>
      <c r="E281" s="238"/>
      <c r="F281" s="164">
        <f t="shared" si="45"/>
        <v>0</v>
      </c>
      <c r="G281" s="249">
        <f>G272</f>
        <v>2.98</v>
      </c>
      <c r="H281" s="249"/>
      <c r="I281" s="164">
        <f t="shared" si="47"/>
        <v>0</v>
      </c>
      <c r="J281" s="249">
        <f>J272</f>
        <v>3.35</v>
      </c>
      <c r="K281" s="238"/>
      <c r="L281" s="164">
        <f t="shared" si="46"/>
        <v>0</v>
      </c>
      <c r="N281" s="76"/>
      <c r="O281" s="76"/>
      <c r="P281" s="144"/>
      <c r="Q281" s="144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J281" s="165"/>
    </row>
    <row r="282" spans="1:36" hidden="1">
      <c r="A282" s="182" t="s">
        <v>154</v>
      </c>
      <c r="B282" s="182"/>
      <c r="C282" s="234">
        <v>0</v>
      </c>
      <c r="D282" s="250">
        <f>D273</f>
        <v>8.0890000000000004</v>
      </c>
      <c r="E282" s="238" t="s">
        <v>126</v>
      </c>
      <c r="F282" s="164">
        <f t="shared" si="45"/>
        <v>0</v>
      </c>
      <c r="G282" s="250">
        <f>G273</f>
        <v>8.5489999999999995</v>
      </c>
      <c r="H282" s="250"/>
      <c r="I282" s="164">
        <f>ROUND(G282*$C282/100*G277,0)</f>
        <v>0</v>
      </c>
      <c r="J282" s="250">
        <f>J273</f>
        <v>9.6240000000000006</v>
      </c>
      <c r="K282" s="238" t="s">
        <v>126</v>
      </c>
      <c r="L282" s="164">
        <f t="shared" si="46"/>
        <v>0</v>
      </c>
      <c r="N282" s="76"/>
      <c r="O282" s="76"/>
      <c r="P282" s="144"/>
      <c r="Q282" s="144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J282" s="165"/>
    </row>
    <row r="283" spans="1:36" hidden="1">
      <c r="A283" s="182" t="s">
        <v>148</v>
      </c>
      <c r="B283" s="182"/>
      <c r="C283" s="234">
        <v>0</v>
      </c>
      <c r="D283" s="250">
        <f>D274</f>
        <v>5.5839999999999996</v>
      </c>
      <c r="E283" s="238" t="s">
        <v>126</v>
      </c>
      <c r="F283" s="164">
        <f t="shared" si="45"/>
        <v>0</v>
      </c>
      <c r="G283" s="250">
        <f>G274</f>
        <v>5.9020000000000001</v>
      </c>
      <c r="H283" s="250"/>
      <c r="I283" s="164">
        <f>ROUND(G283*$C283/100*G277,0)</f>
        <v>0</v>
      </c>
      <c r="J283" s="250">
        <f>J274</f>
        <v>6.6450000000000005</v>
      </c>
      <c r="K283" s="238" t="s">
        <v>126</v>
      </c>
      <c r="L283" s="164">
        <f t="shared" si="46"/>
        <v>0</v>
      </c>
      <c r="N283" s="76"/>
      <c r="O283" s="76"/>
      <c r="P283" s="144"/>
      <c r="Q283" s="144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J283" s="165"/>
    </row>
    <row r="284" spans="1:36" hidden="1">
      <c r="A284" s="182" t="s">
        <v>149</v>
      </c>
      <c r="B284" s="182"/>
      <c r="C284" s="234">
        <v>0</v>
      </c>
      <c r="D284" s="250">
        <f>D275</f>
        <v>4.8099999999999996</v>
      </c>
      <c r="E284" s="238" t="s">
        <v>126</v>
      </c>
      <c r="F284" s="164">
        <f t="shared" si="45"/>
        <v>0</v>
      </c>
      <c r="G284" s="250">
        <f>G275</f>
        <v>5.0839999999999996</v>
      </c>
      <c r="H284" s="250"/>
      <c r="I284" s="164">
        <f>ROUND(G284*$C284/100*G277,0)</f>
        <v>0</v>
      </c>
      <c r="J284" s="250">
        <f>J275</f>
        <v>5.7249999999999996</v>
      </c>
      <c r="K284" s="238" t="s">
        <v>126</v>
      </c>
      <c r="L284" s="164">
        <f t="shared" si="46"/>
        <v>0</v>
      </c>
      <c r="N284" s="76"/>
      <c r="O284" s="76"/>
      <c r="P284" s="144"/>
      <c r="Q284" s="144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J284" s="165"/>
    </row>
    <row r="285" spans="1:36" hidden="1">
      <c r="A285" s="182" t="s">
        <v>150</v>
      </c>
      <c r="B285" s="182"/>
      <c r="C285" s="234">
        <v>0</v>
      </c>
      <c r="D285" s="251">
        <f>D276</f>
        <v>45</v>
      </c>
      <c r="E285" s="238" t="s">
        <v>126</v>
      </c>
      <c r="F285" s="164">
        <f t="shared" si="45"/>
        <v>0</v>
      </c>
      <c r="G285" s="251">
        <f>G276</f>
        <v>50</v>
      </c>
      <c r="H285" s="251"/>
      <c r="I285" s="164">
        <f>ROUND(G285*$C285/100*G277,0)</f>
        <v>0</v>
      </c>
      <c r="J285" s="251">
        <f>J276</f>
        <v>56</v>
      </c>
      <c r="K285" s="238" t="s">
        <v>126</v>
      </c>
      <c r="L285" s="164">
        <f t="shared" si="46"/>
        <v>0</v>
      </c>
      <c r="N285" s="76"/>
      <c r="O285" s="76"/>
      <c r="P285" s="144"/>
      <c r="Q285" s="144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J285" s="165"/>
    </row>
    <row r="286" spans="1:36" hidden="1">
      <c r="A286" s="182" t="s">
        <v>155</v>
      </c>
      <c r="B286" s="182"/>
      <c r="C286" s="234">
        <v>0</v>
      </c>
      <c r="D286" s="252">
        <f>$D$172</f>
        <v>60</v>
      </c>
      <c r="E286" s="236"/>
      <c r="F286" s="164">
        <f t="shared" si="45"/>
        <v>0</v>
      </c>
      <c r="G286" s="252">
        <f>$D$172</f>
        <v>60</v>
      </c>
      <c r="H286" s="252"/>
      <c r="I286" s="164">
        <f>ROUND(G286*C286,0)</f>
        <v>0</v>
      </c>
      <c r="J286" s="252">
        <f>$J$172</f>
        <v>60</v>
      </c>
      <c r="K286" s="238"/>
      <c r="L286" s="164">
        <f t="shared" si="46"/>
        <v>0</v>
      </c>
      <c r="N286" s="76"/>
      <c r="O286" s="76"/>
      <c r="P286" s="144"/>
      <c r="Q286" s="144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J286" s="165"/>
    </row>
    <row r="287" spans="1:36" hidden="1">
      <c r="A287" s="182" t="s">
        <v>156</v>
      </c>
      <c r="B287" s="182"/>
      <c r="C287" s="234">
        <v>0</v>
      </c>
      <c r="D287" s="253">
        <f>$D$173</f>
        <v>-30</v>
      </c>
      <c r="E287" s="236" t="s">
        <v>126</v>
      </c>
      <c r="F287" s="164">
        <f t="shared" si="45"/>
        <v>0</v>
      </c>
      <c r="G287" s="253">
        <f>$D$173</f>
        <v>-30</v>
      </c>
      <c r="H287" s="253"/>
      <c r="I287" s="164">
        <f>ROUND(G287*C287/100,0)</f>
        <v>0</v>
      </c>
      <c r="J287" s="253">
        <f>$J$173</f>
        <v>-30</v>
      </c>
      <c r="K287" s="238" t="s">
        <v>126</v>
      </c>
      <c r="L287" s="164">
        <f t="shared" si="46"/>
        <v>0</v>
      </c>
      <c r="N287" s="76"/>
      <c r="O287" s="76"/>
      <c r="P287" s="144"/>
      <c r="Q287" s="144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J287" s="165"/>
    </row>
    <row r="288" spans="1:36" hidden="1">
      <c r="A288" s="182" t="s">
        <v>131</v>
      </c>
      <c r="B288" s="182"/>
      <c r="C288" s="234">
        <f>C317+C346</f>
        <v>1303027</v>
      </c>
      <c r="D288" s="244"/>
      <c r="E288" s="164"/>
      <c r="F288" s="164">
        <f t="shared" si="45"/>
        <v>137980</v>
      </c>
      <c r="G288" s="244"/>
      <c r="H288" s="244"/>
      <c r="I288" s="164">
        <f t="shared" si="45"/>
        <v>144381</v>
      </c>
      <c r="J288" s="244"/>
      <c r="K288" s="238"/>
      <c r="L288" s="164">
        <f t="shared" si="46"/>
        <v>162535</v>
      </c>
      <c r="N288" s="76"/>
      <c r="O288" s="76"/>
      <c r="P288" s="144"/>
      <c r="Q288" s="144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J288" s="165"/>
    </row>
    <row r="289" spans="1:36" hidden="1">
      <c r="A289" s="182" t="s">
        <v>114</v>
      </c>
      <c r="B289" s="182"/>
      <c r="C289" s="255">
        <f>C318+C347</f>
        <v>22762.822400383357</v>
      </c>
      <c r="D289" s="217"/>
      <c r="E289" s="217"/>
      <c r="F289" s="256">
        <f t="shared" si="45"/>
        <v>2650.1559375321976</v>
      </c>
      <c r="G289" s="217"/>
      <c r="H289" s="217"/>
      <c r="I289" s="256">
        <f t="shared" si="45"/>
        <v>2650.1559375321976</v>
      </c>
      <c r="J289" s="217"/>
      <c r="K289" s="217"/>
      <c r="L289" s="256">
        <f>F289</f>
        <v>2650.1559375321976</v>
      </c>
      <c r="N289" s="196"/>
      <c r="O289" s="196"/>
      <c r="P289" s="194"/>
      <c r="Q289" s="144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J289" s="165"/>
    </row>
    <row r="290" spans="1:36" ht="16.5" hidden="1" thickBot="1">
      <c r="A290" s="182" t="s">
        <v>132</v>
      </c>
      <c r="B290" s="182"/>
      <c r="C290" s="219">
        <f>SUM(C288:C289)</f>
        <v>1325789.8224003834</v>
      </c>
      <c r="D290" s="258"/>
      <c r="E290" s="259"/>
      <c r="F290" s="260">
        <f>F288+F289</f>
        <v>140630.1559375322</v>
      </c>
      <c r="G290" s="258"/>
      <c r="H290" s="258"/>
      <c r="I290" s="260">
        <f>I288+I289</f>
        <v>147031.1559375322</v>
      </c>
      <c r="J290" s="258"/>
      <c r="K290" s="262"/>
      <c r="L290" s="260">
        <f>L288+L289</f>
        <v>165185.1559375322</v>
      </c>
      <c r="N290" s="197"/>
      <c r="O290" s="197"/>
      <c r="P290" s="198"/>
      <c r="Q290" s="144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J290" s="165"/>
    </row>
    <row r="291" spans="1:36" hidden="1">
      <c r="A291" s="182"/>
      <c r="B291" s="182"/>
      <c r="C291" s="200"/>
      <c r="D291" s="252"/>
      <c r="E291" s="164"/>
      <c r="F291" s="164"/>
      <c r="G291" s="252"/>
      <c r="H291" s="252"/>
      <c r="I291" s="164"/>
      <c r="J291" s="252"/>
      <c r="K291" s="182"/>
      <c r="L291" s="164" t="s">
        <v>0</v>
      </c>
      <c r="N291" s="76"/>
      <c r="O291" s="76"/>
      <c r="P291" s="144"/>
      <c r="Q291" s="144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J291" s="165"/>
    </row>
    <row r="292" spans="1:36" hidden="1">
      <c r="A292" s="199" t="s">
        <v>163</v>
      </c>
      <c r="B292" s="182"/>
      <c r="C292" s="182"/>
      <c r="D292" s="164"/>
      <c r="E292" s="164"/>
      <c r="F292" s="182" t="s">
        <v>0</v>
      </c>
      <c r="G292" s="164"/>
      <c r="H292" s="164"/>
      <c r="I292" s="182"/>
      <c r="J292" s="164"/>
      <c r="K292" s="182"/>
      <c r="L292" s="182"/>
      <c r="N292" s="76"/>
      <c r="O292" s="76"/>
      <c r="P292" s="144"/>
      <c r="Q292" s="144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J292" s="165"/>
    </row>
    <row r="293" spans="1:36" hidden="1">
      <c r="A293" s="182" t="s">
        <v>159</v>
      </c>
      <c r="B293" s="182"/>
      <c r="C293" s="182"/>
      <c r="D293" s="164"/>
      <c r="E293" s="164"/>
      <c r="F293" s="182"/>
      <c r="G293" s="164"/>
      <c r="H293" s="164"/>
      <c r="I293" s="182"/>
      <c r="J293" s="164"/>
      <c r="K293" s="182"/>
      <c r="L293" s="182"/>
      <c r="N293" s="76"/>
      <c r="O293" s="76"/>
      <c r="P293" s="144"/>
      <c r="Q293" s="144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J293" s="165"/>
    </row>
    <row r="294" spans="1:36" hidden="1">
      <c r="A294" s="182"/>
      <c r="B294" s="182"/>
      <c r="C294" s="182"/>
      <c r="D294" s="164"/>
      <c r="E294" s="164"/>
      <c r="F294" s="182"/>
      <c r="G294" s="164"/>
      <c r="H294" s="164"/>
      <c r="I294" s="182"/>
      <c r="J294" s="164"/>
      <c r="K294" s="182"/>
      <c r="L294" s="182"/>
      <c r="N294" s="76"/>
      <c r="O294" s="76"/>
      <c r="P294" s="144"/>
      <c r="Q294" s="144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J294" s="165"/>
    </row>
    <row r="295" spans="1:36" hidden="1">
      <c r="A295" s="182" t="s">
        <v>144</v>
      </c>
      <c r="B295" s="182"/>
      <c r="C295" s="234"/>
      <c r="D295" s="164"/>
      <c r="E295" s="164"/>
      <c r="F295" s="182"/>
      <c r="G295" s="164"/>
      <c r="H295" s="164"/>
      <c r="I295" s="182"/>
      <c r="J295" s="164"/>
      <c r="K295" s="182"/>
      <c r="L295" s="182"/>
      <c r="N295" s="76"/>
      <c r="O295" s="76"/>
      <c r="P295" s="144"/>
      <c r="Q295" s="144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J295" s="165"/>
    </row>
    <row r="296" spans="1:36" hidden="1">
      <c r="A296" s="182" t="s">
        <v>164</v>
      </c>
      <c r="B296" s="182"/>
      <c r="C296" s="234">
        <f>3702+324</f>
        <v>4026</v>
      </c>
      <c r="D296" s="204">
        <f>$D$153</f>
        <v>7.53</v>
      </c>
      <c r="E296" s="236"/>
      <c r="F296" s="164">
        <f>ROUND(D296*$C296,0)</f>
        <v>30316</v>
      </c>
      <c r="G296" s="204">
        <f>$G$153</f>
        <v>7.64</v>
      </c>
      <c r="H296" s="204"/>
      <c r="I296" s="164">
        <f>ROUND(G296*$C296,0)</f>
        <v>30759</v>
      </c>
      <c r="J296" s="204">
        <f>$J$153</f>
        <v>8.6</v>
      </c>
      <c r="K296" s="238"/>
      <c r="L296" s="164">
        <f>ROUND(J296*$C296,0)</f>
        <v>34624</v>
      </c>
      <c r="N296" s="76"/>
      <c r="O296" s="76"/>
      <c r="P296" s="144"/>
      <c r="Q296" s="144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J296" s="165"/>
    </row>
    <row r="297" spans="1:36" hidden="1">
      <c r="A297" s="182" t="s">
        <v>142</v>
      </c>
      <c r="B297" s="182"/>
      <c r="C297" s="234">
        <v>0</v>
      </c>
      <c r="D297" s="204">
        <f>$D$154</f>
        <v>11.18</v>
      </c>
      <c r="E297" s="239"/>
      <c r="F297" s="164">
        <f>ROUND(D297*$C297,0)</f>
        <v>0</v>
      </c>
      <c r="G297" s="204">
        <f>$G$154</f>
        <v>11.36</v>
      </c>
      <c r="H297" s="204"/>
      <c r="I297" s="164">
        <f t="shared" ref="I297:I298" si="48">ROUND(G297*$C297,0)</f>
        <v>0</v>
      </c>
      <c r="J297" s="204">
        <f>$J$154</f>
        <v>12.79</v>
      </c>
      <c r="K297" s="240"/>
      <c r="L297" s="164">
        <f>ROUND(J297*$C297,0)</f>
        <v>0</v>
      </c>
      <c r="N297" s="76"/>
      <c r="O297" s="76"/>
      <c r="P297" s="144"/>
      <c r="Q297" s="144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J297" s="165"/>
    </row>
    <row r="298" spans="1:36" hidden="1">
      <c r="A298" s="182" t="s">
        <v>143</v>
      </c>
      <c r="B298" s="182"/>
      <c r="C298" s="234">
        <v>0</v>
      </c>
      <c r="D298" s="204">
        <f>$D$155</f>
        <v>0.78</v>
      </c>
      <c r="E298" s="239"/>
      <c r="F298" s="164">
        <f>ROUND(D298*$C298,0)</f>
        <v>0</v>
      </c>
      <c r="G298" s="204">
        <f>$G$155</f>
        <v>0.81</v>
      </c>
      <c r="H298" s="204"/>
      <c r="I298" s="164">
        <f t="shared" si="48"/>
        <v>0</v>
      </c>
      <c r="J298" s="204">
        <f>$J$155</f>
        <v>0.91</v>
      </c>
      <c r="K298" s="240"/>
      <c r="L298" s="164">
        <f>ROUND(J298*$C298,0)</f>
        <v>0</v>
      </c>
      <c r="N298" s="76"/>
      <c r="O298" s="76"/>
      <c r="P298" s="144"/>
      <c r="Q298" s="144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J298" s="165"/>
    </row>
    <row r="299" spans="1:36" hidden="1">
      <c r="A299" s="182" t="s">
        <v>145</v>
      </c>
      <c r="B299" s="182"/>
      <c r="C299" s="234">
        <f>SUM(C296:C297)</f>
        <v>4026</v>
      </c>
      <c r="D299" s="204"/>
      <c r="E299" s="236"/>
      <c r="F299" s="164"/>
      <c r="G299" s="204"/>
      <c r="H299" s="204"/>
      <c r="I299" s="164"/>
      <c r="J299" s="204"/>
      <c r="K299" s="238"/>
      <c r="L299" s="164"/>
      <c r="N299" s="76"/>
      <c r="O299" s="76"/>
      <c r="P299" s="144"/>
      <c r="Q299" s="144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J299" s="165"/>
    </row>
    <row r="300" spans="1:36" hidden="1">
      <c r="A300" s="182" t="s">
        <v>111</v>
      </c>
      <c r="B300" s="182"/>
      <c r="C300" s="234">
        <f>73+1356</f>
        <v>1429</v>
      </c>
      <c r="D300" s="204"/>
      <c r="E300" s="236"/>
      <c r="F300" s="164"/>
      <c r="G300" s="204"/>
      <c r="H300" s="204"/>
      <c r="I300" s="164"/>
      <c r="J300" s="204"/>
      <c r="K300" s="238"/>
      <c r="L300" s="164"/>
      <c r="N300" s="76"/>
      <c r="O300" s="76"/>
      <c r="P300" s="144"/>
      <c r="Q300" s="144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J300" s="165"/>
    </row>
    <row r="301" spans="1:36" hidden="1">
      <c r="A301" s="182" t="s">
        <v>146</v>
      </c>
      <c r="B301" s="182"/>
      <c r="C301" s="234">
        <v>0</v>
      </c>
      <c r="D301" s="252">
        <f>$D$158</f>
        <v>2.88</v>
      </c>
      <c r="E301" s="238"/>
      <c r="F301" s="164">
        <f>ROUND(D301*$C301,0)</f>
        <v>0</v>
      </c>
      <c r="G301" s="252">
        <f>$G$158</f>
        <v>2.98</v>
      </c>
      <c r="H301" s="252"/>
      <c r="I301" s="164">
        <f>ROUND(G301*C301,0)</f>
        <v>0</v>
      </c>
      <c r="J301" s="252">
        <f>$J$158</f>
        <v>3.35</v>
      </c>
      <c r="K301" s="238"/>
      <c r="L301" s="164">
        <f>ROUND(J301*$C301,0)</f>
        <v>0</v>
      </c>
      <c r="N301" s="76"/>
      <c r="O301" s="76"/>
      <c r="P301" s="144"/>
      <c r="Q301" s="144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J301" s="165"/>
    </row>
    <row r="302" spans="1:36" hidden="1">
      <c r="A302" s="182" t="s">
        <v>147</v>
      </c>
      <c r="B302" s="182"/>
      <c r="C302" s="234">
        <f>864+153420+1050619</f>
        <v>1204903</v>
      </c>
      <c r="D302" s="207">
        <f>$D$159</f>
        <v>8.0890000000000004</v>
      </c>
      <c r="E302" s="238" t="s">
        <v>126</v>
      </c>
      <c r="F302" s="164">
        <f>ROUND(D302*$C302/100,0)</f>
        <v>97465</v>
      </c>
      <c r="G302" s="207">
        <f>$G$159</f>
        <v>8.5489999999999995</v>
      </c>
      <c r="H302" s="207"/>
      <c r="I302" s="164">
        <f>ROUND(G302*C302/100,0)</f>
        <v>103007</v>
      </c>
      <c r="J302" s="207">
        <f>$J$159</f>
        <v>9.6240000000000006</v>
      </c>
      <c r="K302" s="238" t="s">
        <v>126</v>
      </c>
      <c r="L302" s="164">
        <f>ROUND(J302*$C302/100,0)</f>
        <v>115960</v>
      </c>
      <c r="N302" s="76"/>
      <c r="O302" s="76"/>
      <c r="P302" s="144"/>
      <c r="Q302" s="144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J302" s="165"/>
    </row>
    <row r="303" spans="1:36" hidden="1">
      <c r="A303" s="182" t="s">
        <v>148</v>
      </c>
      <c r="B303" s="200"/>
      <c r="C303" s="234">
        <f>64812</f>
        <v>64812</v>
      </c>
      <c r="D303" s="207">
        <f>$D$160</f>
        <v>5.5839999999999996</v>
      </c>
      <c r="E303" s="238" t="s">
        <v>126</v>
      </c>
      <c r="F303" s="164">
        <f>ROUND(D303*$C303/100,0)</f>
        <v>3619</v>
      </c>
      <c r="G303" s="207">
        <f>$G$160</f>
        <v>5.9020000000000001</v>
      </c>
      <c r="H303" s="207"/>
      <c r="I303" s="164">
        <f t="shared" ref="I303:I305" si="49">ROUND(G303*C303/100,0)</f>
        <v>3825</v>
      </c>
      <c r="J303" s="207">
        <f>$J$160</f>
        <v>6.6450000000000005</v>
      </c>
      <c r="K303" s="238" t="s">
        <v>126</v>
      </c>
      <c r="L303" s="164">
        <f>ROUND(J303*$C303/100,0)</f>
        <v>4307</v>
      </c>
      <c r="N303" s="76"/>
      <c r="O303" s="76"/>
      <c r="P303" s="144"/>
      <c r="Q303" s="144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J303" s="165"/>
    </row>
    <row r="304" spans="1:36" hidden="1">
      <c r="A304" s="182" t="s">
        <v>149</v>
      </c>
      <c r="B304" s="182"/>
      <c r="C304" s="234">
        <f>0</f>
        <v>0</v>
      </c>
      <c r="D304" s="207">
        <f>$D$161</f>
        <v>4.8099999999999996</v>
      </c>
      <c r="E304" s="238" t="s">
        <v>126</v>
      </c>
      <c r="F304" s="164">
        <f>ROUND(D304*$C304/100,0)</f>
        <v>0</v>
      </c>
      <c r="G304" s="207">
        <f>$G$161</f>
        <v>5.0839999999999996</v>
      </c>
      <c r="H304" s="207"/>
      <c r="I304" s="164">
        <f t="shared" si="49"/>
        <v>0</v>
      </c>
      <c r="J304" s="207">
        <f>$J$161</f>
        <v>5.7249999999999996</v>
      </c>
      <c r="K304" s="238" t="s">
        <v>126</v>
      </c>
      <c r="L304" s="164">
        <f>ROUND(J304*$C304/100,0)</f>
        <v>0</v>
      </c>
      <c r="N304" s="76"/>
      <c r="O304" s="76"/>
      <c r="P304" s="144"/>
      <c r="Q304" s="144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J304" s="165"/>
    </row>
    <row r="305" spans="1:36" hidden="1">
      <c r="A305" s="182" t="s">
        <v>150</v>
      </c>
      <c r="B305" s="182"/>
      <c r="C305" s="234">
        <v>0</v>
      </c>
      <c r="D305" s="244">
        <f>$D$162</f>
        <v>45</v>
      </c>
      <c r="E305" s="236" t="s">
        <v>126</v>
      </c>
      <c r="F305" s="164">
        <f>ROUND(D305*$C305/100,0)</f>
        <v>0</v>
      </c>
      <c r="G305" s="244">
        <f>$G$162</f>
        <v>50</v>
      </c>
      <c r="H305" s="244"/>
      <c r="I305" s="164">
        <f t="shared" si="49"/>
        <v>0</v>
      </c>
      <c r="J305" s="244">
        <f>$J$162</f>
        <v>56</v>
      </c>
      <c r="K305" s="238" t="s">
        <v>126</v>
      </c>
      <c r="L305" s="164">
        <f>ROUND(J305*$C305/100,0)</f>
        <v>0</v>
      </c>
      <c r="N305" s="76"/>
      <c r="O305" s="76"/>
      <c r="P305" s="144"/>
      <c r="Q305" s="144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J305" s="165"/>
    </row>
    <row r="306" spans="1:36" hidden="1">
      <c r="A306" s="246" t="s">
        <v>151</v>
      </c>
      <c r="B306" s="182"/>
      <c r="C306" s="234"/>
      <c r="D306" s="247">
        <v>-0.01</v>
      </c>
      <c r="E306" s="236"/>
      <c r="F306" s="164"/>
      <c r="G306" s="247">
        <v>-0.01</v>
      </c>
      <c r="H306" s="247"/>
      <c r="I306" s="164"/>
      <c r="J306" s="247">
        <v>-0.01</v>
      </c>
      <c r="K306" s="238"/>
      <c r="L306" s="164"/>
      <c r="N306" s="76"/>
      <c r="O306" s="76"/>
      <c r="P306" s="144"/>
      <c r="Q306" s="144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J306" s="165"/>
    </row>
    <row r="307" spans="1:36" hidden="1">
      <c r="A307" s="182" t="s">
        <v>141</v>
      </c>
      <c r="B307" s="182"/>
      <c r="C307" s="234">
        <v>0</v>
      </c>
      <c r="D307" s="249">
        <f>D296</f>
        <v>7.53</v>
      </c>
      <c r="E307" s="236"/>
      <c r="F307" s="164">
        <f>-ROUND(D307*$C307/100,0)</f>
        <v>0</v>
      </c>
      <c r="G307" s="249">
        <f>G296</f>
        <v>7.64</v>
      </c>
      <c r="H307" s="249"/>
      <c r="I307" s="164">
        <f>-ROUND(G307*$C307/100,0)</f>
        <v>0</v>
      </c>
      <c r="J307" s="249">
        <f>J296</f>
        <v>8.6</v>
      </c>
      <c r="K307" s="236"/>
      <c r="L307" s="164">
        <f>-ROUND(J307*$C307/100,0)</f>
        <v>0</v>
      </c>
      <c r="N307" s="76"/>
      <c r="O307" s="76"/>
      <c r="P307" s="144"/>
      <c r="Q307" s="144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J307" s="165"/>
    </row>
    <row r="308" spans="1:36" hidden="1">
      <c r="A308" s="182" t="s">
        <v>142</v>
      </c>
      <c r="B308" s="182"/>
      <c r="C308" s="234">
        <v>0</v>
      </c>
      <c r="D308" s="249">
        <f>D297</f>
        <v>11.18</v>
      </c>
      <c r="E308" s="236"/>
      <c r="F308" s="164">
        <f>-ROUND(D308*$C308/100,0)</f>
        <v>0</v>
      </c>
      <c r="G308" s="249">
        <f>G297</f>
        <v>11.36</v>
      </c>
      <c r="H308" s="249"/>
      <c r="I308" s="164">
        <f t="shared" ref="I308:I310" si="50">-ROUND(G308*$C308/100,0)</f>
        <v>0</v>
      </c>
      <c r="J308" s="249">
        <f>J297</f>
        <v>12.79</v>
      </c>
      <c r="K308" s="236"/>
      <c r="L308" s="164">
        <f>-ROUND(J308*$C308/100,0)</f>
        <v>0</v>
      </c>
      <c r="N308" s="76"/>
      <c r="O308" s="76"/>
      <c r="P308" s="144"/>
      <c r="Q308" s="144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J308" s="165"/>
    </row>
    <row r="309" spans="1:36" hidden="1">
      <c r="A309" s="182" t="s">
        <v>152</v>
      </c>
      <c r="B309" s="182"/>
      <c r="C309" s="234">
        <v>0</v>
      </c>
      <c r="D309" s="249">
        <f>D298</f>
        <v>0.78</v>
      </c>
      <c r="E309" s="236"/>
      <c r="F309" s="164">
        <f>-ROUND(D309*$C309/100,0)</f>
        <v>0</v>
      </c>
      <c r="G309" s="249">
        <f>G298</f>
        <v>0.81</v>
      </c>
      <c r="H309" s="249"/>
      <c r="I309" s="164">
        <f t="shared" si="50"/>
        <v>0</v>
      </c>
      <c r="J309" s="249">
        <f>J298</f>
        <v>0.91</v>
      </c>
      <c r="K309" s="236"/>
      <c r="L309" s="164">
        <f>-ROUND(J309*$C309/100,0)</f>
        <v>0</v>
      </c>
      <c r="N309" s="76"/>
      <c r="O309" s="76"/>
      <c r="P309" s="144"/>
      <c r="Q309" s="144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J309" s="165"/>
    </row>
    <row r="310" spans="1:36" hidden="1">
      <c r="A310" s="182" t="s">
        <v>153</v>
      </c>
      <c r="B310" s="182"/>
      <c r="C310" s="234">
        <v>0</v>
      </c>
      <c r="D310" s="249">
        <f>D301</f>
        <v>2.88</v>
      </c>
      <c r="E310" s="238"/>
      <c r="F310" s="164">
        <f>-ROUND(D310*$C310/100,0)</f>
        <v>0</v>
      </c>
      <c r="G310" s="249">
        <f>G301</f>
        <v>2.98</v>
      </c>
      <c r="H310" s="249"/>
      <c r="I310" s="164">
        <f t="shared" si="50"/>
        <v>0</v>
      </c>
      <c r="J310" s="249">
        <f>J301</f>
        <v>3.35</v>
      </c>
      <c r="K310" s="238"/>
      <c r="L310" s="164">
        <f>-ROUND(J310*$C310/100,0)</f>
        <v>0</v>
      </c>
      <c r="N310" s="76"/>
      <c r="O310" s="76"/>
      <c r="P310" s="144"/>
      <c r="Q310" s="144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J310" s="165"/>
    </row>
    <row r="311" spans="1:36" hidden="1">
      <c r="A311" s="182" t="s">
        <v>154</v>
      </c>
      <c r="B311" s="182"/>
      <c r="C311" s="234">
        <v>0</v>
      </c>
      <c r="D311" s="250">
        <f>D302</f>
        <v>8.0890000000000004</v>
      </c>
      <c r="E311" s="238" t="s">
        <v>126</v>
      </c>
      <c r="F311" s="164">
        <f>ROUND(D311*$C311/100*D306,0)</f>
        <v>0</v>
      </c>
      <c r="G311" s="250">
        <f>G302</f>
        <v>8.5489999999999995</v>
      </c>
      <c r="H311" s="250"/>
      <c r="I311" s="164">
        <f>ROUND(G311*$C311/100*G306,0)</f>
        <v>0</v>
      </c>
      <c r="J311" s="250">
        <f>J302</f>
        <v>9.6240000000000006</v>
      </c>
      <c r="K311" s="238" t="s">
        <v>126</v>
      </c>
      <c r="L311" s="164">
        <f>ROUND(J311*$C311/100*J306,0)</f>
        <v>0</v>
      </c>
      <c r="N311" s="76"/>
      <c r="O311" s="76"/>
      <c r="P311" s="144"/>
      <c r="Q311" s="144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J311" s="165"/>
    </row>
    <row r="312" spans="1:36" hidden="1">
      <c r="A312" s="182" t="s">
        <v>148</v>
      </c>
      <c r="B312" s="182"/>
      <c r="C312" s="234">
        <v>0</v>
      </c>
      <c r="D312" s="250">
        <f>D303</f>
        <v>5.5839999999999996</v>
      </c>
      <c r="E312" s="238" t="s">
        <v>126</v>
      </c>
      <c r="F312" s="164">
        <f>ROUND(D312*$C312/100*D306,0)</f>
        <v>0</v>
      </c>
      <c r="G312" s="250">
        <f>G303</f>
        <v>5.9020000000000001</v>
      </c>
      <c r="H312" s="250"/>
      <c r="I312" s="164">
        <f>ROUND(G312*$C312/100*G306,0)</f>
        <v>0</v>
      </c>
      <c r="J312" s="250">
        <f>J303</f>
        <v>6.6450000000000005</v>
      </c>
      <c r="K312" s="238" t="s">
        <v>126</v>
      </c>
      <c r="L312" s="164">
        <f>ROUND(J312*$C312/100*J306,0)</f>
        <v>0</v>
      </c>
      <c r="N312" s="76"/>
      <c r="O312" s="76"/>
      <c r="P312" s="144"/>
      <c r="Q312" s="144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6"/>
      <c r="AJ312" s="165"/>
    </row>
    <row r="313" spans="1:36" hidden="1">
      <c r="A313" s="182" t="s">
        <v>149</v>
      </c>
      <c r="B313" s="182"/>
      <c r="C313" s="234">
        <v>0</v>
      </c>
      <c r="D313" s="250">
        <f>D304</f>
        <v>4.8099999999999996</v>
      </c>
      <c r="E313" s="238" t="s">
        <v>126</v>
      </c>
      <c r="F313" s="164">
        <f>ROUND(D313*$C313/100*D306,0)</f>
        <v>0</v>
      </c>
      <c r="G313" s="250">
        <f>G304</f>
        <v>5.0839999999999996</v>
      </c>
      <c r="H313" s="250"/>
      <c r="I313" s="164">
        <f>ROUND(G313*$C313/100*G306,0)</f>
        <v>0</v>
      </c>
      <c r="J313" s="250">
        <f>J304</f>
        <v>5.7249999999999996</v>
      </c>
      <c r="K313" s="238" t="s">
        <v>126</v>
      </c>
      <c r="L313" s="164">
        <f>ROUND(J313*$C313/100*J306,0)</f>
        <v>0</v>
      </c>
      <c r="N313" s="76"/>
      <c r="O313" s="76"/>
      <c r="P313" s="144"/>
      <c r="Q313" s="144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J313" s="165"/>
    </row>
    <row r="314" spans="1:36" hidden="1">
      <c r="A314" s="182" t="s">
        <v>150</v>
      </c>
      <c r="B314" s="182"/>
      <c r="C314" s="234">
        <v>0</v>
      </c>
      <c r="D314" s="251">
        <f>D305</f>
        <v>45</v>
      </c>
      <c r="E314" s="238" t="s">
        <v>126</v>
      </c>
      <c r="F314" s="164">
        <f>ROUND(D314*$C314/100*D306,0)</f>
        <v>0</v>
      </c>
      <c r="G314" s="251">
        <f>G305</f>
        <v>50</v>
      </c>
      <c r="H314" s="251"/>
      <c r="I314" s="164">
        <f>ROUND(G314*$C314/100*G306,0)</f>
        <v>0</v>
      </c>
      <c r="J314" s="251">
        <f>J305</f>
        <v>56</v>
      </c>
      <c r="K314" s="238" t="s">
        <v>126</v>
      </c>
      <c r="L314" s="164">
        <f>ROUND(J314*$C314/100*J306,0)</f>
        <v>0</v>
      </c>
      <c r="N314" s="76"/>
      <c r="O314" s="76"/>
      <c r="P314" s="144"/>
      <c r="Q314" s="144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J314" s="165"/>
    </row>
    <row r="315" spans="1:36" hidden="1">
      <c r="A315" s="182" t="s">
        <v>155</v>
      </c>
      <c r="B315" s="182"/>
      <c r="C315" s="234">
        <v>0</v>
      </c>
      <c r="D315" s="252">
        <f>$D$172</f>
        <v>60</v>
      </c>
      <c r="E315" s="236"/>
      <c r="F315" s="164">
        <f>ROUND(D315*$C315,0)</f>
        <v>0</v>
      </c>
      <c r="G315" s="252">
        <f>$D$172</f>
        <v>60</v>
      </c>
      <c r="H315" s="252"/>
      <c r="I315" s="164">
        <f>ROUND(G315*C315,0)</f>
        <v>0</v>
      </c>
      <c r="J315" s="252">
        <f>$J$172</f>
        <v>60</v>
      </c>
      <c r="K315" s="238"/>
      <c r="L315" s="164">
        <f>ROUND(J315*$C315,0)</f>
        <v>0</v>
      </c>
      <c r="N315" s="76"/>
      <c r="O315" s="76"/>
      <c r="P315" s="144"/>
      <c r="Q315" s="144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J315" s="165"/>
    </row>
    <row r="316" spans="1:36" hidden="1">
      <c r="A316" s="182" t="s">
        <v>156</v>
      </c>
      <c r="B316" s="182"/>
      <c r="C316" s="234">
        <v>0</v>
      </c>
      <c r="D316" s="253">
        <f>$D$173</f>
        <v>-30</v>
      </c>
      <c r="E316" s="236" t="s">
        <v>126</v>
      </c>
      <c r="F316" s="164">
        <f>ROUND(D316*$C316/100,0)</f>
        <v>0</v>
      </c>
      <c r="G316" s="253">
        <f>$D$173</f>
        <v>-30</v>
      </c>
      <c r="H316" s="253"/>
      <c r="I316" s="164">
        <f>ROUND(G316*C316/100,0)</f>
        <v>0</v>
      </c>
      <c r="J316" s="253">
        <f>$J$173</f>
        <v>-30</v>
      </c>
      <c r="K316" s="238" t="s">
        <v>126</v>
      </c>
      <c r="L316" s="164">
        <f>ROUND(J316*$C316/100,0)</f>
        <v>0</v>
      </c>
      <c r="N316" s="76"/>
      <c r="O316" s="76"/>
      <c r="P316" s="144"/>
      <c r="Q316" s="144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  <c r="AJ316" s="165"/>
    </row>
    <row r="317" spans="1:36" hidden="1">
      <c r="A317" s="182" t="s">
        <v>131</v>
      </c>
      <c r="B317" s="182"/>
      <c r="C317" s="234">
        <f>SUM(C302:C304)</f>
        <v>1269715</v>
      </c>
      <c r="D317" s="244"/>
      <c r="E317" s="164"/>
      <c r="F317" s="164">
        <f>SUM(F296:F316)</f>
        <v>131400</v>
      </c>
      <c r="G317" s="244"/>
      <c r="H317" s="244"/>
      <c r="I317" s="164">
        <f>SUM(I296:I316)</f>
        <v>137591</v>
      </c>
      <c r="J317" s="244"/>
      <c r="K317" s="238"/>
      <c r="L317" s="164">
        <f>SUM(L296:L316)</f>
        <v>154891</v>
      </c>
      <c r="N317" s="76"/>
      <c r="O317" s="76"/>
      <c r="P317" s="144"/>
      <c r="Q317" s="144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J317" s="165"/>
    </row>
    <row r="318" spans="1:36" hidden="1">
      <c r="A318" s="182" t="s">
        <v>114</v>
      </c>
      <c r="B318" s="182"/>
      <c r="C318" s="270">
        <v>22086.314645787199</v>
      </c>
      <c r="D318" s="217"/>
      <c r="E318" s="217"/>
      <c r="F318" s="256">
        <v>2452.7303047017622</v>
      </c>
      <c r="G318" s="217"/>
      <c r="H318" s="217"/>
      <c r="I318" s="256">
        <f>F318</f>
        <v>2452.7303047017622</v>
      </c>
      <c r="J318" s="217"/>
      <c r="K318" s="217"/>
      <c r="L318" s="256">
        <f>F318</f>
        <v>2452.7303047017622</v>
      </c>
      <c r="N318" s="196"/>
      <c r="O318" s="196"/>
      <c r="P318" s="194"/>
      <c r="Q318" s="144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  <c r="AJ318" s="165"/>
    </row>
    <row r="319" spans="1:36" ht="16.5" hidden="1" thickBot="1">
      <c r="A319" s="182" t="s">
        <v>132</v>
      </c>
      <c r="B319" s="182"/>
      <c r="C319" s="219">
        <f>SUM(C317:C318)</f>
        <v>1291801.3146457872</v>
      </c>
      <c r="D319" s="258"/>
      <c r="E319" s="259"/>
      <c r="F319" s="260">
        <f>F317+F318</f>
        <v>133852.73030470175</v>
      </c>
      <c r="G319" s="258"/>
      <c r="H319" s="258"/>
      <c r="I319" s="260">
        <f>I317+I318</f>
        <v>140043.73030470175</v>
      </c>
      <c r="J319" s="258"/>
      <c r="K319" s="262"/>
      <c r="L319" s="260">
        <f>L317+L318</f>
        <v>157343.73030470175</v>
      </c>
      <c r="N319" s="197"/>
      <c r="O319" s="197"/>
      <c r="P319" s="198"/>
      <c r="Q319" s="144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J319" s="165"/>
    </row>
    <row r="320" spans="1:36" hidden="1">
      <c r="A320" s="182"/>
      <c r="B320" s="182"/>
      <c r="C320" s="200"/>
      <c r="D320" s="252"/>
      <c r="E320" s="164"/>
      <c r="F320" s="164"/>
      <c r="G320" s="252"/>
      <c r="H320" s="252"/>
      <c r="I320" s="164"/>
      <c r="J320" s="252"/>
      <c r="K320" s="182"/>
      <c r="L320" s="164" t="s">
        <v>0</v>
      </c>
      <c r="N320" s="76"/>
      <c r="O320" s="76"/>
      <c r="P320" s="144"/>
      <c r="Q320" s="144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J320" s="165"/>
    </row>
    <row r="321" spans="1:36" hidden="1">
      <c r="A321" s="199" t="s">
        <v>163</v>
      </c>
      <c r="B321" s="182"/>
      <c r="C321" s="182"/>
      <c r="D321" s="164"/>
      <c r="E321" s="164"/>
      <c r="F321" s="182" t="s">
        <v>0</v>
      </c>
      <c r="G321" s="164"/>
      <c r="H321" s="164"/>
      <c r="I321" s="182"/>
      <c r="J321" s="164"/>
      <c r="K321" s="182"/>
      <c r="L321" s="182"/>
      <c r="N321" s="76"/>
      <c r="O321" s="76"/>
      <c r="P321" s="144"/>
      <c r="Q321" s="144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J321" s="165"/>
    </row>
    <row r="322" spans="1:36" hidden="1">
      <c r="A322" s="182" t="s">
        <v>162</v>
      </c>
      <c r="B322" s="182"/>
      <c r="C322" s="182"/>
      <c r="D322" s="164"/>
      <c r="E322" s="164"/>
      <c r="F322" s="182"/>
      <c r="G322" s="164"/>
      <c r="H322" s="164"/>
      <c r="I322" s="182"/>
      <c r="J322" s="164"/>
      <c r="K322" s="182"/>
      <c r="L322" s="182"/>
      <c r="N322" s="76"/>
      <c r="O322" s="76"/>
      <c r="P322" s="144"/>
      <c r="Q322" s="144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  <c r="AJ322" s="165"/>
    </row>
    <row r="323" spans="1:36" hidden="1">
      <c r="A323" s="182"/>
      <c r="B323" s="182"/>
      <c r="C323" s="182"/>
      <c r="D323" s="164"/>
      <c r="E323" s="164"/>
      <c r="F323" s="182"/>
      <c r="G323" s="164"/>
      <c r="H323" s="164"/>
      <c r="I323" s="182"/>
      <c r="J323" s="164"/>
      <c r="K323" s="182"/>
      <c r="L323" s="182"/>
      <c r="N323" s="76"/>
      <c r="O323" s="76"/>
      <c r="P323" s="144"/>
      <c r="Q323" s="144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J323" s="165"/>
    </row>
    <row r="324" spans="1:36" hidden="1">
      <c r="A324" s="182" t="s">
        <v>144</v>
      </c>
      <c r="B324" s="182"/>
      <c r="C324" s="234"/>
      <c r="D324" s="164"/>
      <c r="E324" s="164"/>
      <c r="F324" s="182"/>
      <c r="G324" s="164"/>
      <c r="H324" s="164"/>
      <c r="I324" s="182"/>
      <c r="J324" s="164"/>
      <c r="K324" s="182"/>
      <c r="L324" s="182"/>
      <c r="N324" s="76"/>
      <c r="O324" s="76"/>
      <c r="P324" s="144"/>
      <c r="Q324" s="144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J324" s="165"/>
    </row>
    <row r="325" spans="1:36" hidden="1">
      <c r="A325" s="182" t="s">
        <v>164</v>
      </c>
      <c r="B325" s="182"/>
      <c r="C325" s="234">
        <v>516</v>
      </c>
      <c r="D325" s="204">
        <f>$D$153</f>
        <v>7.53</v>
      </c>
      <c r="E325" s="236"/>
      <c r="F325" s="164">
        <f>ROUND(D325*$C325,0)</f>
        <v>3885</v>
      </c>
      <c r="G325" s="204">
        <f>$G$153</f>
        <v>7.64</v>
      </c>
      <c r="H325" s="204"/>
      <c r="I325" s="164">
        <f>ROUND(G325*$C325,0)</f>
        <v>3942</v>
      </c>
      <c r="J325" s="204">
        <f>$J$153</f>
        <v>8.6</v>
      </c>
      <c r="K325" s="238"/>
      <c r="L325" s="164">
        <f>ROUND(J325*$C325,0)</f>
        <v>4438</v>
      </c>
      <c r="N325" s="76"/>
      <c r="O325" s="76"/>
      <c r="P325" s="144"/>
      <c r="Q325" s="144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J325" s="165"/>
    </row>
    <row r="326" spans="1:36" hidden="1">
      <c r="A326" s="182" t="s">
        <v>142</v>
      </c>
      <c r="B326" s="182"/>
      <c r="C326" s="234">
        <v>0</v>
      </c>
      <c r="D326" s="204">
        <f>$D$154</f>
        <v>11.18</v>
      </c>
      <c r="E326" s="239"/>
      <c r="F326" s="164">
        <f>ROUND(D326*$C326,0)</f>
        <v>0</v>
      </c>
      <c r="G326" s="204">
        <f>$G$154</f>
        <v>11.36</v>
      </c>
      <c r="H326" s="204"/>
      <c r="I326" s="164">
        <f t="shared" ref="I326:I327" si="51">ROUND(G326*$C326,0)</f>
        <v>0</v>
      </c>
      <c r="J326" s="204">
        <f>$J$154</f>
        <v>12.79</v>
      </c>
      <c r="K326" s="240"/>
      <c r="L326" s="164">
        <f>ROUND(J326*$C326,0)</f>
        <v>0</v>
      </c>
      <c r="N326" s="76"/>
      <c r="O326" s="76"/>
      <c r="P326" s="144"/>
      <c r="Q326" s="144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  <c r="AJ326" s="165"/>
    </row>
    <row r="327" spans="1:36" hidden="1">
      <c r="A327" s="182" t="s">
        <v>143</v>
      </c>
      <c r="B327" s="182"/>
      <c r="C327" s="234">
        <v>0</v>
      </c>
      <c r="D327" s="204">
        <f>$D$155</f>
        <v>0.78</v>
      </c>
      <c r="E327" s="239"/>
      <c r="F327" s="164">
        <f>ROUND(D327*$C327,0)</f>
        <v>0</v>
      </c>
      <c r="G327" s="204">
        <f>$G$155</f>
        <v>0.81</v>
      </c>
      <c r="H327" s="204"/>
      <c r="I327" s="164">
        <f t="shared" si="51"/>
        <v>0</v>
      </c>
      <c r="J327" s="204">
        <f>$J$155</f>
        <v>0.91</v>
      </c>
      <c r="K327" s="240"/>
      <c r="L327" s="164">
        <f>ROUND(J327*$C327,0)</f>
        <v>0</v>
      </c>
      <c r="N327" s="76"/>
      <c r="O327" s="76"/>
      <c r="P327" s="144"/>
      <c r="Q327" s="144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  <c r="AJ327" s="165"/>
    </row>
    <row r="328" spans="1:36" hidden="1">
      <c r="A328" s="182" t="s">
        <v>145</v>
      </c>
      <c r="B328" s="182"/>
      <c r="C328" s="234">
        <f>SUM(C325:C326)</f>
        <v>516</v>
      </c>
      <c r="D328" s="204"/>
      <c r="E328" s="236"/>
      <c r="F328" s="164"/>
      <c r="G328" s="204"/>
      <c r="H328" s="204"/>
      <c r="I328" s="164"/>
      <c r="J328" s="204"/>
      <c r="K328" s="238"/>
      <c r="L328" s="164"/>
      <c r="N328" s="76"/>
      <c r="O328" s="76"/>
      <c r="P328" s="144"/>
      <c r="Q328" s="144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6"/>
      <c r="AJ328" s="165"/>
    </row>
    <row r="329" spans="1:36" hidden="1">
      <c r="A329" s="182" t="s">
        <v>111</v>
      </c>
      <c r="B329" s="182"/>
      <c r="C329" s="234">
        <v>48</v>
      </c>
      <c r="D329" s="204"/>
      <c r="E329" s="236"/>
      <c r="F329" s="164"/>
      <c r="G329" s="204"/>
      <c r="H329" s="204"/>
      <c r="I329" s="164"/>
      <c r="J329" s="204"/>
      <c r="K329" s="238"/>
      <c r="L329" s="164"/>
      <c r="N329" s="76"/>
      <c r="O329" s="76"/>
      <c r="P329" s="144"/>
      <c r="Q329" s="144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  <c r="AJ329" s="165"/>
    </row>
    <row r="330" spans="1:36" hidden="1">
      <c r="A330" s="182" t="s">
        <v>146</v>
      </c>
      <c r="B330" s="182"/>
      <c r="C330" s="234">
        <v>0</v>
      </c>
      <c r="D330" s="252">
        <f>$D$158</f>
        <v>2.88</v>
      </c>
      <c r="E330" s="238"/>
      <c r="F330" s="164">
        <f>ROUND(D330*$C330,0)</f>
        <v>0</v>
      </c>
      <c r="G330" s="252">
        <f>$G$158</f>
        <v>2.98</v>
      </c>
      <c r="H330" s="252"/>
      <c r="I330" s="164">
        <f>ROUND(G330*C330,0)</f>
        <v>0</v>
      </c>
      <c r="J330" s="252">
        <f>$J$158</f>
        <v>3.35</v>
      </c>
      <c r="K330" s="238"/>
      <c r="L330" s="164">
        <f>ROUND(J330*$C330,0)</f>
        <v>0</v>
      </c>
      <c r="N330" s="76"/>
      <c r="O330" s="76"/>
      <c r="P330" s="144"/>
      <c r="Q330" s="144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  <c r="AJ330" s="165"/>
    </row>
    <row r="331" spans="1:36" hidden="1">
      <c r="A331" s="182" t="s">
        <v>147</v>
      </c>
      <c r="B331" s="182"/>
      <c r="C331" s="234">
        <f>33312</f>
        <v>33312</v>
      </c>
      <c r="D331" s="207">
        <f>$D$159</f>
        <v>8.0890000000000004</v>
      </c>
      <c r="E331" s="238" t="s">
        <v>126</v>
      </c>
      <c r="F331" s="164">
        <f>ROUND(D331*$C331/100,0)</f>
        <v>2695</v>
      </c>
      <c r="G331" s="207">
        <f>$G$159</f>
        <v>8.5489999999999995</v>
      </c>
      <c r="H331" s="207"/>
      <c r="I331" s="164">
        <f>ROUND(G331*C331/100,0)</f>
        <v>2848</v>
      </c>
      <c r="J331" s="207">
        <f>$J$159</f>
        <v>9.6240000000000006</v>
      </c>
      <c r="K331" s="238" t="s">
        <v>126</v>
      </c>
      <c r="L331" s="164">
        <f>ROUND(J331*$C331/100,0)</f>
        <v>3206</v>
      </c>
      <c r="N331" s="76"/>
      <c r="O331" s="76"/>
      <c r="P331" s="144"/>
      <c r="Q331" s="144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  <c r="AJ331" s="165"/>
    </row>
    <row r="332" spans="1:36" hidden="1">
      <c r="A332" s="182" t="s">
        <v>148</v>
      </c>
      <c r="B332" s="182"/>
      <c r="C332" s="234">
        <v>0</v>
      </c>
      <c r="D332" s="207">
        <f>$D$160</f>
        <v>5.5839999999999996</v>
      </c>
      <c r="E332" s="238" t="s">
        <v>126</v>
      </c>
      <c r="F332" s="164">
        <f>ROUND(D332*$C332/100,0)</f>
        <v>0</v>
      </c>
      <c r="G332" s="207">
        <f>$G$160</f>
        <v>5.9020000000000001</v>
      </c>
      <c r="H332" s="207"/>
      <c r="I332" s="164">
        <f t="shared" ref="I332:I334" si="52">ROUND(G332*C332/100,0)</f>
        <v>0</v>
      </c>
      <c r="J332" s="207">
        <f>$J$160</f>
        <v>6.6450000000000005</v>
      </c>
      <c r="K332" s="238" t="s">
        <v>126</v>
      </c>
      <c r="L332" s="164">
        <f>ROUND(J332*$C332/100,0)</f>
        <v>0</v>
      </c>
      <c r="N332" s="76"/>
      <c r="O332" s="76"/>
      <c r="P332" s="144"/>
      <c r="Q332" s="144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  <c r="AJ332" s="165"/>
    </row>
    <row r="333" spans="1:36" hidden="1">
      <c r="A333" s="182" t="s">
        <v>149</v>
      </c>
      <c r="B333" s="182"/>
      <c r="C333" s="234">
        <f>33312-C331</f>
        <v>0</v>
      </c>
      <c r="D333" s="207">
        <f>$D$161</f>
        <v>4.8099999999999996</v>
      </c>
      <c r="E333" s="238" t="s">
        <v>126</v>
      </c>
      <c r="F333" s="164">
        <f>ROUND(D333*$C333/100,0)</f>
        <v>0</v>
      </c>
      <c r="G333" s="207">
        <f>$G$161</f>
        <v>5.0839999999999996</v>
      </c>
      <c r="H333" s="207"/>
      <c r="I333" s="164">
        <f t="shared" si="52"/>
        <v>0</v>
      </c>
      <c r="J333" s="207">
        <f>$J$161</f>
        <v>5.7249999999999996</v>
      </c>
      <c r="K333" s="238" t="s">
        <v>126</v>
      </c>
      <c r="L333" s="164">
        <f>ROUND(J333*$C333/100,0)</f>
        <v>0</v>
      </c>
      <c r="N333" s="76"/>
      <c r="O333" s="76"/>
      <c r="P333" s="144"/>
      <c r="Q333" s="144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  <c r="AJ333" s="165"/>
    </row>
    <row r="334" spans="1:36" hidden="1">
      <c r="A334" s="182" t="s">
        <v>150</v>
      </c>
      <c r="B334" s="182"/>
      <c r="C334" s="234">
        <v>0</v>
      </c>
      <c r="D334" s="244">
        <f>$D$162</f>
        <v>45</v>
      </c>
      <c r="E334" s="236" t="s">
        <v>126</v>
      </c>
      <c r="F334" s="164">
        <f>ROUND(D334*$C334/100,0)</f>
        <v>0</v>
      </c>
      <c r="G334" s="244">
        <f>$G$162</f>
        <v>50</v>
      </c>
      <c r="H334" s="244"/>
      <c r="I334" s="164">
        <f t="shared" si="52"/>
        <v>0</v>
      </c>
      <c r="J334" s="244">
        <f>$J$162</f>
        <v>56</v>
      </c>
      <c r="K334" s="238" t="s">
        <v>126</v>
      </c>
      <c r="L334" s="164">
        <f>ROUND(J334*$C334/100,0)</f>
        <v>0</v>
      </c>
      <c r="N334" s="76"/>
      <c r="O334" s="76"/>
      <c r="P334" s="144"/>
      <c r="Q334" s="144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  <c r="AJ334" s="165"/>
    </row>
    <row r="335" spans="1:36" hidden="1">
      <c r="A335" s="246" t="s">
        <v>151</v>
      </c>
      <c r="B335" s="182"/>
      <c r="C335" s="234"/>
      <c r="D335" s="247">
        <v>-0.01</v>
      </c>
      <c r="E335" s="236"/>
      <c r="F335" s="164"/>
      <c r="G335" s="247">
        <v>-0.01</v>
      </c>
      <c r="H335" s="247"/>
      <c r="I335" s="164"/>
      <c r="J335" s="247">
        <v>-0.01</v>
      </c>
      <c r="K335" s="238"/>
      <c r="L335" s="164"/>
      <c r="N335" s="76"/>
      <c r="O335" s="76"/>
      <c r="P335" s="144"/>
      <c r="Q335" s="144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  <c r="AJ335" s="165"/>
    </row>
    <row r="336" spans="1:36" hidden="1">
      <c r="A336" s="182" t="s">
        <v>141</v>
      </c>
      <c r="B336" s="182"/>
      <c r="C336" s="234">
        <v>0</v>
      </c>
      <c r="D336" s="249">
        <f>D325</f>
        <v>7.53</v>
      </c>
      <c r="E336" s="236"/>
      <c r="F336" s="164">
        <f>-ROUND(D336*$C336/100,0)</f>
        <v>0</v>
      </c>
      <c r="G336" s="249">
        <f>G325</f>
        <v>7.64</v>
      </c>
      <c r="H336" s="249"/>
      <c r="I336" s="164">
        <f>-ROUND(G336*$C336/100,0)</f>
        <v>0</v>
      </c>
      <c r="J336" s="249">
        <f>J325</f>
        <v>8.6</v>
      </c>
      <c r="K336" s="236"/>
      <c r="L336" s="164">
        <f>-ROUND(J336*$C336/100,0)</f>
        <v>0</v>
      </c>
      <c r="N336" s="76"/>
      <c r="O336" s="76"/>
      <c r="P336" s="144"/>
      <c r="Q336" s="144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6"/>
      <c r="AJ336" s="165"/>
    </row>
    <row r="337" spans="1:36" hidden="1">
      <c r="A337" s="182" t="s">
        <v>142</v>
      </c>
      <c r="B337" s="182"/>
      <c r="C337" s="234">
        <v>0</v>
      </c>
      <c r="D337" s="249">
        <f>D326</f>
        <v>11.18</v>
      </c>
      <c r="E337" s="236"/>
      <c r="F337" s="164">
        <f>-ROUND(D337*$C337/100,0)</f>
        <v>0</v>
      </c>
      <c r="G337" s="249">
        <f>G326</f>
        <v>11.36</v>
      </c>
      <c r="H337" s="249"/>
      <c r="I337" s="164">
        <f t="shared" ref="I337:I339" si="53">-ROUND(G337*$C337/100,0)</f>
        <v>0</v>
      </c>
      <c r="J337" s="249">
        <f>J326</f>
        <v>12.79</v>
      </c>
      <c r="K337" s="236"/>
      <c r="L337" s="164">
        <f>-ROUND(J337*$C337/100,0)</f>
        <v>0</v>
      </c>
      <c r="N337" s="76"/>
      <c r="O337" s="76"/>
      <c r="P337" s="144"/>
      <c r="Q337" s="144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  <c r="AJ337" s="165"/>
    </row>
    <row r="338" spans="1:36" hidden="1">
      <c r="A338" s="182" t="s">
        <v>152</v>
      </c>
      <c r="B338" s="182"/>
      <c r="C338" s="234">
        <v>0</v>
      </c>
      <c r="D338" s="249">
        <f>D327</f>
        <v>0.78</v>
      </c>
      <c r="E338" s="236"/>
      <c r="F338" s="164">
        <f>-ROUND(D338*$C338/100,0)</f>
        <v>0</v>
      </c>
      <c r="G338" s="249">
        <f>G327</f>
        <v>0.81</v>
      </c>
      <c r="H338" s="249"/>
      <c r="I338" s="164">
        <f t="shared" si="53"/>
        <v>0</v>
      </c>
      <c r="J338" s="249">
        <f>J327</f>
        <v>0.91</v>
      </c>
      <c r="K338" s="236"/>
      <c r="L338" s="164">
        <f>-ROUND(J338*$C338/100,0)</f>
        <v>0</v>
      </c>
      <c r="N338" s="76"/>
      <c r="O338" s="76"/>
      <c r="P338" s="144"/>
      <c r="Q338" s="144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6"/>
      <c r="AJ338" s="165"/>
    </row>
    <row r="339" spans="1:36" hidden="1">
      <c r="A339" s="182" t="s">
        <v>153</v>
      </c>
      <c r="B339" s="182"/>
      <c r="C339" s="234">
        <v>0</v>
      </c>
      <c r="D339" s="249">
        <f>D330</f>
        <v>2.88</v>
      </c>
      <c r="E339" s="238"/>
      <c r="F339" s="164">
        <f>-ROUND(D339*$C339/100,0)</f>
        <v>0</v>
      </c>
      <c r="G339" s="249">
        <f>G330</f>
        <v>2.98</v>
      </c>
      <c r="H339" s="249"/>
      <c r="I339" s="164">
        <f t="shared" si="53"/>
        <v>0</v>
      </c>
      <c r="J339" s="249">
        <f>J330</f>
        <v>3.35</v>
      </c>
      <c r="K339" s="238"/>
      <c r="L339" s="164">
        <f>-ROUND(J339*$C339/100,0)</f>
        <v>0</v>
      </c>
      <c r="N339" s="76"/>
      <c r="O339" s="76"/>
      <c r="P339" s="144"/>
      <c r="Q339" s="144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  <c r="AJ339" s="165"/>
    </row>
    <row r="340" spans="1:36" hidden="1">
      <c r="A340" s="182" t="s">
        <v>154</v>
      </c>
      <c r="B340" s="182"/>
      <c r="C340" s="234">
        <v>0</v>
      </c>
      <c r="D340" s="250">
        <f>D331</f>
        <v>8.0890000000000004</v>
      </c>
      <c r="E340" s="238" t="s">
        <v>126</v>
      </c>
      <c r="F340" s="164">
        <f>ROUND(D340*$C340/100*D335,0)</f>
        <v>0</v>
      </c>
      <c r="G340" s="250">
        <f>G331</f>
        <v>8.5489999999999995</v>
      </c>
      <c r="H340" s="250"/>
      <c r="I340" s="164">
        <f>ROUND(G340*$C340/100*G335,0)</f>
        <v>0</v>
      </c>
      <c r="J340" s="250">
        <f>J331</f>
        <v>9.6240000000000006</v>
      </c>
      <c r="K340" s="238" t="s">
        <v>126</v>
      </c>
      <c r="L340" s="164">
        <f>ROUND(J340*$C340/100*J335,0)</f>
        <v>0</v>
      </c>
      <c r="N340" s="76"/>
      <c r="O340" s="76"/>
      <c r="P340" s="144"/>
      <c r="Q340" s="144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6"/>
      <c r="AJ340" s="165"/>
    </row>
    <row r="341" spans="1:36" hidden="1">
      <c r="A341" s="182" t="s">
        <v>148</v>
      </c>
      <c r="B341" s="182"/>
      <c r="C341" s="234">
        <v>0</v>
      </c>
      <c r="D341" s="250">
        <f>D332</f>
        <v>5.5839999999999996</v>
      </c>
      <c r="E341" s="238" t="s">
        <v>126</v>
      </c>
      <c r="F341" s="164">
        <f>ROUND(D341*$C341/100*D335,0)</f>
        <v>0</v>
      </c>
      <c r="G341" s="250">
        <f>G332</f>
        <v>5.9020000000000001</v>
      </c>
      <c r="H341" s="250"/>
      <c r="I341" s="164">
        <f>ROUND(G341*$C341/100*G335,0)</f>
        <v>0</v>
      </c>
      <c r="J341" s="250">
        <f>J332</f>
        <v>6.6450000000000005</v>
      </c>
      <c r="K341" s="238" t="s">
        <v>126</v>
      </c>
      <c r="L341" s="164">
        <f>ROUND(J341*$C341/100*J335,0)</f>
        <v>0</v>
      </c>
      <c r="N341" s="76"/>
      <c r="O341" s="76"/>
      <c r="P341" s="144"/>
      <c r="Q341" s="144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  <c r="AJ341" s="165"/>
    </row>
    <row r="342" spans="1:36" hidden="1">
      <c r="A342" s="182" t="s">
        <v>149</v>
      </c>
      <c r="B342" s="182"/>
      <c r="C342" s="234">
        <v>0</v>
      </c>
      <c r="D342" s="250">
        <f>D333</f>
        <v>4.8099999999999996</v>
      </c>
      <c r="E342" s="238" t="s">
        <v>126</v>
      </c>
      <c r="F342" s="164">
        <f>ROUND(D342*$C342/100*D335,0)</f>
        <v>0</v>
      </c>
      <c r="G342" s="250">
        <f>G333</f>
        <v>5.0839999999999996</v>
      </c>
      <c r="H342" s="250"/>
      <c r="I342" s="164">
        <f>ROUND(G342*$C342/100*G335,0)</f>
        <v>0</v>
      </c>
      <c r="J342" s="250">
        <f>J333</f>
        <v>5.7249999999999996</v>
      </c>
      <c r="K342" s="238" t="s">
        <v>126</v>
      </c>
      <c r="L342" s="164">
        <f>ROUND(J342*$C342/100*J335,0)</f>
        <v>0</v>
      </c>
      <c r="N342" s="76"/>
      <c r="O342" s="76"/>
      <c r="P342" s="144"/>
      <c r="Q342" s="144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  <c r="AJ342" s="165"/>
    </row>
    <row r="343" spans="1:36" hidden="1">
      <c r="A343" s="182" t="s">
        <v>150</v>
      </c>
      <c r="B343" s="182"/>
      <c r="C343" s="234">
        <v>0</v>
      </c>
      <c r="D343" s="251">
        <f>D334</f>
        <v>45</v>
      </c>
      <c r="E343" s="238" t="s">
        <v>126</v>
      </c>
      <c r="F343" s="164">
        <f>ROUND(D343*$C343/100*D335,0)</f>
        <v>0</v>
      </c>
      <c r="G343" s="251">
        <f>G334</f>
        <v>50</v>
      </c>
      <c r="H343" s="251"/>
      <c r="I343" s="164">
        <f>ROUND(G343*$C343/100*G335,0)</f>
        <v>0</v>
      </c>
      <c r="J343" s="251">
        <f>J334</f>
        <v>56</v>
      </c>
      <c r="K343" s="238" t="s">
        <v>126</v>
      </c>
      <c r="L343" s="164">
        <f>ROUND(J343*$C343/100*J335,0)</f>
        <v>0</v>
      </c>
      <c r="N343" s="76"/>
      <c r="O343" s="76"/>
      <c r="P343" s="144"/>
      <c r="Q343" s="144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J343" s="165"/>
    </row>
    <row r="344" spans="1:36" hidden="1">
      <c r="A344" s="182" t="s">
        <v>155</v>
      </c>
      <c r="B344" s="182"/>
      <c r="C344" s="234">
        <v>0</v>
      </c>
      <c r="D344" s="252">
        <f>$D$172</f>
        <v>60</v>
      </c>
      <c r="E344" s="236"/>
      <c r="F344" s="164">
        <f>ROUND(D344*$C344,0)</f>
        <v>0</v>
      </c>
      <c r="G344" s="252">
        <f>$D$172</f>
        <v>60</v>
      </c>
      <c r="H344" s="252"/>
      <c r="I344" s="164">
        <f>ROUND(G344*C344,0)</f>
        <v>0</v>
      </c>
      <c r="J344" s="252">
        <f>$J$172</f>
        <v>60</v>
      </c>
      <c r="K344" s="238"/>
      <c r="L344" s="164">
        <f>ROUND(J344*$C344,0)</f>
        <v>0</v>
      </c>
      <c r="N344" s="76"/>
      <c r="O344" s="76"/>
      <c r="P344" s="144"/>
      <c r="Q344" s="144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J344" s="165"/>
    </row>
    <row r="345" spans="1:36" hidden="1">
      <c r="A345" s="182" t="s">
        <v>156</v>
      </c>
      <c r="B345" s="182"/>
      <c r="C345" s="234">
        <v>0</v>
      </c>
      <c r="D345" s="253">
        <f>$D$173</f>
        <v>-30</v>
      </c>
      <c r="E345" s="236" t="s">
        <v>126</v>
      </c>
      <c r="F345" s="164">
        <f>ROUND(D345*$C345/100,0)</f>
        <v>0</v>
      </c>
      <c r="G345" s="253">
        <f>$D$173</f>
        <v>-30</v>
      </c>
      <c r="H345" s="253"/>
      <c r="I345" s="164">
        <f>ROUND(G345*C345/100,0)</f>
        <v>0</v>
      </c>
      <c r="J345" s="253">
        <f>$J$173</f>
        <v>-30</v>
      </c>
      <c r="K345" s="238" t="s">
        <v>126</v>
      </c>
      <c r="L345" s="164">
        <f>ROUND(J345*$C345/100,0)</f>
        <v>0</v>
      </c>
      <c r="N345" s="76"/>
      <c r="O345" s="76"/>
      <c r="P345" s="144"/>
      <c r="Q345" s="144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J345" s="165"/>
    </row>
    <row r="346" spans="1:36" hidden="1">
      <c r="A346" s="182" t="s">
        <v>131</v>
      </c>
      <c r="B346" s="182"/>
      <c r="C346" s="234">
        <f>SUM(C331:C333)</f>
        <v>33312</v>
      </c>
      <c r="D346" s="244"/>
      <c r="E346" s="164"/>
      <c r="F346" s="164">
        <f>SUM(F325:F345)</f>
        <v>6580</v>
      </c>
      <c r="G346" s="244"/>
      <c r="H346" s="244"/>
      <c r="I346" s="164">
        <f>SUM(I325:I345)</f>
        <v>6790</v>
      </c>
      <c r="J346" s="244"/>
      <c r="K346" s="238"/>
      <c r="L346" s="164">
        <f>SUM(L325:L345)</f>
        <v>7644</v>
      </c>
      <c r="N346" s="76"/>
      <c r="O346" s="76"/>
      <c r="P346" s="144"/>
      <c r="Q346" s="144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J346" s="165"/>
    </row>
    <row r="347" spans="1:36" hidden="1">
      <c r="A347" s="182" t="s">
        <v>114</v>
      </c>
      <c r="B347" s="182"/>
      <c r="C347" s="270">
        <v>676.50775459615829</v>
      </c>
      <c r="D347" s="217"/>
      <c r="E347" s="217"/>
      <c r="F347" s="256">
        <v>197.42563283043523</v>
      </c>
      <c r="G347" s="217"/>
      <c r="H347" s="217"/>
      <c r="I347" s="256">
        <f>F347</f>
        <v>197.42563283043523</v>
      </c>
      <c r="J347" s="217"/>
      <c r="K347" s="217"/>
      <c r="L347" s="256">
        <f>F347</f>
        <v>197.42563283043523</v>
      </c>
      <c r="N347" s="196"/>
      <c r="O347" s="196"/>
      <c r="P347" s="194"/>
      <c r="Q347" s="144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J347" s="165"/>
    </row>
    <row r="348" spans="1:36" ht="16.5" hidden="1" thickBot="1">
      <c r="A348" s="182" t="s">
        <v>132</v>
      </c>
      <c r="B348" s="182"/>
      <c r="C348" s="219">
        <f>SUM(C346:C347)</f>
        <v>33988.507754596161</v>
      </c>
      <c r="D348" s="258"/>
      <c r="E348" s="259"/>
      <c r="F348" s="260">
        <f>F346+F347</f>
        <v>6777.4256328304355</v>
      </c>
      <c r="G348" s="258"/>
      <c r="H348" s="258"/>
      <c r="I348" s="260">
        <f>I346+I347</f>
        <v>6987.4256328304355</v>
      </c>
      <c r="J348" s="258"/>
      <c r="K348" s="262"/>
      <c r="L348" s="260">
        <f>L346+L347</f>
        <v>7841.4256328304355</v>
      </c>
      <c r="N348" s="197"/>
      <c r="O348" s="197"/>
      <c r="P348" s="198"/>
      <c r="Q348" s="144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J348" s="165"/>
    </row>
    <row r="349" spans="1:36" hidden="1">
      <c r="A349" s="182"/>
      <c r="B349" s="182"/>
      <c r="C349" s="200"/>
      <c r="D349" s="252"/>
      <c r="E349" s="164"/>
      <c r="F349" s="164"/>
      <c r="G349" s="252"/>
      <c r="H349" s="252"/>
      <c r="I349" s="164"/>
      <c r="J349" s="275" t="s">
        <v>0</v>
      </c>
      <c r="K349" s="182"/>
      <c r="L349" s="164" t="s">
        <v>0</v>
      </c>
      <c r="N349" s="76"/>
      <c r="O349" s="76"/>
      <c r="P349" s="144"/>
      <c r="Q349" s="144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J349" s="165"/>
    </row>
    <row r="350" spans="1:36" hidden="1">
      <c r="A350" s="182"/>
      <c r="B350" s="182"/>
      <c r="C350" s="200"/>
      <c r="D350" s="252"/>
      <c r="E350" s="164"/>
      <c r="F350" s="164"/>
      <c r="G350" s="252"/>
      <c r="H350" s="252"/>
      <c r="I350" s="164"/>
      <c r="J350" s="275" t="s">
        <v>0</v>
      </c>
      <c r="K350" s="182"/>
      <c r="L350" s="164" t="s">
        <v>0</v>
      </c>
      <c r="N350" s="76"/>
      <c r="O350" s="76"/>
      <c r="P350" s="144"/>
      <c r="Q350" s="144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6"/>
      <c r="AJ350" s="165"/>
    </row>
    <row r="351" spans="1:36" hidden="1">
      <c r="A351" s="199" t="s">
        <v>165</v>
      </c>
      <c r="B351" s="182"/>
      <c r="C351" s="182"/>
      <c r="D351" s="164"/>
      <c r="E351" s="164"/>
      <c r="F351" s="182" t="s">
        <v>0</v>
      </c>
      <c r="G351" s="164"/>
      <c r="H351" s="164"/>
      <c r="I351" s="182"/>
      <c r="J351" s="164"/>
      <c r="K351" s="182"/>
      <c r="L351" s="182"/>
      <c r="N351" s="76"/>
      <c r="O351" s="76"/>
      <c r="P351" s="144"/>
      <c r="Q351" s="144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J351" s="165"/>
    </row>
    <row r="352" spans="1:36" hidden="1">
      <c r="A352" s="182" t="s">
        <v>158</v>
      </c>
      <c r="B352" s="182"/>
      <c r="C352" s="182"/>
      <c r="D352" s="164"/>
      <c r="E352" s="164"/>
      <c r="F352" s="182"/>
      <c r="G352" s="164"/>
      <c r="H352" s="164"/>
      <c r="I352" s="182"/>
      <c r="J352" s="164"/>
      <c r="K352" s="182"/>
      <c r="L352" s="182"/>
      <c r="N352" s="76"/>
      <c r="O352" s="76"/>
      <c r="P352" s="144"/>
      <c r="Q352" s="144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</row>
    <row r="353" spans="1:34" hidden="1">
      <c r="A353" s="182" t="s">
        <v>166</v>
      </c>
      <c r="B353" s="182"/>
      <c r="C353" s="182"/>
      <c r="D353" s="164"/>
      <c r="E353" s="164"/>
      <c r="F353" s="182"/>
      <c r="G353" s="164"/>
      <c r="H353" s="164"/>
      <c r="I353" s="182"/>
      <c r="J353" s="164"/>
      <c r="K353" s="182"/>
      <c r="L353" s="182"/>
      <c r="N353" s="76"/>
      <c r="O353" s="76"/>
      <c r="P353" s="144"/>
      <c r="Q353" s="144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76"/>
    </row>
    <row r="354" spans="1:34" hidden="1">
      <c r="A354" s="182" t="s">
        <v>144</v>
      </c>
      <c r="B354" s="182"/>
      <c r="C354" s="234"/>
      <c r="D354" s="164"/>
      <c r="E354" s="164"/>
      <c r="F354" s="182"/>
      <c r="G354" s="164"/>
      <c r="H354" s="164"/>
      <c r="I354" s="182"/>
      <c r="J354" s="164"/>
      <c r="K354" s="182"/>
      <c r="L354" s="182"/>
      <c r="N354" s="76"/>
      <c r="O354" s="76"/>
      <c r="P354" s="144"/>
      <c r="Q354" s="144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6"/>
    </row>
    <row r="355" spans="1:34" hidden="1">
      <c r="A355" s="182" t="s">
        <v>141</v>
      </c>
      <c r="B355" s="182"/>
      <c r="C355" s="234">
        <f t="shared" ref="C355:C364" si="54">C384+C413</f>
        <v>1</v>
      </c>
      <c r="D355" s="204">
        <f>$D$149</f>
        <v>90.36</v>
      </c>
      <c r="E355" s="236"/>
      <c r="F355" s="164">
        <f t="shared" ref="F355:I357" si="55">F384+F413</f>
        <v>90</v>
      </c>
      <c r="G355" s="204">
        <f>$G$149</f>
        <v>91.679999999999993</v>
      </c>
      <c r="H355" s="204"/>
      <c r="I355" s="164">
        <f t="shared" si="55"/>
        <v>92</v>
      </c>
      <c r="J355" s="204">
        <f>$J$149</f>
        <v>103.19999999999999</v>
      </c>
      <c r="K355" s="238"/>
      <c r="L355" s="164">
        <f>L384+L413</f>
        <v>103</v>
      </c>
      <c r="N355" s="76"/>
      <c r="O355" s="76"/>
      <c r="P355" s="144"/>
      <c r="Q355" s="144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</row>
    <row r="356" spans="1:34" hidden="1">
      <c r="A356" s="182" t="s">
        <v>142</v>
      </c>
      <c r="B356" s="182"/>
      <c r="C356" s="234">
        <f t="shared" si="54"/>
        <v>101</v>
      </c>
      <c r="D356" s="204">
        <f>$D$150</f>
        <v>134.16</v>
      </c>
      <c r="E356" s="239"/>
      <c r="F356" s="164">
        <f t="shared" si="55"/>
        <v>13550</v>
      </c>
      <c r="G356" s="204">
        <f>$G$150</f>
        <v>136.32</v>
      </c>
      <c r="H356" s="204"/>
      <c r="I356" s="164">
        <f t="shared" si="55"/>
        <v>13768</v>
      </c>
      <c r="J356" s="204">
        <f>$J$150</f>
        <v>153.47999999999999</v>
      </c>
      <c r="K356" s="240"/>
      <c r="L356" s="164">
        <f>L385+L414</f>
        <v>15501</v>
      </c>
      <c r="N356" s="76"/>
      <c r="O356" s="76"/>
      <c r="P356" s="144"/>
      <c r="Q356" s="144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</row>
    <row r="357" spans="1:34" hidden="1">
      <c r="A357" s="182" t="s">
        <v>143</v>
      </c>
      <c r="B357" s="182"/>
      <c r="C357" s="234">
        <f t="shared" si="54"/>
        <v>3965</v>
      </c>
      <c r="D357" s="204">
        <f>$D$151</f>
        <v>9.36</v>
      </c>
      <c r="E357" s="239"/>
      <c r="F357" s="164">
        <f t="shared" si="55"/>
        <v>37112</v>
      </c>
      <c r="G357" s="204">
        <f>$G$151</f>
        <v>9.66</v>
      </c>
      <c r="H357" s="204"/>
      <c r="I357" s="164">
        <f t="shared" si="55"/>
        <v>38302</v>
      </c>
      <c r="J357" s="204">
        <f>$J$151</f>
        <v>10.92</v>
      </c>
      <c r="K357" s="240"/>
      <c r="L357" s="164">
        <f>L386+L415</f>
        <v>43298</v>
      </c>
      <c r="N357" s="76"/>
      <c r="O357" s="76"/>
      <c r="P357" s="144"/>
      <c r="Q357" s="144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</row>
    <row r="358" spans="1:34" hidden="1">
      <c r="A358" s="182" t="s">
        <v>145</v>
      </c>
      <c r="B358" s="182"/>
      <c r="C358" s="234">
        <f t="shared" si="54"/>
        <v>102</v>
      </c>
      <c r="D358" s="204"/>
      <c r="E358" s="236"/>
      <c r="F358" s="164"/>
      <c r="G358" s="204"/>
      <c r="H358" s="204"/>
      <c r="I358" s="164"/>
      <c r="J358" s="204"/>
      <c r="K358" s="238"/>
      <c r="L358" s="164"/>
      <c r="N358" s="76"/>
      <c r="O358" s="76"/>
      <c r="P358" s="144"/>
      <c r="Q358" s="144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6"/>
    </row>
    <row r="359" spans="1:34" hidden="1">
      <c r="A359" s="182" t="s">
        <v>167</v>
      </c>
      <c r="B359" s="182"/>
      <c r="C359" s="234">
        <f t="shared" si="54"/>
        <v>1227</v>
      </c>
      <c r="D359" s="204"/>
      <c r="E359" s="236"/>
      <c r="F359" s="164"/>
      <c r="G359" s="204"/>
      <c r="H359" s="204"/>
      <c r="I359" s="164"/>
      <c r="J359" s="204"/>
      <c r="K359" s="238"/>
      <c r="L359" s="164"/>
      <c r="N359" s="76"/>
      <c r="O359" s="76"/>
      <c r="P359" s="144"/>
      <c r="Q359" s="144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</row>
    <row r="360" spans="1:34" hidden="1">
      <c r="A360" s="182" t="s">
        <v>146</v>
      </c>
      <c r="B360" s="182"/>
      <c r="C360" s="234">
        <f t="shared" si="54"/>
        <v>11062</v>
      </c>
      <c r="D360" s="252">
        <f>$D$158</f>
        <v>2.88</v>
      </c>
      <c r="E360" s="238"/>
      <c r="F360" s="164">
        <f t="shared" ref="F360:I364" si="56">F389+F418</f>
        <v>31859</v>
      </c>
      <c r="G360" s="252">
        <f>$G$158</f>
        <v>2.98</v>
      </c>
      <c r="H360" s="252"/>
      <c r="I360" s="164">
        <f t="shared" si="56"/>
        <v>32964</v>
      </c>
      <c r="J360" s="252">
        <f>$J$158</f>
        <v>3.35</v>
      </c>
      <c r="K360" s="238"/>
      <c r="L360" s="164">
        <f>L389+L418</f>
        <v>37058</v>
      </c>
      <c r="N360" s="76"/>
      <c r="O360" s="76"/>
      <c r="P360" s="144"/>
      <c r="Q360" s="144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6"/>
    </row>
    <row r="361" spans="1:34" hidden="1">
      <c r="A361" s="182" t="s">
        <v>147</v>
      </c>
      <c r="B361" s="182"/>
      <c r="C361" s="234">
        <f t="shared" si="54"/>
        <v>133473</v>
      </c>
      <c r="D361" s="207">
        <f>$D$159</f>
        <v>8.0890000000000004</v>
      </c>
      <c r="E361" s="238" t="s">
        <v>126</v>
      </c>
      <c r="F361" s="164">
        <f t="shared" si="56"/>
        <v>10797</v>
      </c>
      <c r="G361" s="207">
        <f>$G$159</f>
        <v>8.5489999999999995</v>
      </c>
      <c r="H361" s="207"/>
      <c r="I361" s="164">
        <f t="shared" si="56"/>
        <v>11411</v>
      </c>
      <c r="J361" s="207">
        <f>$J$159</f>
        <v>9.6240000000000006</v>
      </c>
      <c r="K361" s="238" t="s">
        <v>126</v>
      </c>
      <c r="L361" s="164">
        <f>L390+L419</f>
        <v>12845</v>
      </c>
      <c r="N361" s="76"/>
      <c r="O361" s="76"/>
      <c r="P361" s="144"/>
      <c r="Q361" s="144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</row>
    <row r="362" spans="1:34" hidden="1">
      <c r="A362" s="182" t="s">
        <v>148</v>
      </c>
      <c r="B362" s="182"/>
      <c r="C362" s="234">
        <f t="shared" si="54"/>
        <v>68818</v>
      </c>
      <c r="D362" s="207">
        <f>$D$189</f>
        <v>5.5839999999999996</v>
      </c>
      <c r="E362" s="238" t="s">
        <v>126</v>
      </c>
      <c r="F362" s="164">
        <f t="shared" si="56"/>
        <v>3843</v>
      </c>
      <c r="G362" s="207">
        <f>$G$189</f>
        <v>5.9020000000000001</v>
      </c>
      <c r="H362" s="207"/>
      <c r="I362" s="164">
        <f t="shared" si="56"/>
        <v>4061</v>
      </c>
      <c r="J362" s="207">
        <f>$J$160</f>
        <v>6.6450000000000005</v>
      </c>
      <c r="K362" s="238" t="s">
        <v>126</v>
      </c>
      <c r="L362" s="164">
        <f>L391+L420</f>
        <v>4573</v>
      </c>
      <c r="N362" s="76"/>
      <c r="O362" s="76"/>
      <c r="P362" s="144"/>
      <c r="Q362" s="144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6"/>
    </row>
    <row r="363" spans="1:34" hidden="1">
      <c r="A363" s="182" t="s">
        <v>149</v>
      </c>
      <c r="B363" s="182"/>
      <c r="C363" s="234">
        <f t="shared" si="54"/>
        <v>0</v>
      </c>
      <c r="D363" s="207">
        <f>$D$161</f>
        <v>4.8099999999999996</v>
      </c>
      <c r="E363" s="238" t="s">
        <v>126</v>
      </c>
      <c r="F363" s="164">
        <f t="shared" si="56"/>
        <v>0</v>
      </c>
      <c r="G363" s="207">
        <f>$G$161</f>
        <v>5.0839999999999996</v>
      </c>
      <c r="H363" s="207"/>
      <c r="I363" s="164">
        <f t="shared" si="56"/>
        <v>0</v>
      </c>
      <c r="J363" s="207">
        <f>$J$161</f>
        <v>5.7249999999999996</v>
      </c>
      <c r="K363" s="238" t="s">
        <v>126</v>
      </c>
      <c r="L363" s="164">
        <f>L392+L421</f>
        <v>0</v>
      </c>
      <c r="N363" s="76"/>
      <c r="O363" s="76"/>
      <c r="P363" s="144"/>
      <c r="Q363" s="144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</row>
    <row r="364" spans="1:34" hidden="1">
      <c r="A364" s="182" t="s">
        <v>150</v>
      </c>
      <c r="B364" s="182"/>
      <c r="C364" s="234">
        <f t="shared" si="54"/>
        <v>1631</v>
      </c>
      <c r="D364" s="244">
        <f>$D$162</f>
        <v>45</v>
      </c>
      <c r="E364" s="236" t="s">
        <v>126</v>
      </c>
      <c r="F364" s="164">
        <f t="shared" si="56"/>
        <v>734</v>
      </c>
      <c r="G364" s="244">
        <f>$G$162</f>
        <v>50</v>
      </c>
      <c r="H364" s="244"/>
      <c r="I364" s="164">
        <f t="shared" si="56"/>
        <v>816</v>
      </c>
      <c r="J364" s="244">
        <f>$J$162</f>
        <v>56</v>
      </c>
      <c r="K364" s="238" t="s">
        <v>126</v>
      </c>
      <c r="L364" s="164">
        <f>L393+L422</f>
        <v>913</v>
      </c>
      <c r="N364" s="76"/>
      <c r="O364" s="76"/>
      <c r="P364" s="144"/>
      <c r="Q364" s="144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</row>
    <row r="365" spans="1:34" hidden="1">
      <c r="A365" s="246" t="s">
        <v>151</v>
      </c>
      <c r="B365" s="182"/>
      <c r="C365" s="234"/>
      <c r="D365" s="247">
        <v>-0.01</v>
      </c>
      <c r="E365" s="236"/>
      <c r="F365" s="164"/>
      <c r="G365" s="247">
        <v>-0.01</v>
      </c>
      <c r="H365" s="247"/>
      <c r="I365" s="164"/>
      <c r="J365" s="247">
        <v>-0.01</v>
      </c>
      <c r="K365" s="238"/>
      <c r="L365" s="164"/>
      <c r="N365" s="76"/>
      <c r="O365" s="76"/>
      <c r="P365" s="144"/>
      <c r="Q365" s="144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</row>
    <row r="366" spans="1:34" hidden="1">
      <c r="A366" s="182" t="s">
        <v>141</v>
      </c>
      <c r="B366" s="182"/>
      <c r="C366" s="234">
        <v>0</v>
      </c>
      <c r="D366" s="249">
        <f>D355</f>
        <v>90.36</v>
      </c>
      <c r="E366" s="236"/>
      <c r="F366" s="164">
        <f t="shared" ref="F366:I377" si="57">F395+F424</f>
        <v>0</v>
      </c>
      <c r="G366" s="249">
        <f>G355</f>
        <v>91.679999999999993</v>
      </c>
      <c r="H366" s="249"/>
      <c r="I366" s="164">
        <f t="shared" si="57"/>
        <v>0</v>
      </c>
      <c r="J366" s="249">
        <f>J355</f>
        <v>103.19999999999999</v>
      </c>
      <c r="K366" s="236"/>
      <c r="L366" s="164">
        <f t="shared" ref="L366:L376" si="58">L395+L424</f>
        <v>0</v>
      </c>
      <c r="N366" s="76"/>
      <c r="O366" s="76"/>
      <c r="P366" s="144"/>
      <c r="Q366" s="144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  <c r="AH366" s="76"/>
    </row>
    <row r="367" spans="1:34" hidden="1">
      <c r="A367" s="182" t="s">
        <v>142</v>
      </c>
      <c r="B367" s="182"/>
      <c r="C367" s="234">
        <v>0</v>
      </c>
      <c r="D367" s="249">
        <f>D356</f>
        <v>134.16</v>
      </c>
      <c r="E367" s="236"/>
      <c r="F367" s="164">
        <f t="shared" si="57"/>
        <v>0</v>
      </c>
      <c r="G367" s="249">
        <f>G356</f>
        <v>136.32</v>
      </c>
      <c r="H367" s="249"/>
      <c r="I367" s="164">
        <f t="shared" si="57"/>
        <v>0</v>
      </c>
      <c r="J367" s="249">
        <f>J356</f>
        <v>153.47999999999999</v>
      </c>
      <c r="K367" s="236"/>
      <c r="L367" s="164">
        <f t="shared" si="58"/>
        <v>0</v>
      </c>
      <c r="N367" s="76"/>
      <c r="O367" s="76"/>
      <c r="P367" s="144"/>
      <c r="Q367" s="144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</row>
    <row r="368" spans="1:34" hidden="1">
      <c r="A368" s="182" t="s">
        <v>152</v>
      </c>
      <c r="B368" s="182"/>
      <c r="C368" s="234">
        <v>0</v>
      </c>
      <c r="D368" s="249">
        <f>D357</f>
        <v>9.36</v>
      </c>
      <c r="E368" s="236"/>
      <c r="F368" s="164">
        <f t="shared" si="57"/>
        <v>0</v>
      </c>
      <c r="G368" s="249">
        <f>G357</f>
        <v>9.66</v>
      </c>
      <c r="H368" s="249"/>
      <c r="I368" s="164">
        <f t="shared" si="57"/>
        <v>0</v>
      </c>
      <c r="J368" s="249">
        <f>J357</f>
        <v>10.92</v>
      </c>
      <c r="K368" s="236"/>
      <c r="L368" s="164">
        <f t="shared" si="58"/>
        <v>0</v>
      </c>
      <c r="N368" s="76"/>
      <c r="O368" s="76"/>
      <c r="P368" s="144"/>
      <c r="Q368" s="144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  <c r="AH368" s="76"/>
    </row>
    <row r="369" spans="1:34" hidden="1">
      <c r="A369" s="182" t="s">
        <v>153</v>
      </c>
      <c r="B369" s="182"/>
      <c r="C369" s="234">
        <v>0</v>
      </c>
      <c r="D369" s="249">
        <f>D360</f>
        <v>2.88</v>
      </c>
      <c r="E369" s="238"/>
      <c r="F369" s="164">
        <f t="shared" si="57"/>
        <v>0</v>
      </c>
      <c r="G369" s="249">
        <f>G360</f>
        <v>2.98</v>
      </c>
      <c r="H369" s="249"/>
      <c r="I369" s="164">
        <f t="shared" si="57"/>
        <v>0</v>
      </c>
      <c r="J369" s="249">
        <f>J360</f>
        <v>3.35</v>
      </c>
      <c r="K369" s="238"/>
      <c r="L369" s="164">
        <f t="shared" si="58"/>
        <v>0</v>
      </c>
      <c r="N369" s="76"/>
      <c r="O369" s="76"/>
      <c r="P369" s="144"/>
      <c r="Q369" s="144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</row>
    <row r="370" spans="1:34" hidden="1">
      <c r="A370" s="182" t="s">
        <v>154</v>
      </c>
      <c r="B370" s="182"/>
      <c r="C370" s="234">
        <v>0</v>
      </c>
      <c r="D370" s="250">
        <f>D361</f>
        <v>8.0890000000000004</v>
      </c>
      <c r="E370" s="238" t="s">
        <v>126</v>
      </c>
      <c r="F370" s="164">
        <f t="shared" si="57"/>
        <v>0</v>
      </c>
      <c r="G370" s="250">
        <f>G361</f>
        <v>8.5489999999999995</v>
      </c>
      <c r="H370" s="250"/>
      <c r="I370" s="164">
        <f t="shared" si="57"/>
        <v>0</v>
      </c>
      <c r="J370" s="250">
        <f>J361</f>
        <v>9.6240000000000006</v>
      </c>
      <c r="K370" s="238" t="s">
        <v>126</v>
      </c>
      <c r="L370" s="164">
        <f t="shared" si="58"/>
        <v>0</v>
      </c>
      <c r="N370" s="76"/>
      <c r="O370" s="76"/>
      <c r="P370" s="144"/>
      <c r="Q370" s="144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6"/>
    </row>
    <row r="371" spans="1:34" hidden="1">
      <c r="A371" s="182" t="s">
        <v>148</v>
      </c>
      <c r="B371" s="182"/>
      <c r="C371" s="234">
        <v>0</v>
      </c>
      <c r="D371" s="250">
        <f>D362</f>
        <v>5.5839999999999996</v>
      </c>
      <c r="E371" s="238" t="s">
        <v>126</v>
      </c>
      <c r="F371" s="164">
        <f t="shared" si="57"/>
        <v>0</v>
      </c>
      <c r="G371" s="250">
        <f>G362</f>
        <v>5.9020000000000001</v>
      </c>
      <c r="H371" s="250"/>
      <c r="I371" s="164">
        <f t="shared" si="57"/>
        <v>0</v>
      </c>
      <c r="J371" s="250">
        <f>J362</f>
        <v>6.6450000000000005</v>
      </c>
      <c r="K371" s="238" t="s">
        <v>126</v>
      </c>
      <c r="L371" s="164">
        <f t="shared" si="58"/>
        <v>0</v>
      </c>
      <c r="N371" s="76"/>
      <c r="O371" s="76"/>
      <c r="P371" s="144"/>
      <c r="Q371" s="144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</row>
    <row r="372" spans="1:34" hidden="1">
      <c r="A372" s="182" t="s">
        <v>149</v>
      </c>
      <c r="B372" s="182"/>
      <c r="C372" s="234">
        <v>0</v>
      </c>
      <c r="D372" s="250">
        <f>D363</f>
        <v>4.8099999999999996</v>
      </c>
      <c r="E372" s="238" t="s">
        <v>126</v>
      </c>
      <c r="F372" s="164">
        <f t="shared" si="57"/>
        <v>0</v>
      </c>
      <c r="G372" s="250">
        <f>G363</f>
        <v>5.0839999999999996</v>
      </c>
      <c r="H372" s="250"/>
      <c r="I372" s="164">
        <f t="shared" si="57"/>
        <v>0</v>
      </c>
      <c r="J372" s="250">
        <f>J363</f>
        <v>5.7249999999999996</v>
      </c>
      <c r="K372" s="238" t="s">
        <v>126</v>
      </c>
      <c r="L372" s="164">
        <f t="shared" si="58"/>
        <v>0</v>
      </c>
      <c r="N372" s="76"/>
      <c r="O372" s="76"/>
      <c r="P372" s="144"/>
      <c r="Q372" s="144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</row>
    <row r="373" spans="1:34" hidden="1">
      <c r="A373" s="182" t="s">
        <v>150</v>
      </c>
      <c r="B373" s="182"/>
      <c r="C373" s="234">
        <v>0</v>
      </c>
      <c r="D373" s="251">
        <f>D364</f>
        <v>45</v>
      </c>
      <c r="E373" s="238" t="s">
        <v>126</v>
      </c>
      <c r="F373" s="164">
        <f t="shared" si="57"/>
        <v>0</v>
      </c>
      <c r="G373" s="251">
        <f>G364</f>
        <v>50</v>
      </c>
      <c r="H373" s="251"/>
      <c r="I373" s="164">
        <f t="shared" si="57"/>
        <v>0</v>
      </c>
      <c r="J373" s="251">
        <f>J364</f>
        <v>56</v>
      </c>
      <c r="K373" s="238" t="s">
        <v>126</v>
      </c>
      <c r="L373" s="164">
        <f t="shared" si="58"/>
        <v>0</v>
      </c>
      <c r="N373" s="76"/>
      <c r="O373" s="76"/>
      <c r="P373" s="144"/>
      <c r="Q373" s="144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</row>
    <row r="374" spans="1:34" hidden="1">
      <c r="A374" s="182" t="s">
        <v>155</v>
      </c>
      <c r="B374" s="182"/>
      <c r="C374" s="234">
        <v>0</v>
      </c>
      <c r="D374" s="252">
        <f>$D$172</f>
        <v>60</v>
      </c>
      <c r="E374" s="236"/>
      <c r="F374" s="164">
        <f t="shared" si="57"/>
        <v>0</v>
      </c>
      <c r="G374" s="252">
        <f>$D$172</f>
        <v>60</v>
      </c>
      <c r="H374" s="252"/>
      <c r="I374" s="164">
        <f t="shared" si="57"/>
        <v>0</v>
      </c>
      <c r="J374" s="252">
        <f>$J$172</f>
        <v>60</v>
      </c>
      <c r="K374" s="238"/>
      <c r="L374" s="164">
        <f t="shared" si="58"/>
        <v>0</v>
      </c>
      <c r="N374" s="76"/>
      <c r="O374" s="76"/>
      <c r="P374" s="144"/>
      <c r="Q374" s="144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  <c r="AH374" s="76"/>
    </row>
    <row r="375" spans="1:34" hidden="1">
      <c r="A375" s="182" t="s">
        <v>156</v>
      </c>
      <c r="B375" s="182"/>
      <c r="C375" s="234">
        <v>0</v>
      </c>
      <c r="D375" s="253">
        <f>$D$173</f>
        <v>-30</v>
      </c>
      <c r="E375" s="236" t="s">
        <v>126</v>
      </c>
      <c r="F375" s="164">
        <f t="shared" si="57"/>
        <v>0</v>
      </c>
      <c r="G375" s="253">
        <f>$D$173</f>
        <v>-30</v>
      </c>
      <c r="H375" s="253"/>
      <c r="I375" s="164">
        <f t="shared" si="57"/>
        <v>0</v>
      </c>
      <c r="J375" s="253">
        <f>$J$173</f>
        <v>-30</v>
      </c>
      <c r="K375" s="238" t="s">
        <v>126</v>
      </c>
      <c r="L375" s="164">
        <f t="shared" si="58"/>
        <v>0</v>
      </c>
      <c r="N375" s="76"/>
      <c r="O375" s="76"/>
      <c r="P375" s="144"/>
      <c r="Q375" s="144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</row>
    <row r="376" spans="1:34" hidden="1">
      <c r="A376" s="182" t="s">
        <v>131</v>
      </c>
      <c r="B376" s="182"/>
      <c r="C376" s="234">
        <f>C405+C434</f>
        <v>202291</v>
      </c>
      <c r="D376" s="244"/>
      <c r="E376" s="164"/>
      <c r="F376" s="164">
        <f t="shared" si="57"/>
        <v>97985</v>
      </c>
      <c r="G376" s="244"/>
      <c r="H376" s="244"/>
      <c r="I376" s="164">
        <f t="shared" si="57"/>
        <v>101414</v>
      </c>
      <c r="J376" s="164"/>
      <c r="K376" s="238"/>
      <c r="L376" s="164">
        <f t="shared" si="58"/>
        <v>114291</v>
      </c>
      <c r="N376" s="76"/>
      <c r="O376" s="76"/>
      <c r="P376" s="144"/>
      <c r="Q376" s="144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  <c r="AH376" s="76"/>
    </row>
    <row r="377" spans="1:34" hidden="1">
      <c r="A377" s="182" t="s">
        <v>114</v>
      </c>
      <c r="B377" s="182"/>
      <c r="C377" s="255">
        <f>C406+C435</f>
        <v>3532.6801915256515</v>
      </c>
      <c r="D377" s="217"/>
      <c r="E377" s="217"/>
      <c r="F377" s="256">
        <f t="shared" si="57"/>
        <v>1849.0744849666037</v>
      </c>
      <c r="G377" s="217"/>
      <c r="H377" s="217"/>
      <c r="I377" s="256">
        <f t="shared" si="57"/>
        <v>1849.0744849666037</v>
      </c>
      <c r="J377" s="217"/>
      <c r="K377" s="217"/>
      <c r="L377" s="256">
        <f>F377</f>
        <v>1849.0744849666037</v>
      </c>
      <c r="N377" s="196"/>
      <c r="O377" s="196"/>
      <c r="P377" s="194"/>
      <c r="Q377" s="144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  <c r="AG377" s="76"/>
      <c r="AH377" s="76"/>
    </row>
    <row r="378" spans="1:34" ht="16.5" hidden="1" thickBot="1">
      <c r="A378" s="182" t="s">
        <v>132</v>
      </c>
      <c r="B378" s="182"/>
      <c r="C378" s="219">
        <f>SUM(C376:C377)</f>
        <v>205823.68019152567</v>
      </c>
      <c r="D378" s="258"/>
      <c r="E378" s="259"/>
      <c r="F378" s="260">
        <f>F376+F377</f>
        <v>99834.074484966608</v>
      </c>
      <c r="G378" s="258"/>
      <c r="H378" s="258"/>
      <c r="I378" s="260">
        <f>I376+I377</f>
        <v>103263.07448496661</v>
      </c>
      <c r="J378" s="258"/>
      <c r="K378" s="262"/>
      <c r="L378" s="260">
        <f>L376+L377</f>
        <v>116140.07448496661</v>
      </c>
      <c r="N378" s="197"/>
      <c r="O378" s="197"/>
      <c r="P378" s="198"/>
      <c r="Q378" s="144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  <c r="AG378" s="76"/>
      <c r="AH378" s="76"/>
    </row>
    <row r="379" spans="1:34" hidden="1">
      <c r="A379" s="182"/>
      <c r="B379" s="182"/>
      <c r="C379" s="200"/>
      <c r="D379" s="252"/>
      <c r="E379" s="164"/>
      <c r="F379" s="164"/>
      <c r="G379" s="252"/>
      <c r="H379" s="252"/>
      <c r="I379" s="164"/>
      <c r="J379" s="275" t="s">
        <v>0</v>
      </c>
      <c r="K379" s="182"/>
      <c r="L379" s="164" t="s">
        <v>0</v>
      </c>
      <c r="N379" s="76"/>
      <c r="O379" s="76"/>
      <c r="P379" s="144"/>
      <c r="Q379" s="144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  <c r="AG379" s="76"/>
      <c r="AH379" s="76"/>
    </row>
    <row r="380" spans="1:34" hidden="1">
      <c r="A380" s="199" t="s">
        <v>165</v>
      </c>
      <c r="B380" s="182"/>
      <c r="C380" s="182"/>
      <c r="D380" s="164"/>
      <c r="E380" s="164"/>
      <c r="F380" s="182" t="s">
        <v>0</v>
      </c>
      <c r="G380" s="164"/>
      <c r="H380" s="164"/>
      <c r="I380" s="182"/>
      <c r="J380" s="164"/>
      <c r="K380" s="182"/>
      <c r="L380" s="182"/>
      <c r="N380" s="76"/>
      <c r="O380" s="76"/>
      <c r="P380" s="144"/>
      <c r="Q380" s="144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  <c r="AG380" s="76"/>
      <c r="AH380" s="76"/>
    </row>
    <row r="381" spans="1:34" hidden="1">
      <c r="A381" s="182" t="s">
        <v>159</v>
      </c>
      <c r="B381" s="182"/>
      <c r="C381" s="182"/>
      <c r="D381" s="164"/>
      <c r="E381" s="164"/>
      <c r="F381" s="182"/>
      <c r="G381" s="164"/>
      <c r="H381" s="164"/>
      <c r="I381" s="182"/>
      <c r="J381" s="164"/>
      <c r="K381" s="182"/>
      <c r="L381" s="182"/>
      <c r="N381" s="76"/>
      <c r="O381" s="76"/>
      <c r="P381" s="144"/>
      <c r="Q381" s="144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  <c r="AG381" s="76"/>
      <c r="AH381" s="76"/>
    </row>
    <row r="382" spans="1:34" hidden="1">
      <c r="A382" s="182" t="s">
        <v>166</v>
      </c>
      <c r="B382" s="182"/>
      <c r="C382" s="182"/>
      <c r="D382" s="164"/>
      <c r="E382" s="164"/>
      <c r="F382" s="182"/>
      <c r="G382" s="164"/>
      <c r="H382" s="164"/>
      <c r="I382" s="182"/>
      <c r="J382" s="164"/>
      <c r="K382" s="182"/>
      <c r="L382" s="182"/>
      <c r="N382" s="76"/>
      <c r="O382" s="76"/>
      <c r="P382" s="144"/>
      <c r="Q382" s="144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</row>
    <row r="383" spans="1:34" hidden="1">
      <c r="A383" s="182" t="s">
        <v>144</v>
      </c>
      <c r="B383" s="182"/>
      <c r="C383" s="234"/>
      <c r="D383" s="164"/>
      <c r="E383" s="164"/>
      <c r="F383" s="182"/>
      <c r="G383" s="164"/>
      <c r="H383" s="164"/>
      <c r="I383" s="182"/>
      <c r="J383" s="164"/>
      <c r="K383" s="182"/>
      <c r="L383" s="182"/>
      <c r="N383" s="76"/>
      <c r="O383" s="76"/>
      <c r="P383" s="144"/>
      <c r="Q383" s="144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  <c r="AG383" s="76"/>
      <c r="AH383" s="76"/>
    </row>
    <row r="384" spans="1:34" hidden="1">
      <c r="A384" s="182" t="s">
        <v>141</v>
      </c>
      <c r="B384" s="182"/>
      <c r="C384" s="234">
        <v>1</v>
      </c>
      <c r="D384" s="204">
        <f>$D$149</f>
        <v>90.36</v>
      </c>
      <c r="E384" s="236"/>
      <c r="F384" s="164">
        <f>ROUND(D384*$C384,0)</f>
        <v>90</v>
      </c>
      <c r="G384" s="204">
        <f>$G$149</f>
        <v>91.679999999999993</v>
      </c>
      <c r="H384" s="204"/>
      <c r="I384" s="164">
        <f>ROUND(G384*$C384,0)</f>
        <v>92</v>
      </c>
      <c r="J384" s="204">
        <f>$J$149</f>
        <v>103.19999999999999</v>
      </c>
      <c r="K384" s="238"/>
      <c r="L384" s="164">
        <f>ROUND(J384*$C384,0)</f>
        <v>103</v>
      </c>
      <c r="N384" s="76"/>
      <c r="O384" s="76"/>
      <c r="P384" s="144"/>
      <c r="Q384" s="144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  <c r="AH384" s="76"/>
    </row>
    <row r="385" spans="1:34" hidden="1">
      <c r="A385" s="182" t="s">
        <v>142</v>
      </c>
      <c r="B385" s="182"/>
      <c r="C385" s="234">
        <v>100</v>
      </c>
      <c r="D385" s="204">
        <f>$D$150</f>
        <v>134.16</v>
      </c>
      <c r="E385" s="239"/>
      <c r="F385" s="164">
        <f>ROUND(D385*$C385,0)</f>
        <v>13416</v>
      </c>
      <c r="G385" s="204">
        <f>$G$150</f>
        <v>136.32</v>
      </c>
      <c r="H385" s="204"/>
      <c r="I385" s="164">
        <f t="shared" ref="I385:I386" si="59">ROUND(G385*$C385,0)</f>
        <v>13632</v>
      </c>
      <c r="J385" s="204">
        <f>$J$150</f>
        <v>153.47999999999999</v>
      </c>
      <c r="K385" s="240"/>
      <c r="L385" s="164">
        <f>ROUND(J385*$C385,0)</f>
        <v>15348</v>
      </c>
      <c r="N385" s="76"/>
      <c r="O385" s="76"/>
      <c r="P385" s="144"/>
      <c r="Q385" s="144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  <c r="AG385" s="76"/>
      <c r="AH385" s="76"/>
    </row>
    <row r="386" spans="1:34" hidden="1">
      <c r="A386" s="182" t="s">
        <v>143</v>
      </c>
      <c r="B386" s="182"/>
      <c r="C386" s="234">
        <v>3890</v>
      </c>
      <c r="D386" s="204">
        <f>$D$151</f>
        <v>9.36</v>
      </c>
      <c r="E386" s="239"/>
      <c r="F386" s="164">
        <f>ROUND(D386*$C386,0)</f>
        <v>36410</v>
      </c>
      <c r="G386" s="204">
        <f>$G$151</f>
        <v>9.66</v>
      </c>
      <c r="H386" s="204"/>
      <c r="I386" s="164">
        <f t="shared" si="59"/>
        <v>37577</v>
      </c>
      <c r="J386" s="204">
        <f>$J$151</f>
        <v>10.92</v>
      </c>
      <c r="K386" s="240"/>
      <c r="L386" s="164">
        <f>ROUND(J386*$C386,0)</f>
        <v>42479</v>
      </c>
      <c r="N386" s="76"/>
      <c r="O386" s="76"/>
      <c r="P386" s="144"/>
      <c r="Q386" s="144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  <c r="AG386" s="76"/>
      <c r="AH386" s="76"/>
    </row>
    <row r="387" spans="1:34" hidden="1">
      <c r="A387" s="182" t="s">
        <v>145</v>
      </c>
      <c r="B387" s="182"/>
      <c r="C387" s="234">
        <f>SUM(C384:C385)</f>
        <v>101</v>
      </c>
      <c r="D387" s="204"/>
      <c r="E387" s="236"/>
      <c r="F387" s="164"/>
      <c r="G387" s="204"/>
      <c r="H387" s="204"/>
      <c r="I387" s="164"/>
      <c r="J387" s="204"/>
      <c r="K387" s="238"/>
      <c r="L387" s="164"/>
      <c r="N387" s="76"/>
      <c r="O387" s="76"/>
      <c r="P387" s="144"/>
      <c r="Q387" s="144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  <c r="AG387" s="76"/>
      <c r="AH387" s="76"/>
    </row>
    <row r="388" spans="1:34" hidden="1">
      <c r="A388" s="182" t="s">
        <v>167</v>
      </c>
      <c r="B388" s="182"/>
      <c r="C388" s="234">
        <f>12+1202+1</f>
        <v>1215</v>
      </c>
      <c r="D388" s="204"/>
      <c r="E388" s="236"/>
      <c r="F388" s="164"/>
      <c r="G388" s="204"/>
      <c r="H388" s="204"/>
      <c r="I388" s="164"/>
      <c r="J388" s="204"/>
      <c r="K388" s="238"/>
      <c r="L388" s="164"/>
      <c r="N388" s="76"/>
      <c r="O388" s="76"/>
      <c r="P388" s="144"/>
      <c r="Q388" s="144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  <c r="AG388" s="76"/>
      <c r="AH388" s="76"/>
    </row>
    <row r="389" spans="1:34" hidden="1">
      <c r="A389" s="182" t="s">
        <v>146</v>
      </c>
      <c r="B389" s="182"/>
      <c r="C389" s="234">
        <f>10804+24</f>
        <v>10828</v>
      </c>
      <c r="D389" s="252">
        <f>$D$158</f>
        <v>2.88</v>
      </c>
      <c r="E389" s="238"/>
      <c r="F389" s="164">
        <f>ROUND(D389*$C389,0)</f>
        <v>31185</v>
      </c>
      <c r="G389" s="252">
        <f>$G$158</f>
        <v>2.98</v>
      </c>
      <c r="H389" s="252"/>
      <c r="I389" s="164">
        <f>ROUND(G389*C389,0)</f>
        <v>32267</v>
      </c>
      <c r="J389" s="252">
        <f>$J$158</f>
        <v>3.35</v>
      </c>
      <c r="K389" s="238"/>
      <c r="L389" s="164">
        <f>ROUND(J389*$C389,0)</f>
        <v>36274</v>
      </c>
      <c r="N389" s="76"/>
      <c r="O389" s="76"/>
      <c r="P389" s="144"/>
      <c r="Q389" s="144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  <c r="AG389" s="76"/>
      <c r="AH389" s="76"/>
    </row>
    <row r="390" spans="1:34" hidden="1">
      <c r="A390" s="182" t="s">
        <v>147</v>
      </c>
      <c r="B390" s="182"/>
      <c r="C390" s="234">
        <f>3317+125584</f>
        <v>128901</v>
      </c>
      <c r="D390" s="207">
        <f>$D$159</f>
        <v>8.0890000000000004</v>
      </c>
      <c r="E390" s="238" t="s">
        <v>126</v>
      </c>
      <c r="F390" s="164">
        <f>ROUND(D390*$C390/100,0)</f>
        <v>10427</v>
      </c>
      <c r="G390" s="207">
        <f>$G$159</f>
        <v>8.5489999999999995</v>
      </c>
      <c r="H390" s="207"/>
      <c r="I390" s="164">
        <f>ROUND(G390*C390/100,0)</f>
        <v>11020</v>
      </c>
      <c r="J390" s="207">
        <f>$J$159</f>
        <v>9.6240000000000006</v>
      </c>
      <c r="K390" s="238" t="s">
        <v>126</v>
      </c>
      <c r="L390" s="164">
        <f>ROUND(J390*$C390/100,0)</f>
        <v>12405</v>
      </c>
      <c r="N390" s="76"/>
      <c r="O390" s="76"/>
      <c r="P390" s="144"/>
      <c r="Q390" s="144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  <c r="AC390" s="76"/>
      <c r="AD390" s="76"/>
      <c r="AE390" s="76"/>
      <c r="AF390" s="76"/>
      <c r="AG390" s="76"/>
      <c r="AH390" s="76"/>
    </row>
    <row r="391" spans="1:34" hidden="1">
      <c r="A391" s="182" t="s">
        <v>148</v>
      </c>
      <c r="B391" s="182"/>
      <c r="C391" s="234">
        <f>1531+67094</f>
        <v>68625</v>
      </c>
      <c r="D391" s="207">
        <f>$D$189</f>
        <v>5.5839999999999996</v>
      </c>
      <c r="E391" s="238" t="s">
        <v>126</v>
      </c>
      <c r="F391" s="164">
        <f>ROUND(D391*$C391/100,0)</f>
        <v>3832</v>
      </c>
      <c r="G391" s="207">
        <f>$G$189</f>
        <v>5.9020000000000001</v>
      </c>
      <c r="H391" s="207"/>
      <c r="I391" s="164">
        <f t="shared" ref="I391:I393" si="60">ROUND(G391*C391/100,0)</f>
        <v>4050</v>
      </c>
      <c r="J391" s="207">
        <f>$J$160</f>
        <v>6.6450000000000005</v>
      </c>
      <c r="K391" s="238" t="s">
        <v>126</v>
      </c>
      <c r="L391" s="164">
        <f>ROUND(J391*$C391/100,0)</f>
        <v>4560</v>
      </c>
      <c r="N391" s="76"/>
      <c r="O391" s="76"/>
      <c r="P391" s="144"/>
      <c r="Q391" s="144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  <c r="AC391" s="76"/>
      <c r="AD391" s="76"/>
      <c r="AE391" s="76"/>
      <c r="AF391" s="76"/>
      <c r="AG391" s="76"/>
      <c r="AH391" s="76"/>
    </row>
    <row r="392" spans="1:34" hidden="1">
      <c r="A392" s="182" t="s">
        <v>149</v>
      </c>
      <c r="B392" s="182"/>
      <c r="C392" s="234">
        <v>0</v>
      </c>
      <c r="D392" s="207">
        <f>$D$161</f>
        <v>4.8099999999999996</v>
      </c>
      <c r="E392" s="238" t="s">
        <v>126</v>
      </c>
      <c r="F392" s="164">
        <f>ROUND(D392*$C392/100,0)</f>
        <v>0</v>
      </c>
      <c r="G392" s="207">
        <f>$G$161</f>
        <v>5.0839999999999996</v>
      </c>
      <c r="H392" s="207"/>
      <c r="I392" s="164">
        <f t="shared" si="60"/>
        <v>0</v>
      </c>
      <c r="J392" s="207">
        <f>$J$161</f>
        <v>5.7249999999999996</v>
      </c>
      <c r="K392" s="238" t="s">
        <v>126</v>
      </c>
      <c r="L392" s="164">
        <f>ROUND(J392*$C392/100,0)</f>
        <v>0</v>
      </c>
      <c r="N392" s="76"/>
      <c r="O392" s="76"/>
      <c r="P392" s="144"/>
      <c r="Q392" s="144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/>
      <c r="AE392" s="76"/>
      <c r="AF392" s="76"/>
      <c r="AG392" s="76"/>
      <c r="AH392" s="76"/>
    </row>
    <row r="393" spans="1:34" hidden="1">
      <c r="A393" s="182" t="s">
        <v>150</v>
      </c>
      <c r="B393" s="182"/>
      <c r="C393" s="234">
        <v>1631</v>
      </c>
      <c r="D393" s="244">
        <f>$D$162</f>
        <v>45</v>
      </c>
      <c r="E393" s="236" t="s">
        <v>126</v>
      </c>
      <c r="F393" s="164">
        <f>ROUND(D393*$C393/100,0)</f>
        <v>734</v>
      </c>
      <c r="G393" s="244">
        <f>$G$162</f>
        <v>50</v>
      </c>
      <c r="H393" s="244"/>
      <c r="I393" s="164">
        <f t="shared" si="60"/>
        <v>816</v>
      </c>
      <c r="J393" s="244">
        <f>$J$162</f>
        <v>56</v>
      </c>
      <c r="K393" s="238" t="s">
        <v>126</v>
      </c>
      <c r="L393" s="164">
        <f>ROUND(J393*$C393/100,0)</f>
        <v>913</v>
      </c>
      <c r="N393" s="76"/>
      <c r="O393" s="76"/>
      <c r="P393" s="144"/>
      <c r="Q393" s="144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  <c r="AC393" s="76"/>
      <c r="AD393" s="76"/>
      <c r="AE393" s="76"/>
      <c r="AF393" s="76"/>
      <c r="AG393" s="76"/>
      <c r="AH393" s="76"/>
    </row>
    <row r="394" spans="1:34" hidden="1">
      <c r="A394" s="246" t="s">
        <v>151</v>
      </c>
      <c r="B394" s="182"/>
      <c r="C394" s="234"/>
      <c r="D394" s="247">
        <v>-0.01</v>
      </c>
      <c r="E394" s="236"/>
      <c r="F394" s="164"/>
      <c r="G394" s="247">
        <v>-0.01</v>
      </c>
      <c r="H394" s="247"/>
      <c r="I394" s="164"/>
      <c r="J394" s="247">
        <v>-0.01</v>
      </c>
      <c r="K394" s="238"/>
      <c r="L394" s="164"/>
      <c r="N394" s="76"/>
      <c r="O394" s="76"/>
      <c r="P394" s="144"/>
      <c r="Q394" s="144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  <c r="AG394" s="76"/>
      <c r="AH394" s="76"/>
    </row>
    <row r="395" spans="1:34" hidden="1">
      <c r="A395" s="182" t="s">
        <v>141</v>
      </c>
      <c r="B395" s="182"/>
      <c r="C395" s="234">
        <v>0</v>
      </c>
      <c r="D395" s="249">
        <f>D384</f>
        <v>90.36</v>
      </c>
      <c r="E395" s="236"/>
      <c r="F395" s="164">
        <f>-ROUND(D395*$C395/100,0)</f>
        <v>0</v>
      </c>
      <c r="G395" s="249">
        <f>G384</f>
        <v>91.679999999999993</v>
      </c>
      <c r="H395" s="249"/>
      <c r="I395" s="164">
        <f>-ROUND(G395*$C395/100,0)</f>
        <v>0</v>
      </c>
      <c r="J395" s="249">
        <f>J384</f>
        <v>103.19999999999999</v>
      </c>
      <c r="K395" s="236"/>
      <c r="L395" s="164">
        <f>-ROUND(J395*$C395/100,0)</f>
        <v>0</v>
      </c>
      <c r="N395" s="76"/>
      <c r="O395" s="76"/>
      <c r="P395" s="144"/>
      <c r="Q395" s="144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  <c r="AG395" s="76"/>
      <c r="AH395" s="76"/>
    </row>
    <row r="396" spans="1:34" hidden="1">
      <c r="A396" s="182" t="s">
        <v>142</v>
      </c>
      <c r="B396" s="182"/>
      <c r="C396" s="234">
        <v>0</v>
      </c>
      <c r="D396" s="249">
        <f>D385</f>
        <v>134.16</v>
      </c>
      <c r="E396" s="236"/>
      <c r="F396" s="164">
        <f>-ROUND(D396*$C396/100,0)</f>
        <v>0</v>
      </c>
      <c r="G396" s="249">
        <f>G385</f>
        <v>136.32</v>
      </c>
      <c r="H396" s="249"/>
      <c r="I396" s="164">
        <f t="shared" ref="I396:I398" si="61">-ROUND(G396*$C396/100,0)</f>
        <v>0</v>
      </c>
      <c r="J396" s="249">
        <f>J385</f>
        <v>153.47999999999999</v>
      </c>
      <c r="K396" s="236"/>
      <c r="L396" s="164">
        <f>-ROUND(J396*$C396/100,0)</f>
        <v>0</v>
      </c>
      <c r="N396" s="76"/>
      <c r="O396" s="76"/>
      <c r="P396" s="144"/>
      <c r="Q396" s="144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6"/>
      <c r="AG396" s="76"/>
      <c r="AH396" s="76"/>
    </row>
    <row r="397" spans="1:34" hidden="1">
      <c r="A397" s="182" t="s">
        <v>152</v>
      </c>
      <c r="B397" s="182"/>
      <c r="C397" s="234">
        <v>0</v>
      </c>
      <c r="D397" s="249">
        <f>D386</f>
        <v>9.36</v>
      </c>
      <c r="E397" s="236"/>
      <c r="F397" s="164">
        <f>-ROUND(D397*$C397/100,0)</f>
        <v>0</v>
      </c>
      <c r="G397" s="249">
        <f>G386</f>
        <v>9.66</v>
      </c>
      <c r="H397" s="249"/>
      <c r="I397" s="164">
        <f t="shared" si="61"/>
        <v>0</v>
      </c>
      <c r="J397" s="249">
        <f>J386</f>
        <v>10.92</v>
      </c>
      <c r="K397" s="236"/>
      <c r="L397" s="164">
        <f>-ROUND(J397*$C397/100,0)</f>
        <v>0</v>
      </c>
      <c r="N397" s="76"/>
      <c r="O397" s="76"/>
      <c r="P397" s="144"/>
      <c r="Q397" s="144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  <c r="AG397" s="76"/>
      <c r="AH397" s="76"/>
    </row>
    <row r="398" spans="1:34" hidden="1">
      <c r="A398" s="182" t="s">
        <v>153</v>
      </c>
      <c r="B398" s="182"/>
      <c r="C398" s="234">
        <v>0</v>
      </c>
      <c r="D398" s="249">
        <f>D389</f>
        <v>2.88</v>
      </c>
      <c r="E398" s="238"/>
      <c r="F398" s="164">
        <f>-ROUND(D398*$C398/100,0)</f>
        <v>0</v>
      </c>
      <c r="G398" s="249">
        <f>G389</f>
        <v>2.98</v>
      </c>
      <c r="H398" s="249"/>
      <c r="I398" s="164">
        <f t="shared" si="61"/>
        <v>0</v>
      </c>
      <c r="J398" s="249">
        <f>J389</f>
        <v>3.35</v>
      </c>
      <c r="K398" s="238"/>
      <c r="L398" s="164">
        <f>-ROUND(J398*$C398/100,0)</f>
        <v>0</v>
      </c>
      <c r="N398" s="76"/>
      <c r="O398" s="76"/>
      <c r="P398" s="144"/>
      <c r="Q398" s="144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6"/>
      <c r="AG398" s="76"/>
      <c r="AH398" s="76"/>
    </row>
    <row r="399" spans="1:34" hidden="1">
      <c r="A399" s="182" t="s">
        <v>154</v>
      </c>
      <c r="B399" s="182"/>
      <c r="C399" s="234">
        <v>0</v>
      </c>
      <c r="D399" s="250">
        <f>D390</f>
        <v>8.0890000000000004</v>
      </c>
      <c r="E399" s="238" t="s">
        <v>126</v>
      </c>
      <c r="F399" s="164">
        <f>ROUND(D399*$C399/100*D394,0)</f>
        <v>0</v>
      </c>
      <c r="G399" s="250">
        <f>G390</f>
        <v>8.5489999999999995</v>
      </c>
      <c r="H399" s="250"/>
      <c r="I399" s="164">
        <f>ROUND(G399*$C399/100*G394,0)</f>
        <v>0</v>
      </c>
      <c r="J399" s="250">
        <f>J390</f>
        <v>9.6240000000000006</v>
      </c>
      <c r="K399" s="238" t="s">
        <v>126</v>
      </c>
      <c r="L399" s="164">
        <f>ROUND(J399*$C399/100*J394,0)</f>
        <v>0</v>
      </c>
      <c r="N399" s="76"/>
      <c r="O399" s="76"/>
      <c r="P399" s="144"/>
      <c r="Q399" s="144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  <c r="AC399" s="76"/>
      <c r="AD399" s="76"/>
      <c r="AE399" s="76"/>
      <c r="AF399" s="76"/>
      <c r="AG399" s="76"/>
      <c r="AH399" s="76"/>
    </row>
    <row r="400" spans="1:34" hidden="1">
      <c r="A400" s="182" t="s">
        <v>148</v>
      </c>
      <c r="B400" s="182"/>
      <c r="C400" s="234">
        <v>0</v>
      </c>
      <c r="D400" s="250">
        <f>D391</f>
        <v>5.5839999999999996</v>
      </c>
      <c r="E400" s="238" t="s">
        <v>126</v>
      </c>
      <c r="F400" s="164">
        <f>ROUND(D400*$C400/100*D394,0)</f>
        <v>0</v>
      </c>
      <c r="G400" s="250">
        <f>G391</f>
        <v>5.9020000000000001</v>
      </c>
      <c r="H400" s="250"/>
      <c r="I400" s="164">
        <f>ROUND(G400*$C400/100*G394,0)</f>
        <v>0</v>
      </c>
      <c r="J400" s="250">
        <f>J391</f>
        <v>6.6450000000000005</v>
      </c>
      <c r="K400" s="238" t="s">
        <v>126</v>
      </c>
      <c r="L400" s="164">
        <f>ROUND(J400*$C400/100*J394,0)</f>
        <v>0</v>
      </c>
      <c r="N400" s="76"/>
      <c r="O400" s="76"/>
      <c r="P400" s="144"/>
      <c r="Q400" s="144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  <c r="AC400" s="76"/>
      <c r="AD400" s="76"/>
      <c r="AE400" s="76"/>
      <c r="AF400" s="76"/>
      <c r="AG400" s="76"/>
      <c r="AH400" s="76"/>
    </row>
    <row r="401" spans="1:34" hidden="1">
      <c r="A401" s="182" t="s">
        <v>149</v>
      </c>
      <c r="B401" s="182"/>
      <c r="C401" s="234">
        <v>0</v>
      </c>
      <c r="D401" s="250">
        <f>D392</f>
        <v>4.8099999999999996</v>
      </c>
      <c r="E401" s="238" t="s">
        <v>126</v>
      </c>
      <c r="F401" s="164">
        <f>ROUND(D401*$C401/100*D394,0)</f>
        <v>0</v>
      </c>
      <c r="G401" s="250">
        <f>G392</f>
        <v>5.0839999999999996</v>
      </c>
      <c r="H401" s="250"/>
      <c r="I401" s="164">
        <f>ROUND(G401*$C401/100*G394,0)</f>
        <v>0</v>
      </c>
      <c r="J401" s="250">
        <f>J392</f>
        <v>5.7249999999999996</v>
      </c>
      <c r="K401" s="238" t="s">
        <v>126</v>
      </c>
      <c r="L401" s="164">
        <f>ROUND(J401*$C401/100*J394,0)</f>
        <v>0</v>
      </c>
      <c r="N401" s="76"/>
      <c r="O401" s="76"/>
      <c r="P401" s="144"/>
      <c r="Q401" s="144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  <c r="AC401" s="76"/>
      <c r="AD401" s="76"/>
      <c r="AE401" s="76"/>
      <c r="AF401" s="76"/>
      <c r="AG401" s="76"/>
      <c r="AH401" s="76"/>
    </row>
    <row r="402" spans="1:34" hidden="1">
      <c r="A402" s="182" t="s">
        <v>150</v>
      </c>
      <c r="B402" s="182"/>
      <c r="C402" s="234">
        <v>0</v>
      </c>
      <c r="D402" s="251">
        <f>D393</f>
        <v>45</v>
      </c>
      <c r="E402" s="238" t="s">
        <v>126</v>
      </c>
      <c r="F402" s="164">
        <f>ROUND(D402*$C402/100*D394,0)</f>
        <v>0</v>
      </c>
      <c r="G402" s="251">
        <f>G393</f>
        <v>50</v>
      </c>
      <c r="H402" s="251"/>
      <c r="I402" s="164">
        <f>ROUND(G402*$C402/100*G394,0)</f>
        <v>0</v>
      </c>
      <c r="J402" s="251">
        <f>J393</f>
        <v>56</v>
      </c>
      <c r="K402" s="238" t="s">
        <v>126</v>
      </c>
      <c r="L402" s="164">
        <f>ROUND(J402*$C402/100*J394,0)</f>
        <v>0</v>
      </c>
      <c r="N402" s="76"/>
      <c r="O402" s="76"/>
      <c r="P402" s="144"/>
      <c r="Q402" s="144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  <c r="AC402" s="76"/>
      <c r="AD402" s="76"/>
      <c r="AE402" s="76"/>
      <c r="AF402" s="76"/>
      <c r="AG402" s="76"/>
      <c r="AH402" s="76"/>
    </row>
    <row r="403" spans="1:34" hidden="1">
      <c r="A403" s="182" t="s">
        <v>155</v>
      </c>
      <c r="B403" s="182"/>
      <c r="C403" s="234">
        <v>0</v>
      </c>
      <c r="D403" s="252">
        <f>$D$172</f>
        <v>60</v>
      </c>
      <c r="E403" s="236"/>
      <c r="F403" s="164">
        <f>ROUND(D403*$C403,0)</f>
        <v>0</v>
      </c>
      <c r="G403" s="252">
        <f>$D$172</f>
        <v>60</v>
      </c>
      <c r="H403" s="252"/>
      <c r="I403" s="164">
        <f>ROUND(G403*C403,0)</f>
        <v>0</v>
      </c>
      <c r="J403" s="252">
        <f>$J$172</f>
        <v>60</v>
      </c>
      <c r="K403" s="238"/>
      <c r="L403" s="164">
        <f>ROUND(J403*$C403,0)</f>
        <v>0</v>
      </c>
      <c r="N403" s="76"/>
      <c r="O403" s="76"/>
      <c r="P403" s="144"/>
      <c r="Q403" s="144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  <c r="AC403" s="76"/>
      <c r="AD403" s="76"/>
      <c r="AE403" s="76"/>
      <c r="AF403" s="76"/>
      <c r="AG403" s="76"/>
      <c r="AH403" s="76"/>
    </row>
    <row r="404" spans="1:34" hidden="1">
      <c r="A404" s="182" t="s">
        <v>156</v>
      </c>
      <c r="B404" s="182"/>
      <c r="C404" s="234">
        <v>0</v>
      </c>
      <c r="D404" s="253">
        <f>$D$173</f>
        <v>-30</v>
      </c>
      <c r="E404" s="236" t="s">
        <v>126</v>
      </c>
      <c r="F404" s="164">
        <f>ROUND(D404*$C404/100,0)</f>
        <v>0</v>
      </c>
      <c r="G404" s="253">
        <f>$D$173</f>
        <v>-30</v>
      </c>
      <c r="H404" s="253"/>
      <c r="I404" s="164">
        <f>ROUND(G404*C404/100,0)</f>
        <v>0</v>
      </c>
      <c r="J404" s="253">
        <f>$J$173</f>
        <v>-30</v>
      </c>
      <c r="K404" s="238" t="s">
        <v>126</v>
      </c>
      <c r="L404" s="164">
        <f>ROUND(J404*$C404/100,0)</f>
        <v>0</v>
      </c>
      <c r="N404" s="76"/>
      <c r="O404" s="76"/>
      <c r="P404" s="144"/>
      <c r="Q404" s="144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  <c r="AC404" s="76"/>
      <c r="AD404" s="76"/>
      <c r="AE404" s="76"/>
      <c r="AF404" s="76"/>
      <c r="AG404" s="76"/>
      <c r="AH404" s="76"/>
    </row>
    <row r="405" spans="1:34" hidden="1">
      <c r="A405" s="182" t="s">
        <v>131</v>
      </c>
      <c r="B405" s="182"/>
      <c r="C405" s="234">
        <f>SUM(C390:C392)</f>
        <v>197526</v>
      </c>
      <c r="D405" s="244"/>
      <c r="E405" s="164"/>
      <c r="F405" s="164">
        <f>SUM(F384:F404)</f>
        <v>96094</v>
      </c>
      <c r="G405" s="244"/>
      <c r="H405" s="244"/>
      <c r="I405" s="164">
        <f>SUM(I384:I404)</f>
        <v>99454</v>
      </c>
      <c r="J405" s="244"/>
      <c r="K405" s="238"/>
      <c r="L405" s="164">
        <f>SUM(L384:L404)</f>
        <v>112082</v>
      </c>
      <c r="N405" s="76"/>
      <c r="O405" s="76"/>
      <c r="P405" s="144"/>
      <c r="Q405" s="144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  <c r="AC405" s="76"/>
      <c r="AD405" s="76"/>
      <c r="AE405" s="76"/>
      <c r="AF405" s="76"/>
      <c r="AG405" s="76"/>
      <c r="AH405" s="76"/>
    </row>
    <row r="406" spans="1:34" hidden="1">
      <c r="A406" s="182" t="s">
        <v>114</v>
      </c>
      <c r="B406" s="182"/>
      <c r="C406" s="270">
        <v>3435.9114760282123</v>
      </c>
      <c r="D406" s="217"/>
      <c r="E406" s="217"/>
      <c r="F406" s="256">
        <v>1792.3672372096412</v>
      </c>
      <c r="G406" s="217"/>
      <c r="H406" s="217"/>
      <c r="I406" s="256">
        <f>F406</f>
        <v>1792.3672372096412</v>
      </c>
      <c r="J406" s="217"/>
      <c r="K406" s="217"/>
      <c r="L406" s="256">
        <f>F406</f>
        <v>1792.3672372096412</v>
      </c>
      <c r="N406" s="196"/>
      <c r="O406" s="196"/>
      <c r="P406" s="194"/>
      <c r="Q406" s="144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  <c r="AH406" s="76"/>
    </row>
    <row r="407" spans="1:34" ht="16.5" hidden="1" thickBot="1">
      <c r="A407" s="182" t="s">
        <v>132</v>
      </c>
      <c r="B407" s="182"/>
      <c r="C407" s="219">
        <f>SUM(C405:C406)</f>
        <v>200961.91147602821</v>
      </c>
      <c r="D407" s="258"/>
      <c r="E407" s="259"/>
      <c r="F407" s="260">
        <f>F405+F406</f>
        <v>97886.367237209648</v>
      </c>
      <c r="G407" s="258"/>
      <c r="H407" s="258"/>
      <c r="I407" s="260">
        <f>I405+I406</f>
        <v>101246.36723720965</v>
      </c>
      <c r="J407" s="258"/>
      <c r="K407" s="262"/>
      <c r="L407" s="260">
        <f>L405+L406</f>
        <v>113874.36723720965</v>
      </c>
      <c r="N407" s="197"/>
      <c r="O407" s="197"/>
      <c r="P407" s="198"/>
      <c r="Q407" s="144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  <c r="AH407" s="76"/>
    </row>
    <row r="408" spans="1:34" hidden="1">
      <c r="A408" s="182"/>
      <c r="B408" s="182"/>
      <c r="C408" s="200"/>
      <c r="D408" s="252"/>
      <c r="E408" s="164"/>
      <c r="F408" s="164"/>
      <c r="G408" s="252"/>
      <c r="H408" s="252"/>
      <c r="I408" s="164"/>
      <c r="J408" s="275" t="s">
        <v>0</v>
      </c>
      <c r="K408" s="182"/>
      <c r="L408" s="164" t="s">
        <v>0</v>
      </c>
      <c r="N408" s="76"/>
      <c r="O408" s="76"/>
      <c r="P408" s="144"/>
      <c r="Q408" s="144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  <c r="AC408" s="76"/>
      <c r="AD408" s="76"/>
      <c r="AE408" s="76"/>
      <c r="AF408" s="76"/>
      <c r="AG408" s="76"/>
      <c r="AH408" s="76"/>
    </row>
    <row r="409" spans="1:34" hidden="1">
      <c r="A409" s="199" t="s">
        <v>165</v>
      </c>
      <c r="B409" s="182"/>
      <c r="C409" s="182"/>
      <c r="D409" s="164"/>
      <c r="E409" s="164"/>
      <c r="F409" s="182" t="s">
        <v>0</v>
      </c>
      <c r="G409" s="164"/>
      <c r="H409" s="164"/>
      <c r="I409" s="182"/>
      <c r="J409" s="164"/>
      <c r="K409" s="182"/>
      <c r="L409" s="182"/>
      <c r="N409" s="76"/>
      <c r="O409" s="76"/>
      <c r="P409" s="144"/>
      <c r="Q409" s="144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  <c r="AC409" s="76"/>
      <c r="AD409" s="76"/>
      <c r="AE409" s="76"/>
      <c r="AF409" s="76"/>
      <c r="AG409" s="76"/>
      <c r="AH409" s="76"/>
    </row>
    <row r="410" spans="1:34" hidden="1">
      <c r="A410" s="182" t="s">
        <v>162</v>
      </c>
      <c r="B410" s="182"/>
      <c r="C410" s="182"/>
      <c r="D410" s="164"/>
      <c r="E410" s="164"/>
      <c r="F410" s="182"/>
      <c r="G410" s="164"/>
      <c r="H410" s="164"/>
      <c r="I410" s="182"/>
      <c r="J410" s="164"/>
      <c r="K410" s="182"/>
      <c r="L410" s="182"/>
      <c r="N410" s="76"/>
      <c r="O410" s="76"/>
      <c r="P410" s="144"/>
      <c r="Q410" s="144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6"/>
      <c r="AG410" s="76"/>
      <c r="AH410" s="76"/>
    </row>
    <row r="411" spans="1:34" hidden="1">
      <c r="A411" s="182" t="s">
        <v>166</v>
      </c>
      <c r="B411" s="182"/>
      <c r="C411" s="182"/>
      <c r="D411" s="164"/>
      <c r="E411" s="164"/>
      <c r="F411" s="182"/>
      <c r="G411" s="164"/>
      <c r="H411" s="164"/>
      <c r="I411" s="182"/>
      <c r="J411" s="164"/>
      <c r="K411" s="182"/>
      <c r="L411" s="182"/>
      <c r="N411" s="76"/>
      <c r="O411" s="76"/>
      <c r="P411" s="144"/>
      <c r="Q411" s="144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  <c r="AG411" s="76"/>
      <c r="AH411" s="76"/>
    </row>
    <row r="412" spans="1:34" hidden="1">
      <c r="A412" s="182" t="s">
        <v>144</v>
      </c>
      <c r="B412" s="182"/>
      <c r="C412" s="234"/>
      <c r="D412" s="164"/>
      <c r="E412" s="164"/>
      <c r="F412" s="182"/>
      <c r="G412" s="164"/>
      <c r="H412" s="164"/>
      <c r="I412" s="182"/>
      <c r="J412" s="164"/>
      <c r="K412" s="182"/>
      <c r="L412" s="182"/>
      <c r="N412" s="76"/>
      <c r="O412" s="76"/>
      <c r="P412" s="144"/>
      <c r="Q412" s="144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  <c r="AG412" s="76"/>
      <c r="AH412" s="76"/>
    </row>
    <row r="413" spans="1:34" hidden="1">
      <c r="A413" s="182" t="s">
        <v>141</v>
      </c>
      <c r="B413" s="182"/>
      <c r="C413" s="234">
        <v>0</v>
      </c>
      <c r="D413" s="204">
        <f>$D$149</f>
        <v>90.36</v>
      </c>
      <c r="E413" s="236"/>
      <c r="F413" s="164">
        <f>ROUND(D413*$C413,0)</f>
        <v>0</v>
      </c>
      <c r="G413" s="204">
        <f>$G$149</f>
        <v>91.679999999999993</v>
      </c>
      <c r="H413" s="204"/>
      <c r="I413" s="164">
        <f>ROUND(G413*$C413,0)</f>
        <v>0</v>
      </c>
      <c r="J413" s="204">
        <f>$J$149</f>
        <v>103.19999999999999</v>
      </c>
      <c r="K413" s="238"/>
      <c r="L413" s="164">
        <f>ROUND(J413*$C413,0)</f>
        <v>0</v>
      </c>
      <c r="N413" s="76"/>
      <c r="O413" s="76"/>
      <c r="P413" s="144"/>
      <c r="Q413" s="144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  <c r="AG413" s="76"/>
      <c r="AH413" s="76"/>
    </row>
    <row r="414" spans="1:34" hidden="1">
      <c r="A414" s="182" t="s">
        <v>142</v>
      </c>
      <c r="B414" s="182"/>
      <c r="C414" s="234">
        <v>1</v>
      </c>
      <c r="D414" s="204">
        <f>$D$150</f>
        <v>134.16</v>
      </c>
      <c r="E414" s="239"/>
      <c r="F414" s="164">
        <f>ROUND(D414*$C414,0)</f>
        <v>134</v>
      </c>
      <c r="G414" s="204">
        <f>$G$150</f>
        <v>136.32</v>
      </c>
      <c r="H414" s="204"/>
      <c r="I414" s="164">
        <f t="shared" ref="I414:I415" si="62">ROUND(G414*$C414,0)</f>
        <v>136</v>
      </c>
      <c r="J414" s="204">
        <f>$J$150</f>
        <v>153.47999999999999</v>
      </c>
      <c r="K414" s="240"/>
      <c r="L414" s="164">
        <f>ROUND(J414*$C414,0)</f>
        <v>153</v>
      </c>
      <c r="N414" s="76"/>
      <c r="O414" s="76"/>
      <c r="P414" s="144"/>
      <c r="Q414" s="144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  <c r="AH414" s="76"/>
    </row>
    <row r="415" spans="1:34" hidden="1">
      <c r="A415" s="182" t="s">
        <v>143</v>
      </c>
      <c r="B415" s="182"/>
      <c r="C415" s="234">
        <v>75</v>
      </c>
      <c r="D415" s="204">
        <f>$D$151</f>
        <v>9.36</v>
      </c>
      <c r="E415" s="239"/>
      <c r="F415" s="164">
        <f>ROUND(D415*$C415,0)</f>
        <v>702</v>
      </c>
      <c r="G415" s="204">
        <f>$G$151</f>
        <v>9.66</v>
      </c>
      <c r="H415" s="204"/>
      <c r="I415" s="164">
        <f t="shared" si="62"/>
        <v>725</v>
      </c>
      <c r="J415" s="204">
        <f>$J$151</f>
        <v>10.92</v>
      </c>
      <c r="K415" s="240"/>
      <c r="L415" s="164">
        <f>ROUND(J415*$C415,0)</f>
        <v>819</v>
      </c>
      <c r="N415" s="76"/>
      <c r="O415" s="76"/>
      <c r="P415" s="144"/>
      <c r="Q415" s="144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  <c r="AH415" s="76"/>
    </row>
    <row r="416" spans="1:34" hidden="1">
      <c r="A416" s="182" t="s">
        <v>145</v>
      </c>
      <c r="B416" s="182"/>
      <c r="C416" s="234">
        <f>SUM(C413:C414)</f>
        <v>1</v>
      </c>
      <c r="D416" s="204"/>
      <c r="E416" s="236"/>
      <c r="F416" s="164"/>
      <c r="G416" s="204"/>
      <c r="H416" s="204"/>
      <c r="I416" s="164"/>
      <c r="J416" s="204"/>
      <c r="K416" s="238"/>
      <c r="L416" s="164"/>
      <c r="N416" s="76"/>
      <c r="O416" s="76"/>
      <c r="P416" s="144"/>
      <c r="Q416" s="144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  <c r="AH416" s="76"/>
    </row>
    <row r="417" spans="1:34" hidden="1">
      <c r="A417" s="182" t="s">
        <v>167</v>
      </c>
      <c r="B417" s="182"/>
      <c r="C417" s="234">
        <v>12</v>
      </c>
      <c r="D417" s="204"/>
      <c r="E417" s="236"/>
      <c r="F417" s="164"/>
      <c r="G417" s="204"/>
      <c r="H417" s="204"/>
      <c r="I417" s="164"/>
      <c r="J417" s="204"/>
      <c r="K417" s="238"/>
      <c r="L417" s="164"/>
      <c r="N417" s="76"/>
      <c r="O417" s="76"/>
      <c r="P417" s="144"/>
      <c r="Q417" s="144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</row>
    <row r="418" spans="1:34" hidden="1">
      <c r="A418" s="182" t="s">
        <v>146</v>
      </c>
      <c r="B418" s="182"/>
      <c r="C418" s="234">
        <v>234</v>
      </c>
      <c r="D418" s="252">
        <f>$D$158</f>
        <v>2.88</v>
      </c>
      <c r="E418" s="238"/>
      <c r="F418" s="164">
        <f>ROUND(D418*$C418,0)</f>
        <v>674</v>
      </c>
      <c r="G418" s="252">
        <f>$G$158</f>
        <v>2.98</v>
      </c>
      <c r="H418" s="252"/>
      <c r="I418" s="164">
        <f>ROUND(G418*C418,0)</f>
        <v>697</v>
      </c>
      <c r="J418" s="252">
        <f>$J$158</f>
        <v>3.35</v>
      </c>
      <c r="K418" s="238"/>
      <c r="L418" s="164">
        <f>ROUND(J418*$C418,0)</f>
        <v>784</v>
      </c>
      <c r="N418" s="76"/>
      <c r="O418" s="76"/>
      <c r="P418" s="144"/>
      <c r="Q418" s="144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</row>
    <row r="419" spans="1:34" hidden="1">
      <c r="A419" s="182" t="s">
        <v>147</v>
      </c>
      <c r="B419" s="182"/>
      <c r="C419" s="234">
        <v>4572</v>
      </c>
      <c r="D419" s="207">
        <f>$D$159</f>
        <v>8.0890000000000004</v>
      </c>
      <c r="E419" s="238" t="s">
        <v>126</v>
      </c>
      <c r="F419" s="164">
        <f>ROUND(D419*$C419/100,0)</f>
        <v>370</v>
      </c>
      <c r="G419" s="207">
        <f>$G$159</f>
        <v>8.5489999999999995</v>
      </c>
      <c r="H419" s="207"/>
      <c r="I419" s="164">
        <f>ROUND(G419*C419/100,0)</f>
        <v>391</v>
      </c>
      <c r="J419" s="207">
        <f>$J$159</f>
        <v>9.6240000000000006</v>
      </c>
      <c r="K419" s="238" t="s">
        <v>126</v>
      </c>
      <c r="L419" s="164">
        <f>ROUND(J419*$C419/100,0)</f>
        <v>440</v>
      </c>
      <c r="N419" s="76"/>
      <c r="O419" s="76"/>
      <c r="P419" s="144"/>
      <c r="Q419" s="144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</row>
    <row r="420" spans="1:34" hidden="1">
      <c r="A420" s="182" t="s">
        <v>148</v>
      </c>
      <c r="B420" s="182"/>
      <c r="C420" s="234">
        <v>193</v>
      </c>
      <c r="D420" s="207">
        <f>$D$189</f>
        <v>5.5839999999999996</v>
      </c>
      <c r="E420" s="238" t="s">
        <v>126</v>
      </c>
      <c r="F420" s="164">
        <f>ROUND(D420*$C420/100,0)</f>
        <v>11</v>
      </c>
      <c r="G420" s="207">
        <f>$G$189</f>
        <v>5.9020000000000001</v>
      </c>
      <c r="H420" s="207"/>
      <c r="I420" s="164">
        <f t="shared" ref="I420:I422" si="63">ROUND(G420*C420/100,0)</f>
        <v>11</v>
      </c>
      <c r="J420" s="207">
        <f>$J$160</f>
        <v>6.6450000000000005</v>
      </c>
      <c r="K420" s="238" t="s">
        <v>126</v>
      </c>
      <c r="L420" s="164">
        <f>ROUND(J420*$C420/100,0)</f>
        <v>13</v>
      </c>
      <c r="N420" s="76"/>
      <c r="O420" s="76"/>
      <c r="P420" s="144"/>
      <c r="Q420" s="144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</row>
    <row r="421" spans="1:34" hidden="1">
      <c r="A421" s="182" t="s">
        <v>149</v>
      </c>
      <c r="B421" s="182"/>
      <c r="C421" s="234">
        <v>0</v>
      </c>
      <c r="D421" s="207">
        <f>$D$161</f>
        <v>4.8099999999999996</v>
      </c>
      <c r="E421" s="238" t="s">
        <v>126</v>
      </c>
      <c r="F421" s="164">
        <f>ROUND(D421*$C421/100,0)</f>
        <v>0</v>
      </c>
      <c r="G421" s="207">
        <f>$G$161</f>
        <v>5.0839999999999996</v>
      </c>
      <c r="H421" s="207"/>
      <c r="I421" s="164">
        <f t="shared" si="63"/>
        <v>0</v>
      </c>
      <c r="J421" s="207">
        <f>$J$161</f>
        <v>5.7249999999999996</v>
      </c>
      <c r="K421" s="238" t="s">
        <v>126</v>
      </c>
      <c r="L421" s="164">
        <f>ROUND(J421*$C421/100,0)</f>
        <v>0</v>
      </c>
      <c r="N421" s="76"/>
      <c r="O421" s="76"/>
      <c r="P421" s="144"/>
      <c r="Q421" s="144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</row>
    <row r="422" spans="1:34" hidden="1">
      <c r="A422" s="182" t="s">
        <v>150</v>
      </c>
      <c r="B422" s="182"/>
      <c r="C422" s="234">
        <v>0</v>
      </c>
      <c r="D422" s="244">
        <f>$D$162</f>
        <v>45</v>
      </c>
      <c r="E422" s="236" t="s">
        <v>126</v>
      </c>
      <c r="F422" s="164">
        <f>ROUND(D422*$C422/100,0)</f>
        <v>0</v>
      </c>
      <c r="G422" s="244">
        <f>$G$162</f>
        <v>50</v>
      </c>
      <c r="H422" s="244"/>
      <c r="I422" s="164">
        <f t="shared" si="63"/>
        <v>0</v>
      </c>
      <c r="J422" s="244">
        <f>$J$162</f>
        <v>56</v>
      </c>
      <c r="K422" s="238" t="s">
        <v>126</v>
      </c>
      <c r="L422" s="164">
        <f>ROUND(J422*$C422/100,0)</f>
        <v>0</v>
      </c>
      <c r="N422" s="76"/>
      <c r="O422" s="76"/>
      <c r="P422" s="144"/>
      <c r="Q422" s="144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</row>
    <row r="423" spans="1:34" hidden="1">
      <c r="A423" s="246" t="s">
        <v>151</v>
      </c>
      <c r="B423" s="182"/>
      <c r="C423" s="234"/>
      <c r="D423" s="247">
        <v>-0.01</v>
      </c>
      <c r="E423" s="236"/>
      <c r="F423" s="164"/>
      <c r="G423" s="247">
        <v>-0.01</v>
      </c>
      <c r="H423" s="247"/>
      <c r="I423" s="164"/>
      <c r="J423" s="247">
        <v>-0.01</v>
      </c>
      <c r="K423" s="238"/>
      <c r="L423" s="164"/>
      <c r="N423" s="76"/>
      <c r="O423" s="76"/>
      <c r="P423" s="144"/>
      <c r="Q423" s="144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</row>
    <row r="424" spans="1:34" hidden="1">
      <c r="A424" s="182" t="s">
        <v>141</v>
      </c>
      <c r="B424" s="182"/>
      <c r="C424" s="234">
        <v>0</v>
      </c>
      <c r="D424" s="249">
        <f>D413</f>
        <v>90.36</v>
      </c>
      <c r="E424" s="236"/>
      <c r="F424" s="164">
        <f>-ROUND(D424*$C424/100,0)</f>
        <v>0</v>
      </c>
      <c r="G424" s="249">
        <f>G413</f>
        <v>91.679999999999993</v>
      </c>
      <c r="H424" s="249"/>
      <c r="I424" s="164">
        <f>-ROUND(G424*$C424/100,0)</f>
        <v>0</v>
      </c>
      <c r="J424" s="249">
        <f>J413</f>
        <v>103.19999999999999</v>
      </c>
      <c r="K424" s="236"/>
      <c r="L424" s="164">
        <f>-ROUND(J424*$C424/100,0)</f>
        <v>0</v>
      </c>
      <c r="N424" s="76"/>
      <c r="O424" s="76"/>
      <c r="P424" s="144"/>
      <c r="Q424" s="144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</row>
    <row r="425" spans="1:34" hidden="1">
      <c r="A425" s="182" t="s">
        <v>142</v>
      </c>
      <c r="B425" s="182"/>
      <c r="C425" s="234">
        <v>0</v>
      </c>
      <c r="D425" s="249">
        <f>D414</f>
        <v>134.16</v>
      </c>
      <c r="E425" s="236"/>
      <c r="F425" s="164">
        <f>-ROUND(D425*$C425/100,0)</f>
        <v>0</v>
      </c>
      <c r="G425" s="249">
        <f>G414</f>
        <v>136.32</v>
      </c>
      <c r="H425" s="249"/>
      <c r="I425" s="164">
        <f t="shared" ref="I425:I427" si="64">-ROUND(G425*$C425/100,0)</f>
        <v>0</v>
      </c>
      <c r="J425" s="249">
        <f>J414</f>
        <v>153.47999999999999</v>
      </c>
      <c r="K425" s="236"/>
      <c r="L425" s="164">
        <f>-ROUND(J425*$C425/100,0)</f>
        <v>0</v>
      </c>
      <c r="N425" s="76"/>
      <c r="O425" s="76"/>
      <c r="P425" s="144"/>
      <c r="Q425" s="144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</row>
    <row r="426" spans="1:34" hidden="1">
      <c r="A426" s="182" t="s">
        <v>152</v>
      </c>
      <c r="B426" s="182"/>
      <c r="C426" s="234">
        <v>0</v>
      </c>
      <c r="D426" s="249">
        <f>D415</f>
        <v>9.36</v>
      </c>
      <c r="E426" s="236"/>
      <c r="F426" s="164">
        <f>-ROUND(D426*$C426/100,0)</f>
        <v>0</v>
      </c>
      <c r="G426" s="249">
        <f>G415</f>
        <v>9.66</v>
      </c>
      <c r="H426" s="249"/>
      <c r="I426" s="164">
        <f t="shared" si="64"/>
        <v>0</v>
      </c>
      <c r="J426" s="249">
        <f>J415</f>
        <v>10.92</v>
      </c>
      <c r="K426" s="236"/>
      <c r="L426" s="164">
        <f>-ROUND(J426*$C426/100,0)</f>
        <v>0</v>
      </c>
      <c r="N426" s="76"/>
      <c r="O426" s="76"/>
      <c r="P426" s="144"/>
      <c r="Q426" s="144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</row>
    <row r="427" spans="1:34" hidden="1">
      <c r="A427" s="182" t="s">
        <v>153</v>
      </c>
      <c r="B427" s="182"/>
      <c r="C427" s="234">
        <v>0</v>
      </c>
      <c r="D427" s="249">
        <f>D418</f>
        <v>2.88</v>
      </c>
      <c r="E427" s="238"/>
      <c r="F427" s="164">
        <f>-ROUND(D427*$C427/100,0)</f>
        <v>0</v>
      </c>
      <c r="G427" s="249">
        <f>G418</f>
        <v>2.98</v>
      </c>
      <c r="H427" s="249"/>
      <c r="I427" s="164">
        <f t="shared" si="64"/>
        <v>0</v>
      </c>
      <c r="J427" s="249">
        <f>J418</f>
        <v>3.35</v>
      </c>
      <c r="K427" s="238"/>
      <c r="L427" s="164">
        <f>-ROUND(J427*$C427/100,0)</f>
        <v>0</v>
      </c>
      <c r="N427" s="76"/>
      <c r="O427" s="76"/>
      <c r="P427" s="144"/>
      <c r="Q427" s="144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</row>
    <row r="428" spans="1:34" hidden="1">
      <c r="A428" s="182" t="s">
        <v>154</v>
      </c>
      <c r="B428" s="182"/>
      <c r="C428" s="234">
        <v>0</v>
      </c>
      <c r="D428" s="250">
        <f>D419</f>
        <v>8.0890000000000004</v>
      </c>
      <c r="E428" s="238" t="s">
        <v>126</v>
      </c>
      <c r="F428" s="164">
        <f>ROUND(D428*$C428/100*D423,0)</f>
        <v>0</v>
      </c>
      <c r="G428" s="250">
        <f>G419</f>
        <v>8.5489999999999995</v>
      </c>
      <c r="H428" s="250"/>
      <c r="I428" s="164">
        <f>ROUND(G428*$C428/100*G423,0)</f>
        <v>0</v>
      </c>
      <c r="J428" s="250">
        <f>J419</f>
        <v>9.6240000000000006</v>
      </c>
      <c r="K428" s="238" t="s">
        <v>126</v>
      </c>
      <c r="L428" s="164">
        <f>ROUND(J428*$C428/100*J423,0)</f>
        <v>0</v>
      </c>
      <c r="N428" s="76"/>
      <c r="O428" s="76"/>
      <c r="P428" s="144"/>
      <c r="Q428" s="144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</row>
    <row r="429" spans="1:34" hidden="1">
      <c r="A429" s="182" t="s">
        <v>148</v>
      </c>
      <c r="B429" s="182"/>
      <c r="C429" s="234">
        <v>0</v>
      </c>
      <c r="D429" s="250">
        <f>D420</f>
        <v>5.5839999999999996</v>
      </c>
      <c r="E429" s="238" t="s">
        <v>126</v>
      </c>
      <c r="F429" s="164">
        <f>ROUND(D429*$C429/100*D423,0)</f>
        <v>0</v>
      </c>
      <c r="G429" s="250">
        <f>G420</f>
        <v>5.9020000000000001</v>
      </c>
      <c r="H429" s="250"/>
      <c r="I429" s="164">
        <f>ROUND(G429*$C429/100*G423,0)</f>
        <v>0</v>
      </c>
      <c r="J429" s="250">
        <f>J420</f>
        <v>6.6450000000000005</v>
      </c>
      <c r="K429" s="238" t="s">
        <v>126</v>
      </c>
      <c r="L429" s="164">
        <f>ROUND(J429*$C429/100*J423,0)</f>
        <v>0</v>
      </c>
      <c r="N429" s="76"/>
      <c r="O429" s="76"/>
      <c r="P429" s="144"/>
      <c r="Q429" s="144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</row>
    <row r="430" spans="1:34" hidden="1">
      <c r="A430" s="182" t="s">
        <v>149</v>
      </c>
      <c r="B430" s="182"/>
      <c r="C430" s="234">
        <v>0</v>
      </c>
      <c r="D430" s="250">
        <f>D421</f>
        <v>4.8099999999999996</v>
      </c>
      <c r="E430" s="238" t="s">
        <v>126</v>
      </c>
      <c r="F430" s="164">
        <f>ROUND(D430*$C430/100*D423,0)</f>
        <v>0</v>
      </c>
      <c r="G430" s="250">
        <f>G421</f>
        <v>5.0839999999999996</v>
      </c>
      <c r="H430" s="250"/>
      <c r="I430" s="164">
        <f>ROUND(G430*$C430/100*G423,0)</f>
        <v>0</v>
      </c>
      <c r="J430" s="250">
        <f>J421</f>
        <v>5.7249999999999996</v>
      </c>
      <c r="K430" s="238" t="s">
        <v>126</v>
      </c>
      <c r="L430" s="164">
        <f>ROUND(J430*$C430/100*J423,0)</f>
        <v>0</v>
      </c>
      <c r="N430" s="76"/>
      <c r="O430" s="76"/>
      <c r="P430" s="144"/>
      <c r="Q430" s="144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</row>
    <row r="431" spans="1:34" hidden="1">
      <c r="A431" s="182" t="s">
        <v>150</v>
      </c>
      <c r="B431" s="182"/>
      <c r="C431" s="234">
        <v>0</v>
      </c>
      <c r="D431" s="251">
        <f>D422</f>
        <v>45</v>
      </c>
      <c r="E431" s="238" t="s">
        <v>126</v>
      </c>
      <c r="F431" s="164">
        <f>ROUND(D431*$C431/100*D423,0)</f>
        <v>0</v>
      </c>
      <c r="G431" s="251">
        <f>G422</f>
        <v>50</v>
      </c>
      <c r="H431" s="251"/>
      <c r="I431" s="164">
        <f>ROUND(G431*$C431/100*G423,0)</f>
        <v>0</v>
      </c>
      <c r="J431" s="251">
        <f>J422</f>
        <v>56</v>
      </c>
      <c r="K431" s="238" t="s">
        <v>126</v>
      </c>
      <c r="L431" s="164">
        <f>ROUND(J431*$C431/100*J423,0)</f>
        <v>0</v>
      </c>
      <c r="N431" s="76"/>
      <c r="O431" s="76"/>
      <c r="P431" s="144"/>
      <c r="Q431" s="144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</row>
    <row r="432" spans="1:34" hidden="1">
      <c r="A432" s="182" t="s">
        <v>155</v>
      </c>
      <c r="B432" s="182"/>
      <c r="C432" s="234">
        <v>0</v>
      </c>
      <c r="D432" s="252">
        <f>$D$172</f>
        <v>60</v>
      </c>
      <c r="E432" s="236"/>
      <c r="F432" s="164">
        <f>ROUND(D432*$C432,0)</f>
        <v>0</v>
      </c>
      <c r="G432" s="252">
        <f>$D$172</f>
        <v>60</v>
      </c>
      <c r="H432" s="252"/>
      <c r="I432" s="164">
        <f>ROUND(G432*C432,0)</f>
        <v>0</v>
      </c>
      <c r="J432" s="252">
        <f>$J$172</f>
        <v>60</v>
      </c>
      <c r="K432" s="238"/>
      <c r="L432" s="164">
        <f>ROUND(J432*$C432,0)</f>
        <v>0</v>
      </c>
      <c r="N432" s="76"/>
      <c r="O432" s="76"/>
      <c r="P432" s="144"/>
      <c r="Q432" s="144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</row>
    <row r="433" spans="1:34" hidden="1">
      <c r="A433" s="182" t="s">
        <v>156</v>
      </c>
      <c r="B433" s="182"/>
      <c r="C433" s="234">
        <v>0</v>
      </c>
      <c r="D433" s="253">
        <f>$D$173</f>
        <v>-30</v>
      </c>
      <c r="E433" s="236" t="s">
        <v>126</v>
      </c>
      <c r="F433" s="164">
        <f>ROUND(D433*$C433/100,0)</f>
        <v>0</v>
      </c>
      <c r="G433" s="253">
        <f>$D$173</f>
        <v>-30</v>
      </c>
      <c r="H433" s="253"/>
      <c r="I433" s="164">
        <f>ROUND(G433*C433/100,0)</f>
        <v>0</v>
      </c>
      <c r="J433" s="253">
        <f>$J$173</f>
        <v>-30</v>
      </c>
      <c r="K433" s="238" t="s">
        <v>126</v>
      </c>
      <c r="L433" s="164">
        <f>ROUND(J433*$C433/100,0)</f>
        <v>0</v>
      </c>
      <c r="N433" s="76"/>
      <c r="O433" s="76"/>
      <c r="P433" s="144"/>
      <c r="Q433" s="144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</row>
    <row r="434" spans="1:34" hidden="1">
      <c r="A434" s="182" t="s">
        <v>131</v>
      </c>
      <c r="B434" s="182"/>
      <c r="C434" s="234">
        <f>SUM(C419:C421)</f>
        <v>4765</v>
      </c>
      <c r="D434" s="244"/>
      <c r="E434" s="164"/>
      <c r="F434" s="164">
        <f>SUM(F413:F433)</f>
        <v>1891</v>
      </c>
      <c r="G434" s="244"/>
      <c r="H434" s="244"/>
      <c r="I434" s="164">
        <f>SUM(I413:I433)</f>
        <v>1960</v>
      </c>
      <c r="J434" s="244"/>
      <c r="K434" s="238"/>
      <c r="L434" s="164">
        <f>SUM(L413:L433)</f>
        <v>2209</v>
      </c>
      <c r="N434" s="76"/>
      <c r="O434" s="76"/>
      <c r="P434" s="144"/>
      <c r="Q434" s="144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</row>
    <row r="435" spans="1:34" hidden="1">
      <c r="A435" s="182" t="s">
        <v>114</v>
      </c>
      <c r="B435" s="182"/>
      <c r="C435" s="270">
        <v>96.768715497439189</v>
      </c>
      <c r="D435" s="217"/>
      <c r="E435" s="217"/>
      <c r="F435" s="256">
        <v>56.707247756962431</v>
      </c>
      <c r="G435" s="217"/>
      <c r="H435" s="217"/>
      <c r="I435" s="256">
        <f>F435</f>
        <v>56.707247756962431</v>
      </c>
      <c r="J435" s="217"/>
      <c r="K435" s="217"/>
      <c r="L435" s="256">
        <f>F435</f>
        <v>56.707247756962431</v>
      </c>
      <c r="N435" s="196"/>
      <c r="O435" s="196"/>
      <c r="P435" s="194"/>
      <c r="Q435" s="144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</row>
    <row r="436" spans="1:34" ht="16.5" hidden="1" thickBot="1">
      <c r="A436" s="182" t="s">
        <v>132</v>
      </c>
      <c r="B436" s="182"/>
      <c r="C436" s="219">
        <f>SUM(C434:C435)</f>
        <v>4861.7687154974392</v>
      </c>
      <c r="D436" s="258"/>
      <c r="E436" s="259"/>
      <c r="F436" s="260">
        <f>F434+F435</f>
        <v>1947.7072477569625</v>
      </c>
      <c r="G436" s="258"/>
      <c r="H436" s="258"/>
      <c r="I436" s="260">
        <f>I434+I435</f>
        <v>2016.7072477569625</v>
      </c>
      <c r="J436" s="258"/>
      <c r="K436" s="262"/>
      <c r="L436" s="260">
        <f>L434+L435</f>
        <v>2265.7072477569623</v>
      </c>
      <c r="N436" s="197"/>
      <c r="O436" s="197"/>
      <c r="P436" s="198"/>
      <c r="Q436" s="144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</row>
    <row r="437" spans="1:34" hidden="1">
      <c r="A437" s="182"/>
      <c r="B437" s="182"/>
      <c r="C437" s="200"/>
      <c r="D437" s="252"/>
      <c r="E437" s="164"/>
      <c r="F437" s="164"/>
      <c r="G437" s="252"/>
      <c r="H437" s="252"/>
      <c r="I437" s="164"/>
      <c r="J437" s="275" t="s">
        <v>0</v>
      </c>
      <c r="K437" s="182"/>
      <c r="L437" s="164" t="s">
        <v>0</v>
      </c>
      <c r="N437" s="76"/>
      <c r="O437" s="76"/>
      <c r="P437" s="144"/>
      <c r="Q437" s="144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</row>
    <row r="438" spans="1:34" hidden="1">
      <c r="A438" s="182"/>
      <c r="B438" s="182"/>
      <c r="C438" s="200"/>
      <c r="D438" s="252"/>
      <c r="E438" s="164"/>
      <c r="F438" s="164"/>
      <c r="G438" s="252"/>
      <c r="H438" s="252"/>
      <c r="I438" s="164"/>
      <c r="J438" s="275" t="s">
        <v>0</v>
      </c>
      <c r="K438" s="182"/>
      <c r="L438" s="164" t="s">
        <v>0</v>
      </c>
      <c r="N438" s="76"/>
      <c r="O438" s="76"/>
      <c r="P438" s="144"/>
      <c r="Q438" s="144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</row>
    <row r="439" spans="1:34">
      <c r="A439" s="199" t="s">
        <v>168</v>
      </c>
      <c r="B439" s="182"/>
      <c r="C439" s="276"/>
      <c r="D439" s="164"/>
      <c r="E439" s="164"/>
      <c r="F439" s="182"/>
      <c r="G439" s="164"/>
      <c r="H439" s="164"/>
      <c r="I439" s="182"/>
      <c r="J439" s="164"/>
      <c r="K439" s="182"/>
      <c r="L439" s="164" t="s">
        <v>0</v>
      </c>
      <c r="N439" s="76"/>
      <c r="O439" s="76"/>
      <c r="P439" s="144"/>
      <c r="Q439" s="144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</row>
    <row r="440" spans="1:34">
      <c r="A440" s="238" t="s">
        <v>69</v>
      </c>
      <c r="B440" s="182"/>
      <c r="C440" s="182" t="s">
        <v>0</v>
      </c>
      <c r="D440" s="164"/>
      <c r="E440" s="164"/>
      <c r="F440" s="182"/>
      <c r="G440" s="164"/>
      <c r="H440" s="164"/>
      <c r="I440" s="182"/>
      <c r="J440" s="164"/>
      <c r="K440" s="182"/>
      <c r="L440" s="182"/>
      <c r="N440" s="76"/>
      <c r="O440" s="76"/>
      <c r="P440" s="144"/>
      <c r="Q440" s="144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</row>
    <row r="441" spans="1:34">
      <c r="A441" s="238"/>
      <c r="B441" s="182"/>
      <c r="C441" s="182"/>
      <c r="D441" s="164"/>
      <c r="E441" s="164"/>
      <c r="F441" s="182"/>
      <c r="G441" s="164"/>
      <c r="H441" s="164"/>
      <c r="I441" s="182"/>
      <c r="J441" s="164"/>
      <c r="K441" s="182"/>
      <c r="L441" s="182"/>
      <c r="N441" s="76"/>
      <c r="O441" s="76"/>
      <c r="P441" s="144"/>
      <c r="Q441" s="144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</row>
    <row r="442" spans="1:34">
      <c r="A442" s="238" t="s">
        <v>144</v>
      </c>
      <c r="B442" s="182"/>
      <c r="C442" s="234"/>
      <c r="D442" s="164"/>
      <c r="E442" s="164"/>
      <c r="F442" s="182"/>
      <c r="G442" s="164"/>
      <c r="H442" s="164"/>
      <c r="I442" s="182"/>
      <c r="J442" s="164"/>
      <c r="K442" s="182"/>
      <c r="L442" s="182"/>
      <c r="N442" s="76"/>
      <c r="O442" s="76"/>
      <c r="P442" s="144"/>
      <c r="Q442" s="144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</row>
    <row r="443" spans="1:34">
      <c r="A443" s="238" t="s">
        <v>169</v>
      </c>
      <c r="B443" s="182"/>
      <c r="C443" s="234">
        <v>0</v>
      </c>
      <c r="D443" s="212">
        <f>D480</f>
        <v>225</v>
      </c>
      <c r="E443" s="238"/>
      <c r="F443" s="236">
        <f t="shared" ref="F443:F445" si="65">ROUND(D443*$C443,0)</f>
        <v>0</v>
      </c>
      <c r="G443" s="212">
        <f>G480</f>
        <v>227</v>
      </c>
      <c r="H443" s="212"/>
      <c r="I443" s="236">
        <f>ROUND(E443*$C443,0)</f>
        <v>0</v>
      </c>
      <c r="J443" s="212">
        <f>J480</f>
        <v>254</v>
      </c>
      <c r="K443" s="238"/>
      <c r="L443" s="236">
        <f>ROUND(J443*$C443,0)</f>
        <v>0</v>
      </c>
      <c r="N443" s="76"/>
      <c r="O443" s="76"/>
      <c r="P443" s="144"/>
      <c r="Q443" s="144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</row>
    <row r="444" spans="1:34">
      <c r="A444" s="238" t="s">
        <v>170</v>
      </c>
      <c r="B444" s="182"/>
      <c r="C444" s="234">
        <v>0</v>
      </c>
      <c r="D444" s="212">
        <f>D481</f>
        <v>83</v>
      </c>
      <c r="E444" s="238"/>
      <c r="F444" s="236">
        <f t="shared" si="65"/>
        <v>0</v>
      </c>
      <c r="G444" s="212">
        <f>G481</f>
        <v>84</v>
      </c>
      <c r="H444" s="212"/>
      <c r="I444" s="236">
        <f>ROUND(E444*$C444,0)</f>
        <v>0</v>
      </c>
      <c r="J444" s="212">
        <f t="shared" ref="J444:J450" si="66">J481</f>
        <v>95</v>
      </c>
      <c r="K444" s="238"/>
      <c r="L444" s="236">
        <f>ROUND(J444*$C444,0)</f>
        <v>0</v>
      </c>
      <c r="N444" s="76"/>
      <c r="O444" s="76"/>
      <c r="P444" s="144"/>
      <c r="Q444" s="144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</row>
    <row r="445" spans="1:34">
      <c r="A445" s="238" t="s">
        <v>171</v>
      </c>
      <c r="B445" s="182"/>
      <c r="C445" s="234">
        <v>0</v>
      </c>
      <c r="D445" s="212">
        <f>D482</f>
        <v>166</v>
      </c>
      <c r="E445" s="240"/>
      <c r="F445" s="236">
        <f t="shared" si="65"/>
        <v>0</v>
      </c>
      <c r="G445" s="212">
        <f>G482</f>
        <v>168</v>
      </c>
      <c r="H445" s="212"/>
      <c r="I445" s="236">
        <f>ROUND(E445*$C445,0)</f>
        <v>0</v>
      </c>
      <c r="J445" s="212">
        <f t="shared" si="66"/>
        <v>189</v>
      </c>
      <c r="K445" s="240"/>
      <c r="L445" s="236">
        <f>ROUND(J445*$C445,0)</f>
        <v>0</v>
      </c>
      <c r="N445" s="76"/>
      <c r="O445" s="76"/>
      <c r="P445" s="144"/>
      <c r="Q445" s="144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</row>
    <row r="446" spans="1:34">
      <c r="A446" s="238" t="s">
        <v>145</v>
      </c>
      <c r="B446" s="182"/>
      <c r="C446" s="234">
        <f>SUM(C443:C445)</f>
        <v>0</v>
      </c>
      <c r="D446" s="212"/>
      <c r="E446" s="238"/>
      <c r="F446" s="236"/>
      <c r="G446" s="212"/>
      <c r="H446" s="212"/>
      <c r="I446" s="236"/>
      <c r="J446" s="212"/>
      <c r="K446" s="238"/>
      <c r="L446" s="236"/>
      <c r="N446" s="76"/>
      <c r="O446" s="76"/>
      <c r="P446" s="144"/>
      <c r="Q446" s="144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</row>
    <row r="447" spans="1:34">
      <c r="A447" s="238" t="s">
        <v>170</v>
      </c>
      <c r="B447" s="182"/>
      <c r="C447" s="234">
        <v>0</v>
      </c>
      <c r="D447" s="212">
        <f>D484</f>
        <v>1.47</v>
      </c>
      <c r="E447" s="238" t="s">
        <v>0</v>
      </c>
      <c r="F447" s="236">
        <f>ROUND(D447*$C447,0)</f>
        <v>0</v>
      </c>
      <c r="G447" s="212">
        <f>G484</f>
        <v>1.48</v>
      </c>
      <c r="H447" s="212"/>
      <c r="I447" s="236">
        <f>ROUND(E447*$C447,0)</f>
        <v>0</v>
      </c>
      <c r="J447" s="212">
        <f t="shared" si="66"/>
        <v>1.67</v>
      </c>
      <c r="K447" s="238" t="s">
        <v>0</v>
      </c>
      <c r="L447" s="236">
        <f>ROUND(J447*$C447,0)</f>
        <v>0</v>
      </c>
      <c r="N447" s="76"/>
      <c r="O447" s="76"/>
      <c r="P447" s="144"/>
      <c r="Q447" s="144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</row>
    <row r="448" spans="1:34">
      <c r="A448" s="238" t="s">
        <v>171</v>
      </c>
      <c r="B448" s="182"/>
      <c r="C448" s="234">
        <v>0</v>
      </c>
      <c r="D448" s="212">
        <f>D485</f>
        <v>1.2</v>
      </c>
      <c r="E448" s="238" t="s">
        <v>0</v>
      </c>
      <c r="F448" s="236">
        <f>ROUND(D448*$C448,0)</f>
        <v>0</v>
      </c>
      <c r="G448" s="212">
        <f>G485</f>
        <v>1.22</v>
      </c>
      <c r="H448" s="212"/>
      <c r="I448" s="236">
        <f>ROUND(E448*$C448,0)</f>
        <v>0</v>
      </c>
      <c r="J448" s="212">
        <f t="shared" si="66"/>
        <v>1.37</v>
      </c>
      <c r="K448" s="238" t="s">
        <v>0</v>
      </c>
      <c r="L448" s="236">
        <f>ROUND(J448*$C448,0)</f>
        <v>0</v>
      </c>
      <c r="N448" s="76"/>
      <c r="O448" s="76"/>
      <c r="P448" s="144"/>
      <c r="Q448" s="144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</row>
    <row r="449" spans="1:34">
      <c r="A449" s="217" t="s">
        <v>172</v>
      </c>
      <c r="B449" s="182"/>
      <c r="C449" s="234"/>
      <c r="D449" s="212"/>
      <c r="E449" s="238"/>
      <c r="F449" s="236"/>
      <c r="G449" s="212"/>
      <c r="H449" s="212"/>
      <c r="I449" s="236"/>
      <c r="J449" s="212"/>
      <c r="K449" s="238"/>
      <c r="L449" s="236"/>
      <c r="N449" s="76"/>
      <c r="O449" s="76"/>
      <c r="P449" s="144"/>
      <c r="Q449" s="144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</row>
    <row r="450" spans="1:34">
      <c r="A450" s="217" t="s">
        <v>173</v>
      </c>
      <c r="B450" s="182"/>
      <c r="C450" s="234">
        <v>0</v>
      </c>
      <c r="D450" s="212">
        <f>D487</f>
        <v>3.75</v>
      </c>
      <c r="E450" s="238"/>
      <c r="F450" s="236">
        <f>ROUND(D450*$C450,0)</f>
        <v>0</v>
      </c>
      <c r="G450" s="212">
        <f>G487</f>
        <v>3.88</v>
      </c>
      <c r="H450" s="212"/>
      <c r="I450" s="236">
        <f>ROUND(E450*$C450,0)</f>
        <v>0</v>
      </c>
      <c r="J450" s="212">
        <f t="shared" si="66"/>
        <v>4.37</v>
      </c>
      <c r="K450" s="238"/>
      <c r="L450" s="236">
        <f>ROUND(J450*$C450,0)</f>
        <v>0</v>
      </c>
      <c r="N450" s="76"/>
      <c r="O450" s="76"/>
      <c r="P450" s="144"/>
      <c r="Q450" s="144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</row>
    <row r="451" spans="1:34">
      <c r="A451" s="238" t="s">
        <v>174</v>
      </c>
      <c r="B451" s="182"/>
      <c r="C451" s="234"/>
      <c r="D451" s="277"/>
      <c r="E451" s="236"/>
      <c r="F451" s="236"/>
      <c r="G451" s="277"/>
      <c r="H451" s="277"/>
      <c r="I451" s="236"/>
      <c r="J451" s="277"/>
      <c r="K451" s="236"/>
      <c r="L451" s="236"/>
      <c r="N451" s="76"/>
      <c r="O451" s="76"/>
      <c r="P451" s="144"/>
      <c r="Q451" s="144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</row>
    <row r="452" spans="1:34">
      <c r="A452" s="238" t="s">
        <v>175</v>
      </c>
      <c r="B452" s="182"/>
      <c r="C452" s="234">
        <v>0</v>
      </c>
      <c r="D452" s="250">
        <f>D490</f>
        <v>4.3570000000000002</v>
      </c>
      <c r="E452" s="236" t="s">
        <v>126</v>
      </c>
      <c r="F452" s="236">
        <f>ROUND($C452*D452/100,0)</f>
        <v>0</v>
      </c>
      <c r="G452" s="250">
        <f>G490</f>
        <v>4.6340000000000003</v>
      </c>
      <c r="H452" s="250"/>
      <c r="I452" s="236">
        <f>ROUND($C452*E452/100,0)</f>
        <v>0</v>
      </c>
      <c r="J452" s="250">
        <f>J490</f>
        <v>5.2170000000000005</v>
      </c>
      <c r="K452" s="236" t="s">
        <v>126</v>
      </c>
      <c r="L452" s="236">
        <f>ROUND($C452*J452/100,0)</f>
        <v>0</v>
      </c>
      <c r="N452" s="76"/>
      <c r="O452" s="76"/>
      <c r="P452" s="144"/>
      <c r="Q452" s="144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</row>
    <row r="453" spans="1:34">
      <c r="A453" s="238" t="s">
        <v>149</v>
      </c>
      <c r="B453" s="182"/>
      <c r="C453" s="234">
        <v>0</v>
      </c>
      <c r="D453" s="250">
        <f>D491</f>
        <v>3.9930000000000003</v>
      </c>
      <c r="E453" s="236" t="s">
        <v>126</v>
      </c>
      <c r="F453" s="236">
        <f>ROUND($C453*D453/100,0)</f>
        <v>0</v>
      </c>
      <c r="G453" s="250">
        <f>G491</f>
        <v>4.2469999999999999</v>
      </c>
      <c r="H453" s="250"/>
      <c r="I453" s="236">
        <f>ROUND($C453*E453/100,0)</f>
        <v>0</v>
      </c>
      <c r="J453" s="250">
        <f>J491</f>
        <v>4.7799999999999994</v>
      </c>
      <c r="K453" s="236" t="s">
        <v>126</v>
      </c>
      <c r="L453" s="236">
        <f>ROUND($C453*J453/100,0)</f>
        <v>0</v>
      </c>
      <c r="N453" s="76"/>
      <c r="O453" s="76"/>
      <c r="P453" s="144"/>
      <c r="Q453" s="144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</row>
    <row r="454" spans="1:34">
      <c r="A454" s="238" t="s">
        <v>150</v>
      </c>
      <c r="B454" s="182"/>
      <c r="C454" s="234">
        <v>0</v>
      </c>
      <c r="D454" s="278">
        <v>45</v>
      </c>
      <c r="E454" s="236" t="s">
        <v>126</v>
      </c>
      <c r="F454" s="236">
        <f>ROUND(D454*$C454/100,0)</f>
        <v>0</v>
      </c>
      <c r="G454" s="278">
        <v>0</v>
      </c>
      <c r="H454" s="278"/>
      <c r="I454" s="236">
        <f>ROUND(E454*$C454/100,0)</f>
        <v>0</v>
      </c>
      <c r="J454" s="278">
        <f>J492</f>
        <v>56</v>
      </c>
      <c r="K454" s="236" t="s">
        <v>126</v>
      </c>
      <c r="L454" s="236">
        <f>ROUND(J454*$C454,0)</f>
        <v>0</v>
      </c>
      <c r="N454" s="76"/>
      <c r="O454" s="76"/>
      <c r="P454" s="144"/>
      <c r="Q454" s="144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</row>
    <row r="455" spans="1:34">
      <c r="A455" s="238" t="s">
        <v>176</v>
      </c>
      <c r="B455" s="182"/>
      <c r="C455" s="234">
        <v>0</v>
      </c>
      <c r="D455" s="279">
        <v>0.06</v>
      </c>
      <c r="E455" s="236"/>
      <c r="F455" s="236">
        <f>ROUND($C455*D455/100,0)</f>
        <v>0</v>
      </c>
      <c r="G455" s="279">
        <f>D455</f>
        <v>0.06</v>
      </c>
      <c r="H455" s="279"/>
      <c r="I455" s="236">
        <f>ROUND($C455*E455/100,0)</f>
        <v>0</v>
      </c>
      <c r="J455" s="279">
        <v>0.06</v>
      </c>
      <c r="K455" s="236"/>
      <c r="L455" s="236">
        <f>ROUND($C455*J455/100,0)</f>
        <v>0</v>
      </c>
      <c r="N455" s="76"/>
      <c r="O455" s="76"/>
      <c r="P455" s="144"/>
      <c r="Q455" s="144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</row>
    <row r="456" spans="1:34">
      <c r="A456" s="280" t="s">
        <v>151</v>
      </c>
      <c r="B456" s="182" t="s">
        <v>0</v>
      </c>
      <c r="C456" s="234"/>
      <c r="D456" s="247">
        <v>-0.01</v>
      </c>
      <c r="E456" s="281"/>
      <c r="F456" s="281"/>
      <c r="G456" s="247">
        <v>-0.01</v>
      </c>
      <c r="H456" s="247"/>
      <c r="I456" s="281"/>
      <c r="J456" s="247">
        <v>-0.01</v>
      </c>
      <c r="K456" s="281"/>
      <c r="L456" s="164"/>
      <c r="N456" s="76"/>
      <c r="O456" s="76"/>
      <c r="P456" s="144"/>
      <c r="Q456" s="144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</row>
    <row r="457" spans="1:34">
      <c r="A457" s="238" t="s">
        <v>169</v>
      </c>
      <c r="B457" s="182"/>
      <c r="C457" s="234">
        <v>0</v>
      </c>
      <c r="D457" s="212">
        <f t="shared" ref="D457:D462" si="67">D494</f>
        <v>225</v>
      </c>
      <c r="E457" s="238"/>
      <c r="F457" s="236">
        <f t="shared" ref="F457:F462" si="68">ROUND(D457*$C457*$D$456,0)</f>
        <v>0</v>
      </c>
      <c r="G457" s="212">
        <f t="shared" ref="G457:G462" si="69">G494</f>
        <v>227</v>
      </c>
      <c r="H457" s="212"/>
      <c r="I457" s="236">
        <f t="shared" ref="I457:I462" si="70">ROUND(E457*$C457*$D$456,0)</f>
        <v>0</v>
      </c>
      <c r="J457" s="212">
        <f>J443</f>
        <v>254</v>
      </c>
      <c r="K457" s="238"/>
      <c r="L457" s="236">
        <f t="shared" ref="L457:L462" si="71">ROUND(J457*$C457*$D$456,0)</f>
        <v>0</v>
      </c>
      <c r="N457" s="76"/>
      <c r="O457" s="76"/>
      <c r="P457" s="144"/>
      <c r="Q457" s="144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</row>
    <row r="458" spans="1:34">
      <c r="A458" s="238" t="s">
        <v>170</v>
      </c>
      <c r="B458" s="182"/>
      <c r="C458" s="234">
        <v>0</v>
      </c>
      <c r="D458" s="212">
        <f t="shared" si="67"/>
        <v>83</v>
      </c>
      <c r="E458" s="238"/>
      <c r="F458" s="236">
        <f t="shared" si="68"/>
        <v>0</v>
      </c>
      <c r="G458" s="212">
        <f t="shared" si="69"/>
        <v>84</v>
      </c>
      <c r="H458" s="212"/>
      <c r="I458" s="236">
        <f t="shared" si="70"/>
        <v>0</v>
      </c>
      <c r="J458" s="212">
        <f>J444</f>
        <v>95</v>
      </c>
      <c r="K458" s="238"/>
      <c r="L458" s="236">
        <f t="shared" si="71"/>
        <v>0</v>
      </c>
      <c r="N458" s="76"/>
      <c r="O458" s="76"/>
      <c r="P458" s="144"/>
      <c r="Q458" s="144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</row>
    <row r="459" spans="1:34">
      <c r="A459" s="238" t="s">
        <v>171</v>
      </c>
      <c r="B459" s="182"/>
      <c r="C459" s="234">
        <v>0</v>
      </c>
      <c r="D459" s="212">
        <f t="shared" si="67"/>
        <v>166</v>
      </c>
      <c r="E459" s="240"/>
      <c r="F459" s="236">
        <f t="shared" si="68"/>
        <v>0</v>
      </c>
      <c r="G459" s="212">
        <f t="shared" si="69"/>
        <v>168</v>
      </c>
      <c r="H459" s="212"/>
      <c r="I459" s="236">
        <f t="shared" si="70"/>
        <v>0</v>
      </c>
      <c r="J459" s="212">
        <f>J445</f>
        <v>189</v>
      </c>
      <c r="K459" s="240"/>
      <c r="L459" s="236">
        <f t="shared" si="71"/>
        <v>0</v>
      </c>
      <c r="N459" s="76"/>
      <c r="O459" s="76"/>
      <c r="P459" s="144"/>
      <c r="Q459" s="144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</row>
    <row r="460" spans="1:34">
      <c r="A460" s="238" t="s">
        <v>170</v>
      </c>
      <c r="B460" s="182"/>
      <c r="C460" s="234">
        <v>0</v>
      </c>
      <c r="D460" s="212">
        <f t="shared" si="67"/>
        <v>1.47</v>
      </c>
      <c r="E460" s="238" t="s">
        <v>0</v>
      </c>
      <c r="F460" s="236">
        <f t="shared" si="68"/>
        <v>0</v>
      </c>
      <c r="G460" s="212">
        <f t="shared" si="69"/>
        <v>1.48</v>
      </c>
      <c r="H460" s="212"/>
      <c r="I460" s="236">
        <f t="shared" si="70"/>
        <v>0</v>
      </c>
      <c r="J460" s="212">
        <f>J447</f>
        <v>1.67</v>
      </c>
      <c r="K460" s="238" t="s">
        <v>0</v>
      </c>
      <c r="L460" s="236">
        <f t="shared" si="71"/>
        <v>0</v>
      </c>
      <c r="N460" s="76"/>
      <c r="O460" s="76"/>
      <c r="P460" s="144"/>
      <c r="Q460" s="144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</row>
    <row r="461" spans="1:34">
      <c r="A461" s="238" t="s">
        <v>171</v>
      </c>
      <c r="B461" s="182"/>
      <c r="C461" s="234">
        <v>0</v>
      </c>
      <c r="D461" s="212">
        <f t="shared" si="67"/>
        <v>1.2</v>
      </c>
      <c r="E461" s="238" t="s">
        <v>0</v>
      </c>
      <c r="F461" s="236">
        <f t="shared" si="68"/>
        <v>0</v>
      </c>
      <c r="G461" s="212">
        <f t="shared" si="69"/>
        <v>1.22</v>
      </c>
      <c r="H461" s="212"/>
      <c r="I461" s="236">
        <f t="shared" si="70"/>
        <v>0</v>
      </c>
      <c r="J461" s="212">
        <f>J448</f>
        <v>1.37</v>
      </c>
      <c r="K461" s="238" t="s">
        <v>0</v>
      </c>
      <c r="L461" s="236">
        <f t="shared" si="71"/>
        <v>0</v>
      </c>
      <c r="N461" s="76"/>
      <c r="O461" s="76"/>
      <c r="P461" s="144"/>
      <c r="Q461" s="144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</row>
    <row r="462" spans="1:34">
      <c r="A462" s="217" t="s">
        <v>173</v>
      </c>
      <c r="B462" s="182"/>
      <c r="C462" s="234">
        <v>0</v>
      </c>
      <c r="D462" s="212">
        <f t="shared" si="67"/>
        <v>3.75</v>
      </c>
      <c r="E462" s="238"/>
      <c r="F462" s="236">
        <f t="shared" si="68"/>
        <v>0</v>
      </c>
      <c r="G462" s="212">
        <f t="shared" si="69"/>
        <v>3.88</v>
      </c>
      <c r="H462" s="212"/>
      <c r="I462" s="236">
        <f t="shared" si="70"/>
        <v>0</v>
      </c>
      <c r="J462" s="212">
        <f>J450</f>
        <v>4.37</v>
      </c>
      <c r="K462" s="238"/>
      <c r="L462" s="236">
        <f t="shared" si="71"/>
        <v>0</v>
      </c>
      <c r="N462" s="76"/>
      <c r="O462" s="76"/>
      <c r="P462" s="144"/>
      <c r="Q462" s="144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</row>
    <row r="463" spans="1:34">
      <c r="A463" s="238" t="s">
        <v>175</v>
      </c>
      <c r="B463" s="182"/>
      <c r="C463" s="234">
        <v>0</v>
      </c>
      <c r="D463" s="250">
        <f>D501</f>
        <v>4.3570000000000002</v>
      </c>
      <c r="E463" s="236" t="s">
        <v>126</v>
      </c>
      <c r="F463" s="236">
        <f>ROUND(D463/100*$C463*D456,0)</f>
        <v>0</v>
      </c>
      <c r="G463" s="250">
        <f>G501</f>
        <v>4.6340000000000003</v>
      </c>
      <c r="H463" s="250"/>
      <c r="I463" s="236">
        <f>ROUND(E463/100*$C463*E456,0)</f>
        <v>0</v>
      </c>
      <c r="J463" s="212">
        <f>J451</f>
        <v>0</v>
      </c>
      <c r="K463" s="236" t="s">
        <v>126</v>
      </c>
      <c r="L463" s="236">
        <f>ROUND(J463/100*$C463*D456,0)</f>
        <v>0</v>
      </c>
      <c r="N463" s="76"/>
      <c r="O463" s="76"/>
      <c r="P463" s="144"/>
      <c r="Q463" s="144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</row>
    <row r="464" spans="1:34">
      <c r="A464" s="238" t="s">
        <v>149</v>
      </c>
      <c r="B464" s="182"/>
      <c r="C464" s="234">
        <v>0</v>
      </c>
      <c r="D464" s="250">
        <f>D502</f>
        <v>3.9930000000000003</v>
      </c>
      <c r="E464" s="236" t="s">
        <v>126</v>
      </c>
      <c r="F464" s="236">
        <f>ROUND(D464/100*$C464*D456,0)</f>
        <v>0</v>
      </c>
      <c r="G464" s="250">
        <f>G502</f>
        <v>4.2469999999999999</v>
      </c>
      <c r="H464" s="250"/>
      <c r="I464" s="236">
        <f>ROUND(E464/100*$C464*E456,0)</f>
        <v>0</v>
      </c>
      <c r="J464" s="214">
        <f>J453</f>
        <v>4.7799999999999994</v>
      </c>
      <c r="K464" s="236" t="s">
        <v>126</v>
      </c>
      <c r="L464" s="236">
        <f>ROUND(J464/100*$C464*D456,0)</f>
        <v>0</v>
      </c>
      <c r="N464" s="76"/>
      <c r="O464" s="76"/>
      <c r="P464" s="144"/>
      <c r="Q464" s="144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</row>
    <row r="465" spans="1:34">
      <c r="A465" s="217" t="s">
        <v>177</v>
      </c>
      <c r="B465" s="182"/>
      <c r="C465" s="234">
        <v>0</v>
      </c>
      <c r="D465" s="278">
        <f>D503</f>
        <v>45</v>
      </c>
      <c r="E465" s="236" t="s">
        <v>126</v>
      </c>
      <c r="F465" s="236">
        <f>ROUND(D465*$C465*$D$456,0)</f>
        <v>0</v>
      </c>
      <c r="G465" s="278">
        <f>G503</f>
        <v>50</v>
      </c>
      <c r="H465" s="278"/>
      <c r="I465" s="236">
        <f>ROUND(E465*$C465*$D$456,0)</f>
        <v>0</v>
      </c>
      <c r="J465" s="214">
        <f>J454</f>
        <v>56</v>
      </c>
      <c r="K465" s="236" t="s">
        <v>126</v>
      </c>
      <c r="L465" s="236">
        <f>ROUND(J465*$C465*$D$456,0)</f>
        <v>0</v>
      </c>
      <c r="N465" s="76"/>
      <c r="O465" s="76"/>
      <c r="P465" s="144"/>
      <c r="Q465" s="144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</row>
    <row r="466" spans="1:34">
      <c r="A466" s="217" t="s">
        <v>178</v>
      </c>
      <c r="B466" s="182"/>
      <c r="C466" s="234">
        <v>0</v>
      </c>
      <c r="D466" s="282">
        <v>0.06</v>
      </c>
      <c r="E466" s="236" t="s">
        <v>126</v>
      </c>
      <c r="F466" s="236">
        <f>ROUND(D466/100*$C466*D456,0)</f>
        <v>0</v>
      </c>
      <c r="G466" s="282">
        <f>G455</f>
        <v>0.06</v>
      </c>
      <c r="H466" s="282"/>
      <c r="I466" s="236">
        <f>ROUND(E466/100*$C466*E456,0)</f>
        <v>0</v>
      </c>
      <c r="J466" s="282">
        <f>J455</f>
        <v>0.06</v>
      </c>
      <c r="K466" s="236" t="s">
        <v>126</v>
      </c>
      <c r="L466" s="236">
        <f>ROUND(J466/100*$C466*J456,0)</f>
        <v>0</v>
      </c>
      <c r="N466" s="76"/>
      <c r="O466" s="76"/>
      <c r="P466" s="144"/>
      <c r="Q466" s="144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</row>
    <row r="467" spans="1:34">
      <c r="A467" s="238" t="s">
        <v>179</v>
      </c>
      <c r="B467" s="182"/>
      <c r="C467" s="234">
        <v>0</v>
      </c>
      <c r="D467" s="275">
        <v>60</v>
      </c>
      <c r="E467" s="281" t="s">
        <v>0</v>
      </c>
      <c r="F467" s="236">
        <f>ROUND(D467*$C467,0)</f>
        <v>0</v>
      </c>
      <c r="G467" s="275">
        <v>60</v>
      </c>
      <c r="H467" s="275"/>
      <c r="I467" s="236">
        <f>ROUND(E467*$C467,0)</f>
        <v>0</v>
      </c>
      <c r="J467" s="275">
        <v>60</v>
      </c>
      <c r="K467" s="283" t="s">
        <v>0</v>
      </c>
      <c r="L467" s="236">
        <f>ROUND(J467*$C467,0)</f>
        <v>0</v>
      </c>
      <c r="N467" s="76"/>
      <c r="O467" s="76"/>
      <c r="P467" s="144"/>
      <c r="Q467" s="144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</row>
    <row r="468" spans="1:34">
      <c r="A468" s="238" t="s">
        <v>180</v>
      </c>
      <c r="B468" s="182"/>
      <c r="C468" s="234">
        <v>0</v>
      </c>
      <c r="D468" s="251">
        <v>-30</v>
      </c>
      <c r="E468" s="236" t="s">
        <v>126</v>
      </c>
      <c r="F468" s="236">
        <f>ROUND(D468*$C468*$D$456,0)</f>
        <v>0</v>
      </c>
      <c r="G468" s="251">
        <v>-30</v>
      </c>
      <c r="H468" s="251"/>
      <c r="I468" s="236">
        <f>ROUND(E468*$C468*$D$456,0)</f>
        <v>0</v>
      </c>
      <c r="J468" s="251">
        <v>-30</v>
      </c>
      <c r="K468" s="236" t="s">
        <v>126</v>
      </c>
      <c r="L468" s="236">
        <f>ROUND(J468*$C468*$D$456,0)</f>
        <v>0</v>
      </c>
      <c r="N468" s="76"/>
      <c r="O468" s="76"/>
      <c r="P468" s="144"/>
      <c r="Q468" s="144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</row>
    <row r="469" spans="1:34">
      <c r="A469" s="217" t="s">
        <v>181</v>
      </c>
      <c r="B469" s="182"/>
      <c r="C469" s="234">
        <v>0</v>
      </c>
      <c r="D469" s="249">
        <f>D450/2</f>
        <v>1.875</v>
      </c>
      <c r="E469" s="236"/>
      <c r="F469" s="236"/>
      <c r="G469" s="249">
        <f>G450/2</f>
        <v>1.94</v>
      </c>
      <c r="H469" s="249"/>
      <c r="I469" s="236"/>
      <c r="J469" s="212">
        <f>J462/2</f>
        <v>2.1850000000000001</v>
      </c>
      <c r="K469" s="236"/>
      <c r="L469" s="236">
        <f>ROUND($C469*J469,0)</f>
        <v>0</v>
      </c>
      <c r="N469" s="76"/>
      <c r="O469" s="76"/>
      <c r="P469" s="144"/>
      <c r="Q469" s="144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</row>
    <row r="470" spans="1:34">
      <c r="A470" s="217" t="s">
        <v>182</v>
      </c>
      <c r="B470" s="182"/>
      <c r="C470" s="234">
        <v>0</v>
      </c>
      <c r="D470" s="249">
        <f>D450*4</f>
        <v>15</v>
      </c>
      <c r="E470" s="236"/>
      <c r="F470" s="236"/>
      <c r="G470" s="249">
        <f>G450*4</f>
        <v>15.52</v>
      </c>
      <c r="H470" s="249"/>
      <c r="I470" s="236"/>
      <c r="J470" s="212">
        <f>J462*4</f>
        <v>17.48</v>
      </c>
      <c r="K470" s="236"/>
      <c r="L470" s="236">
        <f>ROUND($C470*J470,0)</f>
        <v>0</v>
      </c>
      <c r="N470" s="76"/>
      <c r="O470" s="76"/>
      <c r="P470" s="144"/>
      <c r="Q470" s="144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</row>
    <row r="471" spans="1:34">
      <c r="A471" s="143" t="s">
        <v>183</v>
      </c>
      <c r="B471" s="211"/>
      <c r="C471" s="234">
        <v>0</v>
      </c>
      <c r="D471" s="250">
        <f>D453*4</f>
        <v>15.972000000000001</v>
      </c>
      <c r="E471" s="236" t="s">
        <v>126</v>
      </c>
      <c r="F471" s="236">
        <f>ROUND($C471*D471/100,0)</f>
        <v>0</v>
      </c>
      <c r="G471" s="250">
        <f>G453*4</f>
        <v>16.988</v>
      </c>
      <c r="H471" s="250"/>
      <c r="I471" s="236">
        <f>ROUND($C471*E471/100,0)</f>
        <v>0</v>
      </c>
      <c r="J471" s="250">
        <f>J453*4</f>
        <v>19.119999999999997</v>
      </c>
      <c r="K471" s="236" t="s">
        <v>126</v>
      </c>
      <c r="L471" s="236">
        <f>ROUND($C471*J471/100,0)</f>
        <v>0</v>
      </c>
      <c r="N471" s="76"/>
      <c r="O471" s="76"/>
      <c r="P471" s="144"/>
      <c r="Q471" s="144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</row>
    <row r="472" spans="1:34">
      <c r="A472" s="182" t="s">
        <v>131</v>
      </c>
      <c r="B472" s="182"/>
      <c r="C472" s="234">
        <f>SUM(C452:C453)</f>
        <v>0</v>
      </c>
      <c r="D472" s="244"/>
      <c r="E472" s="164"/>
      <c r="F472" s="164">
        <f>SUM(F443:F471)</f>
        <v>0</v>
      </c>
      <c r="G472" s="244"/>
      <c r="H472" s="244"/>
      <c r="I472" s="164">
        <f>SUM(I443:I471)</f>
        <v>0</v>
      </c>
      <c r="J472" s="244"/>
      <c r="K472" s="238"/>
      <c r="L472" s="164">
        <f>SUM(L443:L471)</f>
        <v>0</v>
      </c>
      <c r="N472" s="76"/>
      <c r="O472" s="76"/>
      <c r="P472" s="144"/>
      <c r="Q472" s="144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</row>
    <row r="473" spans="1:34">
      <c r="A473" s="182" t="s">
        <v>114</v>
      </c>
      <c r="B473" s="182"/>
      <c r="C473" s="270">
        <v>0</v>
      </c>
      <c r="D473" s="217"/>
      <c r="E473" s="217"/>
      <c r="F473" s="218">
        <v>0</v>
      </c>
      <c r="G473" s="217"/>
      <c r="H473" s="217"/>
      <c r="I473" s="218">
        <v>0</v>
      </c>
      <c r="J473" s="217"/>
      <c r="K473" s="217"/>
      <c r="L473" s="218">
        <v>0</v>
      </c>
      <c r="N473" s="196"/>
      <c r="O473" s="196"/>
      <c r="P473" s="194"/>
      <c r="Q473" s="144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</row>
    <row r="474" spans="1:34" ht="16.5" thickBot="1">
      <c r="A474" s="182" t="s">
        <v>132</v>
      </c>
      <c r="B474" s="182"/>
      <c r="C474" s="284">
        <f>SUM(C472:C473)</f>
        <v>0</v>
      </c>
      <c r="D474" s="258"/>
      <c r="E474" s="259"/>
      <c r="F474" s="260">
        <f>SUM(F472:F473)</f>
        <v>0</v>
      </c>
      <c r="G474" s="258"/>
      <c r="H474" s="258"/>
      <c r="I474" s="260">
        <f>SUM(I472:I473)</f>
        <v>0</v>
      </c>
      <c r="J474" s="258"/>
      <c r="K474" s="262"/>
      <c r="L474" s="260">
        <f>SUM(L472:L473)</f>
        <v>0</v>
      </c>
      <c r="N474" s="197"/>
      <c r="O474" s="197"/>
      <c r="P474" s="198"/>
      <c r="Q474" s="144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</row>
    <row r="475" spans="1:34" ht="16.5" thickTop="1">
      <c r="A475" s="182"/>
      <c r="B475" s="285"/>
      <c r="C475" s="200"/>
      <c r="D475" s="252"/>
      <c r="E475" s="164"/>
      <c r="F475" s="164"/>
      <c r="G475" s="252"/>
      <c r="H475" s="252"/>
      <c r="I475" s="164"/>
      <c r="J475" s="252"/>
      <c r="K475" s="182"/>
      <c r="L475" s="164"/>
      <c r="N475" s="76"/>
      <c r="O475" s="76"/>
      <c r="P475" s="144"/>
      <c r="Q475" s="144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</row>
    <row r="476" spans="1:34">
      <c r="A476" s="199" t="s">
        <v>184</v>
      </c>
      <c r="B476" s="182"/>
      <c r="C476" s="182"/>
      <c r="D476" s="164"/>
      <c r="E476" s="164"/>
      <c r="F476" s="182" t="s">
        <v>0</v>
      </c>
      <c r="G476" s="164"/>
      <c r="H476" s="164"/>
      <c r="I476" s="182"/>
      <c r="J476" s="164"/>
      <c r="K476" s="182"/>
      <c r="L476" s="182"/>
      <c r="N476" s="76"/>
      <c r="O476" s="76"/>
      <c r="P476" s="144"/>
      <c r="Q476" s="144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</row>
    <row r="477" spans="1:34">
      <c r="A477" s="217" t="s">
        <v>185</v>
      </c>
      <c r="B477" s="182"/>
      <c r="C477" s="182"/>
      <c r="D477" s="164"/>
      <c r="E477" s="164"/>
      <c r="F477" s="182"/>
      <c r="G477" s="164"/>
      <c r="H477" s="164"/>
      <c r="I477" s="182"/>
      <c r="J477" s="164"/>
      <c r="K477" s="182"/>
      <c r="L477" s="182"/>
      <c r="N477" s="76"/>
      <c r="O477" s="76"/>
      <c r="P477" s="144"/>
      <c r="Q477" s="144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</row>
    <row r="478" spans="1:34">
      <c r="A478" s="238"/>
      <c r="B478" s="182"/>
      <c r="C478" s="182"/>
      <c r="D478" s="164"/>
      <c r="E478" s="164"/>
      <c r="F478" s="182"/>
      <c r="G478" s="164"/>
      <c r="H478" s="164"/>
      <c r="I478" s="182"/>
      <c r="J478" s="164"/>
      <c r="K478" s="182"/>
      <c r="L478" s="182"/>
      <c r="N478" s="76"/>
      <c r="O478" s="76"/>
      <c r="Q478" s="144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</row>
    <row r="479" spans="1:34">
      <c r="A479" s="238" t="s">
        <v>144</v>
      </c>
      <c r="B479" s="182"/>
      <c r="C479" s="234"/>
      <c r="D479" s="164"/>
      <c r="E479" s="164"/>
      <c r="F479" s="182"/>
      <c r="G479" s="164"/>
      <c r="H479" s="164"/>
      <c r="I479" s="182"/>
      <c r="J479" s="164"/>
      <c r="K479" s="182"/>
      <c r="L479" s="182"/>
      <c r="N479" s="76"/>
      <c r="O479" s="76"/>
      <c r="P479" s="144"/>
      <c r="Q479" s="286" t="s">
        <v>27</v>
      </c>
      <c r="R479" s="76"/>
      <c r="S479" s="76"/>
      <c r="T479" s="76"/>
      <c r="U479" s="76"/>
      <c r="V479" s="76"/>
      <c r="W479" s="76"/>
      <c r="X479" s="76"/>
      <c r="Z479" s="76"/>
      <c r="AA479" s="76"/>
      <c r="AB479" s="76"/>
      <c r="AC479" s="76"/>
      <c r="AD479" s="76"/>
      <c r="AE479" s="76"/>
      <c r="AF479" s="76"/>
      <c r="AG479" s="76"/>
      <c r="AH479" s="76"/>
    </row>
    <row r="480" spans="1:34">
      <c r="A480" s="238" t="s">
        <v>169</v>
      </c>
      <c r="B480" s="182"/>
      <c r="C480" s="234">
        <f t="shared" ref="C480:C482" si="72">C514+C548</f>
        <v>220</v>
      </c>
      <c r="D480" s="204">
        <v>225</v>
      </c>
      <c r="E480" s="238"/>
      <c r="F480" s="236">
        <f t="shared" ref="F480:I482" si="73">F514+F548</f>
        <v>49500</v>
      </c>
      <c r="G480" s="204">
        <v>227</v>
      </c>
      <c r="H480" s="204"/>
      <c r="I480" s="236">
        <f t="shared" si="73"/>
        <v>49940</v>
      </c>
      <c r="J480" s="204">
        <f>ROUND(G480*(1+$Q$507),0)-2</f>
        <v>254</v>
      </c>
      <c r="K480" s="238"/>
      <c r="L480" s="236">
        <f>L514+L548</f>
        <v>55880</v>
      </c>
      <c r="N480" s="165" t="e">
        <f>J480*#REF!</f>
        <v>#REF!</v>
      </c>
      <c r="Q480" s="88">
        <f>(J480-G480)/G480</f>
        <v>0.11894273127753303</v>
      </c>
      <c r="Y480" s="233"/>
      <c r="Z480" s="233"/>
      <c r="AC480" s="76"/>
      <c r="AD480" s="76"/>
      <c r="AE480" s="76"/>
      <c r="AF480" s="76"/>
      <c r="AG480" s="76"/>
      <c r="AH480" s="76"/>
    </row>
    <row r="481" spans="1:34">
      <c r="A481" s="238" t="s">
        <v>170</v>
      </c>
      <c r="B481" s="182"/>
      <c r="C481" s="234">
        <f t="shared" si="72"/>
        <v>9129</v>
      </c>
      <c r="D481" s="204">
        <v>83</v>
      </c>
      <c r="E481" s="238"/>
      <c r="F481" s="236">
        <f t="shared" si="73"/>
        <v>757707</v>
      </c>
      <c r="G481" s="204">
        <v>84</v>
      </c>
      <c r="H481" s="204"/>
      <c r="I481" s="236">
        <f t="shared" si="73"/>
        <v>766836</v>
      </c>
      <c r="J481" s="204">
        <f>ROUND(G481*(1+$Q$507),0)</f>
        <v>95</v>
      </c>
      <c r="K481" s="238"/>
      <c r="L481" s="236">
        <f>L515+L549</f>
        <v>867255</v>
      </c>
      <c r="N481" s="165" t="e">
        <f>J481*#REF!</f>
        <v>#REF!</v>
      </c>
      <c r="Q481" s="88">
        <f>(J481-G481)/G481</f>
        <v>0.13095238095238096</v>
      </c>
      <c r="S481" s="165"/>
      <c r="T481" s="206"/>
      <c r="U481" s="165"/>
      <c r="V481" s="206"/>
      <c r="W481" s="165"/>
      <c r="X481" s="165"/>
      <c r="Y481" s="206"/>
      <c r="Z481" s="206"/>
      <c r="AB481" s="131"/>
      <c r="AC481" s="76"/>
      <c r="AD481" s="76"/>
      <c r="AE481" s="76"/>
      <c r="AF481" s="76"/>
      <c r="AG481" s="76"/>
      <c r="AH481" s="76"/>
    </row>
    <row r="482" spans="1:34">
      <c r="A482" s="238" t="s">
        <v>171</v>
      </c>
      <c r="B482" s="182"/>
      <c r="C482" s="234">
        <f t="shared" si="72"/>
        <v>3609</v>
      </c>
      <c r="D482" s="204">
        <v>166</v>
      </c>
      <c r="E482" s="240"/>
      <c r="F482" s="236">
        <f t="shared" si="73"/>
        <v>599094</v>
      </c>
      <c r="G482" s="204">
        <v>168</v>
      </c>
      <c r="H482" s="204"/>
      <c r="I482" s="236">
        <f t="shared" si="73"/>
        <v>606312</v>
      </c>
      <c r="J482" s="204">
        <f>ROUND(G482*(1+$Q$507),0)</f>
        <v>189</v>
      </c>
      <c r="K482" s="240"/>
      <c r="L482" s="236">
        <f>L516+L550</f>
        <v>682101</v>
      </c>
      <c r="N482" s="165" t="e">
        <f>J482*#REF!</f>
        <v>#REF!</v>
      </c>
      <c r="Q482" s="88">
        <f>(J482-G482)/G482</f>
        <v>0.125</v>
      </c>
      <c r="S482" s="165"/>
      <c r="T482" s="206"/>
      <c r="U482" s="165"/>
      <c r="V482" s="206"/>
      <c r="W482" s="165"/>
      <c r="X482" s="165"/>
      <c r="Y482" s="206"/>
      <c r="Z482" s="206"/>
      <c r="AB482" s="131"/>
      <c r="AC482" s="76"/>
      <c r="AD482" s="76"/>
      <c r="AE482" s="76"/>
      <c r="AF482" s="76"/>
      <c r="AG482" s="76"/>
      <c r="AH482" s="76"/>
    </row>
    <row r="483" spans="1:34">
      <c r="A483" s="238" t="s">
        <v>145</v>
      </c>
      <c r="B483" s="182"/>
      <c r="C483" s="234">
        <f>SUM(C480:C482)</f>
        <v>12958</v>
      </c>
      <c r="D483" s="204"/>
      <c r="E483" s="238"/>
      <c r="F483" s="236"/>
      <c r="G483" s="204"/>
      <c r="H483" s="204"/>
      <c r="I483" s="236"/>
      <c r="J483" s="204"/>
      <c r="K483" s="238"/>
      <c r="L483" s="236"/>
      <c r="S483" s="165"/>
      <c r="T483" s="206"/>
      <c r="U483" s="165"/>
      <c r="V483" s="206"/>
      <c r="W483" s="165"/>
      <c r="X483" s="165"/>
      <c r="Y483" s="206"/>
      <c r="Z483" s="206"/>
      <c r="AB483" s="131"/>
      <c r="AC483" s="76"/>
      <c r="AD483" s="76"/>
      <c r="AE483" s="76"/>
      <c r="AF483" s="76"/>
      <c r="AG483" s="76"/>
      <c r="AH483" s="76"/>
    </row>
    <row r="484" spans="1:34">
      <c r="A484" s="238" t="s">
        <v>170</v>
      </c>
      <c r="B484" s="182"/>
      <c r="C484" s="234">
        <f>C518+C552</f>
        <v>1566727</v>
      </c>
      <c r="D484" s="204">
        <v>1.47</v>
      </c>
      <c r="E484" s="238" t="s">
        <v>0</v>
      </c>
      <c r="F484" s="236">
        <f>F518+F552</f>
        <v>2303089</v>
      </c>
      <c r="G484" s="204">
        <v>1.48</v>
      </c>
      <c r="H484" s="204"/>
      <c r="I484" s="236">
        <f>I518+I552</f>
        <v>2318756</v>
      </c>
      <c r="J484" s="204">
        <f>ROUND(G484*(1+$Q$507),2)</f>
        <v>1.67</v>
      </c>
      <c r="K484" s="238" t="s">
        <v>0</v>
      </c>
      <c r="L484" s="236">
        <f>L518+L552</f>
        <v>2616434</v>
      </c>
      <c r="N484" s="165" t="e">
        <f>J484*#REF!</f>
        <v>#REF!</v>
      </c>
      <c r="Q484" s="88">
        <f>(J484-G484)/G484</f>
        <v>0.12837837837837834</v>
      </c>
      <c r="S484" s="165"/>
      <c r="T484" s="241"/>
      <c r="U484" s="165"/>
      <c r="V484" s="241"/>
      <c r="W484" s="165"/>
      <c r="X484" s="165"/>
      <c r="Y484" s="241"/>
      <c r="Z484" s="241"/>
      <c r="AB484" s="76"/>
      <c r="AC484" s="76"/>
      <c r="AD484" s="76"/>
      <c r="AE484" s="76"/>
      <c r="AF484" s="76"/>
      <c r="AG484" s="76"/>
      <c r="AH484" s="76"/>
    </row>
    <row r="485" spans="1:34">
      <c r="A485" s="238" t="s">
        <v>171</v>
      </c>
      <c r="B485" s="182"/>
      <c r="C485" s="234">
        <f>C519+C553</f>
        <v>1836549</v>
      </c>
      <c r="D485" s="204">
        <v>1.2</v>
      </c>
      <c r="E485" s="238" t="s">
        <v>0</v>
      </c>
      <c r="F485" s="236">
        <f>F519+F553</f>
        <v>2203859</v>
      </c>
      <c r="G485" s="204">
        <v>1.22</v>
      </c>
      <c r="H485" s="204"/>
      <c r="I485" s="236">
        <f>I519+I553</f>
        <v>2240590</v>
      </c>
      <c r="J485" s="204">
        <f>ROUND(G485*(1+$Q$507),2)</f>
        <v>1.37</v>
      </c>
      <c r="K485" s="238" t="s">
        <v>0</v>
      </c>
      <c r="L485" s="236">
        <f>L519+L553</f>
        <v>2516072</v>
      </c>
      <c r="N485" s="165" t="e">
        <f>J485*#REF!</f>
        <v>#REF!</v>
      </c>
      <c r="Q485" s="88">
        <f>(J485-G485)/G485</f>
        <v>0.12295081967213126</v>
      </c>
      <c r="S485" s="165"/>
      <c r="T485" s="165"/>
      <c r="AB485" s="76"/>
      <c r="AC485" s="76"/>
      <c r="AD485" s="76"/>
      <c r="AE485" s="76"/>
      <c r="AF485" s="76"/>
      <c r="AG485" s="76"/>
      <c r="AH485" s="76"/>
    </row>
    <row r="486" spans="1:34">
      <c r="A486" s="217" t="s">
        <v>172</v>
      </c>
      <c r="B486" s="182"/>
      <c r="C486" s="234"/>
      <c r="D486" s="212"/>
      <c r="E486" s="238"/>
      <c r="F486" s="236"/>
      <c r="G486" s="212"/>
      <c r="H486" s="212"/>
      <c r="I486" s="236"/>
      <c r="J486" s="212"/>
      <c r="K486" s="238"/>
      <c r="L486" s="236"/>
      <c r="R486" s="175"/>
      <c r="AB486" s="76"/>
      <c r="AC486" s="76"/>
      <c r="AD486" s="76"/>
      <c r="AE486" s="76"/>
      <c r="AF486" s="76"/>
      <c r="AG486" s="76"/>
      <c r="AH486" s="76"/>
    </row>
    <row r="487" spans="1:34">
      <c r="A487" s="217" t="s">
        <v>173</v>
      </c>
      <c r="B487" s="182"/>
      <c r="C487" s="234">
        <f>C521+C555</f>
        <v>2619079</v>
      </c>
      <c r="D487" s="204">
        <v>3.75</v>
      </c>
      <c r="E487" s="238"/>
      <c r="F487" s="236">
        <f>F521+F555</f>
        <v>9821547</v>
      </c>
      <c r="G487" s="204">
        <v>3.88</v>
      </c>
      <c r="H487" s="204"/>
      <c r="I487" s="236">
        <f>I521+I555</f>
        <v>10162027</v>
      </c>
      <c r="J487" s="204">
        <f>ROUND(G487*(1+$Q$507),2)</f>
        <v>4.37</v>
      </c>
      <c r="K487" s="238"/>
      <c r="L487" s="236">
        <f>L521+L555</f>
        <v>11445375</v>
      </c>
      <c r="N487" s="165" t="e">
        <f>J487*#REF!</f>
        <v>#REF!</v>
      </c>
      <c r="Q487" s="88">
        <f>(J487-G487)/G487</f>
        <v>0.12628865979381448</v>
      </c>
      <c r="R487" s="175"/>
      <c r="AB487" s="76"/>
      <c r="AC487" s="76"/>
      <c r="AD487" s="76"/>
      <c r="AE487" s="76"/>
      <c r="AF487" s="76"/>
      <c r="AG487" s="76"/>
      <c r="AH487" s="76"/>
    </row>
    <row r="488" spans="1:34">
      <c r="A488" s="217" t="s">
        <v>186</v>
      </c>
      <c r="B488" s="182"/>
      <c r="C488" s="234">
        <f>C522+C556</f>
        <v>2393</v>
      </c>
      <c r="D488" s="287">
        <f>D487</f>
        <v>3.75</v>
      </c>
      <c r="E488" s="238"/>
      <c r="F488" s="236">
        <f>F522+F556</f>
        <v>8974</v>
      </c>
      <c r="G488" s="287">
        <v>3.88</v>
      </c>
      <c r="H488" s="287"/>
      <c r="I488" s="236">
        <f>I522+I556</f>
        <v>9285</v>
      </c>
      <c r="J488" s="287">
        <f>J487</f>
        <v>4.37</v>
      </c>
      <c r="K488" s="238"/>
      <c r="L488" s="236">
        <f>L522+L556</f>
        <v>10457</v>
      </c>
      <c r="N488" s="165" t="e">
        <f>J488*#REF!</f>
        <v>#REF!</v>
      </c>
      <c r="Q488" s="88">
        <f>(J488-G488)/G488</f>
        <v>0.12628865979381448</v>
      </c>
      <c r="R488" s="175"/>
      <c r="AB488" s="76"/>
      <c r="AC488" s="76"/>
      <c r="AD488" s="76"/>
      <c r="AE488" s="76"/>
      <c r="AF488" s="76"/>
      <c r="AG488" s="76"/>
      <c r="AH488" s="76"/>
    </row>
    <row r="489" spans="1:34">
      <c r="A489" s="238" t="s">
        <v>174</v>
      </c>
      <c r="B489" s="182"/>
      <c r="C489" s="234"/>
      <c r="D489" s="204"/>
      <c r="E489" s="238"/>
      <c r="F489" s="236"/>
      <c r="G489" s="204"/>
      <c r="H489" s="204"/>
      <c r="I489" s="236"/>
      <c r="J489" s="204"/>
      <c r="K489" s="238"/>
      <c r="L489" s="236"/>
      <c r="R489" s="175"/>
      <c r="AB489" s="76"/>
      <c r="AC489" s="76"/>
      <c r="AD489" s="76"/>
      <c r="AE489" s="76"/>
      <c r="AF489" s="76"/>
      <c r="AG489" s="76"/>
      <c r="AH489" s="76"/>
    </row>
    <row r="490" spans="1:34">
      <c r="A490" s="238" t="s">
        <v>175</v>
      </c>
      <c r="B490" s="234"/>
      <c r="C490" s="234">
        <f t="shared" ref="C490:C492" si="74">C524+C558</f>
        <v>410103544</v>
      </c>
      <c r="D490" s="288">
        <v>4.3570000000000002</v>
      </c>
      <c r="E490" s="238" t="s">
        <v>126</v>
      </c>
      <c r="F490" s="236">
        <f t="shared" ref="F490:I492" si="75">F524+F558</f>
        <v>17868211</v>
      </c>
      <c r="G490" s="288">
        <v>4.6340000000000003</v>
      </c>
      <c r="H490" s="288"/>
      <c r="I490" s="236">
        <f t="shared" si="75"/>
        <v>19004198</v>
      </c>
      <c r="J490" s="288">
        <f>ROUND(G490*(1+Q507),3)+0.001</f>
        <v>5.2170000000000005</v>
      </c>
      <c r="K490" s="238" t="s">
        <v>126</v>
      </c>
      <c r="L490" s="236">
        <f>L524+L558</f>
        <v>21395102</v>
      </c>
      <c r="N490" s="165" t="e">
        <f>(J490/100)*#REF!</f>
        <v>#REF!</v>
      </c>
      <c r="Q490" s="88">
        <f>(J490-G490)/G490</f>
        <v>0.12580923608113945</v>
      </c>
      <c r="R490" s="175"/>
      <c r="AB490" s="76"/>
      <c r="AC490" s="76"/>
      <c r="AD490" s="76"/>
      <c r="AE490" s="76"/>
      <c r="AF490" s="76"/>
      <c r="AG490" s="76"/>
      <c r="AH490" s="76"/>
    </row>
    <row r="491" spans="1:34">
      <c r="A491" s="238" t="s">
        <v>149</v>
      </c>
      <c r="B491" s="234"/>
      <c r="C491" s="234">
        <f t="shared" si="74"/>
        <v>515213098</v>
      </c>
      <c r="D491" s="288">
        <v>3.9930000000000003</v>
      </c>
      <c r="E491" s="238" t="s">
        <v>126</v>
      </c>
      <c r="F491" s="236">
        <f t="shared" si="75"/>
        <v>20572459</v>
      </c>
      <c r="G491" s="288">
        <v>4.2469999999999999</v>
      </c>
      <c r="H491" s="288"/>
      <c r="I491" s="236">
        <f t="shared" si="75"/>
        <v>21881100</v>
      </c>
      <c r="J491" s="288">
        <f>ROUND(J490/D490*D491,3)-0.001</f>
        <v>4.7799999999999994</v>
      </c>
      <c r="K491" s="238" t="s">
        <v>126</v>
      </c>
      <c r="L491" s="236">
        <f>L525+L559</f>
        <v>24627186</v>
      </c>
      <c r="N491" s="165" t="e">
        <f>(J491/100)*#REF!</f>
        <v>#REF!</v>
      </c>
      <c r="Q491" s="88">
        <f>(J491-G491)/G491</f>
        <v>0.12550035319048727</v>
      </c>
      <c r="R491" s="175"/>
      <c r="AC491" s="76"/>
      <c r="AD491" s="76"/>
      <c r="AE491" s="76"/>
      <c r="AF491" s="76"/>
      <c r="AG491" s="76"/>
      <c r="AH491" s="76"/>
    </row>
    <row r="492" spans="1:34">
      <c r="A492" s="238" t="s">
        <v>150</v>
      </c>
      <c r="B492" s="182"/>
      <c r="C492" s="234">
        <f t="shared" si="74"/>
        <v>538383</v>
      </c>
      <c r="D492" s="289">
        <v>45</v>
      </c>
      <c r="E492" s="238" t="s">
        <v>126</v>
      </c>
      <c r="F492" s="236">
        <f t="shared" si="75"/>
        <v>242272</v>
      </c>
      <c r="G492" s="289">
        <v>50</v>
      </c>
      <c r="H492" s="289"/>
      <c r="I492" s="236">
        <f t="shared" si="75"/>
        <v>269192</v>
      </c>
      <c r="J492" s="290">
        <v>56</v>
      </c>
      <c r="K492" s="238" t="s">
        <v>126</v>
      </c>
      <c r="L492" s="236">
        <f>L526+L560</f>
        <v>301495</v>
      </c>
      <c r="N492" s="165" t="e">
        <f>(J492/100)*#REF!</f>
        <v>#REF!</v>
      </c>
      <c r="Q492" s="88">
        <f>(J492-G492)/G492</f>
        <v>0.12</v>
      </c>
      <c r="R492" s="175"/>
      <c r="AC492" s="76"/>
      <c r="AD492" s="76"/>
      <c r="AE492" s="76"/>
      <c r="AF492" s="76"/>
      <c r="AG492" s="76"/>
      <c r="AH492" s="76"/>
    </row>
    <row r="493" spans="1:34">
      <c r="A493" s="280" t="s">
        <v>151</v>
      </c>
      <c r="B493" s="182"/>
      <c r="C493" s="234"/>
      <c r="D493" s="247">
        <v>-0.01</v>
      </c>
      <c r="E493" s="164"/>
      <c r="F493" s="236"/>
      <c r="G493" s="247">
        <v>-0.01</v>
      </c>
      <c r="H493" s="247"/>
      <c r="I493" s="236"/>
      <c r="J493" s="247">
        <v>-0.01</v>
      </c>
      <c r="K493" s="182"/>
      <c r="L493" s="236"/>
      <c r="AC493" s="76"/>
      <c r="AD493" s="76"/>
      <c r="AE493" s="76"/>
      <c r="AF493" s="76"/>
      <c r="AG493" s="76"/>
      <c r="AH493" s="76"/>
    </row>
    <row r="494" spans="1:34">
      <c r="A494" s="238" t="s">
        <v>169</v>
      </c>
      <c r="B494" s="182"/>
      <c r="C494" s="234">
        <f t="shared" ref="C494:C507" si="76">C528+C562</f>
        <v>0</v>
      </c>
      <c r="D494" s="212">
        <f>D480</f>
        <v>225</v>
      </c>
      <c r="E494" s="283"/>
      <c r="F494" s="236">
        <f t="shared" ref="F494:I507" si="77">F528+F562</f>
        <v>0</v>
      </c>
      <c r="G494" s="212">
        <f>G480</f>
        <v>227</v>
      </c>
      <c r="H494" s="212"/>
      <c r="I494" s="236">
        <f t="shared" si="77"/>
        <v>0</v>
      </c>
      <c r="J494" s="212">
        <f>J480</f>
        <v>254</v>
      </c>
      <c r="K494" s="199"/>
      <c r="L494" s="236">
        <f t="shared" ref="L494:L506" si="78">L528+L562</f>
        <v>0</v>
      </c>
      <c r="N494" s="165" t="e">
        <f>-(J494*#REF!)/100</f>
        <v>#REF!</v>
      </c>
      <c r="AC494" s="76"/>
      <c r="AD494" s="76"/>
      <c r="AE494" s="76"/>
      <c r="AF494" s="76"/>
      <c r="AG494" s="76"/>
      <c r="AH494" s="76"/>
    </row>
    <row r="495" spans="1:34">
      <c r="A495" s="238" t="s">
        <v>170</v>
      </c>
      <c r="B495" s="182"/>
      <c r="C495" s="234">
        <f t="shared" si="76"/>
        <v>53</v>
      </c>
      <c r="D495" s="212">
        <f>D481</f>
        <v>83</v>
      </c>
      <c r="E495" s="283"/>
      <c r="F495" s="236">
        <f t="shared" si="77"/>
        <v>-44</v>
      </c>
      <c r="G495" s="212">
        <f>G481</f>
        <v>84</v>
      </c>
      <c r="H495" s="212"/>
      <c r="I495" s="236">
        <f t="shared" si="77"/>
        <v>-44</v>
      </c>
      <c r="J495" s="212">
        <f>J481</f>
        <v>95</v>
      </c>
      <c r="K495" s="199"/>
      <c r="L495" s="236">
        <f t="shared" si="78"/>
        <v>-50</v>
      </c>
      <c r="N495" s="165" t="e">
        <f>-(J495*#REF!)/100</f>
        <v>#REF!</v>
      </c>
      <c r="P495" s="291"/>
      <c r="AB495" s="76"/>
      <c r="AC495" s="76"/>
      <c r="AD495" s="76"/>
      <c r="AE495" s="76"/>
      <c r="AF495" s="76"/>
      <c r="AG495" s="76"/>
      <c r="AH495" s="76"/>
    </row>
    <row r="496" spans="1:34">
      <c r="A496" s="238" t="s">
        <v>171</v>
      </c>
      <c r="B496" s="182"/>
      <c r="C496" s="234">
        <f t="shared" si="76"/>
        <v>144</v>
      </c>
      <c r="D496" s="212">
        <f>D482</f>
        <v>166</v>
      </c>
      <c r="E496" s="292"/>
      <c r="F496" s="236">
        <f t="shared" si="77"/>
        <v>-239</v>
      </c>
      <c r="G496" s="212">
        <f>G482</f>
        <v>168</v>
      </c>
      <c r="H496" s="212"/>
      <c r="I496" s="236">
        <f t="shared" si="77"/>
        <v>-242</v>
      </c>
      <c r="J496" s="212">
        <f>J482</f>
        <v>189</v>
      </c>
      <c r="K496" s="293"/>
      <c r="L496" s="236">
        <f t="shared" si="78"/>
        <v>-272</v>
      </c>
      <c r="N496" s="165" t="e">
        <f>-(J496*#REF!)/100</f>
        <v>#REF!</v>
      </c>
      <c r="P496" s="291"/>
      <c r="AB496" s="76"/>
      <c r="AC496" s="76"/>
      <c r="AD496" s="76"/>
      <c r="AE496" s="76"/>
      <c r="AF496" s="76"/>
      <c r="AG496" s="76"/>
      <c r="AH496" s="76"/>
    </row>
    <row r="497" spans="1:34">
      <c r="A497" s="238" t="s">
        <v>170</v>
      </c>
      <c r="B497" s="182"/>
      <c r="C497" s="234">
        <f t="shared" si="76"/>
        <v>9413</v>
      </c>
      <c r="D497" s="212">
        <f>D484</f>
        <v>1.47</v>
      </c>
      <c r="E497" s="283"/>
      <c r="F497" s="236">
        <f t="shared" si="77"/>
        <v>-139</v>
      </c>
      <c r="G497" s="212">
        <f>G484</f>
        <v>1.48</v>
      </c>
      <c r="H497" s="212"/>
      <c r="I497" s="236">
        <f t="shared" si="77"/>
        <v>-139</v>
      </c>
      <c r="J497" s="212">
        <f>J484</f>
        <v>1.67</v>
      </c>
      <c r="K497" s="199"/>
      <c r="L497" s="236">
        <f t="shared" si="78"/>
        <v>-157</v>
      </c>
      <c r="N497" s="165" t="e">
        <f>-(J497*#REF!)/100</f>
        <v>#REF!</v>
      </c>
      <c r="AB497" s="76"/>
      <c r="AC497" s="76"/>
      <c r="AD497" s="76"/>
      <c r="AE497" s="76"/>
      <c r="AF497" s="76"/>
      <c r="AG497" s="76"/>
      <c r="AH497" s="76"/>
    </row>
    <row r="498" spans="1:34">
      <c r="A498" s="238" t="s">
        <v>171</v>
      </c>
      <c r="B498" s="182"/>
      <c r="C498" s="234">
        <f t="shared" si="76"/>
        <v>92893</v>
      </c>
      <c r="D498" s="212">
        <f>D485</f>
        <v>1.2</v>
      </c>
      <c r="E498" s="283" t="s">
        <v>0</v>
      </c>
      <c r="F498" s="236">
        <f t="shared" si="77"/>
        <v>-1115</v>
      </c>
      <c r="G498" s="212">
        <f>G485</f>
        <v>1.22</v>
      </c>
      <c r="H498" s="212"/>
      <c r="I498" s="236">
        <f t="shared" si="77"/>
        <v>-1134</v>
      </c>
      <c r="J498" s="212">
        <f>J485</f>
        <v>1.37</v>
      </c>
      <c r="K498" s="199"/>
      <c r="L498" s="236">
        <f t="shared" si="78"/>
        <v>-1273</v>
      </c>
      <c r="N498" s="165" t="e">
        <f>-(J498*#REF!)/100</f>
        <v>#REF!</v>
      </c>
      <c r="AB498" s="76"/>
      <c r="AC498" s="76"/>
      <c r="AD498" s="76"/>
      <c r="AE498" s="76"/>
      <c r="AF498" s="76"/>
      <c r="AG498" s="76"/>
      <c r="AH498" s="76"/>
    </row>
    <row r="499" spans="1:34">
      <c r="A499" s="217" t="s">
        <v>173</v>
      </c>
      <c r="B499" s="182"/>
      <c r="C499" s="234">
        <f t="shared" si="76"/>
        <v>71540</v>
      </c>
      <c r="D499" s="212">
        <f>D487</f>
        <v>3.75</v>
      </c>
      <c r="E499" s="283" t="s">
        <v>0</v>
      </c>
      <c r="F499" s="236">
        <f t="shared" si="77"/>
        <v>-2683</v>
      </c>
      <c r="G499" s="212">
        <f>G487</f>
        <v>3.88</v>
      </c>
      <c r="H499" s="212"/>
      <c r="I499" s="236">
        <f t="shared" si="77"/>
        <v>-2776</v>
      </c>
      <c r="J499" s="212">
        <f>J487</f>
        <v>4.37</v>
      </c>
      <c r="K499" s="199"/>
      <c r="L499" s="236">
        <f t="shared" si="78"/>
        <v>-3126</v>
      </c>
      <c r="N499" s="165" t="e">
        <f>-(J499*#REF!)/100</f>
        <v>#REF!</v>
      </c>
      <c r="AB499" s="76"/>
      <c r="AC499" s="76"/>
      <c r="AD499" s="76"/>
      <c r="AE499" s="76"/>
      <c r="AF499" s="76"/>
      <c r="AG499" s="76"/>
      <c r="AH499" s="76"/>
    </row>
    <row r="500" spans="1:34">
      <c r="A500" s="217" t="s">
        <v>186</v>
      </c>
      <c r="B500" s="182"/>
      <c r="C500" s="234">
        <f t="shared" si="76"/>
        <v>200</v>
      </c>
      <c r="D500" s="212">
        <f>D488</f>
        <v>3.75</v>
      </c>
      <c r="E500" s="283" t="s">
        <v>0</v>
      </c>
      <c r="F500" s="236">
        <f t="shared" si="77"/>
        <v>-8</v>
      </c>
      <c r="G500" s="212">
        <f>G488</f>
        <v>3.88</v>
      </c>
      <c r="H500" s="212"/>
      <c r="I500" s="236">
        <f t="shared" si="77"/>
        <v>-8</v>
      </c>
      <c r="J500" s="212">
        <f>J488</f>
        <v>4.37</v>
      </c>
      <c r="K500" s="199"/>
      <c r="L500" s="236">
        <f t="shared" si="78"/>
        <v>-9</v>
      </c>
      <c r="N500" s="165" t="e">
        <f>-(J500*#REF!)/100</f>
        <v>#REF!</v>
      </c>
      <c r="AB500" s="76"/>
      <c r="AC500" s="76"/>
      <c r="AD500" s="76"/>
      <c r="AE500" s="76"/>
      <c r="AF500" s="76"/>
      <c r="AG500" s="76"/>
      <c r="AH500" s="76"/>
    </row>
    <row r="501" spans="1:34">
      <c r="A501" s="238" t="s">
        <v>175</v>
      </c>
      <c r="B501" s="182"/>
      <c r="C501" s="234">
        <f t="shared" si="76"/>
        <v>7044240</v>
      </c>
      <c r="D501" s="214">
        <f>D490</f>
        <v>4.3570000000000002</v>
      </c>
      <c r="E501" s="236" t="s">
        <v>126</v>
      </c>
      <c r="F501" s="236">
        <f t="shared" si="77"/>
        <v>-3069</v>
      </c>
      <c r="G501" s="214">
        <f>G490</f>
        <v>4.6340000000000003</v>
      </c>
      <c r="H501" s="214"/>
      <c r="I501" s="236">
        <f t="shared" si="77"/>
        <v>-3264</v>
      </c>
      <c r="J501" s="214">
        <f>J490</f>
        <v>5.2170000000000005</v>
      </c>
      <c r="K501" s="238" t="s">
        <v>126</v>
      </c>
      <c r="L501" s="236">
        <f t="shared" si="78"/>
        <v>-3675</v>
      </c>
      <c r="N501" s="165" t="e">
        <f>-((J501*#REF!)/100)/100</f>
        <v>#REF!</v>
      </c>
      <c r="AB501" s="76"/>
      <c r="AC501" s="76"/>
      <c r="AD501" s="76"/>
      <c r="AE501" s="76"/>
      <c r="AF501" s="76"/>
      <c r="AG501" s="76"/>
      <c r="AH501" s="76"/>
    </row>
    <row r="502" spans="1:34">
      <c r="A502" s="238" t="s">
        <v>149</v>
      </c>
      <c r="B502" s="182"/>
      <c r="C502" s="234">
        <f t="shared" si="76"/>
        <v>18913940</v>
      </c>
      <c r="D502" s="214">
        <f>D491</f>
        <v>3.9930000000000003</v>
      </c>
      <c r="E502" s="236" t="s">
        <v>126</v>
      </c>
      <c r="F502" s="236">
        <f t="shared" si="77"/>
        <v>-7552</v>
      </c>
      <c r="G502" s="214">
        <f>G491</f>
        <v>4.2469999999999999</v>
      </c>
      <c r="H502" s="214"/>
      <c r="I502" s="236">
        <f t="shared" si="77"/>
        <v>-8033</v>
      </c>
      <c r="J502" s="214">
        <f>J491</f>
        <v>4.7799999999999994</v>
      </c>
      <c r="K502" s="238" t="s">
        <v>126</v>
      </c>
      <c r="L502" s="236">
        <f t="shared" si="78"/>
        <v>-9041</v>
      </c>
      <c r="N502" s="165" t="e">
        <f>-((J502*#REF!)/100)/100</f>
        <v>#REF!</v>
      </c>
      <c r="AB502" s="76"/>
      <c r="AC502" s="76"/>
      <c r="AD502" s="76"/>
      <c r="AE502" s="76"/>
      <c r="AF502" s="76"/>
      <c r="AG502" s="76"/>
      <c r="AH502" s="76"/>
    </row>
    <row r="503" spans="1:34">
      <c r="A503" s="238" t="s">
        <v>150</v>
      </c>
      <c r="B503" s="182"/>
      <c r="C503" s="234">
        <f t="shared" si="76"/>
        <v>17082</v>
      </c>
      <c r="D503" s="294">
        <f>D492</f>
        <v>45</v>
      </c>
      <c r="E503" s="236" t="s">
        <v>126</v>
      </c>
      <c r="F503" s="236">
        <f t="shared" si="77"/>
        <v>-77</v>
      </c>
      <c r="G503" s="294">
        <f>G492</f>
        <v>50</v>
      </c>
      <c r="H503" s="294"/>
      <c r="I503" s="236">
        <f t="shared" si="77"/>
        <v>-85</v>
      </c>
      <c r="J503" s="294">
        <f>J492</f>
        <v>56</v>
      </c>
      <c r="K503" s="238" t="s">
        <v>126</v>
      </c>
      <c r="L503" s="236">
        <f t="shared" si="78"/>
        <v>-96</v>
      </c>
      <c r="N503" s="165" t="e">
        <f>-((J503*#REF!)/100)/100</f>
        <v>#REF!</v>
      </c>
      <c r="AB503" s="76"/>
      <c r="AC503" s="76"/>
      <c r="AD503" s="76"/>
      <c r="AE503" s="76"/>
      <c r="AF503" s="76"/>
      <c r="AG503" s="76"/>
      <c r="AH503" s="76"/>
    </row>
    <row r="504" spans="1:34">
      <c r="A504" s="238" t="s">
        <v>187</v>
      </c>
      <c r="B504" s="182"/>
      <c r="C504" s="234">
        <f t="shared" si="76"/>
        <v>193</v>
      </c>
      <c r="D504" s="204">
        <v>60</v>
      </c>
      <c r="E504" s="283" t="s">
        <v>0</v>
      </c>
      <c r="F504" s="236">
        <f t="shared" si="77"/>
        <v>11580</v>
      </c>
      <c r="G504" s="204">
        <v>60</v>
      </c>
      <c r="H504" s="204"/>
      <c r="I504" s="236">
        <f t="shared" si="77"/>
        <v>11580</v>
      </c>
      <c r="J504" s="204">
        <v>60</v>
      </c>
      <c r="K504" s="182"/>
      <c r="L504" s="236">
        <f t="shared" si="78"/>
        <v>11580</v>
      </c>
      <c r="N504" s="165" t="e">
        <f>J504*#REF!</f>
        <v>#REF!</v>
      </c>
      <c r="AB504" s="76"/>
      <c r="AC504" s="76"/>
      <c r="AD504" s="76"/>
      <c r="AE504" s="76"/>
      <c r="AF504" s="76"/>
      <c r="AG504" s="76"/>
      <c r="AH504" s="76"/>
    </row>
    <row r="505" spans="1:34">
      <c r="A505" s="238" t="s">
        <v>188</v>
      </c>
      <c r="B505" s="182"/>
      <c r="C505" s="234">
        <f t="shared" si="76"/>
        <v>99240</v>
      </c>
      <c r="D505" s="253">
        <v>-30</v>
      </c>
      <c r="E505" s="236" t="s">
        <v>126</v>
      </c>
      <c r="F505" s="236">
        <f t="shared" si="77"/>
        <v>-29772</v>
      </c>
      <c r="G505" s="253">
        <v>-30</v>
      </c>
      <c r="H505" s="253"/>
      <c r="I505" s="236">
        <f t="shared" si="77"/>
        <v>-29772</v>
      </c>
      <c r="J505" s="253">
        <v>-30</v>
      </c>
      <c r="K505" s="236" t="s">
        <v>126</v>
      </c>
      <c r="L505" s="236">
        <f t="shared" si="78"/>
        <v>-29772</v>
      </c>
      <c r="N505" s="165" t="e">
        <f>(J505/100)*#REF!</f>
        <v>#REF!</v>
      </c>
      <c r="AB505" s="76"/>
      <c r="AC505" s="76"/>
      <c r="AD505" s="76"/>
      <c r="AE505" s="76"/>
      <c r="AF505" s="76"/>
      <c r="AG505" s="76"/>
      <c r="AH505" s="76"/>
    </row>
    <row r="506" spans="1:34">
      <c r="A506" s="182" t="s">
        <v>131</v>
      </c>
      <c r="B506" s="295"/>
      <c r="C506" s="234">
        <f t="shared" si="76"/>
        <v>925316642</v>
      </c>
      <c r="D506" s="244"/>
      <c r="E506" s="164"/>
      <c r="F506" s="164">
        <f t="shared" si="77"/>
        <v>54393594</v>
      </c>
      <c r="G506" s="244"/>
      <c r="H506" s="244"/>
      <c r="I506" s="164">
        <f t="shared" si="77"/>
        <v>57274319</v>
      </c>
      <c r="J506" s="164"/>
      <c r="K506" s="182"/>
      <c r="L506" s="164">
        <f t="shared" si="78"/>
        <v>64481466</v>
      </c>
      <c r="N506" s="165" t="e">
        <f>SUM(N480:N505)</f>
        <v>#REF!</v>
      </c>
      <c r="Q506" s="296"/>
      <c r="AB506" s="76"/>
      <c r="AC506" s="76"/>
      <c r="AD506" s="76"/>
      <c r="AE506" s="76"/>
      <c r="AF506" s="76"/>
      <c r="AG506" s="76"/>
      <c r="AH506" s="76"/>
    </row>
    <row r="507" spans="1:34">
      <c r="A507" s="182" t="s">
        <v>114</v>
      </c>
      <c r="B507" s="228"/>
      <c r="C507" s="255">
        <f t="shared" si="76"/>
        <v>16482991.572074447</v>
      </c>
      <c r="D507" s="217"/>
      <c r="E507" s="217"/>
      <c r="F507" s="218">
        <f t="shared" si="77"/>
        <v>1105867.992478227</v>
      </c>
      <c r="G507" s="217"/>
      <c r="H507" s="217"/>
      <c r="I507" s="218">
        <f t="shared" si="77"/>
        <v>1105867.992478227</v>
      </c>
      <c r="J507" s="217"/>
      <c r="K507" s="217"/>
      <c r="L507" s="218">
        <f>F507</f>
        <v>1105867.992478227</v>
      </c>
      <c r="N507" s="257"/>
      <c r="O507" s="257"/>
      <c r="P507" s="297"/>
      <c r="Q507" s="298">
        <v>0.12565122944934995</v>
      </c>
      <c r="AB507" s="76"/>
      <c r="AC507" s="76"/>
      <c r="AD507" s="76"/>
      <c r="AE507" s="76"/>
      <c r="AF507" s="76"/>
      <c r="AG507" s="76"/>
      <c r="AH507" s="76"/>
    </row>
    <row r="508" spans="1:34" ht="16.5" thickBot="1">
      <c r="A508" s="182" t="s">
        <v>132</v>
      </c>
      <c r="B508" s="182"/>
      <c r="C508" s="284">
        <f>SUM(C506)+C507</f>
        <v>941799633.57207441</v>
      </c>
      <c r="D508" s="258"/>
      <c r="E508" s="259"/>
      <c r="F508" s="260">
        <f>F506+F507</f>
        <v>55499461.992478229</v>
      </c>
      <c r="G508" s="258"/>
      <c r="H508" s="258"/>
      <c r="I508" s="260">
        <f>I506+I507</f>
        <v>58380186.992478229</v>
      </c>
      <c r="J508" s="258"/>
      <c r="K508" s="262"/>
      <c r="L508" s="260">
        <f>L506+L507</f>
        <v>65587333.992478229</v>
      </c>
      <c r="N508" s="263"/>
      <c r="O508" s="179" t="s">
        <v>157</v>
      </c>
      <c r="P508" s="264">
        <v>65587292.852182612</v>
      </c>
      <c r="Q508" s="176">
        <f>(L508-I508)/I508</f>
        <v>0.12345193414554458</v>
      </c>
      <c r="R508" s="88" t="s">
        <v>117</v>
      </c>
      <c r="AB508" s="76"/>
      <c r="AC508" s="76"/>
      <c r="AD508" s="76"/>
      <c r="AE508" s="76"/>
      <c r="AF508" s="76"/>
      <c r="AG508" s="76"/>
      <c r="AH508" s="76"/>
    </row>
    <row r="509" spans="1:34" ht="16.5" thickTop="1">
      <c r="A509" s="182"/>
      <c r="B509" s="182"/>
      <c r="C509" s="200"/>
      <c r="D509" s="252"/>
      <c r="E509" s="164"/>
      <c r="F509" s="164"/>
      <c r="G509" s="252"/>
      <c r="H509" s="252"/>
      <c r="I509" s="164"/>
      <c r="J509" s="275" t="s">
        <v>0</v>
      </c>
      <c r="K509" s="182"/>
      <c r="L509" s="164" t="s">
        <v>0</v>
      </c>
      <c r="O509" s="183" t="s">
        <v>118</v>
      </c>
      <c r="P509" s="265">
        <f>P508-L508</f>
        <v>-41.140295617282391</v>
      </c>
      <c r="Q509" s="185" t="s">
        <v>0</v>
      </c>
      <c r="AB509" s="76"/>
      <c r="AC509" s="76"/>
      <c r="AD509" s="76"/>
      <c r="AE509" s="76"/>
      <c r="AF509" s="76"/>
      <c r="AG509" s="76"/>
      <c r="AH509" s="76"/>
    </row>
    <row r="510" spans="1:34" hidden="1">
      <c r="A510" s="199" t="s">
        <v>184</v>
      </c>
      <c r="B510" s="182"/>
      <c r="C510" s="182"/>
      <c r="D510" s="164"/>
      <c r="E510" s="164"/>
      <c r="F510" s="182" t="s">
        <v>0</v>
      </c>
      <c r="G510" s="164"/>
      <c r="H510" s="164"/>
      <c r="I510" s="182"/>
      <c r="J510" s="164"/>
      <c r="K510" s="182"/>
      <c r="L510" s="182"/>
      <c r="AB510" s="76"/>
      <c r="AC510" s="76"/>
      <c r="AD510" s="76"/>
      <c r="AE510" s="76"/>
      <c r="AF510" s="76"/>
      <c r="AG510" s="76"/>
      <c r="AH510" s="76"/>
    </row>
    <row r="511" spans="1:34" hidden="1">
      <c r="A511" s="217" t="s">
        <v>189</v>
      </c>
      <c r="B511" s="182"/>
      <c r="C511" s="182"/>
      <c r="D511" s="164"/>
      <c r="E511" s="164"/>
      <c r="F511" s="182"/>
      <c r="G511" s="164"/>
      <c r="H511" s="164"/>
      <c r="I511" s="182"/>
      <c r="J511" s="164"/>
      <c r="K511" s="182"/>
      <c r="L511" s="182"/>
      <c r="P511" s="185" t="s">
        <v>0</v>
      </c>
      <c r="AB511" s="76"/>
      <c r="AC511" s="76"/>
      <c r="AD511" s="76"/>
      <c r="AE511" s="76"/>
      <c r="AF511" s="76"/>
      <c r="AG511" s="76"/>
      <c r="AH511" s="76"/>
    </row>
    <row r="512" spans="1:34" hidden="1">
      <c r="A512" s="238"/>
      <c r="B512" s="182"/>
      <c r="C512" s="182"/>
      <c r="D512" s="164"/>
      <c r="E512" s="164"/>
      <c r="F512" s="182"/>
      <c r="G512" s="164"/>
      <c r="H512" s="164"/>
      <c r="I512" s="182"/>
      <c r="J512" s="164"/>
      <c r="K512" s="182"/>
      <c r="L512" s="182"/>
      <c r="N512" s="76"/>
      <c r="O512" s="76"/>
      <c r="P512" s="144"/>
      <c r="Q512" s="144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</row>
    <row r="513" spans="1:34" hidden="1">
      <c r="A513" s="238" t="s">
        <v>144</v>
      </c>
      <c r="B513" s="182"/>
      <c r="C513" s="234"/>
      <c r="D513" s="164"/>
      <c r="E513" s="164"/>
      <c r="F513" s="182"/>
      <c r="G513" s="164"/>
      <c r="H513" s="164"/>
      <c r="I513" s="182"/>
      <c r="J513" s="164"/>
      <c r="K513" s="182"/>
      <c r="L513" s="182"/>
      <c r="N513" s="76"/>
      <c r="O513" s="76"/>
      <c r="P513" s="144"/>
      <c r="Q513" s="144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</row>
    <row r="514" spans="1:34" hidden="1">
      <c r="A514" s="238" t="s">
        <v>169</v>
      </c>
      <c r="B514" s="182"/>
      <c r="C514" s="234">
        <v>187</v>
      </c>
      <c r="D514" s="204">
        <f>$D$480</f>
        <v>225</v>
      </c>
      <c r="E514" s="238"/>
      <c r="F514" s="236">
        <f>ROUND(D514*$C514,0)</f>
        <v>42075</v>
      </c>
      <c r="G514" s="204">
        <f>$G$480</f>
        <v>227</v>
      </c>
      <c r="H514" s="204"/>
      <c r="I514" s="236">
        <f>ROUND(G514*C514,0)</f>
        <v>42449</v>
      </c>
      <c r="J514" s="204">
        <f>$J$480</f>
        <v>254</v>
      </c>
      <c r="K514" s="238"/>
      <c r="L514" s="236">
        <f>ROUND(J514*$C514,0)</f>
        <v>47498</v>
      </c>
      <c r="N514" s="76"/>
      <c r="O514" s="76"/>
      <c r="P514" s="144"/>
      <c r="Q514" s="144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</row>
    <row r="515" spans="1:34" hidden="1">
      <c r="A515" s="238" t="s">
        <v>170</v>
      </c>
      <c r="B515" s="182"/>
      <c r="C515" s="234">
        <f>41+7958</f>
        <v>7999</v>
      </c>
      <c r="D515" s="204">
        <f>$D$481</f>
        <v>83</v>
      </c>
      <c r="E515" s="238"/>
      <c r="F515" s="236">
        <f>ROUND(D515*$C515,0)</f>
        <v>663917</v>
      </c>
      <c r="G515" s="204">
        <f>$G$481</f>
        <v>84</v>
      </c>
      <c r="H515" s="204"/>
      <c r="I515" s="236">
        <f>ROUND(G515*C515,0)</f>
        <v>671916</v>
      </c>
      <c r="J515" s="204">
        <f>$J$481</f>
        <v>95</v>
      </c>
      <c r="K515" s="238"/>
      <c r="L515" s="236">
        <f>ROUND(J515*$C515,0)</f>
        <v>759905</v>
      </c>
      <c r="N515" s="76"/>
      <c r="O515" s="76"/>
      <c r="P515" s="144"/>
      <c r="Q515" s="144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</row>
    <row r="516" spans="1:34" hidden="1">
      <c r="A516" s="238" t="s">
        <v>171</v>
      </c>
      <c r="B516" s="182"/>
      <c r="C516" s="234">
        <f>4+116+2832</f>
        <v>2952</v>
      </c>
      <c r="D516" s="204">
        <f>$D$482</f>
        <v>166</v>
      </c>
      <c r="E516" s="240"/>
      <c r="F516" s="236">
        <f>ROUND(D516*$C516,0)</f>
        <v>490032</v>
      </c>
      <c r="G516" s="204">
        <f>$G$482</f>
        <v>168</v>
      </c>
      <c r="H516" s="204"/>
      <c r="I516" s="236">
        <f>ROUND(G516*C516,0)</f>
        <v>495936</v>
      </c>
      <c r="J516" s="204">
        <f>$J$482</f>
        <v>189</v>
      </c>
      <c r="K516" s="240"/>
      <c r="L516" s="236">
        <f>ROUND(J516*$C516,0)</f>
        <v>557928</v>
      </c>
      <c r="N516" s="76"/>
      <c r="O516" s="76"/>
      <c r="P516" s="144"/>
      <c r="Q516" s="144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</row>
    <row r="517" spans="1:34" hidden="1">
      <c r="A517" s="238" t="s">
        <v>145</v>
      </c>
      <c r="B517" s="182"/>
      <c r="C517" s="234">
        <f>SUM(C514:C516)</f>
        <v>11138</v>
      </c>
      <c r="D517" s="204"/>
      <c r="E517" s="238"/>
      <c r="F517" s="236"/>
      <c r="G517" s="204"/>
      <c r="H517" s="204"/>
      <c r="I517" s="236"/>
      <c r="J517" s="204"/>
      <c r="K517" s="238"/>
      <c r="L517" s="236"/>
      <c r="N517" s="76"/>
      <c r="O517" s="76"/>
      <c r="P517" s="144"/>
      <c r="Q517" s="144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</row>
    <row r="518" spans="1:34" hidden="1">
      <c r="A518" s="238" t="s">
        <v>170</v>
      </c>
      <c r="B518" s="182"/>
      <c r="C518" s="234">
        <f>7655+1368938</f>
        <v>1376593</v>
      </c>
      <c r="D518" s="204">
        <f>$D$484</f>
        <v>1.47</v>
      </c>
      <c r="E518" s="238" t="s">
        <v>0</v>
      </c>
      <c r="F518" s="236">
        <f>ROUND(D518*$C518,0)</f>
        <v>2023592</v>
      </c>
      <c r="G518" s="204">
        <f>$G$484</f>
        <v>1.48</v>
      </c>
      <c r="H518" s="204"/>
      <c r="I518" s="236">
        <f t="shared" ref="I518:I519" si="79">ROUND(G518*C518,0)</f>
        <v>2037358</v>
      </c>
      <c r="J518" s="204">
        <f>$J$484</f>
        <v>1.67</v>
      </c>
      <c r="K518" s="238" t="s">
        <v>0</v>
      </c>
      <c r="L518" s="236">
        <f>ROUND(J518*$C518,0)</f>
        <v>2298910</v>
      </c>
      <c r="N518" s="76"/>
      <c r="O518" s="76"/>
      <c r="P518" s="144"/>
      <c r="Q518" s="144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</row>
    <row r="519" spans="1:34" hidden="1">
      <c r="A519" s="238" t="s">
        <v>171</v>
      </c>
      <c r="B519" s="182"/>
      <c r="C519" s="234">
        <f>3066+70516+1386773</f>
        <v>1460355</v>
      </c>
      <c r="D519" s="204">
        <f>$D$485</f>
        <v>1.2</v>
      </c>
      <c r="E519" s="238" t="s">
        <v>0</v>
      </c>
      <c r="F519" s="236">
        <f>ROUND(D519*$C519,0)</f>
        <v>1752426</v>
      </c>
      <c r="G519" s="204">
        <f>$G$485</f>
        <v>1.22</v>
      </c>
      <c r="H519" s="204"/>
      <c r="I519" s="236">
        <f t="shared" si="79"/>
        <v>1781633</v>
      </c>
      <c r="J519" s="204">
        <f>$J$485</f>
        <v>1.37</v>
      </c>
      <c r="K519" s="238" t="s">
        <v>0</v>
      </c>
      <c r="L519" s="236">
        <f>ROUND(J519*$C519,0)</f>
        <v>2000686</v>
      </c>
      <c r="N519" s="76"/>
      <c r="O519" s="76"/>
      <c r="P519" s="144"/>
      <c r="Q519" s="144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</row>
    <row r="520" spans="1:34" hidden="1">
      <c r="A520" s="217" t="s">
        <v>172</v>
      </c>
      <c r="B520" s="182"/>
      <c r="C520" s="234"/>
      <c r="D520" s="212"/>
      <c r="E520" s="238"/>
      <c r="F520" s="236"/>
      <c r="G520" s="212"/>
      <c r="H520" s="212"/>
      <c r="I520" s="236"/>
      <c r="J520" s="212"/>
      <c r="K520" s="238"/>
      <c r="L520" s="236"/>
      <c r="N520" s="76"/>
      <c r="O520" s="76"/>
      <c r="P520" s="144"/>
      <c r="Q520" s="144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</row>
    <row r="521" spans="1:34" hidden="1">
      <c r="A521" s="217" t="s">
        <v>173</v>
      </c>
      <c r="B521" s="182"/>
      <c r="C521" s="234">
        <f>5281+47605+11258+1050898+1081760</f>
        <v>2196802</v>
      </c>
      <c r="D521" s="204">
        <f>$D$487</f>
        <v>3.75</v>
      </c>
      <c r="E521" s="238"/>
      <c r="F521" s="236">
        <f>ROUND(D521*$C521,0)</f>
        <v>8238008</v>
      </c>
      <c r="G521" s="204">
        <f>$G$487</f>
        <v>3.88</v>
      </c>
      <c r="H521" s="204"/>
      <c r="I521" s="236">
        <f t="shared" ref="I521:I522" si="80">ROUND(G521*C521,0)</f>
        <v>8523592</v>
      </c>
      <c r="J521" s="204">
        <f>$J$487</f>
        <v>4.37</v>
      </c>
      <c r="K521" s="238"/>
      <c r="L521" s="236">
        <f>ROUND(J521*$C521,0)</f>
        <v>9600025</v>
      </c>
      <c r="N521" s="76"/>
      <c r="O521" s="76"/>
      <c r="P521" s="144"/>
      <c r="Q521" s="144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</row>
    <row r="522" spans="1:34" hidden="1">
      <c r="A522" s="217" t="s">
        <v>186</v>
      </c>
      <c r="B522" s="182"/>
      <c r="C522" s="234">
        <f>200+283+777+200</f>
        <v>1460</v>
      </c>
      <c r="D522" s="287">
        <f>D521</f>
        <v>3.75</v>
      </c>
      <c r="E522" s="238"/>
      <c r="F522" s="236">
        <f>ROUND(D522*$C522,0)</f>
        <v>5475</v>
      </c>
      <c r="G522" s="287">
        <f>G521</f>
        <v>3.88</v>
      </c>
      <c r="H522" s="287"/>
      <c r="I522" s="236">
        <f t="shared" si="80"/>
        <v>5665</v>
      </c>
      <c r="J522" s="287">
        <f>J521</f>
        <v>4.37</v>
      </c>
      <c r="K522" s="238"/>
      <c r="L522" s="236">
        <f>ROUND(J522*$C522,0)</f>
        <v>6380</v>
      </c>
      <c r="N522" s="76"/>
      <c r="O522" s="76"/>
      <c r="P522" s="144"/>
      <c r="Q522" s="144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</row>
    <row r="523" spans="1:34" hidden="1">
      <c r="A523" s="238" t="s">
        <v>174</v>
      </c>
      <c r="B523" s="182"/>
      <c r="C523" s="234"/>
      <c r="D523" s="204"/>
      <c r="E523" s="238"/>
      <c r="F523" s="236"/>
      <c r="G523" s="204"/>
      <c r="H523" s="204"/>
      <c r="I523" s="236"/>
      <c r="J523" s="204"/>
      <c r="K523" s="238"/>
      <c r="L523" s="236"/>
      <c r="N523" s="76"/>
      <c r="O523" s="76"/>
      <c r="P523" s="144"/>
      <c r="Q523" s="144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</row>
    <row r="524" spans="1:34" hidden="1">
      <c r="A524" s="238" t="s">
        <v>175</v>
      </c>
      <c r="B524" s="234"/>
      <c r="C524" s="234">
        <v>359114194</v>
      </c>
      <c r="D524" s="299">
        <f>$D$490</f>
        <v>4.3570000000000002</v>
      </c>
      <c r="E524" s="238" t="s">
        <v>126</v>
      </c>
      <c r="F524" s="236">
        <f>ROUND(D524*$C524/100,0)</f>
        <v>15646605</v>
      </c>
      <c r="G524" s="299">
        <f>$G$490</f>
        <v>4.6340000000000003</v>
      </c>
      <c r="H524" s="299"/>
      <c r="I524" s="236">
        <f>ROUND(G524*C524/100,0)</f>
        <v>16641352</v>
      </c>
      <c r="J524" s="288">
        <f>$J$490</f>
        <v>5.2170000000000005</v>
      </c>
      <c r="K524" s="238" t="s">
        <v>126</v>
      </c>
      <c r="L524" s="236">
        <f>ROUND(J524*$C524/100,0)</f>
        <v>18734988</v>
      </c>
      <c r="N524" s="76"/>
      <c r="O524" s="76"/>
      <c r="P524" s="144"/>
      <c r="Q524" s="144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</row>
    <row r="525" spans="1:34" hidden="1">
      <c r="A525" s="238" t="s">
        <v>149</v>
      </c>
      <c r="B525" s="234"/>
      <c r="C525" s="234">
        <v>433249546</v>
      </c>
      <c r="D525" s="299">
        <f>$D$491</f>
        <v>3.9930000000000003</v>
      </c>
      <c r="E525" s="238" t="s">
        <v>126</v>
      </c>
      <c r="F525" s="236">
        <f>ROUND(D525*$C525/100,0)</f>
        <v>17299654</v>
      </c>
      <c r="G525" s="299">
        <f>$G$491</f>
        <v>4.2469999999999999</v>
      </c>
      <c r="H525" s="299"/>
      <c r="I525" s="236">
        <f t="shared" ref="I525:I526" si="81">ROUND(G525*C525/100,0)</f>
        <v>18400108</v>
      </c>
      <c r="J525" s="288">
        <f>$J$491</f>
        <v>4.7799999999999994</v>
      </c>
      <c r="K525" s="238" t="s">
        <v>126</v>
      </c>
      <c r="L525" s="236">
        <f>ROUND(J525*$C525/100,0)</f>
        <v>20709328</v>
      </c>
      <c r="N525" s="76"/>
      <c r="O525" s="76"/>
      <c r="P525" s="144"/>
      <c r="Q525" s="144"/>
      <c r="R525" s="76"/>
      <c r="S525" s="76"/>
      <c r="T525" s="76"/>
      <c r="U525" s="76"/>
      <c r="V525" s="76"/>
      <c r="W525" s="76"/>
      <c r="X525" s="76"/>
      <c r="Y525" s="76"/>
      <c r="Z525" s="76"/>
      <c r="AA525" s="76"/>
      <c r="AB525" s="76"/>
      <c r="AC525" s="76"/>
      <c r="AD525" s="76"/>
      <c r="AE525" s="76"/>
      <c r="AF525" s="76"/>
      <c r="AG525" s="76"/>
      <c r="AH525" s="76"/>
    </row>
    <row r="526" spans="1:34" hidden="1">
      <c r="A526" s="238" t="s">
        <v>150</v>
      </c>
      <c r="B526" s="182"/>
      <c r="C526" s="234">
        <f>261+10627+1165+184518+209561</f>
        <v>406132</v>
      </c>
      <c r="D526" s="253">
        <f>$D$492</f>
        <v>45</v>
      </c>
      <c r="E526" s="238" t="s">
        <v>126</v>
      </c>
      <c r="F526" s="236">
        <f>ROUND(D526*$C526/100,0)</f>
        <v>182759</v>
      </c>
      <c r="G526" s="253">
        <f>$G$492</f>
        <v>50</v>
      </c>
      <c r="H526" s="253"/>
      <c r="I526" s="236">
        <f t="shared" si="81"/>
        <v>203066</v>
      </c>
      <c r="J526" s="290">
        <f>$J$492</f>
        <v>56</v>
      </c>
      <c r="K526" s="238" t="s">
        <v>126</v>
      </c>
      <c r="L526" s="236">
        <f>ROUND(J526*$C526/100,0)</f>
        <v>227434</v>
      </c>
      <c r="N526" s="76"/>
      <c r="O526" s="76"/>
      <c r="P526" s="144"/>
      <c r="Q526" s="144"/>
      <c r="R526" s="76"/>
      <c r="S526" s="76"/>
      <c r="T526" s="76"/>
      <c r="U526" s="76"/>
      <c r="V526" s="76"/>
      <c r="W526" s="76"/>
      <c r="X526" s="76"/>
      <c r="Y526" s="76"/>
      <c r="Z526" s="76"/>
      <c r="AA526" s="76"/>
      <c r="AB526" s="76"/>
      <c r="AC526" s="76"/>
      <c r="AD526" s="76"/>
      <c r="AE526" s="76"/>
      <c r="AF526" s="76"/>
      <c r="AG526" s="76"/>
      <c r="AH526" s="76"/>
    </row>
    <row r="527" spans="1:34" hidden="1">
      <c r="A527" s="280" t="s">
        <v>151</v>
      </c>
      <c r="B527" s="182"/>
      <c r="C527" s="234"/>
      <c r="D527" s="247">
        <v>-0.01</v>
      </c>
      <c r="E527" s="164"/>
      <c r="F527" s="236"/>
      <c r="G527" s="247">
        <v>-0.01</v>
      </c>
      <c r="H527" s="247"/>
      <c r="I527" s="236"/>
      <c r="J527" s="247">
        <v>-0.01</v>
      </c>
      <c r="K527" s="182"/>
      <c r="L527" s="236"/>
      <c r="N527" s="76"/>
      <c r="O527" s="76"/>
      <c r="P527" s="144"/>
      <c r="Q527" s="144"/>
      <c r="R527" s="76"/>
      <c r="S527" s="76"/>
      <c r="T527" s="76"/>
      <c r="U527" s="76"/>
      <c r="V527" s="76"/>
      <c r="W527" s="76"/>
      <c r="X527" s="76"/>
      <c r="Y527" s="76"/>
      <c r="Z527" s="76"/>
      <c r="AA527" s="76"/>
      <c r="AB527" s="76"/>
      <c r="AC527" s="76"/>
      <c r="AD527" s="76"/>
      <c r="AE527" s="76"/>
      <c r="AF527" s="76"/>
      <c r="AG527" s="76"/>
      <c r="AH527" s="76"/>
    </row>
    <row r="528" spans="1:34" hidden="1">
      <c r="A528" s="238" t="s">
        <v>169</v>
      </c>
      <c r="B528" s="200"/>
      <c r="C528" s="234">
        <v>0</v>
      </c>
      <c r="D528" s="212">
        <f>D514</f>
        <v>225</v>
      </c>
      <c r="E528" s="283"/>
      <c r="F528" s="236">
        <f>ROUND(D528*$C528*D527,0)</f>
        <v>0</v>
      </c>
      <c r="G528" s="212">
        <f>G514</f>
        <v>227</v>
      </c>
      <c r="H528" s="212"/>
      <c r="I528" s="236">
        <f>ROUND(G528*C528*$G$527,0)</f>
        <v>0</v>
      </c>
      <c r="J528" s="212">
        <f>J514</f>
        <v>254</v>
      </c>
      <c r="K528" s="199"/>
      <c r="L528" s="236">
        <f>ROUND(J528*$C528*J527,0)</f>
        <v>0</v>
      </c>
      <c r="N528" s="76"/>
      <c r="O528" s="76"/>
      <c r="P528" s="144"/>
      <c r="Q528" s="144"/>
      <c r="R528" s="76"/>
      <c r="S528" s="76"/>
      <c r="T528" s="76"/>
      <c r="U528" s="76"/>
      <c r="V528" s="76"/>
      <c r="W528" s="76"/>
      <c r="X528" s="76"/>
      <c r="Y528" s="76"/>
      <c r="Z528" s="76"/>
      <c r="AA528" s="76"/>
      <c r="AB528" s="76"/>
      <c r="AC528" s="76"/>
      <c r="AD528" s="76"/>
      <c r="AE528" s="76"/>
      <c r="AF528" s="76"/>
      <c r="AG528" s="76"/>
      <c r="AH528" s="76"/>
    </row>
    <row r="529" spans="1:34" hidden="1">
      <c r="A529" s="238" t="s">
        <v>170</v>
      </c>
      <c r="B529" s="182"/>
      <c r="C529" s="234">
        <f>41</f>
        <v>41</v>
      </c>
      <c r="D529" s="212">
        <f>D515</f>
        <v>83</v>
      </c>
      <c r="E529" s="283"/>
      <c r="F529" s="236">
        <f>ROUND(D529*$C529*D527,0)</f>
        <v>-34</v>
      </c>
      <c r="G529" s="212">
        <f>G515</f>
        <v>84</v>
      </c>
      <c r="H529" s="212"/>
      <c r="I529" s="236">
        <f t="shared" ref="I529:I534" si="82">ROUND(G529*C529*$G$527,0)</f>
        <v>-34</v>
      </c>
      <c r="J529" s="212">
        <f>J515</f>
        <v>95</v>
      </c>
      <c r="K529" s="199"/>
      <c r="L529" s="236">
        <f>ROUND(J529*$C529*J527,0)</f>
        <v>-39</v>
      </c>
      <c r="N529" s="76"/>
      <c r="O529" s="76"/>
      <c r="P529" s="144"/>
      <c r="Q529" s="144"/>
      <c r="R529" s="76"/>
      <c r="S529" s="76"/>
      <c r="T529" s="76"/>
      <c r="U529" s="76"/>
      <c r="V529" s="76"/>
      <c r="W529" s="76"/>
      <c r="X529" s="76"/>
      <c r="Y529" s="76"/>
      <c r="Z529" s="76"/>
      <c r="AA529" s="76"/>
      <c r="AB529" s="76"/>
      <c r="AC529" s="76"/>
      <c r="AD529" s="76"/>
      <c r="AE529" s="76"/>
      <c r="AF529" s="76"/>
      <c r="AG529" s="76"/>
      <c r="AH529" s="76"/>
    </row>
    <row r="530" spans="1:34" hidden="1">
      <c r="A530" s="238" t="s">
        <v>171</v>
      </c>
      <c r="B530" s="182"/>
      <c r="C530" s="234">
        <f>4+116</f>
        <v>120</v>
      </c>
      <c r="D530" s="212">
        <f>D516</f>
        <v>166</v>
      </c>
      <c r="E530" s="292"/>
      <c r="F530" s="236">
        <f>ROUND(D530*$C530*D527,0)</f>
        <v>-199</v>
      </c>
      <c r="G530" s="212">
        <f>G516</f>
        <v>168</v>
      </c>
      <c r="H530" s="212"/>
      <c r="I530" s="236">
        <f t="shared" si="82"/>
        <v>-202</v>
      </c>
      <c r="J530" s="212">
        <f>J516</f>
        <v>189</v>
      </c>
      <c r="K530" s="293"/>
      <c r="L530" s="236">
        <f>ROUND(J530*$C530*J527,0)</f>
        <v>-227</v>
      </c>
      <c r="N530" s="76"/>
      <c r="O530" s="76"/>
      <c r="P530" s="144"/>
      <c r="Q530" s="144"/>
      <c r="R530" s="76"/>
      <c r="S530" s="76"/>
      <c r="T530" s="76"/>
      <c r="U530" s="76"/>
      <c r="V530" s="76"/>
      <c r="W530" s="76"/>
      <c r="X530" s="76"/>
      <c r="Y530" s="76"/>
      <c r="Z530" s="76"/>
      <c r="AA530" s="76"/>
      <c r="AB530" s="76"/>
      <c r="AC530" s="76"/>
      <c r="AD530" s="76"/>
      <c r="AE530" s="76"/>
      <c r="AF530" s="76"/>
      <c r="AG530" s="76"/>
      <c r="AH530" s="76"/>
    </row>
    <row r="531" spans="1:34" hidden="1">
      <c r="A531" s="238" t="s">
        <v>170</v>
      </c>
      <c r="B531" s="182"/>
      <c r="C531" s="234">
        <f>7655</f>
        <v>7655</v>
      </c>
      <c r="D531" s="212">
        <f>D518</f>
        <v>1.47</v>
      </c>
      <c r="E531" s="283"/>
      <c r="F531" s="236">
        <f>ROUND(D531*$C531*D527,0)</f>
        <v>-113</v>
      </c>
      <c r="G531" s="212">
        <f>G518</f>
        <v>1.48</v>
      </c>
      <c r="H531" s="212"/>
      <c r="I531" s="236">
        <f t="shared" si="82"/>
        <v>-113</v>
      </c>
      <c r="J531" s="212">
        <f>J518</f>
        <v>1.67</v>
      </c>
      <c r="K531" s="199"/>
      <c r="L531" s="236">
        <f>ROUND(J531*$C531*J527,0)</f>
        <v>-128</v>
      </c>
      <c r="N531" s="76"/>
      <c r="O531" s="76"/>
      <c r="P531" s="300"/>
      <c r="Q531" s="144"/>
      <c r="R531" s="76"/>
      <c r="S531" s="76"/>
      <c r="T531" s="76"/>
      <c r="U531" s="76"/>
      <c r="V531" s="76"/>
      <c r="W531" s="76"/>
      <c r="X531" s="76"/>
      <c r="Y531" s="76"/>
      <c r="Z531" s="76"/>
      <c r="AA531" s="76"/>
      <c r="AB531" s="76"/>
      <c r="AC531" s="76"/>
      <c r="AD531" s="76"/>
      <c r="AE531" s="76"/>
      <c r="AF531" s="76"/>
      <c r="AG531" s="76"/>
      <c r="AH531" s="76"/>
    </row>
    <row r="532" spans="1:34" hidden="1">
      <c r="A532" s="238" t="s">
        <v>171</v>
      </c>
      <c r="B532" s="182"/>
      <c r="C532" s="234">
        <f>3066+70516</f>
        <v>73582</v>
      </c>
      <c r="D532" s="212">
        <f>D519</f>
        <v>1.2</v>
      </c>
      <c r="E532" s="283" t="s">
        <v>0</v>
      </c>
      <c r="F532" s="236">
        <f>ROUND(D532*$C532*D527,0)</f>
        <v>-883</v>
      </c>
      <c r="G532" s="212">
        <f>G519</f>
        <v>1.22</v>
      </c>
      <c r="H532" s="212"/>
      <c r="I532" s="236">
        <f t="shared" si="82"/>
        <v>-898</v>
      </c>
      <c r="J532" s="212">
        <f>J519</f>
        <v>1.37</v>
      </c>
      <c r="K532" s="199"/>
      <c r="L532" s="236">
        <f>ROUND(J532*$C532*J527,0)</f>
        <v>-1008</v>
      </c>
      <c r="N532" s="76"/>
      <c r="O532" s="76"/>
      <c r="P532" s="144"/>
      <c r="Q532" s="144"/>
      <c r="R532" s="76"/>
      <c r="S532" s="76"/>
      <c r="T532" s="76"/>
      <c r="U532" s="76"/>
      <c r="V532" s="76"/>
      <c r="W532" s="76"/>
      <c r="X532" s="76"/>
      <c r="Y532" s="76"/>
      <c r="Z532" s="76"/>
      <c r="AA532" s="76"/>
      <c r="AB532" s="76"/>
      <c r="AC532" s="76"/>
      <c r="AD532" s="76"/>
      <c r="AE532" s="76"/>
      <c r="AF532" s="76"/>
      <c r="AG532" s="76"/>
      <c r="AH532" s="76"/>
    </row>
    <row r="533" spans="1:34" hidden="1">
      <c r="A533" s="217" t="s">
        <v>173</v>
      </c>
      <c r="B533" s="182"/>
      <c r="C533" s="234">
        <f>5281+47605</f>
        <v>52886</v>
      </c>
      <c r="D533" s="212">
        <f>D521</f>
        <v>3.75</v>
      </c>
      <c r="E533" s="283" t="s">
        <v>0</v>
      </c>
      <c r="F533" s="236">
        <f>ROUND(D533*$C533*D527,0)</f>
        <v>-1983</v>
      </c>
      <c r="G533" s="212">
        <f>G521</f>
        <v>3.88</v>
      </c>
      <c r="H533" s="212"/>
      <c r="I533" s="236">
        <f t="shared" si="82"/>
        <v>-2052</v>
      </c>
      <c r="J533" s="212">
        <f>J521</f>
        <v>4.37</v>
      </c>
      <c r="K533" s="199"/>
      <c r="L533" s="236">
        <f>ROUND(J533*$C533*J527,0)</f>
        <v>-2311</v>
      </c>
      <c r="N533" s="76"/>
      <c r="O533" s="76"/>
      <c r="P533" s="144"/>
      <c r="Q533" s="144"/>
      <c r="R533" s="76"/>
      <c r="S533" s="76"/>
      <c r="T533" s="76"/>
      <c r="U533" s="76"/>
      <c r="V533" s="76"/>
      <c r="W533" s="76"/>
      <c r="X533" s="76"/>
      <c r="Y533" s="76"/>
      <c r="Z533" s="76"/>
      <c r="AA533" s="76"/>
      <c r="AB533" s="76"/>
      <c r="AC533" s="76"/>
      <c r="AD533" s="76"/>
      <c r="AE533" s="76"/>
      <c r="AF533" s="76"/>
      <c r="AG533" s="76"/>
      <c r="AH533" s="76"/>
    </row>
    <row r="534" spans="1:34" hidden="1">
      <c r="A534" s="217" t="s">
        <v>186</v>
      </c>
      <c r="B534" s="182"/>
      <c r="C534" s="234">
        <v>200</v>
      </c>
      <c r="D534" s="212">
        <f>D522</f>
        <v>3.75</v>
      </c>
      <c r="E534" s="283" t="s">
        <v>0</v>
      </c>
      <c r="F534" s="236">
        <f>ROUND(D534*$C534*D527,0)</f>
        <v>-8</v>
      </c>
      <c r="G534" s="212">
        <f>G522</f>
        <v>3.88</v>
      </c>
      <c r="H534" s="212"/>
      <c r="I534" s="236">
        <f t="shared" si="82"/>
        <v>-8</v>
      </c>
      <c r="J534" s="212">
        <f>J522</f>
        <v>4.37</v>
      </c>
      <c r="K534" s="199"/>
      <c r="L534" s="236">
        <f>ROUND(J534*$C534*J527,0)</f>
        <v>-9</v>
      </c>
      <c r="N534" s="76"/>
      <c r="O534" s="76"/>
      <c r="P534" s="144"/>
      <c r="Q534" s="144"/>
      <c r="R534" s="76"/>
      <c r="S534" s="76"/>
      <c r="T534" s="76"/>
      <c r="U534" s="76"/>
      <c r="V534" s="76"/>
      <c r="W534" s="76"/>
      <c r="X534" s="76"/>
      <c r="Y534" s="76"/>
      <c r="Z534" s="76"/>
      <c r="AA534" s="76"/>
      <c r="AB534" s="76"/>
      <c r="AC534" s="76"/>
      <c r="AD534" s="76"/>
      <c r="AE534" s="76"/>
      <c r="AF534" s="76"/>
      <c r="AG534" s="76"/>
      <c r="AH534" s="76"/>
    </row>
    <row r="535" spans="1:34" hidden="1">
      <c r="A535" s="238" t="s">
        <v>175</v>
      </c>
      <c r="B535" s="182"/>
      <c r="C535" s="234">
        <f>1374640+4229600</f>
        <v>5604240</v>
      </c>
      <c r="D535" s="214">
        <f>D524</f>
        <v>4.3570000000000002</v>
      </c>
      <c r="E535" s="236" t="s">
        <v>126</v>
      </c>
      <c r="F535" s="236">
        <f>ROUND(D535*$C535/100*D527,0)</f>
        <v>-2442</v>
      </c>
      <c r="G535" s="214">
        <f>G524</f>
        <v>4.6340000000000003</v>
      </c>
      <c r="H535" s="214"/>
      <c r="I535" s="236">
        <f>ROUND(G535*C535/100*$G$527,0)</f>
        <v>-2597</v>
      </c>
      <c r="J535" s="214">
        <f>J524</f>
        <v>5.2170000000000005</v>
      </c>
      <c r="K535" s="238" t="s">
        <v>126</v>
      </c>
      <c r="L535" s="236">
        <f>ROUND(J535*$C535/100*J527,0)</f>
        <v>-2924</v>
      </c>
      <c r="N535" s="267"/>
      <c r="O535" s="267"/>
      <c r="P535" s="144"/>
      <c r="Q535" s="144"/>
      <c r="R535" s="76"/>
      <c r="S535" s="76"/>
      <c r="T535" s="76"/>
      <c r="U535" s="76"/>
      <c r="V535" s="76"/>
      <c r="W535" s="76"/>
      <c r="X535" s="76"/>
      <c r="Y535" s="76"/>
      <c r="Z535" s="76"/>
      <c r="AA535" s="76"/>
      <c r="AB535" s="76"/>
      <c r="AC535" s="76"/>
      <c r="AD535" s="76"/>
      <c r="AE535" s="76"/>
      <c r="AF535" s="76"/>
      <c r="AG535" s="76"/>
      <c r="AH535" s="76"/>
    </row>
    <row r="536" spans="1:34" hidden="1">
      <c r="A536" s="238" t="s">
        <v>149</v>
      </c>
      <c r="B536" s="182"/>
      <c r="C536" s="234">
        <f>1828420+16826560-C535</f>
        <v>13050740</v>
      </c>
      <c r="D536" s="214">
        <f>D525</f>
        <v>3.9930000000000003</v>
      </c>
      <c r="E536" s="236" t="s">
        <v>126</v>
      </c>
      <c r="F536" s="236">
        <f>ROUND(D536*$C536/100*D527,0)</f>
        <v>-5211</v>
      </c>
      <c r="G536" s="214">
        <f>G525</f>
        <v>4.2469999999999999</v>
      </c>
      <c r="H536" s="214"/>
      <c r="I536" s="236">
        <f>ROUND(G536*C536/100*$G$527,0)</f>
        <v>-5543</v>
      </c>
      <c r="J536" s="214">
        <f>J525</f>
        <v>4.7799999999999994</v>
      </c>
      <c r="K536" s="238" t="s">
        <v>126</v>
      </c>
      <c r="L536" s="236">
        <f>ROUND(J536*$C536/100*J527,0)</f>
        <v>-6238</v>
      </c>
      <c r="N536" s="76"/>
      <c r="O536" s="76"/>
      <c r="P536" s="144"/>
      <c r="Q536" s="144"/>
      <c r="R536" s="76"/>
      <c r="S536" s="76"/>
      <c r="T536" s="76"/>
      <c r="U536" s="76"/>
      <c r="V536" s="76"/>
      <c r="W536" s="76"/>
      <c r="X536" s="76"/>
      <c r="Y536" s="76"/>
      <c r="Z536" s="76"/>
      <c r="AA536" s="76"/>
      <c r="AB536" s="76"/>
      <c r="AC536" s="76"/>
      <c r="AD536" s="76"/>
      <c r="AE536" s="76"/>
      <c r="AF536" s="76"/>
      <c r="AG536" s="76"/>
      <c r="AH536" s="76"/>
    </row>
    <row r="537" spans="1:34" hidden="1">
      <c r="A537" s="238" t="s">
        <v>150</v>
      </c>
      <c r="B537" s="182"/>
      <c r="C537" s="234">
        <f>261+10627</f>
        <v>10888</v>
      </c>
      <c r="D537" s="294">
        <f>D526</f>
        <v>45</v>
      </c>
      <c r="E537" s="236" t="s">
        <v>126</v>
      </c>
      <c r="F537" s="236">
        <f>ROUND(D537*$C537/100*D527,0)</f>
        <v>-49</v>
      </c>
      <c r="G537" s="294">
        <f>G526</f>
        <v>50</v>
      </c>
      <c r="H537" s="294"/>
      <c r="I537" s="236">
        <f>ROUND(G537*C537/100*$G$527,0)</f>
        <v>-54</v>
      </c>
      <c r="J537" s="294">
        <f>J526</f>
        <v>56</v>
      </c>
      <c r="K537" s="238" t="s">
        <v>126</v>
      </c>
      <c r="L537" s="236">
        <f>ROUND(J537*$C537/100*J527,0)</f>
        <v>-61</v>
      </c>
      <c r="N537" s="76"/>
      <c r="O537" s="76"/>
      <c r="P537" s="144"/>
      <c r="Q537" s="144"/>
      <c r="R537" s="76"/>
      <c r="S537" s="76"/>
      <c r="T537" s="76"/>
      <c r="U537" s="76"/>
      <c r="V537" s="76"/>
      <c r="W537" s="76"/>
      <c r="X537" s="76"/>
      <c r="Y537" s="76"/>
      <c r="Z537" s="76"/>
      <c r="AA537" s="76"/>
      <c r="AB537" s="76"/>
      <c r="AC537" s="76"/>
      <c r="AD537" s="76"/>
      <c r="AE537" s="76"/>
      <c r="AF537" s="76"/>
      <c r="AG537" s="76"/>
      <c r="AH537" s="76"/>
    </row>
    <row r="538" spans="1:34" hidden="1">
      <c r="A538" s="238" t="s">
        <v>187</v>
      </c>
      <c r="B538" s="182"/>
      <c r="C538" s="234">
        <f>41+116</f>
        <v>157</v>
      </c>
      <c r="D538" s="204">
        <f>$D$504</f>
        <v>60</v>
      </c>
      <c r="E538" s="283" t="s">
        <v>0</v>
      </c>
      <c r="F538" s="236">
        <f>ROUND(D538*$C538,0)</f>
        <v>9420</v>
      </c>
      <c r="G538" s="204">
        <f>$G$504</f>
        <v>60</v>
      </c>
      <c r="H538" s="204"/>
      <c r="I538" s="236">
        <f>ROUND(G538*C538,0)</f>
        <v>9420</v>
      </c>
      <c r="J538" s="204">
        <f>$J$504</f>
        <v>60</v>
      </c>
      <c r="K538" s="182"/>
      <c r="L538" s="236">
        <f>ROUND(J538*$C538,0)</f>
        <v>9420</v>
      </c>
      <c r="N538" s="76"/>
      <c r="O538" s="76"/>
      <c r="P538" s="144"/>
      <c r="Q538" s="301"/>
      <c r="R538" s="76"/>
      <c r="S538" s="76"/>
      <c r="T538" s="76"/>
      <c r="U538" s="76"/>
      <c r="V538" s="76"/>
      <c r="W538" s="76"/>
      <c r="X538" s="76"/>
      <c r="Y538" s="76"/>
      <c r="Z538" s="76"/>
      <c r="AA538" s="76"/>
      <c r="AB538" s="76"/>
      <c r="AC538" s="76"/>
      <c r="AD538" s="76"/>
      <c r="AE538" s="76"/>
      <c r="AF538" s="76"/>
      <c r="AG538" s="76"/>
      <c r="AH538" s="76"/>
    </row>
    <row r="539" spans="1:34" hidden="1">
      <c r="A539" s="238" t="s">
        <v>188</v>
      </c>
      <c r="B539" s="213"/>
      <c r="C539" s="234">
        <f>7655+70516</f>
        <v>78171</v>
      </c>
      <c r="D539" s="253">
        <f>$D$505</f>
        <v>-30</v>
      </c>
      <c r="E539" s="236" t="s">
        <v>126</v>
      </c>
      <c r="F539" s="236">
        <f>ROUND(D539*$C539/100,0)</f>
        <v>-23451</v>
      </c>
      <c r="G539" s="253">
        <f>$G$505</f>
        <v>-30</v>
      </c>
      <c r="H539" s="253"/>
      <c r="I539" s="236">
        <f>-ROUND(G539*C539*$G$527,0)</f>
        <v>-23451</v>
      </c>
      <c r="J539" s="253">
        <f>$J$505</f>
        <v>-30</v>
      </c>
      <c r="K539" s="236" t="s">
        <v>126</v>
      </c>
      <c r="L539" s="236">
        <f>ROUND(J539*$C539/100,0)</f>
        <v>-23451</v>
      </c>
      <c r="N539" s="76"/>
      <c r="O539" s="76"/>
      <c r="P539" s="144"/>
      <c r="Q539" s="144"/>
      <c r="R539" s="76"/>
      <c r="S539" s="76"/>
      <c r="T539" s="76"/>
      <c r="U539" s="76"/>
      <c r="V539" s="76"/>
      <c r="W539" s="76"/>
      <c r="X539" s="76"/>
      <c r="Y539" s="76"/>
      <c r="Z539" s="76"/>
      <c r="AA539" s="76"/>
      <c r="AB539" s="76"/>
      <c r="AC539" s="76"/>
      <c r="AD539" s="76"/>
      <c r="AE539" s="76"/>
      <c r="AF539" s="76"/>
      <c r="AG539" s="76"/>
      <c r="AH539" s="76"/>
    </row>
    <row r="540" spans="1:34" hidden="1">
      <c r="A540" s="182" t="s">
        <v>131</v>
      </c>
      <c r="B540" s="215"/>
      <c r="C540" s="234">
        <f>SUM(C524:C525)</f>
        <v>792363740</v>
      </c>
      <c r="D540" s="244"/>
      <c r="E540" s="164"/>
      <c r="F540" s="164">
        <f>SUM(F514:F539)</f>
        <v>46319590</v>
      </c>
      <c r="G540" s="244"/>
      <c r="H540" s="244"/>
      <c r="I540" s="164">
        <f>SUM(I514:I539)</f>
        <v>48777543</v>
      </c>
      <c r="J540" s="244"/>
      <c r="K540" s="182"/>
      <c r="L540" s="164">
        <f>SUM(L514:L539)</f>
        <v>54916106</v>
      </c>
      <c r="N540" s="76"/>
      <c r="O540" s="76"/>
      <c r="P540" s="144"/>
      <c r="Q540" s="144"/>
      <c r="R540" s="76"/>
      <c r="S540" s="76"/>
      <c r="T540" s="76"/>
      <c r="U540" s="76"/>
      <c r="V540" s="76"/>
      <c r="W540" s="76"/>
      <c r="X540" s="76"/>
      <c r="Y540" s="76"/>
      <c r="Z540" s="76"/>
      <c r="AA540" s="76"/>
      <c r="AB540" s="76"/>
      <c r="AC540" s="76"/>
      <c r="AD540" s="76"/>
      <c r="AE540" s="76"/>
      <c r="AF540" s="76"/>
      <c r="AG540" s="76"/>
      <c r="AH540" s="76"/>
    </row>
    <row r="541" spans="1:34" hidden="1">
      <c r="A541" s="182" t="s">
        <v>114</v>
      </c>
      <c r="B541" s="182"/>
      <c r="C541" s="270">
        <v>13782953.471718326</v>
      </c>
      <c r="D541" s="217"/>
      <c r="E541" s="217"/>
      <c r="F541" s="218">
        <v>863864.91461505764</v>
      </c>
      <c r="G541" s="217"/>
      <c r="H541" s="217"/>
      <c r="I541" s="218">
        <f>F541</f>
        <v>863864.91461505764</v>
      </c>
      <c r="J541" s="217"/>
      <c r="K541" s="217"/>
      <c r="L541" s="218">
        <f>F541</f>
        <v>863864.91461505764</v>
      </c>
      <c r="N541" s="196"/>
      <c r="O541" s="196"/>
      <c r="P541" s="194"/>
      <c r="Q541" s="144"/>
      <c r="R541" s="76"/>
      <c r="S541" s="76"/>
      <c r="T541" s="76"/>
      <c r="U541" s="76"/>
      <c r="V541" s="76"/>
      <c r="W541" s="76"/>
      <c r="X541" s="76"/>
      <c r="Y541" s="76"/>
      <c r="Z541" s="76"/>
      <c r="AA541" s="76"/>
      <c r="AB541" s="76"/>
      <c r="AC541" s="76"/>
      <c r="AD541" s="76"/>
      <c r="AE541" s="76"/>
      <c r="AF541" s="76"/>
      <c r="AG541" s="76"/>
      <c r="AH541" s="76"/>
    </row>
    <row r="542" spans="1:34" ht="16.5" hidden="1" thickBot="1">
      <c r="A542" s="182" t="s">
        <v>132</v>
      </c>
      <c r="B542" s="182"/>
      <c r="C542" s="284">
        <f>SUM(C540)+C541</f>
        <v>806146693.47171831</v>
      </c>
      <c r="D542" s="258"/>
      <c r="E542" s="259"/>
      <c r="F542" s="260">
        <f>F540+F541</f>
        <v>47183454.914615057</v>
      </c>
      <c r="G542" s="258"/>
      <c r="H542" s="258"/>
      <c r="I542" s="260">
        <f>I540+I541</f>
        <v>49641407.914615057</v>
      </c>
      <c r="J542" s="258"/>
      <c r="K542" s="262"/>
      <c r="L542" s="260">
        <f>L540+L541</f>
        <v>55779970.914615057</v>
      </c>
      <c r="N542" s="197"/>
      <c r="O542" s="197"/>
      <c r="P542" s="198"/>
      <c r="Q542" s="144"/>
      <c r="R542" s="76"/>
      <c r="S542" s="76"/>
      <c r="T542" s="76"/>
      <c r="U542" s="76"/>
      <c r="V542" s="76"/>
      <c r="W542" s="76"/>
      <c r="X542" s="76"/>
      <c r="Y542" s="76"/>
      <c r="Z542" s="76"/>
      <c r="AA542" s="76"/>
      <c r="AB542" s="76"/>
      <c r="AC542" s="76"/>
      <c r="AD542" s="76"/>
      <c r="AE542" s="76"/>
      <c r="AF542" s="76"/>
      <c r="AG542" s="76"/>
      <c r="AH542" s="76"/>
    </row>
    <row r="543" spans="1:34" hidden="1">
      <c r="A543" s="182"/>
      <c r="B543" s="182"/>
      <c r="C543" s="200"/>
      <c r="D543" s="252"/>
      <c r="E543" s="164"/>
      <c r="F543" s="164"/>
      <c r="G543" s="252"/>
      <c r="H543" s="252"/>
      <c r="I543" s="164"/>
      <c r="J543" s="275" t="s">
        <v>0</v>
      </c>
      <c r="K543" s="182"/>
      <c r="L543" s="164" t="s">
        <v>0</v>
      </c>
      <c r="N543" s="76"/>
      <c r="O543" s="76"/>
      <c r="P543" s="144"/>
      <c r="Q543" s="144"/>
      <c r="R543" s="76"/>
      <c r="S543" s="76"/>
      <c r="T543" s="76"/>
      <c r="U543" s="76"/>
      <c r="V543" s="76"/>
      <c r="W543" s="76"/>
      <c r="X543" s="76"/>
      <c r="Y543" s="76"/>
      <c r="Z543" s="76"/>
      <c r="AA543" s="76"/>
      <c r="AB543" s="76"/>
      <c r="AC543" s="76"/>
      <c r="AD543" s="76"/>
      <c r="AE543" s="76"/>
      <c r="AF543" s="76"/>
      <c r="AG543" s="76"/>
      <c r="AH543" s="76"/>
    </row>
    <row r="544" spans="1:34" hidden="1">
      <c r="A544" s="199" t="s">
        <v>184</v>
      </c>
      <c r="B544" s="182"/>
      <c r="C544" s="182"/>
      <c r="D544" s="164"/>
      <c r="E544" s="164"/>
      <c r="F544" s="182" t="s">
        <v>0</v>
      </c>
      <c r="G544" s="164"/>
      <c r="H544" s="164"/>
      <c r="I544" s="182"/>
      <c r="J544" s="164"/>
      <c r="K544" s="182"/>
      <c r="L544" s="182"/>
      <c r="N544" s="76"/>
      <c r="O544" s="76"/>
      <c r="P544" s="144"/>
      <c r="Q544" s="144"/>
      <c r="R544" s="76"/>
      <c r="S544" s="76"/>
      <c r="T544" s="76"/>
      <c r="U544" s="76"/>
      <c r="V544" s="76"/>
      <c r="W544" s="76"/>
      <c r="X544" s="76"/>
      <c r="Y544" s="76"/>
      <c r="Z544" s="76"/>
      <c r="AA544" s="76"/>
      <c r="AB544" s="76"/>
      <c r="AC544" s="76"/>
      <c r="AD544" s="76"/>
      <c r="AE544" s="76"/>
      <c r="AF544" s="76"/>
      <c r="AG544" s="76"/>
      <c r="AH544" s="76"/>
    </row>
    <row r="545" spans="1:34" hidden="1">
      <c r="A545" s="217" t="s">
        <v>190</v>
      </c>
      <c r="B545" s="182"/>
      <c r="C545" s="182"/>
      <c r="D545" s="164"/>
      <c r="E545" s="164"/>
      <c r="F545" s="182"/>
      <c r="G545" s="164"/>
      <c r="H545" s="164"/>
      <c r="I545" s="182"/>
      <c r="J545" s="164"/>
      <c r="K545" s="182"/>
      <c r="L545" s="182"/>
      <c r="N545" s="76"/>
      <c r="O545" s="76"/>
      <c r="P545" s="144"/>
      <c r="Q545" s="144"/>
      <c r="R545" s="76"/>
      <c r="S545" s="76"/>
      <c r="T545" s="76"/>
      <c r="U545" s="76"/>
      <c r="V545" s="76"/>
      <c r="W545" s="76"/>
      <c r="X545" s="76"/>
      <c r="Y545" s="76"/>
      <c r="Z545" s="76"/>
      <c r="AA545" s="76"/>
      <c r="AB545" s="76"/>
      <c r="AC545" s="76"/>
      <c r="AD545" s="76"/>
      <c r="AE545" s="76"/>
      <c r="AF545" s="76"/>
      <c r="AG545" s="76"/>
      <c r="AH545" s="76"/>
    </row>
    <row r="546" spans="1:34" hidden="1">
      <c r="A546" s="238"/>
      <c r="B546" s="182"/>
      <c r="C546" s="182"/>
      <c r="D546" s="164"/>
      <c r="E546" s="164"/>
      <c r="F546" s="182"/>
      <c r="G546" s="164"/>
      <c r="H546" s="164"/>
      <c r="I546" s="182"/>
      <c r="J546" s="164"/>
      <c r="K546" s="182"/>
      <c r="L546" s="182"/>
      <c r="N546" s="76"/>
      <c r="O546" s="76"/>
      <c r="P546" s="144"/>
      <c r="Q546" s="144"/>
      <c r="R546" s="76"/>
      <c r="S546" s="76"/>
      <c r="T546" s="76"/>
      <c r="U546" s="76"/>
      <c r="V546" s="76"/>
      <c r="W546" s="76"/>
      <c r="X546" s="76"/>
      <c r="Y546" s="76"/>
      <c r="Z546" s="76"/>
      <c r="AA546" s="76"/>
      <c r="AB546" s="76"/>
      <c r="AC546" s="76"/>
      <c r="AD546" s="76"/>
      <c r="AE546" s="76"/>
      <c r="AF546" s="76"/>
      <c r="AG546" s="76"/>
      <c r="AH546" s="76"/>
    </row>
    <row r="547" spans="1:34" hidden="1">
      <c r="A547" s="238" t="s">
        <v>144</v>
      </c>
      <c r="B547" s="200"/>
      <c r="C547" s="234"/>
      <c r="D547" s="164"/>
      <c r="E547" s="164"/>
      <c r="F547" s="182"/>
      <c r="G547" s="164"/>
      <c r="H547" s="164"/>
      <c r="I547" s="182"/>
      <c r="J547" s="164"/>
      <c r="K547" s="182"/>
      <c r="L547" s="182"/>
      <c r="N547" s="76"/>
      <c r="O547" s="76"/>
      <c r="P547" s="144"/>
      <c r="Q547" s="144"/>
      <c r="R547" s="76"/>
      <c r="S547" s="76"/>
      <c r="T547" s="76"/>
      <c r="U547" s="76"/>
      <c r="V547" s="76"/>
      <c r="W547" s="76"/>
      <c r="X547" s="76"/>
      <c r="Y547" s="76"/>
      <c r="Z547" s="76"/>
      <c r="AA547" s="76"/>
      <c r="AB547" s="76"/>
      <c r="AC547" s="76"/>
      <c r="AD547" s="76"/>
      <c r="AE547" s="76"/>
      <c r="AF547" s="76"/>
      <c r="AG547" s="76"/>
      <c r="AH547" s="76"/>
    </row>
    <row r="548" spans="1:34" hidden="1">
      <c r="A548" s="238" t="s">
        <v>169</v>
      </c>
      <c r="B548" s="182"/>
      <c r="C548" s="234">
        <v>33</v>
      </c>
      <c r="D548" s="204">
        <f>$D$480</f>
        <v>225</v>
      </c>
      <c r="E548" s="238"/>
      <c r="F548" s="236">
        <f>ROUND(D548*$C548,0)</f>
        <v>7425</v>
      </c>
      <c r="G548" s="204">
        <f>$G$480</f>
        <v>227</v>
      </c>
      <c r="H548" s="204"/>
      <c r="I548" s="236">
        <f>ROUND(G548*C548,0)</f>
        <v>7491</v>
      </c>
      <c r="J548" s="204">
        <f>$J$480</f>
        <v>254</v>
      </c>
      <c r="K548" s="238"/>
      <c r="L548" s="236">
        <f>ROUND(J548*$C548,0)</f>
        <v>8382</v>
      </c>
      <c r="N548" s="76"/>
      <c r="O548" s="76"/>
      <c r="P548" s="144"/>
      <c r="Q548" s="144"/>
      <c r="R548" s="76"/>
      <c r="S548" s="76"/>
      <c r="T548" s="76"/>
      <c r="U548" s="76"/>
      <c r="V548" s="76"/>
      <c r="W548" s="76"/>
      <c r="X548" s="76"/>
      <c r="Y548" s="76"/>
      <c r="Z548" s="76"/>
      <c r="AA548" s="76"/>
      <c r="AB548" s="76"/>
      <c r="AC548" s="76"/>
      <c r="AD548" s="76"/>
      <c r="AE548" s="76"/>
      <c r="AF548" s="76"/>
      <c r="AG548" s="76"/>
      <c r="AH548" s="76"/>
    </row>
    <row r="549" spans="1:34" hidden="1">
      <c r="A549" s="238" t="s">
        <v>170</v>
      </c>
      <c r="B549" s="182"/>
      <c r="C549" s="234">
        <f>12+1118</f>
        <v>1130</v>
      </c>
      <c r="D549" s="204">
        <f>$D$481</f>
        <v>83</v>
      </c>
      <c r="E549" s="238"/>
      <c r="F549" s="236">
        <f>ROUND(D549*$C549,0)</f>
        <v>93790</v>
      </c>
      <c r="G549" s="204">
        <f>$G$481</f>
        <v>84</v>
      </c>
      <c r="H549" s="204"/>
      <c r="I549" s="236">
        <f>ROUND(G549*C549,0)</f>
        <v>94920</v>
      </c>
      <c r="J549" s="204">
        <f>$J$481</f>
        <v>95</v>
      </c>
      <c r="K549" s="238"/>
      <c r="L549" s="236">
        <f>ROUND(J549*$C549,0)</f>
        <v>107350</v>
      </c>
      <c r="N549" s="76"/>
      <c r="O549" s="76"/>
      <c r="P549" s="144"/>
      <c r="Q549" s="144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</row>
    <row r="550" spans="1:34" hidden="1">
      <c r="A550" s="238" t="s">
        <v>171</v>
      </c>
      <c r="B550" s="182"/>
      <c r="C550" s="234">
        <f>24+633</f>
        <v>657</v>
      </c>
      <c r="D550" s="204">
        <f>$D$482</f>
        <v>166</v>
      </c>
      <c r="E550" s="240"/>
      <c r="F550" s="236">
        <f>ROUND(D550*$C550,0)</f>
        <v>109062</v>
      </c>
      <c r="G550" s="204">
        <f>$G$482</f>
        <v>168</v>
      </c>
      <c r="H550" s="204"/>
      <c r="I550" s="236">
        <f>ROUND(G550*C550,0)</f>
        <v>110376</v>
      </c>
      <c r="J550" s="204">
        <f>$J$482</f>
        <v>189</v>
      </c>
      <c r="K550" s="240"/>
      <c r="L550" s="236">
        <f>ROUND(J550*$C550,0)</f>
        <v>124173</v>
      </c>
      <c r="N550" s="76"/>
      <c r="O550" s="76"/>
      <c r="P550" s="144"/>
      <c r="Q550" s="144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6"/>
    </row>
    <row r="551" spans="1:34" hidden="1">
      <c r="A551" s="238" t="s">
        <v>145</v>
      </c>
      <c r="B551" s="182"/>
      <c r="C551" s="234">
        <f>SUM(C548:C550)</f>
        <v>1820</v>
      </c>
      <c r="D551" s="204"/>
      <c r="E551" s="238"/>
      <c r="F551" s="236"/>
      <c r="G551" s="204"/>
      <c r="H551" s="204"/>
      <c r="I551" s="236"/>
      <c r="J551" s="204"/>
      <c r="K551" s="238"/>
      <c r="L551" s="236"/>
      <c r="N551" s="76"/>
      <c r="O551" s="76"/>
      <c r="P551" s="144"/>
      <c r="Q551" s="144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</row>
    <row r="552" spans="1:34" hidden="1">
      <c r="A552" s="238" t="s">
        <v>170</v>
      </c>
      <c r="B552" s="182"/>
      <c r="C552" s="234">
        <f>1758+188376</f>
        <v>190134</v>
      </c>
      <c r="D552" s="204">
        <f>$D$484</f>
        <v>1.47</v>
      </c>
      <c r="E552" s="238" t="s">
        <v>0</v>
      </c>
      <c r="F552" s="236">
        <f>ROUND(D552*$C552,0)</f>
        <v>279497</v>
      </c>
      <c r="G552" s="204">
        <f>$G$484</f>
        <v>1.48</v>
      </c>
      <c r="H552" s="204"/>
      <c r="I552" s="236">
        <f t="shared" ref="I552:I553" si="83">ROUND(G552*C552,0)</f>
        <v>281398</v>
      </c>
      <c r="J552" s="204">
        <f>$J$484</f>
        <v>1.67</v>
      </c>
      <c r="K552" s="238" t="s">
        <v>0</v>
      </c>
      <c r="L552" s="236">
        <f>ROUND(J552*$C552,0)</f>
        <v>317524</v>
      </c>
      <c r="N552" s="76"/>
      <c r="O552" s="76"/>
      <c r="P552" s="144"/>
      <c r="Q552" s="144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6"/>
    </row>
    <row r="553" spans="1:34" hidden="1">
      <c r="A553" s="238" t="s">
        <v>171</v>
      </c>
      <c r="B553" s="182"/>
      <c r="C553" s="234">
        <f>356883+19311</f>
        <v>376194</v>
      </c>
      <c r="D553" s="204">
        <f>$D$485</f>
        <v>1.2</v>
      </c>
      <c r="E553" s="238" t="s">
        <v>0</v>
      </c>
      <c r="F553" s="236">
        <f>ROUND(D553*$C553,0)</f>
        <v>451433</v>
      </c>
      <c r="G553" s="204">
        <f>$G$485</f>
        <v>1.22</v>
      </c>
      <c r="H553" s="204"/>
      <c r="I553" s="236">
        <f t="shared" si="83"/>
        <v>458957</v>
      </c>
      <c r="J553" s="204">
        <f>$J$485</f>
        <v>1.37</v>
      </c>
      <c r="K553" s="238" t="s">
        <v>0</v>
      </c>
      <c r="L553" s="236">
        <f>ROUND(J553*$C553,0)</f>
        <v>515386</v>
      </c>
      <c r="N553" s="76"/>
      <c r="O553" s="76"/>
      <c r="P553" s="144"/>
      <c r="Q553" s="144"/>
      <c r="R553" s="76"/>
      <c r="S553" s="76"/>
      <c r="T553" s="76"/>
      <c r="U553" s="76"/>
      <c r="V553" s="76"/>
      <c r="W553" s="76"/>
      <c r="X553" s="76"/>
      <c r="Y553" s="76"/>
      <c r="Z553" s="76"/>
      <c r="AA553" s="76"/>
      <c r="AB553" s="76"/>
      <c r="AC553" s="76"/>
      <c r="AD553" s="76"/>
      <c r="AE553" s="76"/>
      <c r="AF553" s="76"/>
      <c r="AG553" s="76"/>
      <c r="AH553" s="76"/>
    </row>
    <row r="554" spans="1:34" hidden="1">
      <c r="A554" s="217" t="s">
        <v>172</v>
      </c>
      <c r="B554" s="182"/>
      <c r="C554" s="234"/>
      <c r="D554" s="212"/>
      <c r="E554" s="238"/>
      <c r="F554" s="236"/>
      <c r="G554" s="212"/>
      <c r="H554" s="212"/>
      <c r="I554" s="236"/>
      <c r="J554" s="212"/>
      <c r="K554" s="238"/>
      <c r="L554" s="236"/>
      <c r="N554" s="76"/>
      <c r="O554" s="76"/>
      <c r="P554" s="144"/>
      <c r="Q554" s="144"/>
      <c r="R554" s="76"/>
      <c r="S554" s="76"/>
      <c r="T554" s="76"/>
      <c r="U554" s="76"/>
      <c r="V554" s="76"/>
      <c r="W554" s="76"/>
      <c r="X554" s="76"/>
      <c r="Y554" s="76"/>
      <c r="Z554" s="76"/>
      <c r="AA554" s="76"/>
      <c r="AB554" s="76"/>
      <c r="AC554" s="76"/>
      <c r="AD554" s="76"/>
      <c r="AE554" s="76"/>
      <c r="AF554" s="76"/>
      <c r="AG554" s="76"/>
      <c r="AH554" s="76"/>
    </row>
    <row r="555" spans="1:34" hidden="1">
      <c r="A555" s="217" t="s">
        <v>173</v>
      </c>
      <c r="B555" s="182"/>
      <c r="C555" s="234">
        <f>1496+17158+2257+131683+269683</f>
        <v>422277</v>
      </c>
      <c r="D555" s="204">
        <f>$D$487</f>
        <v>3.75</v>
      </c>
      <c r="E555" s="238"/>
      <c r="F555" s="236">
        <f>ROUND(D555*$C555,0)</f>
        <v>1583539</v>
      </c>
      <c r="G555" s="204">
        <f>$G$487</f>
        <v>3.88</v>
      </c>
      <c r="H555" s="204"/>
      <c r="I555" s="236">
        <f t="shared" ref="I555:I556" si="84">ROUND(G555*C555,0)</f>
        <v>1638435</v>
      </c>
      <c r="J555" s="204">
        <f>$J$487</f>
        <v>4.37</v>
      </c>
      <c r="K555" s="238"/>
      <c r="L555" s="236">
        <f>ROUND(J555*$C555,0)</f>
        <v>1845350</v>
      </c>
      <c r="N555" s="76"/>
      <c r="O555" s="76"/>
      <c r="P555" s="144"/>
      <c r="Q555" s="144"/>
      <c r="R555" s="76"/>
      <c r="S555" s="76"/>
      <c r="T555" s="76"/>
      <c r="U555" s="76"/>
      <c r="V555" s="76"/>
      <c r="W555" s="76"/>
      <c r="X555" s="76"/>
      <c r="Y555" s="76"/>
      <c r="Z555" s="76"/>
      <c r="AA555" s="76"/>
      <c r="AB555" s="76"/>
      <c r="AC555" s="76"/>
      <c r="AD555" s="76"/>
      <c r="AE555" s="76"/>
      <c r="AF555" s="76"/>
      <c r="AG555" s="76"/>
      <c r="AH555" s="76"/>
    </row>
    <row r="556" spans="1:34" hidden="1">
      <c r="A556" s="217" t="s">
        <v>186</v>
      </c>
      <c r="B556" s="182"/>
      <c r="C556" s="234">
        <f>350+583</f>
        <v>933</v>
      </c>
      <c r="D556" s="287">
        <f>D555</f>
        <v>3.75</v>
      </c>
      <c r="E556" s="238"/>
      <c r="F556" s="236">
        <f>ROUND(D556*$C556,0)</f>
        <v>3499</v>
      </c>
      <c r="G556" s="287">
        <f>G555</f>
        <v>3.88</v>
      </c>
      <c r="H556" s="287"/>
      <c r="I556" s="236">
        <f t="shared" si="84"/>
        <v>3620</v>
      </c>
      <c r="J556" s="287">
        <f>J555</f>
        <v>4.37</v>
      </c>
      <c r="K556" s="238"/>
      <c r="L556" s="236">
        <f>ROUND(J556*$C556,0)</f>
        <v>4077</v>
      </c>
      <c r="N556" s="76"/>
      <c r="O556" s="76"/>
      <c r="P556" s="144"/>
      <c r="Q556" s="144"/>
      <c r="R556" s="76"/>
      <c r="S556" s="76"/>
      <c r="T556" s="76"/>
      <c r="U556" s="76"/>
      <c r="V556" s="76"/>
      <c r="W556" s="76"/>
      <c r="X556" s="76"/>
      <c r="Y556" s="76"/>
      <c r="Z556" s="76"/>
      <c r="AA556" s="76"/>
      <c r="AB556" s="76"/>
      <c r="AC556" s="76"/>
      <c r="AD556" s="76"/>
      <c r="AE556" s="76"/>
      <c r="AF556" s="76"/>
      <c r="AG556" s="76"/>
      <c r="AH556" s="76"/>
    </row>
    <row r="557" spans="1:34" hidden="1">
      <c r="A557" s="238" t="s">
        <v>174</v>
      </c>
      <c r="B557" s="182"/>
      <c r="C557" s="234"/>
      <c r="D557" s="204"/>
      <c r="E557" s="238"/>
      <c r="F557" s="236"/>
      <c r="G557" s="204"/>
      <c r="H557" s="204"/>
      <c r="I557" s="236"/>
      <c r="J557" s="204"/>
      <c r="K557" s="238"/>
      <c r="L557" s="236"/>
      <c r="N557" s="76"/>
      <c r="O557" s="76"/>
      <c r="P557" s="144"/>
      <c r="Q557" s="144"/>
      <c r="R557" s="76"/>
      <c r="S557" s="76"/>
      <c r="T557" s="76"/>
      <c r="U557" s="76"/>
      <c r="V557" s="76"/>
      <c r="W557" s="76"/>
      <c r="X557" s="76"/>
      <c r="Y557" s="76"/>
      <c r="Z557" s="76"/>
      <c r="AA557" s="76"/>
      <c r="AB557" s="76"/>
      <c r="AC557" s="76"/>
      <c r="AD557" s="76"/>
      <c r="AE557" s="76"/>
      <c r="AF557" s="76"/>
      <c r="AG557" s="76"/>
      <c r="AH557" s="76"/>
    </row>
    <row r="558" spans="1:34" hidden="1">
      <c r="A558" s="238" t="s">
        <v>175</v>
      </c>
      <c r="B558" s="182"/>
      <c r="C558" s="234">
        <f>480000+960000+297240+26035950+23216160</f>
        <v>50989350</v>
      </c>
      <c r="D558" s="299">
        <f>$D$490</f>
        <v>4.3570000000000002</v>
      </c>
      <c r="E558" s="238" t="s">
        <v>126</v>
      </c>
      <c r="F558" s="236">
        <f>ROUND(D558*$C558/100,0)</f>
        <v>2221606</v>
      </c>
      <c r="G558" s="299">
        <f>$G$490</f>
        <v>4.6340000000000003</v>
      </c>
      <c r="H558" s="299"/>
      <c r="I558" s="236">
        <f>ROUND(G558*C558/100,0)</f>
        <v>2362846</v>
      </c>
      <c r="J558" s="288">
        <f>$J$490</f>
        <v>5.2170000000000005</v>
      </c>
      <c r="K558" s="238" t="s">
        <v>126</v>
      </c>
      <c r="L558" s="236">
        <f>ROUND(J558*$C558/100,0)</f>
        <v>2660114</v>
      </c>
      <c r="N558" s="76"/>
      <c r="O558" s="76"/>
      <c r="P558" s="144"/>
      <c r="Q558" s="144"/>
      <c r="R558" s="76"/>
      <c r="S558" s="76"/>
      <c r="T558" s="76"/>
      <c r="U558" s="76"/>
      <c r="V558" s="76"/>
      <c r="W558" s="76"/>
      <c r="X558" s="76"/>
      <c r="Y558" s="76"/>
      <c r="Z558" s="76"/>
      <c r="AA558" s="76"/>
      <c r="AB558" s="76"/>
      <c r="AC558" s="76"/>
      <c r="AD558" s="76"/>
      <c r="AE558" s="76"/>
      <c r="AF558" s="76"/>
      <c r="AG558" s="76"/>
      <c r="AH558" s="76"/>
    </row>
    <row r="559" spans="1:34" hidden="1">
      <c r="A559" s="238" t="s">
        <v>149</v>
      </c>
      <c r="B559" s="182"/>
      <c r="C559" s="234">
        <f>892800+6410400+297240+34467828+90884634-C558</f>
        <v>81963552</v>
      </c>
      <c r="D559" s="299">
        <f>$D$491</f>
        <v>3.9930000000000003</v>
      </c>
      <c r="E559" s="238" t="s">
        <v>126</v>
      </c>
      <c r="F559" s="236">
        <f>ROUND(D559*$C559/100,0)</f>
        <v>3272805</v>
      </c>
      <c r="G559" s="299">
        <f>$G$491</f>
        <v>4.2469999999999999</v>
      </c>
      <c r="H559" s="299"/>
      <c r="I559" s="236">
        <f t="shared" ref="I559:I560" si="85">ROUND(G559*C559/100,0)</f>
        <v>3480992</v>
      </c>
      <c r="J559" s="288">
        <f>$J$491</f>
        <v>4.7799999999999994</v>
      </c>
      <c r="K559" s="238" t="s">
        <v>126</v>
      </c>
      <c r="L559" s="236">
        <f>ROUND(J559*$C559/100,0)</f>
        <v>3917858</v>
      </c>
      <c r="N559" s="76"/>
      <c r="O559" s="76"/>
      <c r="P559" s="144"/>
      <c r="Q559" s="144"/>
      <c r="R559" s="76"/>
      <c r="S559" s="76"/>
      <c r="T559" s="76"/>
      <c r="U559" s="76"/>
      <c r="V559" s="76"/>
      <c r="W559" s="76"/>
      <c r="X559" s="76"/>
      <c r="Y559" s="76"/>
      <c r="Z559" s="76"/>
      <c r="AA559" s="76"/>
      <c r="AB559" s="76"/>
      <c r="AC559" s="76"/>
      <c r="AD559" s="76"/>
      <c r="AE559" s="76"/>
      <c r="AF559" s="76"/>
      <c r="AG559" s="76"/>
      <c r="AH559" s="76"/>
    </row>
    <row r="560" spans="1:34" hidden="1">
      <c r="A560" s="238" t="s">
        <v>150</v>
      </c>
      <c r="B560" s="182"/>
      <c r="C560" s="234">
        <f>440+5754+685+36145+89227</f>
        <v>132251</v>
      </c>
      <c r="D560" s="253">
        <f>$D$492</f>
        <v>45</v>
      </c>
      <c r="E560" s="238" t="s">
        <v>126</v>
      </c>
      <c r="F560" s="236">
        <f>ROUND(D560*$C560/100,0)</f>
        <v>59513</v>
      </c>
      <c r="G560" s="253">
        <f>$G$492</f>
        <v>50</v>
      </c>
      <c r="H560" s="253"/>
      <c r="I560" s="236">
        <f t="shared" si="85"/>
        <v>66126</v>
      </c>
      <c r="J560" s="290">
        <f>$J$492</f>
        <v>56</v>
      </c>
      <c r="K560" s="238" t="s">
        <v>126</v>
      </c>
      <c r="L560" s="236">
        <f>ROUND(J560*$C560/100,0)</f>
        <v>74061</v>
      </c>
      <c r="N560" s="76"/>
      <c r="O560" s="76"/>
      <c r="P560" s="144"/>
      <c r="Q560" s="144"/>
      <c r="R560" s="76"/>
      <c r="S560" s="76"/>
      <c r="T560" s="76"/>
      <c r="U560" s="76"/>
      <c r="V560" s="76"/>
      <c r="W560" s="76"/>
      <c r="X560" s="76"/>
      <c r="Y560" s="76"/>
      <c r="Z560" s="76"/>
      <c r="AA560" s="76"/>
      <c r="AB560" s="76"/>
      <c r="AC560" s="76"/>
      <c r="AD560" s="76"/>
      <c r="AE560" s="76"/>
      <c r="AF560" s="76"/>
      <c r="AG560" s="76"/>
      <c r="AH560" s="76"/>
    </row>
    <row r="561" spans="1:34" hidden="1">
      <c r="A561" s="280" t="s">
        <v>151</v>
      </c>
      <c r="B561" s="182"/>
      <c r="C561" s="234"/>
      <c r="D561" s="247">
        <v>-0.01</v>
      </c>
      <c r="E561" s="164"/>
      <c r="F561" s="236"/>
      <c r="G561" s="247">
        <v>-0.01</v>
      </c>
      <c r="H561" s="247"/>
      <c r="I561" s="236"/>
      <c r="J561" s="247">
        <v>-0.01</v>
      </c>
      <c r="K561" s="182"/>
      <c r="L561" s="236"/>
      <c r="N561" s="76"/>
      <c r="O561" s="76"/>
      <c r="P561" s="144"/>
      <c r="Q561" s="144"/>
      <c r="R561" s="76"/>
      <c r="S561" s="76"/>
      <c r="T561" s="76"/>
      <c r="U561" s="76"/>
      <c r="V561" s="76"/>
      <c r="W561" s="76"/>
      <c r="X561" s="76"/>
      <c r="Y561" s="76"/>
      <c r="Z561" s="76"/>
      <c r="AA561" s="76"/>
      <c r="AB561" s="76"/>
      <c r="AC561" s="76"/>
      <c r="AD561" s="76"/>
      <c r="AE561" s="76"/>
      <c r="AF561" s="76"/>
      <c r="AG561" s="76"/>
      <c r="AH561" s="76"/>
    </row>
    <row r="562" spans="1:34" hidden="1">
      <c r="A562" s="238" t="s">
        <v>169</v>
      </c>
      <c r="B562" s="182"/>
      <c r="C562" s="234">
        <v>0</v>
      </c>
      <c r="D562" s="212">
        <f>D548</f>
        <v>225</v>
      </c>
      <c r="E562" s="283"/>
      <c r="F562" s="236">
        <f>ROUND(D562*$C562*D561,0)</f>
        <v>0</v>
      </c>
      <c r="G562" s="212">
        <f>G548</f>
        <v>227</v>
      </c>
      <c r="H562" s="212"/>
      <c r="I562" s="236">
        <f>ROUND(G562*C562*$G$527,0)</f>
        <v>0</v>
      </c>
      <c r="J562" s="212">
        <f>J548</f>
        <v>254</v>
      </c>
      <c r="K562" s="199"/>
      <c r="L562" s="236">
        <f>ROUND(J562*$C562*J561,0)</f>
        <v>0</v>
      </c>
      <c r="N562" s="76"/>
      <c r="O562" s="76"/>
      <c r="P562" s="144"/>
      <c r="Q562" s="144"/>
      <c r="R562" s="76"/>
      <c r="S562" s="76"/>
      <c r="T562" s="76"/>
      <c r="U562" s="76"/>
      <c r="V562" s="76"/>
      <c r="W562" s="76"/>
      <c r="X562" s="76"/>
      <c r="Y562" s="76"/>
      <c r="Z562" s="76"/>
      <c r="AA562" s="76"/>
      <c r="AB562" s="76"/>
      <c r="AC562" s="76"/>
      <c r="AD562" s="76"/>
      <c r="AE562" s="76"/>
      <c r="AF562" s="76"/>
      <c r="AG562" s="76"/>
      <c r="AH562" s="76"/>
    </row>
    <row r="563" spans="1:34" hidden="1">
      <c r="A563" s="238" t="s">
        <v>170</v>
      </c>
      <c r="B563" s="182"/>
      <c r="C563" s="234">
        <v>12</v>
      </c>
      <c r="D563" s="212">
        <f>D549</f>
        <v>83</v>
      </c>
      <c r="E563" s="283"/>
      <c r="F563" s="236">
        <f>ROUND(D563*$C563*D561,0)</f>
        <v>-10</v>
      </c>
      <c r="G563" s="212">
        <f>G549</f>
        <v>84</v>
      </c>
      <c r="H563" s="212"/>
      <c r="I563" s="236">
        <f t="shared" ref="I563:I568" si="86">ROUND(G563*C563*$G$527,0)</f>
        <v>-10</v>
      </c>
      <c r="J563" s="212">
        <f>J549</f>
        <v>95</v>
      </c>
      <c r="K563" s="199"/>
      <c r="L563" s="236">
        <f>ROUND(J563*$C563*J561,0)</f>
        <v>-11</v>
      </c>
      <c r="N563" s="76"/>
      <c r="O563" s="76"/>
      <c r="P563" s="144"/>
      <c r="Q563" s="144"/>
      <c r="R563" s="76"/>
      <c r="S563" s="76"/>
      <c r="T563" s="76"/>
      <c r="U563" s="76"/>
      <c r="V563" s="76"/>
      <c r="W563" s="76"/>
      <c r="X563" s="76"/>
      <c r="Y563" s="76"/>
      <c r="Z563" s="76"/>
      <c r="AA563" s="76"/>
      <c r="AB563" s="76"/>
      <c r="AC563" s="76"/>
      <c r="AD563" s="76"/>
      <c r="AE563" s="76"/>
      <c r="AF563" s="76"/>
      <c r="AG563" s="76"/>
      <c r="AH563" s="76"/>
    </row>
    <row r="564" spans="1:34" hidden="1">
      <c r="A564" s="238" t="s">
        <v>171</v>
      </c>
      <c r="B564" s="182"/>
      <c r="C564" s="234">
        <v>24</v>
      </c>
      <c r="D564" s="212">
        <f>D550</f>
        <v>166</v>
      </c>
      <c r="E564" s="292"/>
      <c r="F564" s="236">
        <f>ROUND(D564*$C564*D561,0)</f>
        <v>-40</v>
      </c>
      <c r="G564" s="212">
        <f>G550</f>
        <v>168</v>
      </c>
      <c r="H564" s="212"/>
      <c r="I564" s="236">
        <f t="shared" si="86"/>
        <v>-40</v>
      </c>
      <c r="J564" s="212">
        <f>J550</f>
        <v>189</v>
      </c>
      <c r="K564" s="293"/>
      <c r="L564" s="236">
        <f>ROUND(J564*$C564*J561,0)</f>
        <v>-45</v>
      </c>
      <c r="N564" s="76"/>
      <c r="O564" s="76"/>
      <c r="P564" s="144"/>
      <c r="Q564" s="144"/>
      <c r="R564" s="76"/>
      <c r="S564" s="76"/>
      <c r="T564" s="76"/>
      <c r="U564" s="76"/>
      <c r="V564" s="76"/>
      <c r="W564" s="76"/>
      <c r="X564" s="76"/>
      <c r="Y564" s="76"/>
      <c r="Z564" s="76"/>
      <c r="AA564" s="76"/>
      <c r="AB564" s="76"/>
      <c r="AC564" s="76"/>
      <c r="AD564" s="76"/>
      <c r="AE564" s="76"/>
      <c r="AF564" s="76"/>
      <c r="AG564" s="76"/>
      <c r="AH564" s="76"/>
    </row>
    <row r="565" spans="1:34" hidden="1">
      <c r="A565" s="238" t="s">
        <v>170</v>
      </c>
      <c r="B565" s="182"/>
      <c r="C565" s="234">
        <v>1758</v>
      </c>
      <c r="D565" s="212">
        <f>D552</f>
        <v>1.47</v>
      </c>
      <c r="E565" s="283"/>
      <c r="F565" s="236">
        <f>ROUND(D565*$C565*D561,0)</f>
        <v>-26</v>
      </c>
      <c r="G565" s="212">
        <f>G552</f>
        <v>1.48</v>
      </c>
      <c r="H565" s="212"/>
      <c r="I565" s="236">
        <f t="shared" si="86"/>
        <v>-26</v>
      </c>
      <c r="J565" s="212">
        <f>J552</f>
        <v>1.67</v>
      </c>
      <c r="K565" s="199"/>
      <c r="L565" s="236">
        <f>ROUND(J565*$C565*J561,0)</f>
        <v>-29</v>
      </c>
      <c r="N565" s="76"/>
      <c r="O565" s="76"/>
      <c r="P565" s="144"/>
      <c r="Q565" s="144"/>
      <c r="R565" s="76"/>
      <c r="S565" s="76"/>
      <c r="T565" s="76"/>
      <c r="U565" s="76"/>
      <c r="V565" s="76"/>
      <c r="W565" s="76"/>
      <c r="X565" s="76"/>
      <c r="Y565" s="76"/>
      <c r="Z565" s="76"/>
      <c r="AA565" s="76"/>
      <c r="AB565" s="76"/>
      <c r="AC565" s="76"/>
      <c r="AD565" s="76"/>
      <c r="AE565" s="76"/>
      <c r="AF565" s="76"/>
      <c r="AG565" s="76"/>
      <c r="AH565" s="76"/>
    </row>
    <row r="566" spans="1:34" hidden="1">
      <c r="A566" s="238" t="s">
        <v>171</v>
      </c>
      <c r="B566" s="182"/>
      <c r="C566" s="234">
        <v>19311</v>
      </c>
      <c r="D566" s="212">
        <f>D553</f>
        <v>1.2</v>
      </c>
      <c r="E566" s="283" t="s">
        <v>0</v>
      </c>
      <c r="F566" s="236">
        <f>ROUND(D566*$C566*D561,0)</f>
        <v>-232</v>
      </c>
      <c r="G566" s="212">
        <f>G553</f>
        <v>1.22</v>
      </c>
      <c r="H566" s="212"/>
      <c r="I566" s="236">
        <f t="shared" si="86"/>
        <v>-236</v>
      </c>
      <c r="J566" s="212">
        <f>J553</f>
        <v>1.37</v>
      </c>
      <c r="K566" s="199"/>
      <c r="L566" s="236">
        <f>ROUND(J566*$C566*J561,0)</f>
        <v>-265</v>
      </c>
      <c r="N566" s="76"/>
      <c r="O566" s="76"/>
      <c r="P566" s="144"/>
      <c r="Q566" s="144"/>
      <c r="R566" s="76"/>
      <c r="S566" s="76"/>
      <c r="T566" s="76"/>
      <c r="U566" s="76"/>
      <c r="V566" s="76"/>
      <c r="W566" s="76"/>
      <c r="X566" s="76"/>
      <c r="Y566" s="76"/>
      <c r="Z566" s="76"/>
      <c r="AA566" s="76"/>
      <c r="AB566" s="76"/>
      <c r="AC566" s="76"/>
      <c r="AD566" s="76"/>
      <c r="AE566" s="76"/>
      <c r="AF566" s="76"/>
      <c r="AG566" s="76"/>
      <c r="AH566" s="76"/>
    </row>
    <row r="567" spans="1:34" hidden="1">
      <c r="A567" s="217" t="s">
        <v>173</v>
      </c>
      <c r="B567" s="182"/>
      <c r="C567" s="234">
        <f>1496+17158</f>
        <v>18654</v>
      </c>
      <c r="D567" s="212">
        <f>D555</f>
        <v>3.75</v>
      </c>
      <c r="E567" s="283" t="s">
        <v>0</v>
      </c>
      <c r="F567" s="236">
        <f>ROUND(D567*$C567*D561,0)</f>
        <v>-700</v>
      </c>
      <c r="G567" s="212">
        <f>G555</f>
        <v>3.88</v>
      </c>
      <c r="H567" s="212"/>
      <c r="I567" s="236">
        <f t="shared" si="86"/>
        <v>-724</v>
      </c>
      <c r="J567" s="212">
        <f>J555</f>
        <v>4.37</v>
      </c>
      <c r="K567" s="199"/>
      <c r="L567" s="236">
        <f>ROUND(J567*$C567*J561,0)</f>
        <v>-815</v>
      </c>
      <c r="N567" s="76"/>
      <c r="O567" s="76"/>
      <c r="P567" s="144"/>
      <c r="Q567" s="144"/>
      <c r="R567" s="76"/>
      <c r="S567" s="76"/>
      <c r="T567" s="76"/>
      <c r="U567" s="76"/>
      <c r="V567" s="76"/>
      <c r="W567" s="76"/>
      <c r="X567" s="76"/>
      <c r="Y567" s="76"/>
      <c r="Z567" s="76"/>
      <c r="AA567" s="76"/>
      <c r="AB567" s="76"/>
      <c r="AC567" s="76"/>
      <c r="AD567" s="76"/>
      <c r="AE567" s="76"/>
      <c r="AF567" s="76"/>
      <c r="AG567" s="76"/>
      <c r="AH567" s="76"/>
    </row>
    <row r="568" spans="1:34" hidden="1">
      <c r="A568" s="217" t="s">
        <v>186</v>
      </c>
      <c r="B568" s="182"/>
      <c r="C568" s="234">
        <v>0</v>
      </c>
      <c r="D568" s="212">
        <f>D556</f>
        <v>3.75</v>
      </c>
      <c r="E568" s="283" t="s">
        <v>0</v>
      </c>
      <c r="F568" s="236">
        <f>ROUND(D568*$C568*D561,0)</f>
        <v>0</v>
      </c>
      <c r="G568" s="212">
        <f>G556</f>
        <v>3.88</v>
      </c>
      <c r="H568" s="212"/>
      <c r="I568" s="236">
        <f t="shared" si="86"/>
        <v>0</v>
      </c>
      <c r="J568" s="212">
        <f>J556</f>
        <v>4.37</v>
      </c>
      <c r="K568" s="199"/>
      <c r="L568" s="236">
        <f>ROUND(J568*$C568*J561,0)</f>
        <v>0</v>
      </c>
      <c r="N568" s="76"/>
      <c r="O568" s="76"/>
      <c r="P568" s="144"/>
      <c r="Q568" s="144"/>
      <c r="R568" s="76"/>
      <c r="S568" s="76"/>
      <c r="T568" s="76"/>
      <c r="U568" s="76"/>
      <c r="V568" s="76"/>
      <c r="W568" s="76"/>
      <c r="X568" s="76"/>
      <c r="Y568" s="76"/>
      <c r="Z568" s="76"/>
      <c r="AA568" s="76"/>
      <c r="AB568" s="76"/>
      <c r="AC568" s="76"/>
      <c r="AD568" s="76"/>
      <c r="AE568" s="76"/>
      <c r="AF568" s="76"/>
      <c r="AG568" s="76"/>
      <c r="AH568" s="76"/>
    </row>
    <row r="569" spans="1:34" hidden="1">
      <c r="A569" s="238" t="s">
        <v>175</v>
      </c>
      <c r="B569" s="182"/>
      <c r="C569" s="234">
        <f>480000+960000</f>
        <v>1440000</v>
      </c>
      <c r="D569" s="214">
        <f>D558</f>
        <v>4.3570000000000002</v>
      </c>
      <c r="E569" s="236" t="s">
        <v>126</v>
      </c>
      <c r="F569" s="236">
        <f>ROUND(D569*$C569/100*D561,0)</f>
        <v>-627</v>
      </c>
      <c r="G569" s="214">
        <f>G558</f>
        <v>4.6340000000000003</v>
      </c>
      <c r="H569" s="214"/>
      <c r="I569" s="236">
        <f>ROUND(G569*C569/100*$G$527,0)</f>
        <v>-667</v>
      </c>
      <c r="J569" s="214">
        <f>J558</f>
        <v>5.2170000000000005</v>
      </c>
      <c r="K569" s="238" t="s">
        <v>126</v>
      </c>
      <c r="L569" s="236">
        <f>ROUND(J569*$C569/100*J561,0)</f>
        <v>-751</v>
      </c>
      <c r="N569" s="76"/>
      <c r="O569" s="76"/>
      <c r="P569" s="144"/>
      <c r="Q569" s="144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  <c r="AH569" s="76"/>
    </row>
    <row r="570" spans="1:34" hidden="1">
      <c r="A570" s="238" t="s">
        <v>149</v>
      </c>
      <c r="B570" s="182"/>
      <c r="C570" s="234">
        <f>892800+6410400-C569</f>
        <v>5863200</v>
      </c>
      <c r="D570" s="214">
        <f>D559</f>
        <v>3.9930000000000003</v>
      </c>
      <c r="E570" s="236" t="s">
        <v>126</v>
      </c>
      <c r="F570" s="236">
        <f>ROUND(D570*$C570/100*D561,0)</f>
        <v>-2341</v>
      </c>
      <c r="G570" s="214">
        <f>G559</f>
        <v>4.2469999999999999</v>
      </c>
      <c r="H570" s="214"/>
      <c r="I570" s="236">
        <f>ROUND(G570*C570/100*$G$527,0)</f>
        <v>-2490</v>
      </c>
      <c r="J570" s="214">
        <f>J559</f>
        <v>4.7799999999999994</v>
      </c>
      <c r="K570" s="238" t="s">
        <v>126</v>
      </c>
      <c r="L570" s="236">
        <f>ROUND(J570*$C570/100*J561,0)</f>
        <v>-2803</v>
      </c>
      <c r="N570" s="76"/>
      <c r="O570" s="76"/>
      <c r="P570" s="144"/>
      <c r="Q570" s="144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  <c r="AH570" s="76"/>
    </row>
    <row r="571" spans="1:34" hidden="1">
      <c r="A571" s="238" t="s">
        <v>150</v>
      </c>
      <c r="B571" s="182"/>
      <c r="C571" s="234">
        <f>440+5754</f>
        <v>6194</v>
      </c>
      <c r="D571" s="294">
        <f>D560</f>
        <v>45</v>
      </c>
      <c r="E571" s="236" t="s">
        <v>126</v>
      </c>
      <c r="F571" s="236">
        <f>ROUND(D571*$C571/100*D561,0)</f>
        <v>-28</v>
      </c>
      <c r="G571" s="294">
        <f>G560</f>
        <v>50</v>
      </c>
      <c r="H571" s="294"/>
      <c r="I571" s="236">
        <f>ROUND(G571*C571/100*$G$527,0)</f>
        <v>-31</v>
      </c>
      <c r="J571" s="294">
        <f>J560</f>
        <v>56</v>
      </c>
      <c r="K571" s="238" t="s">
        <v>126</v>
      </c>
      <c r="L571" s="236">
        <f>ROUND(J571*$C571/100*J561,0)</f>
        <v>-35</v>
      </c>
      <c r="N571" s="76"/>
      <c r="O571" s="76"/>
      <c r="P571" s="144"/>
      <c r="Q571" s="144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  <c r="AH571" s="76"/>
    </row>
    <row r="572" spans="1:34" hidden="1">
      <c r="A572" s="238" t="s">
        <v>187</v>
      </c>
      <c r="B572" s="182"/>
      <c r="C572" s="234">
        <f>C562+C563+C564</f>
        <v>36</v>
      </c>
      <c r="D572" s="204">
        <f>$D$504</f>
        <v>60</v>
      </c>
      <c r="E572" s="283" t="s">
        <v>0</v>
      </c>
      <c r="F572" s="236">
        <f>ROUND(D572*$C572,0)</f>
        <v>2160</v>
      </c>
      <c r="G572" s="204">
        <f>$D$504</f>
        <v>60</v>
      </c>
      <c r="H572" s="204"/>
      <c r="I572" s="236">
        <f>ROUND(G572*C572,0)</f>
        <v>2160</v>
      </c>
      <c r="J572" s="204">
        <f>$J$504</f>
        <v>60</v>
      </c>
      <c r="K572" s="182"/>
      <c r="L572" s="236">
        <f>ROUND(J572*$C572,0)</f>
        <v>2160</v>
      </c>
      <c r="N572" s="76"/>
      <c r="O572" s="76"/>
      <c r="P572" s="144"/>
      <c r="Q572" s="144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  <c r="AH572" s="76"/>
    </row>
    <row r="573" spans="1:34" hidden="1">
      <c r="A573" s="238" t="s">
        <v>188</v>
      </c>
      <c r="B573" s="182"/>
      <c r="C573" s="234">
        <f>C565+C566</f>
        <v>21069</v>
      </c>
      <c r="D573" s="253">
        <f>$D$505</f>
        <v>-30</v>
      </c>
      <c r="E573" s="236" t="s">
        <v>126</v>
      </c>
      <c r="F573" s="236">
        <f>ROUND(D573*$C573/100,0)</f>
        <v>-6321</v>
      </c>
      <c r="G573" s="253">
        <f>$D$505</f>
        <v>-30</v>
      </c>
      <c r="H573" s="253"/>
      <c r="I573" s="236">
        <f>-ROUND(G573*C573*$G$527,0)</f>
        <v>-6321</v>
      </c>
      <c r="J573" s="253">
        <f>$J$505</f>
        <v>-30</v>
      </c>
      <c r="K573" s="236" t="s">
        <v>126</v>
      </c>
      <c r="L573" s="236">
        <f>ROUND(J573*$C573/100,0)</f>
        <v>-6321</v>
      </c>
      <c r="N573" s="76"/>
      <c r="O573" s="76"/>
      <c r="P573" s="144"/>
      <c r="Q573" s="144"/>
      <c r="R573" s="76"/>
      <c r="S573" s="76"/>
      <c r="T573" s="76"/>
      <c r="U573" s="76"/>
      <c r="V573" s="76"/>
      <c r="W573" s="76"/>
      <c r="X573" s="76"/>
      <c r="Y573" s="76"/>
      <c r="Z573" s="76"/>
      <c r="AA573" s="76"/>
      <c r="AB573" s="76"/>
      <c r="AC573" s="76"/>
      <c r="AD573" s="76"/>
      <c r="AE573" s="76"/>
      <c r="AF573" s="76"/>
      <c r="AG573" s="76"/>
      <c r="AH573" s="76"/>
    </row>
    <row r="574" spans="1:34" hidden="1">
      <c r="A574" s="182" t="s">
        <v>131</v>
      </c>
      <c r="B574" s="182"/>
      <c r="C574" s="234">
        <f>SUM(C558:C559)</f>
        <v>132952902</v>
      </c>
      <c r="D574" s="244"/>
      <c r="E574" s="164"/>
      <c r="F574" s="164">
        <f>SUM(F548:F573)</f>
        <v>8074004</v>
      </c>
      <c r="G574" s="244"/>
      <c r="H574" s="244"/>
      <c r="I574" s="164">
        <f>SUM(I548:I573)</f>
        <v>8496776</v>
      </c>
      <c r="J574" s="244"/>
      <c r="K574" s="182"/>
      <c r="L574" s="164">
        <f>SUM(L548:L573)</f>
        <v>9565360</v>
      </c>
      <c r="N574" s="76"/>
      <c r="O574" s="76"/>
      <c r="P574" s="144"/>
      <c r="Q574" s="144"/>
      <c r="R574" s="76"/>
      <c r="S574" s="76"/>
      <c r="T574" s="76"/>
      <c r="U574" s="76"/>
      <c r="V574" s="76"/>
      <c r="W574" s="76"/>
      <c r="X574" s="76"/>
      <c r="Y574" s="76"/>
      <c r="Z574" s="76"/>
      <c r="AA574" s="76"/>
      <c r="AB574" s="76"/>
      <c r="AC574" s="76"/>
      <c r="AD574" s="76"/>
      <c r="AE574" s="76"/>
      <c r="AF574" s="76"/>
      <c r="AG574" s="76"/>
      <c r="AH574" s="76"/>
    </row>
    <row r="575" spans="1:34" hidden="1">
      <c r="A575" s="182" t="s">
        <v>114</v>
      </c>
      <c r="B575" s="182"/>
      <c r="C575" s="270">
        <v>2700038.1003561206</v>
      </c>
      <c r="D575" s="217"/>
      <c r="E575" s="217"/>
      <c r="F575" s="218">
        <v>242003.07786316937</v>
      </c>
      <c r="G575" s="217"/>
      <c r="H575" s="217"/>
      <c r="I575" s="218">
        <f>F575</f>
        <v>242003.07786316937</v>
      </c>
      <c r="J575" s="217"/>
      <c r="K575" s="217"/>
      <c r="L575" s="218">
        <f>F575</f>
        <v>242003.07786316937</v>
      </c>
      <c r="N575" s="196"/>
      <c r="O575" s="196"/>
      <c r="P575" s="194"/>
      <c r="Q575" s="144"/>
      <c r="R575" s="76"/>
      <c r="S575" s="76"/>
      <c r="T575" s="76"/>
      <c r="U575" s="76"/>
      <c r="V575" s="76"/>
      <c r="W575" s="76"/>
      <c r="X575" s="76"/>
      <c r="Y575" s="76"/>
      <c r="Z575" s="76"/>
      <c r="AA575" s="76"/>
      <c r="AB575" s="76"/>
      <c r="AC575" s="76"/>
      <c r="AD575" s="76"/>
      <c r="AE575" s="76"/>
      <c r="AF575" s="76"/>
      <c r="AG575" s="76"/>
      <c r="AH575" s="76"/>
    </row>
    <row r="576" spans="1:34" ht="16.5" hidden="1" thickBot="1">
      <c r="A576" s="182" t="s">
        <v>132</v>
      </c>
      <c r="B576" s="182"/>
      <c r="C576" s="284">
        <f>SUM(C574)+C575</f>
        <v>135652940.10035613</v>
      </c>
      <c r="D576" s="258"/>
      <c r="E576" s="259"/>
      <c r="F576" s="260">
        <f>F574+F575</f>
        <v>8316007.0778631698</v>
      </c>
      <c r="G576" s="258"/>
      <c r="H576" s="258"/>
      <c r="I576" s="260">
        <f>I574+I575</f>
        <v>8738779.0778631698</v>
      </c>
      <c r="J576" s="258"/>
      <c r="K576" s="262"/>
      <c r="L576" s="260">
        <f>L574+L575</f>
        <v>9807363.0778631698</v>
      </c>
      <c r="N576" s="197"/>
      <c r="O576" s="197"/>
      <c r="P576" s="198"/>
      <c r="Q576" s="144"/>
      <c r="R576" s="76"/>
      <c r="S576" s="76"/>
      <c r="T576" s="76"/>
      <c r="U576" s="76"/>
      <c r="V576" s="76"/>
      <c r="W576" s="76"/>
      <c r="X576" s="76"/>
      <c r="Y576" s="76"/>
      <c r="Z576" s="76"/>
      <c r="AA576" s="76"/>
      <c r="AB576" s="76"/>
      <c r="AC576" s="76"/>
      <c r="AD576" s="76"/>
      <c r="AE576" s="76"/>
      <c r="AF576" s="76"/>
      <c r="AG576" s="76"/>
      <c r="AH576" s="76"/>
    </row>
    <row r="577" spans="1:34" hidden="1">
      <c r="A577" s="211"/>
      <c r="B577" s="302"/>
      <c r="C577" s="211"/>
      <c r="D577" s="200"/>
      <c r="E577" s="200"/>
      <c r="F577" s="303"/>
      <c r="G577" s="200"/>
      <c r="H577" s="200"/>
      <c r="I577" s="303"/>
      <c r="J577" s="211"/>
      <c r="K577" s="211"/>
      <c r="L577" s="211"/>
      <c r="N577" s="76"/>
      <c r="O577" s="76"/>
      <c r="P577" s="144"/>
      <c r="Q577" s="144"/>
      <c r="R577" s="76"/>
      <c r="S577" s="76"/>
      <c r="T577" s="76"/>
      <c r="U577" s="76"/>
      <c r="V577" s="76"/>
      <c r="W577" s="76"/>
      <c r="X577" s="76"/>
      <c r="Y577" s="76"/>
      <c r="Z577" s="76"/>
      <c r="AA577" s="76"/>
      <c r="AB577" s="76"/>
      <c r="AC577" s="76"/>
      <c r="AD577" s="76"/>
      <c r="AE577" s="76"/>
      <c r="AF577" s="76"/>
      <c r="AG577" s="76"/>
      <c r="AH577" s="76"/>
    </row>
    <row r="578" spans="1:34">
      <c r="A578" s="199" t="s">
        <v>191</v>
      </c>
      <c r="B578" s="182"/>
      <c r="C578" s="200"/>
      <c r="D578" s="252"/>
      <c r="E578" s="164"/>
      <c r="F578" s="164"/>
      <c r="G578" s="252"/>
      <c r="H578" s="252"/>
      <c r="I578" s="164"/>
      <c r="J578" s="252"/>
      <c r="K578" s="182"/>
      <c r="L578" s="164"/>
      <c r="N578" s="76"/>
      <c r="O578" s="76"/>
      <c r="P578" s="144"/>
      <c r="Q578" s="144"/>
      <c r="R578" s="76"/>
      <c r="S578" s="76"/>
      <c r="T578" s="76"/>
      <c r="U578" s="76"/>
      <c r="V578" s="76"/>
      <c r="W578" s="76"/>
      <c r="X578" s="76"/>
      <c r="Y578" s="76"/>
      <c r="Z578" s="76"/>
      <c r="AA578" s="76"/>
      <c r="AB578" s="76"/>
      <c r="AC578" s="76"/>
      <c r="AD578" s="76"/>
      <c r="AE578" s="76"/>
      <c r="AF578" s="76"/>
      <c r="AG578" s="76"/>
      <c r="AH578" s="76"/>
    </row>
    <row r="579" spans="1:34">
      <c r="A579" s="217" t="s">
        <v>192</v>
      </c>
      <c r="B579" s="182"/>
      <c r="C579" s="200"/>
      <c r="D579" s="252"/>
      <c r="E579" s="164"/>
      <c r="F579" s="164"/>
      <c r="G579" s="252"/>
      <c r="H579" s="252"/>
      <c r="I579" s="164"/>
      <c r="J579" s="252"/>
      <c r="K579" s="182"/>
      <c r="L579" s="164"/>
      <c r="N579" s="76"/>
      <c r="O579" s="76"/>
      <c r="P579" s="144"/>
      <c r="Q579" s="144"/>
      <c r="R579" s="76"/>
      <c r="S579" s="76"/>
      <c r="T579" s="76"/>
      <c r="U579" s="76"/>
      <c r="V579" s="76"/>
      <c r="W579" s="76"/>
      <c r="X579" s="76"/>
      <c r="Y579" s="76"/>
      <c r="Z579" s="76"/>
      <c r="AA579" s="76"/>
      <c r="AB579" s="76"/>
      <c r="AC579" s="76"/>
      <c r="AD579" s="76"/>
      <c r="AE579" s="76"/>
      <c r="AF579" s="76"/>
      <c r="AG579" s="76"/>
      <c r="AH579" s="76"/>
    </row>
    <row r="580" spans="1:34">
      <c r="A580" s="238"/>
      <c r="B580" s="182"/>
      <c r="C580" s="200"/>
      <c r="D580" s="252"/>
      <c r="E580" s="164"/>
      <c r="F580" s="304"/>
      <c r="G580" s="252"/>
      <c r="H580" s="252"/>
      <c r="I580" s="304"/>
      <c r="J580" s="252"/>
      <c r="K580" s="182"/>
      <c r="L580" s="305"/>
      <c r="N580" s="76"/>
      <c r="O580" s="76"/>
      <c r="P580" s="144"/>
      <c r="Q580" s="144"/>
      <c r="R580" s="76"/>
      <c r="S580" s="76"/>
      <c r="T580" s="76"/>
      <c r="U580" s="76"/>
      <c r="V580" s="76"/>
      <c r="W580" s="76"/>
      <c r="X580" s="76"/>
      <c r="Y580" s="76"/>
      <c r="Z580" s="76"/>
      <c r="AA580" s="76"/>
      <c r="AB580" s="76"/>
      <c r="AC580" s="76"/>
      <c r="AD580" s="76"/>
      <c r="AE580" s="76"/>
      <c r="AF580" s="76"/>
      <c r="AG580" s="76"/>
      <c r="AH580" s="76"/>
    </row>
    <row r="581" spans="1:34">
      <c r="A581" s="217" t="s">
        <v>193</v>
      </c>
      <c r="B581" s="182"/>
      <c r="C581" s="234"/>
      <c r="D581" s="164" t="s">
        <v>0</v>
      </c>
      <c r="E581" s="164"/>
      <c r="F581" s="182"/>
      <c r="G581" s="164" t="s">
        <v>0</v>
      </c>
      <c r="H581" s="164"/>
      <c r="I581" s="182"/>
      <c r="J581" s="164" t="s">
        <v>0</v>
      </c>
      <c r="K581" s="182"/>
      <c r="L581" s="182"/>
      <c r="N581" s="76"/>
      <c r="O581" s="76"/>
      <c r="P581" s="144"/>
      <c r="Q581" s="76"/>
      <c r="R581" s="76"/>
      <c r="S581" s="76"/>
      <c r="T581" s="76"/>
      <c r="U581" s="76"/>
      <c r="V581" s="76"/>
      <c r="W581" s="76"/>
      <c r="X581" s="76"/>
      <c r="AB581" s="76"/>
      <c r="AC581" s="76"/>
      <c r="AD581" s="76"/>
      <c r="AE581" s="76"/>
      <c r="AF581" s="76"/>
      <c r="AG581" s="76"/>
      <c r="AH581" s="76"/>
    </row>
    <row r="582" spans="1:34">
      <c r="A582" s="217" t="s">
        <v>194</v>
      </c>
      <c r="B582" s="182"/>
      <c r="C582" s="234">
        <f>C633+C684</f>
        <v>1055</v>
      </c>
      <c r="D582" s="252">
        <v>0</v>
      </c>
      <c r="E582" s="239"/>
      <c r="F582" s="236">
        <f>F633+F684</f>
        <v>0</v>
      </c>
      <c r="G582" s="252">
        <v>0</v>
      </c>
      <c r="H582" s="252"/>
      <c r="I582" s="236">
        <f>I633+I684</f>
        <v>0</v>
      </c>
      <c r="J582" s="252">
        <f>D582</f>
        <v>0</v>
      </c>
      <c r="K582" s="239"/>
      <c r="L582" s="236">
        <f>L633+L684</f>
        <v>0</v>
      </c>
      <c r="N582" s="165" t="e">
        <f>J582*#REF!</f>
        <v>#REF!</v>
      </c>
      <c r="Q582" s="88"/>
      <c r="AC582" s="76"/>
      <c r="AD582" s="76"/>
      <c r="AE582" s="76"/>
      <c r="AF582" s="76"/>
      <c r="AG582" s="76"/>
      <c r="AH582" s="76"/>
    </row>
    <row r="583" spans="1:34">
      <c r="A583" s="217" t="s">
        <v>195</v>
      </c>
      <c r="B583" s="182"/>
      <c r="C583" s="234"/>
      <c r="D583" s="252"/>
      <c r="E583" s="239"/>
      <c r="F583" s="236"/>
      <c r="G583" s="252"/>
      <c r="H583" s="252"/>
      <c r="I583" s="236"/>
      <c r="J583" s="252"/>
      <c r="K583" s="239"/>
      <c r="L583" s="236"/>
      <c r="S583" s="165"/>
      <c r="T583" s="298"/>
      <c r="U583" s="165"/>
      <c r="V583" s="298"/>
      <c r="W583" s="165"/>
      <c r="X583" s="165"/>
      <c r="Y583" s="131"/>
      <c r="AC583" s="76"/>
      <c r="AD583" s="76"/>
      <c r="AE583" s="76"/>
      <c r="AF583" s="76"/>
      <c r="AG583" s="76"/>
      <c r="AH583" s="76"/>
    </row>
    <row r="584" spans="1:34">
      <c r="A584" s="217" t="s">
        <v>196</v>
      </c>
      <c r="B584" s="182"/>
      <c r="C584" s="234">
        <f t="shared" ref="C584:C589" si="87">C635+C686</f>
        <v>3819</v>
      </c>
      <c r="D584" s="252">
        <v>0</v>
      </c>
      <c r="E584" s="239"/>
      <c r="F584" s="236">
        <f t="shared" ref="F584:I586" si="88">F635+F686</f>
        <v>0</v>
      </c>
      <c r="G584" s="252">
        <v>0</v>
      </c>
      <c r="H584" s="252"/>
      <c r="I584" s="236">
        <f t="shared" si="88"/>
        <v>0</v>
      </c>
      <c r="J584" s="252">
        <v>0</v>
      </c>
      <c r="K584" s="239"/>
      <c r="L584" s="236">
        <f>L635+L686</f>
        <v>0</v>
      </c>
      <c r="N584" s="165" t="e">
        <f>J584*#REF!</f>
        <v>#REF!</v>
      </c>
      <c r="O584" s="233"/>
      <c r="Q584" s="173" t="s">
        <v>113</v>
      </c>
      <c r="S584" s="165"/>
      <c r="T584" s="298"/>
      <c r="U584" s="165"/>
      <c r="V584" s="298"/>
      <c r="W584" s="165"/>
      <c r="X584" s="165"/>
      <c r="Y584" s="131"/>
      <c r="AC584" s="76"/>
      <c r="AD584" s="76"/>
      <c r="AE584" s="76"/>
      <c r="AF584" s="76"/>
      <c r="AG584" s="76"/>
      <c r="AH584" s="76"/>
    </row>
    <row r="585" spans="1:34">
      <c r="A585" s="217" t="s">
        <v>197</v>
      </c>
      <c r="B585" s="182"/>
      <c r="C585" s="234">
        <f t="shared" si="87"/>
        <v>417</v>
      </c>
      <c r="D585" s="252">
        <v>301</v>
      </c>
      <c r="E585" s="239"/>
      <c r="F585" s="236">
        <f t="shared" si="88"/>
        <v>125517</v>
      </c>
      <c r="G585" s="252">
        <v>312</v>
      </c>
      <c r="H585" s="252"/>
      <c r="I585" s="236">
        <f t="shared" si="88"/>
        <v>130104</v>
      </c>
      <c r="J585" s="252">
        <f>ROUND(G585+(G585*$Q$626),0)+1</f>
        <v>352</v>
      </c>
      <c r="K585" s="239"/>
      <c r="L585" s="236">
        <f>L636+L687</f>
        <v>146784</v>
      </c>
      <c r="N585" s="165" t="e">
        <f>J585*#REF!</f>
        <v>#REF!</v>
      </c>
      <c r="O585" s="175"/>
      <c r="Q585" s="88">
        <f>(J585-G585)/G585</f>
        <v>0.12820512820512819</v>
      </c>
      <c r="R585" s="231"/>
      <c r="S585" s="165"/>
      <c r="T585" s="235"/>
      <c r="U585" s="165"/>
      <c r="V585" s="235"/>
      <c r="W585" s="165"/>
      <c r="X585" s="165"/>
      <c r="Y585" s="306"/>
      <c r="AC585" s="76"/>
      <c r="AD585" s="76"/>
      <c r="AE585" s="76"/>
      <c r="AF585" s="76"/>
      <c r="AG585" s="76"/>
      <c r="AH585" s="76"/>
    </row>
    <row r="586" spans="1:34">
      <c r="A586" s="217" t="s">
        <v>198</v>
      </c>
      <c r="B586" s="182"/>
      <c r="C586" s="234">
        <f t="shared" si="87"/>
        <v>12</v>
      </c>
      <c r="D586" s="252">
        <v>1215</v>
      </c>
      <c r="E586" s="239"/>
      <c r="F586" s="236">
        <f t="shared" si="88"/>
        <v>14580</v>
      </c>
      <c r="G586" s="252">
        <v>1268</v>
      </c>
      <c r="H586" s="252"/>
      <c r="I586" s="236">
        <f t="shared" si="88"/>
        <v>15216</v>
      </c>
      <c r="J586" s="252">
        <f>ROUND(G586+(G586*$Q$626),0)+10</f>
        <v>1435</v>
      </c>
      <c r="K586" s="239"/>
      <c r="L586" s="236">
        <f>L637+L688</f>
        <v>17220</v>
      </c>
      <c r="N586" s="165" t="e">
        <f>J586*#REF!</f>
        <v>#REF!</v>
      </c>
      <c r="O586" s="175"/>
      <c r="Q586" s="88">
        <f>(J586-G586)/G586</f>
        <v>0.13170347003154576</v>
      </c>
      <c r="S586" s="165"/>
      <c r="T586" s="165"/>
      <c r="Y586" s="76"/>
      <c r="AB586" s="76"/>
      <c r="AC586" s="76"/>
      <c r="AD586" s="76"/>
      <c r="AE586" s="76"/>
      <c r="AF586" s="76"/>
      <c r="AG586" s="76"/>
      <c r="AH586" s="76"/>
    </row>
    <row r="587" spans="1:34">
      <c r="A587" s="217" t="s">
        <v>111</v>
      </c>
      <c r="B587" s="182"/>
      <c r="C587" s="234">
        <f t="shared" si="87"/>
        <v>5303</v>
      </c>
      <c r="D587" s="252"/>
      <c r="E587" s="239"/>
      <c r="F587" s="236"/>
      <c r="G587" s="252"/>
      <c r="H587" s="252"/>
      <c r="I587" s="236"/>
      <c r="J587" s="252"/>
      <c r="K587" s="239"/>
      <c r="L587" s="236"/>
      <c r="N587" s="175"/>
      <c r="O587" s="175"/>
      <c r="Q587" s="235"/>
      <c r="R587" s="175"/>
      <c r="Y587" s="231"/>
      <c r="Z587" s="231"/>
      <c r="AA587" s="76"/>
      <c r="AB587" s="76"/>
      <c r="AC587" s="76"/>
      <c r="AD587" s="76"/>
      <c r="AE587" s="76"/>
      <c r="AF587" s="76"/>
      <c r="AG587" s="76"/>
      <c r="AH587" s="76"/>
    </row>
    <row r="588" spans="1:34">
      <c r="A588" s="217" t="s">
        <v>199</v>
      </c>
      <c r="B588" s="182"/>
      <c r="C588" s="234">
        <f t="shared" si="87"/>
        <v>35812</v>
      </c>
      <c r="D588" s="252"/>
      <c r="E588" s="239"/>
      <c r="F588" s="236"/>
      <c r="G588" s="252"/>
      <c r="H588" s="252"/>
      <c r="I588" s="236"/>
      <c r="J588" s="252"/>
      <c r="K588" s="239"/>
      <c r="L588" s="236"/>
      <c r="N588" s="175"/>
      <c r="O588" s="175"/>
      <c r="R588" s="175"/>
      <c r="AA588" s="76"/>
      <c r="AB588" s="76"/>
      <c r="AC588" s="76"/>
      <c r="AD588" s="76"/>
      <c r="AE588" s="76"/>
      <c r="AF588" s="76"/>
      <c r="AG588" s="76"/>
      <c r="AH588" s="76"/>
    </row>
    <row r="589" spans="1:34">
      <c r="A589" s="217" t="s">
        <v>200</v>
      </c>
      <c r="B589" s="182"/>
      <c r="C589" s="234">
        <f t="shared" si="87"/>
        <v>5684</v>
      </c>
      <c r="D589" s="252"/>
      <c r="E589" s="236"/>
      <c r="F589" s="236"/>
      <c r="G589" s="252"/>
      <c r="H589" s="252"/>
      <c r="I589" s="236"/>
      <c r="J589" s="252"/>
      <c r="K589" s="236"/>
      <c r="L589" s="307" t="s">
        <v>0</v>
      </c>
      <c r="N589" s="175"/>
      <c r="O589" s="175"/>
      <c r="Q589" s="235"/>
      <c r="R589" s="254"/>
      <c r="AA589" s="76"/>
      <c r="AB589" s="76"/>
      <c r="AC589" s="76"/>
      <c r="AD589" s="76"/>
      <c r="AE589" s="76"/>
      <c r="AF589" s="76"/>
      <c r="AG589" s="76"/>
      <c r="AH589" s="76"/>
    </row>
    <row r="590" spans="1:34">
      <c r="A590" s="217" t="s">
        <v>201</v>
      </c>
      <c r="B590" s="182"/>
      <c r="C590" s="234"/>
      <c r="D590" s="252"/>
      <c r="E590" s="239"/>
      <c r="F590" s="236"/>
      <c r="G590" s="252"/>
      <c r="H590" s="252"/>
      <c r="I590" s="236"/>
      <c r="J590" s="252"/>
      <c r="K590" s="239"/>
      <c r="L590" s="236"/>
      <c r="N590" s="175"/>
      <c r="O590" s="175"/>
      <c r="Q590" s="235"/>
      <c r="R590" s="175"/>
      <c r="AA590" s="76"/>
      <c r="AB590" s="76"/>
      <c r="AC590" s="76"/>
      <c r="AD590" s="76"/>
      <c r="AE590" s="76"/>
      <c r="AF590" s="76"/>
      <c r="AG590" s="76"/>
      <c r="AH590" s="76"/>
    </row>
    <row r="591" spans="1:34">
      <c r="A591" s="217" t="s">
        <v>202</v>
      </c>
      <c r="B591" s="182"/>
      <c r="C591" s="234">
        <f>C642+C693</f>
        <v>3112</v>
      </c>
      <c r="D591" s="252">
        <v>19.87</v>
      </c>
      <c r="E591" s="239"/>
      <c r="F591" s="236">
        <f>F642+F693</f>
        <v>61836</v>
      </c>
      <c r="G591" s="252">
        <v>20.86</v>
      </c>
      <c r="H591" s="252"/>
      <c r="I591" s="236">
        <f>I642+I693</f>
        <v>64917</v>
      </c>
      <c r="J591" s="252">
        <f>ROUND(G591+(G591*$Q$626),2)</f>
        <v>23.44</v>
      </c>
      <c r="K591" s="239"/>
      <c r="L591" s="236">
        <f>L642+L693</f>
        <v>72946</v>
      </c>
      <c r="N591" s="165" t="e">
        <f>J591*#REF!</f>
        <v>#REF!</v>
      </c>
      <c r="O591" s="308"/>
      <c r="Q591" s="88">
        <f>(J591-G591)/G591</f>
        <v>0.12368168744007679</v>
      </c>
      <c r="R591" s="175"/>
      <c r="AC591" s="76"/>
      <c r="AD591" s="76"/>
      <c r="AE591" s="76"/>
      <c r="AF591" s="76"/>
      <c r="AG591" s="76"/>
      <c r="AH591" s="76"/>
    </row>
    <row r="592" spans="1:34">
      <c r="A592" s="217" t="s">
        <v>203</v>
      </c>
      <c r="B592" s="182"/>
      <c r="C592" s="234"/>
      <c r="D592" s="252"/>
      <c r="E592" s="239"/>
      <c r="F592" s="236"/>
      <c r="G592" s="252"/>
      <c r="H592" s="252"/>
      <c r="I592" s="236"/>
      <c r="J592" s="252"/>
      <c r="K592" s="239"/>
      <c r="L592" s="236"/>
      <c r="N592" s="308"/>
      <c r="O592" s="308"/>
      <c r="Q592" s="235"/>
      <c r="R592" s="175"/>
      <c r="AC592" s="76"/>
      <c r="AD592" s="76"/>
      <c r="AE592" s="76"/>
      <c r="AF592" s="76"/>
      <c r="AG592" s="76"/>
      <c r="AH592" s="76"/>
    </row>
    <row r="593" spans="1:34">
      <c r="A593" s="217" t="s">
        <v>196</v>
      </c>
      <c r="B593" s="182"/>
      <c r="C593" s="234">
        <f t="shared" ref="C593:C597" si="89">C644+C695</f>
        <v>52558</v>
      </c>
      <c r="D593" s="252">
        <v>19.87</v>
      </c>
      <c r="E593" s="239"/>
      <c r="F593" s="236">
        <f t="shared" ref="F593:I597" si="90">F644+F695</f>
        <v>1044327</v>
      </c>
      <c r="G593" s="252">
        <v>20.860000000000003</v>
      </c>
      <c r="H593" s="252"/>
      <c r="I593" s="236">
        <f t="shared" si="90"/>
        <v>1096360</v>
      </c>
      <c r="J593" s="252">
        <f>ROUND(G593+(G593*$Q$626),2)</f>
        <v>23.44</v>
      </c>
      <c r="K593" s="239"/>
      <c r="L593" s="236">
        <f>L644+L695</f>
        <v>1231959</v>
      </c>
      <c r="N593" s="165" t="e">
        <f>J593*#REF!</f>
        <v>#REF!</v>
      </c>
      <c r="O593" s="308"/>
      <c r="Q593" s="88">
        <f>(J593-G593)/G593</f>
        <v>0.1236816874400766</v>
      </c>
      <c r="R593" s="175"/>
      <c r="AC593" s="76"/>
      <c r="AD593" s="76"/>
      <c r="AE593" s="76"/>
      <c r="AF593" s="76"/>
      <c r="AG593" s="76"/>
      <c r="AH593" s="76"/>
    </row>
    <row r="594" spans="1:34">
      <c r="A594" s="217" t="s">
        <v>197</v>
      </c>
      <c r="B594" s="182"/>
      <c r="C594" s="234">
        <f t="shared" si="89"/>
        <v>40376</v>
      </c>
      <c r="D594" s="252">
        <v>13.64</v>
      </c>
      <c r="E594" s="239"/>
      <c r="F594" s="236">
        <f t="shared" si="90"/>
        <v>550729</v>
      </c>
      <c r="G594" s="252">
        <v>14.53</v>
      </c>
      <c r="H594" s="252"/>
      <c r="I594" s="236">
        <f t="shared" si="90"/>
        <v>586663</v>
      </c>
      <c r="J594" s="252">
        <f>ROUND(G594+(G594*$Q$626),2)</f>
        <v>16.32</v>
      </c>
      <c r="K594" s="239"/>
      <c r="L594" s="236">
        <f>L645+L696</f>
        <v>658937</v>
      </c>
      <c r="N594" s="165" t="e">
        <f>J594*#REF!</f>
        <v>#REF!</v>
      </c>
      <c r="O594" s="308"/>
      <c r="Q594" s="88">
        <f>(J594-G594)/G594</f>
        <v>0.12319339298004137</v>
      </c>
      <c r="R594" s="175"/>
      <c r="U594" s="165"/>
      <c r="V594" s="165"/>
      <c r="W594" s="165"/>
      <c r="X594" s="165"/>
      <c r="Y594" s="165"/>
      <c r="Z594" s="131"/>
      <c r="AA594" s="76" t="s">
        <v>0</v>
      </c>
      <c r="AB594" s="76"/>
      <c r="AC594" s="76"/>
      <c r="AD594" s="76"/>
      <c r="AE594" s="76"/>
      <c r="AF594" s="76"/>
      <c r="AG594" s="76"/>
      <c r="AH594" s="76"/>
    </row>
    <row r="595" spans="1:34">
      <c r="A595" s="217" t="s">
        <v>198</v>
      </c>
      <c r="B595" s="182" t="s">
        <v>0</v>
      </c>
      <c r="C595" s="234">
        <f t="shared" si="89"/>
        <v>4708</v>
      </c>
      <c r="D595" s="252">
        <v>10.62</v>
      </c>
      <c r="E595" s="239"/>
      <c r="F595" s="236">
        <f t="shared" si="90"/>
        <v>49999</v>
      </c>
      <c r="G595" s="252">
        <v>11.340000000000002</v>
      </c>
      <c r="H595" s="252"/>
      <c r="I595" s="236">
        <f t="shared" si="90"/>
        <v>53388</v>
      </c>
      <c r="J595" s="252">
        <f>ROUND(G595+(G595*$Q$626),2)+0.03</f>
        <v>12.77</v>
      </c>
      <c r="K595" s="239"/>
      <c r="L595" s="236">
        <f>L646+L697</f>
        <v>60122</v>
      </c>
      <c r="N595" s="165" t="e">
        <f>J595*#REF!</f>
        <v>#REF!</v>
      </c>
      <c r="O595" s="308"/>
      <c r="Q595" s="88">
        <f>(J595-G595)/G595</f>
        <v>0.12610229276895923</v>
      </c>
      <c r="R595" s="175"/>
      <c r="AA595" s="76" t="s">
        <v>0</v>
      </c>
      <c r="AB595" s="76"/>
      <c r="AC595" s="76"/>
      <c r="AD595" s="76"/>
      <c r="AE595" s="76"/>
      <c r="AF595" s="76"/>
      <c r="AG595" s="76"/>
      <c r="AH595" s="76"/>
    </row>
    <row r="596" spans="1:34">
      <c r="A596" s="217" t="s">
        <v>204</v>
      </c>
      <c r="B596" s="182"/>
      <c r="C596" s="234">
        <f t="shared" si="89"/>
        <v>608</v>
      </c>
      <c r="D596" s="252">
        <v>59.61</v>
      </c>
      <c r="E596" s="239"/>
      <c r="F596" s="236">
        <f t="shared" si="90"/>
        <v>36243</v>
      </c>
      <c r="G596" s="252">
        <v>62.58</v>
      </c>
      <c r="H596" s="252"/>
      <c r="I596" s="236">
        <f t="shared" si="90"/>
        <v>38049</v>
      </c>
      <c r="J596" s="252">
        <f>3*J591</f>
        <v>70.320000000000007</v>
      </c>
      <c r="K596" s="239"/>
      <c r="L596" s="236">
        <f>L647+L698</f>
        <v>42754</v>
      </c>
      <c r="N596" s="165" t="e">
        <f>J596*#REF!</f>
        <v>#REF!</v>
      </c>
      <c r="O596" s="175"/>
      <c r="Q596" s="88">
        <f>(J596-G596)/G596</f>
        <v>0.12368168744007685</v>
      </c>
      <c r="R596" s="175"/>
      <c r="AA596" s="76"/>
      <c r="AB596" s="76"/>
      <c r="AC596" s="76"/>
      <c r="AD596" s="76"/>
      <c r="AE596" s="76"/>
      <c r="AF596" s="76"/>
      <c r="AG596" s="76"/>
      <c r="AH596" s="76"/>
    </row>
    <row r="597" spans="1:34">
      <c r="A597" s="217" t="s">
        <v>205</v>
      </c>
      <c r="B597" s="182"/>
      <c r="C597" s="234">
        <f t="shared" si="89"/>
        <v>1038</v>
      </c>
      <c r="D597" s="252">
        <v>119.22</v>
      </c>
      <c r="E597" s="239"/>
      <c r="F597" s="236">
        <f t="shared" si="90"/>
        <v>123750</v>
      </c>
      <c r="G597" s="252">
        <v>125.16000000000003</v>
      </c>
      <c r="H597" s="252"/>
      <c r="I597" s="236">
        <f t="shared" si="90"/>
        <v>129916</v>
      </c>
      <c r="J597" s="252">
        <f>6*J593</f>
        <v>140.64000000000001</v>
      </c>
      <c r="K597" s="239"/>
      <c r="L597" s="236">
        <f>L648+L699</f>
        <v>145985</v>
      </c>
      <c r="N597" s="165" t="e">
        <f>J597*#REF!</f>
        <v>#REF!</v>
      </c>
      <c r="O597" s="175"/>
      <c r="Q597" s="88">
        <f>(J597-G597)/G597</f>
        <v>0.1236816874400766</v>
      </c>
      <c r="R597" s="175"/>
      <c r="AA597" s="76"/>
      <c r="AB597" s="76"/>
      <c r="AC597" s="76"/>
      <c r="AD597" s="76"/>
      <c r="AE597" s="76"/>
      <c r="AF597" s="76"/>
      <c r="AG597" s="76"/>
      <c r="AH597" s="76"/>
    </row>
    <row r="598" spans="1:34">
      <c r="A598" s="217" t="s">
        <v>206</v>
      </c>
      <c r="B598" s="182"/>
      <c r="C598" s="234"/>
      <c r="D598" s="252"/>
      <c r="E598" s="239"/>
      <c r="F598" s="236"/>
      <c r="G598" s="252"/>
      <c r="H598" s="252"/>
      <c r="I598" s="236"/>
      <c r="J598" s="252"/>
      <c r="K598" s="239"/>
      <c r="L598" s="236"/>
      <c r="N598" s="175"/>
      <c r="O598" s="175"/>
      <c r="Q598" s="143"/>
      <c r="R598" s="175"/>
      <c r="AA598" s="76"/>
      <c r="AB598" s="76"/>
      <c r="AC598" s="76"/>
      <c r="AD598" s="76"/>
      <c r="AE598" s="76"/>
      <c r="AF598" s="76"/>
      <c r="AG598" s="76"/>
      <c r="AH598" s="76"/>
    </row>
    <row r="599" spans="1:34">
      <c r="A599" s="217" t="s">
        <v>202</v>
      </c>
      <c r="B599" s="182"/>
      <c r="C599" s="234">
        <f>C650+C701</f>
        <v>35</v>
      </c>
      <c r="D599" s="275">
        <f>-D591</f>
        <v>-19.87</v>
      </c>
      <c r="E599" s="239"/>
      <c r="F599" s="236">
        <f>F650+F701</f>
        <v>-696</v>
      </c>
      <c r="G599" s="275">
        <f>-G591</f>
        <v>-20.86</v>
      </c>
      <c r="H599" s="275"/>
      <c r="I599" s="236">
        <f>I650+I701</f>
        <v>-730</v>
      </c>
      <c r="J599" s="275">
        <f>-J591</f>
        <v>-23.44</v>
      </c>
      <c r="K599" s="239"/>
      <c r="L599" s="236">
        <f>L650+L701</f>
        <v>-820</v>
      </c>
      <c r="N599" s="165" t="e">
        <f>J599*#REF!</f>
        <v>#REF!</v>
      </c>
      <c r="O599" s="175"/>
      <c r="Q599" s="143"/>
      <c r="R599" s="175"/>
      <c r="AA599" s="76"/>
      <c r="AB599" s="76"/>
      <c r="AC599" s="76"/>
      <c r="AD599" s="76"/>
      <c r="AE599" s="76"/>
      <c r="AF599" s="76"/>
      <c r="AG599" s="76"/>
      <c r="AH599" s="76"/>
    </row>
    <row r="600" spans="1:34">
      <c r="A600" s="217" t="s">
        <v>207</v>
      </c>
      <c r="B600" s="182"/>
      <c r="C600" s="234">
        <f>C651+C702</f>
        <v>433</v>
      </c>
      <c r="D600" s="275">
        <f>-D593</f>
        <v>-19.87</v>
      </c>
      <c r="E600" s="239"/>
      <c r="F600" s="236">
        <f>F651+F702</f>
        <v>-8604</v>
      </c>
      <c r="G600" s="275">
        <f>-G593</f>
        <v>-20.860000000000003</v>
      </c>
      <c r="H600" s="275"/>
      <c r="I600" s="236">
        <f>I651+I702</f>
        <v>-9032</v>
      </c>
      <c r="J600" s="275">
        <f>-J593</f>
        <v>-23.44</v>
      </c>
      <c r="K600" s="239"/>
      <c r="L600" s="236">
        <f>L651+L702</f>
        <v>-10149</v>
      </c>
      <c r="N600" s="165" t="e">
        <f>J600*#REF!</f>
        <v>#REF!</v>
      </c>
      <c r="O600" s="175"/>
      <c r="Q600" s="143"/>
      <c r="R600" s="175"/>
      <c r="AA600" s="76"/>
      <c r="AB600" s="76"/>
      <c r="AC600" s="76"/>
      <c r="AD600" s="76"/>
      <c r="AE600" s="76"/>
      <c r="AF600" s="76"/>
      <c r="AG600" s="76"/>
      <c r="AH600" s="76"/>
    </row>
    <row r="601" spans="1:34">
      <c r="A601" s="238" t="s">
        <v>174</v>
      </c>
      <c r="B601" s="182"/>
      <c r="C601" s="234"/>
      <c r="D601" s="252"/>
      <c r="E601" s="236"/>
      <c r="F601" s="236"/>
      <c r="G601" s="252"/>
      <c r="H601" s="252"/>
      <c r="I601" s="236"/>
      <c r="J601" s="252"/>
      <c r="K601" s="236"/>
      <c r="L601" s="236"/>
      <c r="N601" s="175"/>
      <c r="O601" s="175"/>
      <c r="Q601" s="143"/>
      <c r="R601" s="175"/>
      <c r="S601" s="143" t="s">
        <v>0</v>
      </c>
      <c r="AA601" s="76"/>
      <c r="AB601" s="76"/>
      <c r="AC601" s="76"/>
      <c r="AD601" s="76"/>
      <c r="AE601" s="76"/>
      <c r="AF601" s="76"/>
      <c r="AG601" s="76"/>
      <c r="AH601" s="76"/>
    </row>
    <row r="602" spans="1:34">
      <c r="A602" s="217" t="s">
        <v>208</v>
      </c>
      <c r="B602" s="182"/>
      <c r="C602" s="234">
        <f>C653+C704</f>
        <v>168520999</v>
      </c>
      <c r="D602" s="309">
        <v>5.3710000000000004</v>
      </c>
      <c r="E602" s="236" t="s">
        <v>126</v>
      </c>
      <c r="F602" s="236">
        <f>F653+F704</f>
        <v>9051263</v>
      </c>
      <c r="G602" s="309">
        <v>5.6469999999999994</v>
      </c>
      <c r="H602" s="309"/>
      <c r="I602" s="236">
        <f>I653+I704</f>
        <v>9516381</v>
      </c>
      <c r="J602" s="309">
        <f>ROUND(G602+(G602*$Q$626),3)</f>
        <v>6.3440000000000003</v>
      </c>
      <c r="K602" s="236" t="s">
        <v>126</v>
      </c>
      <c r="L602" s="236">
        <f>L653+L704</f>
        <v>10690972</v>
      </c>
      <c r="N602" s="165" t="e">
        <f>(J602/100)*#REF!</f>
        <v>#REF!</v>
      </c>
      <c r="O602" s="310"/>
      <c r="Q602" s="88">
        <f>(J602-G602)/G602</f>
        <v>0.12342836904551108</v>
      </c>
      <c r="R602" s="175"/>
      <c r="AA602" s="76"/>
      <c r="AB602" s="76"/>
      <c r="AC602" s="76"/>
      <c r="AD602" s="76"/>
      <c r="AE602" s="76"/>
      <c r="AF602" s="76"/>
      <c r="AG602" s="76"/>
      <c r="AH602" s="76"/>
    </row>
    <row r="603" spans="1:34">
      <c r="A603" s="238" t="s">
        <v>150</v>
      </c>
      <c r="B603" s="182"/>
      <c r="C603" s="234">
        <f>C654+C705</f>
        <v>32561</v>
      </c>
      <c r="D603" s="311">
        <v>45</v>
      </c>
      <c r="E603" s="238" t="s">
        <v>126</v>
      </c>
      <c r="F603" s="236">
        <f>F654+F705</f>
        <v>14652</v>
      </c>
      <c r="G603" s="311">
        <v>50</v>
      </c>
      <c r="H603" s="311"/>
      <c r="I603" s="236">
        <f>I654+I705</f>
        <v>16281</v>
      </c>
      <c r="J603" s="312">
        <v>55</v>
      </c>
      <c r="K603" s="238" t="s">
        <v>126</v>
      </c>
      <c r="L603" s="236">
        <f>L654+L705</f>
        <v>17909</v>
      </c>
      <c r="N603" s="165" t="e">
        <f>(J603/100)*#REF!</f>
        <v>#REF!</v>
      </c>
      <c r="Q603" s="88">
        <f>(J603-G603)/G603</f>
        <v>0.1</v>
      </c>
      <c r="R603" s="175"/>
      <c r="AA603" s="76"/>
      <c r="AB603" s="76"/>
      <c r="AC603" s="76"/>
      <c r="AD603" s="76"/>
      <c r="AE603" s="76"/>
      <c r="AF603" s="76"/>
      <c r="AG603" s="76"/>
      <c r="AH603" s="76"/>
    </row>
    <row r="604" spans="1:34">
      <c r="A604" s="280" t="s">
        <v>151</v>
      </c>
      <c r="B604" s="182"/>
      <c r="C604" s="234"/>
      <c r="D604" s="247">
        <v>-0.01</v>
      </c>
      <c r="E604" s="164"/>
      <c r="F604" s="236"/>
      <c r="G604" s="247">
        <v>-0.01</v>
      </c>
      <c r="H604" s="247"/>
      <c r="I604" s="236"/>
      <c r="J604" s="247">
        <v>-0.01</v>
      </c>
      <c r="K604" s="182"/>
      <c r="L604" s="236"/>
      <c r="AA604" s="76"/>
      <c r="AB604" s="76"/>
      <c r="AC604" s="76"/>
      <c r="AD604" s="76"/>
      <c r="AE604" s="76"/>
      <c r="AF604" s="76"/>
      <c r="AG604" s="76"/>
      <c r="AH604" s="76"/>
    </row>
    <row r="605" spans="1:34">
      <c r="A605" s="217" t="s">
        <v>141</v>
      </c>
      <c r="B605" s="182"/>
      <c r="C605" s="234">
        <f>C656+C707</f>
        <v>0</v>
      </c>
      <c r="D605" s="304">
        <f>D582</f>
        <v>0</v>
      </c>
      <c r="E605" s="239"/>
      <c r="F605" s="236">
        <f>F656+F707</f>
        <v>0</v>
      </c>
      <c r="G605" s="304">
        <f>G582</f>
        <v>0</v>
      </c>
      <c r="H605" s="304"/>
      <c r="I605" s="236">
        <f>I656+I707</f>
        <v>0</v>
      </c>
      <c r="J605" s="304">
        <f>J582</f>
        <v>0</v>
      </c>
      <c r="K605" s="239"/>
      <c r="L605" s="236">
        <f>L656+L707</f>
        <v>0</v>
      </c>
      <c r="N605" s="165" t="e">
        <f>-(J605/100)*#REF!</f>
        <v>#REF!</v>
      </c>
      <c r="AA605" s="76"/>
      <c r="AB605" s="76"/>
      <c r="AC605" s="76"/>
      <c r="AD605" s="76"/>
      <c r="AE605" s="76"/>
      <c r="AF605" s="76"/>
      <c r="AG605" s="76"/>
      <c r="AH605" s="76"/>
    </row>
    <row r="606" spans="1:34">
      <c r="A606" s="217" t="s">
        <v>142</v>
      </c>
      <c r="B606" s="182"/>
      <c r="C606" s="234"/>
      <c r="D606" s="304"/>
      <c r="E606" s="239"/>
      <c r="F606" s="236"/>
      <c r="G606" s="304"/>
      <c r="H606" s="304"/>
      <c r="I606" s="236"/>
      <c r="J606" s="304"/>
      <c r="K606" s="239"/>
      <c r="L606" s="236"/>
      <c r="AA606" s="76"/>
      <c r="AB606" s="76"/>
      <c r="AC606" s="76"/>
      <c r="AD606" s="76"/>
      <c r="AE606" s="76"/>
      <c r="AF606" s="76"/>
      <c r="AG606" s="76"/>
      <c r="AH606" s="76"/>
    </row>
    <row r="607" spans="1:34">
      <c r="A607" s="217" t="s">
        <v>196</v>
      </c>
      <c r="B607" s="182"/>
      <c r="C607" s="234">
        <f t="shared" ref="C607:C610" si="91">C658+C709</f>
        <v>2</v>
      </c>
      <c r="D607" s="304">
        <f>D584</f>
        <v>0</v>
      </c>
      <c r="E607" s="239"/>
      <c r="F607" s="236">
        <f t="shared" ref="F607:I610" si="92">F658+F709</f>
        <v>0</v>
      </c>
      <c r="G607" s="304">
        <f>G584</f>
        <v>0</v>
      </c>
      <c r="H607" s="304"/>
      <c r="I607" s="236">
        <f t="shared" si="92"/>
        <v>0</v>
      </c>
      <c r="J607" s="304">
        <f>J584</f>
        <v>0</v>
      </c>
      <c r="K607" s="239"/>
      <c r="L607" s="236">
        <f>L658+L709</f>
        <v>0</v>
      </c>
      <c r="N607" s="165" t="e">
        <f>-(J607/100)*#REF!</f>
        <v>#REF!</v>
      </c>
      <c r="AA607" s="76"/>
      <c r="AB607" s="76"/>
      <c r="AC607" s="76"/>
      <c r="AD607" s="76"/>
      <c r="AE607" s="76"/>
      <c r="AF607" s="76"/>
      <c r="AG607" s="76"/>
      <c r="AH607" s="76"/>
    </row>
    <row r="608" spans="1:34">
      <c r="A608" s="217" t="s">
        <v>197</v>
      </c>
      <c r="B608" s="182"/>
      <c r="C608" s="234">
        <f t="shared" si="91"/>
        <v>0</v>
      </c>
      <c r="D608" s="304">
        <f>D585</f>
        <v>301</v>
      </c>
      <c r="E608" s="239"/>
      <c r="F608" s="236">
        <f t="shared" si="92"/>
        <v>0</v>
      </c>
      <c r="G608" s="304">
        <f>G585</f>
        <v>312</v>
      </c>
      <c r="H608" s="304"/>
      <c r="I608" s="236">
        <f t="shared" si="92"/>
        <v>0</v>
      </c>
      <c r="J608" s="304">
        <f>J585</f>
        <v>352</v>
      </c>
      <c r="K608" s="239"/>
      <c r="L608" s="236">
        <f>L659+L710</f>
        <v>0</v>
      </c>
      <c r="N608" s="165" t="e">
        <f>-(J608/100)*#REF!</f>
        <v>#REF!</v>
      </c>
      <c r="AA608" s="76"/>
      <c r="AB608" s="76"/>
      <c r="AC608" s="76"/>
      <c r="AD608" s="76"/>
      <c r="AE608" s="76"/>
      <c r="AF608" s="76"/>
      <c r="AG608" s="76"/>
      <c r="AH608" s="76"/>
    </row>
    <row r="609" spans="1:34">
      <c r="A609" s="217" t="s">
        <v>198</v>
      </c>
      <c r="B609" s="182"/>
      <c r="C609" s="234">
        <f t="shared" si="91"/>
        <v>0</v>
      </c>
      <c r="D609" s="304">
        <f>D586</f>
        <v>1215</v>
      </c>
      <c r="E609" s="239"/>
      <c r="F609" s="236">
        <f t="shared" si="92"/>
        <v>0</v>
      </c>
      <c r="G609" s="304">
        <f>G586</f>
        <v>1268</v>
      </c>
      <c r="H609" s="304"/>
      <c r="I609" s="236">
        <f t="shared" si="92"/>
        <v>0</v>
      </c>
      <c r="J609" s="304">
        <f>J586</f>
        <v>1435</v>
      </c>
      <c r="K609" s="239"/>
      <c r="L609" s="236">
        <f>L660+L711</f>
        <v>0</v>
      </c>
      <c r="N609" s="165" t="e">
        <f>-(J609/100)*#REF!</f>
        <v>#REF!</v>
      </c>
      <c r="AA609" s="76"/>
      <c r="AB609" s="76"/>
      <c r="AC609" s="76"/>
      <c r="AD609" s="76"/>
      <c r="AE609" s="76"/>
      <c r="AF609" s="76"/>
      <c r="AG609" s="76"/>
      <c r="AH609" s="76"/>
    </row>
    <row r="610" spans="1:34">
      <c r="A610" s="217" t="s">
        <v>141</v>
      </c>
      <c r="B610" s="182"/>
      <c r="C610" s="234">
        <f t="shared" si="91"/>
        <v>0</v>
      </c>
      <c r="D610" s="304">
        <f>D591</f>
        <v>19.87</v>
      </c>
      <c r="E610" s="239"/>
      <c r="F610" s="236">
        <f t="shared" si="92"/>
        <v>0</v>
      </c>
      <c r="G610" s="304">
        <f>G591</f>
        <v>20.86</v>
      </c>
      <c r="H610" s="304"/>
      <c r="I610" s="236">
        <f t="shared" si="92"/>
        <v>0</v>
      </c>
      <c r="J610" s="304">
        <f>J591</f>
        <v>23.44</v>
      </c>
      <c r="K610" s="239"/>
      <c r="L610" s="236">
        <f>L661+L712</f>
        <v>0</v>
      </c>
      <c r="N610" s="165" t="e">
        <f>-(J610/100)*#REF!</f>
        <v>#REF!</v>
      </c>
      <c r="AA610" s="76"/>
      <c r="AB610" s="76"/>
      <c r="AC610" s="76"/>
      <c r="AD610" s="76"/>
      <c r="AE610" s="76"/>
      <c r="AF610" s="76"/>
      <c r="AG610" s="76"/>
      <c r="AH610" s="76"/>
    </row>
    <row r="611" spans="1:34">
      <c r="A611" s="217" t="s">
        <v>142</v>
      </c>
      <c r="B611" s="182"/>
      <c r="C611" s="234"/>
      <c r="D611" s="304"/>
      <c r="E611" s="239"/>
      <c r="F611" s="236"/>
      <c r="G611" s="304"/>
      <c r="H611" s="304"/>
      <c r="I611" s="236"/>
      <c r="J611" s="304"/>
      <c r="K611" s="239"/>
      <c r="L611" s="236"/>
      <c r="AA611" s="76"/>
      <c r="AB611" s="76"/>
      <c r="AC611" s="76"/>
      <c r="AD611" s="76"/>
      <c r="AE611" s="76"/>
      <c r="AF611" s="76"/>
      <c r="AG611" s="76"/>
      <c r="AH611" s="76"/>
    </row>
    <row r="612" spans="1:34">
      <c r="A612" s="217" t="s">
        <v>196</v>
      </c>
      <c r="B612" s="182"/>
      <c r="C612" s="234">
        <f t="shared" ref="C612:C616" si="93">C663+C714</f>
        <v>39</v>
      </c>
      <c r="D612" s="304">
        <f>D593</f>
        <v>19.87</v>
      </c>
      <c r="E612" s="239"/>
      <c r="F612" s="236">
        <f t="shared" ref="F612:I616" si="94">F663+F714</f>
        <v>-8</v>
      </c>
      <c r="G612" s="304">
        <f>G593</f>
        <v>20.860000000000003</v>
      </c>
      <c r="H612" s="304"/>
      <c r="I612" s="236">
        <f t="shared" si="94"/>
        <v>-8</v>
      </c>
      <c r="J612" s="304">
        <f>J593</f>
        <v>23.44</v>
      </c>
      <c r="K612" s="239"/>
      <c r="L612" s="236">
        <f>L663+L714</f>
        <v>-9</v>
      </c>
      <c r="N612" s="165" t="e">
        <f>-(J612/100)*#REF!</f>
        <v>#REF!</v>
      </c>
      <c r="AA612" s="76"/>
      <c r="AB612" s="76"/>
      <c r="AC612" s="76"/>
      <c r="AD612" s="76"/>
      <c r="AE612" s="76"/>
      <c r="AF612" s="76"/>
      <c r="AG612" s="76"/>
      <c r="AH612" s="76"/>
    </row>
    <row r="613" spans="1:34">
      <c r="A613" s="217" t="s">
        <v>197</v>
      </c>
      <c r="B613" s="182"/>
      <c r="C613" s="234">
        <f t="shared" si="93"/>
        <v>0</v>
      </c>
      <c r="D613" s="304">
        <f>D594</f>
        <v>13.64</v>
      </c>
      <c r="E613" s="239"/>
      <c r="F613" s="236">
        <f t="shared" si="94"/>
        <v>0</v>
      </c>
      <c r="G613" s="304">
        <f>G594</f>
        <v>14.53</v>
      </c>
      <c r="H613" s="304"/>
      <c r="I613" s="236">
        <f t="shared" si="94"/>
        <v>0</v>
      </c>
      <c r="J613" s="304">
        <f>J594</f>
        <v>16.32</v>
      </c>
      <c r="K613" s="239"/>
      <c r="L613" s="236">
        <f>L664+L715</f>
        <v>0</v>
      </c>
      <c r="N613" s="165" t="e">
        <f>-(J613/100)*#REF!</f>
        <v>#REF!</v>
      </c>
      <c r="AA613" s="76"/>
      <c r="AB613" s="76"/>
      <c r="AC613" s="76"/>
      <c r="AD613" s="76"/>
      <c r="AE613" s="76"/>
      <c r="AF613" s="76"/>
      <c r="AG613" s="76"/>
      <c r="AH613" s="76"/>
    </row>
    <row r="614" spans="1:34">
      <c r="A614" s="217" t="s">
        <v>198</v>
      </c>
      <c r="B614" s="182"/>
      <c r="C614" s="234">
        <f t="shared" si="93"/>
        <v>0</v>
      </c>
      <c r="D614" s="304">
        <f>D595</f>
        <v>10.62</v>
      </c>
      <c r="E614" s="239"/>
      <c r="F614" s="236">
        <f t="shared" si="94"/>
        <v>0</v>
      </c>
      <c r="G614" s="304">
        <f>G595</f>
        <v>11.340000000000002</v>
      </c>
      <c r="H614" s="304"/>
      <c r="I614" s="236">
        <f t="shared" si="94"/>
        <v>0</v>
      </c>
      <c r="J614" s="304">
        <f>J595</f>
        <v>12.77</v>
      </c>
      <c r="K614" s="239"/>
      <c r="L614" s="236">
        <f>L665+L716</f>
        <v>0</v>
      </c>
      <c r="N614" s="165" t="e">
        <f>-(J614/100)*#REF!</f>
        <v>#REF!</v>
      </c>
      <c r="AA614" s="76"/>
      <c r="AB614" s="76"/>
      <c r="AC614" s="76"/>
      <c r="AD614" s="76"/>
      <c r="AE614" s="76"/>
      <c r="AF614" s="76"/>
      <c r="AG614" s="76"/>
      <c r="AH614" s="76"/>
    </row>
    <row r="615" spans="1:34">
      <c r="A615" s="217" t="s">
        <v>209</v>
      </c>
      <c r="B615" s="182"/>
      <c r="C615" s="234">
        <f t="shared" si="93"/>
        <v>0</v>
      </c>
      <c r="D615" s="275">
        <f>D596</f>
        <v>59.61</v>
      </c>
      <c r="E615" s="239"/>
      <c r="F615" s="236">
        <f t="shared" si="94"/>
        <v>0</v>
      </c>
      <c r="G615" s="275">
        <f>G596</f>
        <v>62.58</v>
      </c>
      <c r="H615" s="275"/>
      <c r="I615" s="236">
        <f t="shared" si="94"/>
        <v>0</v>
      </c>
      <c r="J615" s="275">
        <f>J596</f>
        <v>70.320000000000007</v>
      </c>
      <c r="K615" s="239"/>
      <c r="L615" s="236">
        <f>L666+L717</f>
        <v>0</v>
      </c>
      <c r="N615" s="165" t="e">
        <f>-(J615/100)*#REF!</f>
        <v>#REF!</v>
      </c>
      <c r="AA615" s="76"/>
      <c r="AB615" s="76"/>
      <c r="AC615" s="76"/>
      <c r="AD615" s="76"/>
      <c r="AE615" s="76"/>
      <c r="AF615" s="76"/>
      <c r="AG615" s="76"/>
      <c r="AH615" s="76"/>
    </row>
    <row r="616" spans="1:34">
      <c r="A616" s="217" t="s">
        <v>210</v>
      </c>
      <c r="B616" s="182"/>
      <c r="C616" s="234">
        <f t="shared" si="93"/>
        <v>0</v>
      </c>
      <c r="D616" s="275">
        <f>D597</f>
        <v>119.22</v>
      </c>
      <c r="E616" s="239"/>
      <c r="F616" s="236">
        <f t="shared" si="94"/>
        <v>0</v>
      </c>
      <c r="G616" s="275">
        <f>G597</f>
        <v>125.16000000000003</v>
      </c>
      <c r="H616" s="275"/>
      <c r="I616" s="236">
        <f t="shared" si="94"/>
        <v>0</v>
      </c>
      <c r="J616" s="275">
        <f>J597</f>
        <v>140.64000000000001</v>
      </c>
      <c r="K616" s="239"/>
      <c r="L616" s="236">
        <f>L667+L718</f>
        <v>0</v>
      </c>
      <c r="N616" s="165" t="e">
        <f>-(J616/100)*#REF!</f>
        <v>#REF!</v>
      </c>
      <c r="AA616" s="76"/>
      <c r="AB616" s="76"/>
      <c r="AC616" s="76"/>
      <c r="AD616" s="76"/>
      <c r="AE616" s="76"/>
      <c r="AF616" s="76"/>
      <c r="AG616" s="76"/>
      <c r="AH616" s="76"/>
    </row>
    <row r="617" spans="1:34">
      <c r="A617" s="217" t="s">
        <v>206</v>
      </c>
      <c r="B617" s="182"/>
      <c r="C617" s="234"/>
      <c r="D617" s="252"/>
      <c r="E617" s="239"/>
      <c r="F617" s="236"/>
      <c r="G617" s="252"/>
      <c r="H617" s="252"/>
      <c r="I617" s="236"/>
      <c r="J617" s="252"/>
      <c r="K617" s="239"/>
      <c r="L617" s="236"/>
      <c r="AA617" s="76"/>
      <c r="AB617" s="76"/>
      <c r="AC617" s="76"/>
      <c r="AD617" s="76"/>
      <c r="AE617" s="76"/>
      <c r="AF617" s="76"/>
      <c r="AG617" s="76"/>
      <c r="AH617" s="76"/>
    </row>
    <row r="618" spans="1:34">
      <c r="A618" s="217" t="s">
        <v>202</v>
      </c>
      <c r="B618" s="182"/>
      <c r="C618" s="234">
        <f>C669+C720</f>
        <v>0</v>
      </c>
      <c r="D618" s="275">
        <f>D599</f>
        <v>-19.87</v>
      </c>
      <c r="E618" s="239"/>
      <c r="F618" s="236">
        <f>F669+F720</f>
        <v>0</v>
      </c>
      <c r="G618" s="275">
        <f>G599</f>
        <v>-20.86</v>
      </c>
      <c r="H618" s="275"/>
      <c r="I618" s="236">
        <f>I669+I720</f>
        <v>0</v>
      </c>
      <c r="J618" s="275">
        <f>J599</f>
        <v>-23.44</v>
      </c>
      <c r="K618" s="239"/>
      <c r="L618" s="236">
        <f>L669+L720</f>
        <v>0</v>
      </c>
      <c r="N618" s="165" t="e">
        <f>-(J618/100)*#REF!</f>
        <v>#REF!</v>
      </c>
      <c r="AA618" s="76"/>
      <c r="AB618" s="76"/>
      <c r="AC618" s="76"/>
      <c r="AD618" s="76"/>
      <c r="AE618" s="76"/>
      <c r="AF618" s="76"/>
      <c r="AG618" s="76"/>
      <c r="AH618" s="76"/>
    </row>
    <row r="619" spans="1:34">
      <c r="A619" s="217" t="s">
        <v>207</v>
      </c>
      <c r="B619" s="182"/>
      <c r="C619" s="234">
        <f>C670+C721</f>
        <v>0</v>
      </c>
      <c r="D619" s="275">
        <f>D600</f>
        <v>-19.87</v>
      </c>
      <c r="E619" s="239"/>
      <c r="F619" s="236">
        <f>F670+F721</f>
        <v>0</v>
      </c>
      <c r="G619" s="275">
        <f>G600</f>
        <v>-20.860000000000003</v>
      </c>
      <c r="H619" s="275"/>
      <c r="I619" s="236">
        <f>I670+I721</f>
        <v>0</v>
      </c>
      <c r="J619" s="275">
        <f>J600</f>
        <v>-23.44</v>
      </c>
      <c r="K619" s="239"/>
      <c r="L619" s="236">
        <f>L670+L721</f>
        <v>0</v>
      </c>
      <c r="N619" s="165" t="e">
        <f>-(J619/100)*#REF!</f>
        <v>#REF!</v>
      </c>
      <c r="AA619" s="76"/>
      <c r="AB619" s="76"/>
      <c r="AC619" s="76"/>
      <c r="AD619" s="76"/>
      <c r="AE619" s="76"/>
      <c r="AF619" s="76"/>
      <c r="AG619" s="76"/>
      <c r="AH619" s="76"/>
    </row>
    <row r="620" spans="1:34">
      <c r="A620" s="238" t="s">
        <v>174</v>
      </c>
      <c r="B620" s="182"/>
      <c r="C620" s="234"/>
      <c r="D620" s="304"/>
      <c r="E620" s="236"/>
      <c r="F620" s="236"/>
      <c r="G620" s="304"/>
      <c r="H620" s="304"/>
      <c r="I620" s="236"/>
      <c r="J620" s="304"/>
      <c r="K620" s="236"/>
      <c r="L620" s="236"/>
      <c r="AA620" s="76"/>
      <c r="AB620" s="76"/>
      <c r="AC620" s="76"/>
      <c r="AD620" s="76"/>
      <c r="AE620" s="76"/>
      <c r="AF620" s="76"/>
      <c r="AG620" s="76"/>
      <c r="AH620" s="76"/>
    </row>
    <row r="621" spans="1:34">
      <c r="A621" s="217" t="s">
        <v>208</v>
      </c>
      <c r="B621" s="182"/>
      <c r="C621" s="234">
        <f t="shared" ref="C621:C626" si="95">C672+C723</f>
        <v>23263</v>
      </c>
      <c r="D621" s="313">
        <f>D602</f>
        <v>5.3710000000000004</v>
      </c>
      <c r="E621" s="236" t="s">
        <v>126</v>
      </c>
      <c r="F621" s="236">
        <f t="shared" ref="F621:I626" si="96">F672+F723</f>
        <v>-12</v>
      </c>
      <c r="G621" s="313">
        <f>G602</f>
        <v>5.6469999999999994</v>
      </c>
      <c r="H621" s="313"/>
      <c r="I621" s="236">
        <f t="shared" si="96"/>
        <v>-13</v>
      </c>
      <c r="J621" s="313">
        <f>J602</f>
        <v>6.3440000000000003</v>
      </c>
      <c r="K621" s="236" t="s">
        <v>126</v>
      </c>
      <c r="L621" s="236">
        <f>L672+L723</f>
        <v>-15</v>
      </c>
      <c r="N621" s="165" t="e">
        <f>-((J621/100)*#REF!)/100</f>
        <v>#REF!</v>
      </c>
      <c r="AA621" s="76"/>
      <c r="AB621" s="76"/>
      <c r="AC621" s="76"/>
      <c r="AD621" s="76"/>
      <c r="AE621" s="76"/>
      <c r="AF621" s="76"/>
      <c r="AG621" s="76"/>
      <c r="AH621" s="76"/>
    </row>
    <row r="622" spans="1:34">
      <c r="A622" s="238" t="s">
        <v>150</v>
      </c>
      <c r="B622" s="182"/>
      <c r="C622" s="234">
        <f t="shared" si="95"/>
        <v>0</v>
      </c>
      <c r="D622" s="294">
        <f>D603</f>
        <v>45</v>
      </c>
      <c r="E622" s="236" t="s">
        <v>126</v>
      </c>
      <c r="F622" s="236">
        <f t="shared" si="96"/>
        <v>0</v>
      </c>
      <c r="G622" s="294">
        <f>G603</f>
        <v>50</v>
      </c>
      <c r="H622" s="294"/>
      <c r="I622" s="236">
        <f t="shared" si="96"/>
        <v>0</v>
      </c>
      <c r="J622" s="294">
        <f>J603</f>
        <v>55</v>
      </c>
      <c r="K622" s="238" t="s">
        <v>126</v>
      </c>
      <c r="L622" s="236">
        <f>L673+L724</f>
        <v>0</v>
      </c>
      <c r="N622" s="165" t="e">
        <f>-((J622/100)*#REF!)/100</f>
        <v>#REF!</v>
      </c>
      <c r="AA622" s="76"/>
      <c r="AB622" s="76"/>
      <c r="AC622" s="76"/>
      <c r="AD622" s="76"/>
      <c r="AE622" s="76"/>
      <c r="AF622" s="76"/>
      <c r="AG622" s="76"/>
      <c r="AH622" s="76"/>
    </row>
    <row r="623" spans="1:34">
      <c r="A623" s="238" t="s">
        <v>187</v>
      </c>
      <c r="B623" s="182"/>
      <c r="C623" s="234">
        <f t="shared" si="95"/>
        <v>10</v>
      </c>
      <c r="D623" s="252">
        <v>60</v>
      </c>
      <c r="E623" s="283" t="s">
        <v>0</v>
      </c>
      <c r="F623" s="236">
        <f t="shared" si="96"/>
        <v>600</v>
      </c>
      <c r="G623" s="252">
        <v>60</v>
      </c>
      <c r="H623" s="252"/>
      <c r="I623" s="236">
        <f t="shared" si="96"/>
        <v>600</v>
      </c>
      <c r="J623" s="252">
        <v>60</v>
      </c>
      <c r="K623" s="182"/>
      <c r="L623" s="236">
        <f>L674+L725</f>
        <v>600</v>
      </c>
      <c r="N623" s="165" t="e">
        <f>J623*#REF!</f>
        <v>#REF!</v>
      </c>
      <c r="AA623" s="76"/>
      <c r="AB623" s="76"/>
      <c r="AC623" s="76"/>
      <c r="AD623" s="76"/>
      <c r="AE623" s="76"/>
      <c r="AF623" s="76"/>
      <c r="AG623" s="76"/>
      <c r="AH623" s="76"/>
    </row>
    <row r="624" spans="1:34">
      <c r="A624" s="238" t="s">
        <v>188</v>
      </c>
      <c r="B624" s="182"/>
      <c r="C624" s="234">
        <f t="shared" si="95"/>
        <v>390</v>
      </c>
      <c r="D624" s="312">
        <v>-30</v>
      </c>
      <c r="E624" s="236" t="s">
        <v>126</v>
      </c>
      <c r="F624" s="236">
        <f t="shared" si="96"/>
        <v>-117</v>
      </c>
      <c r="G624" s="311">
        <v>-30</v>
      </c>
      <c r="H624" s="311"/>
      <c r="I624" s="236">
        <f t="shared" si="96"/>
        <v>-117</v>
      </c>
      <c r="J624" s="312">
        <v>-30</v>
      </c>
      <c r="K624" s="236" t="s">
        <v>126</v>
      </c>
      <c r="L624" s="236">
        <f>L675+L726</f>
        <v>-117</v>
      </c>
      <c r="N624" s="165" t="e">
        <f>(J624/100)*#REF!</f>
        <v>#REF!</v>
      </c>
      <c r="AA624" s="76"/>
      <c r="AB624" s="76"/>
      <c r="AC624" s="76"/>
      <c r="AD624" s="76"/>
      <c r="AE624" s="76"/>
      <c r="AF624" s="76"/>
      <c r="AG624" s="76"/>
      <c r="AH624" s="76"/>
    </row>
    <row r="625" spans="1:34">
      <c r="A625" s="182" t="s">
        <v>131</v>
      </c>
      <c r="B625" s="182"/>
      <c r="C625" s="234">
        <f t="shared" si="95"/>
        <v>168520999</v>
      </c>
      <c r="D625" s="244"/>
      <c r="E625" s="164"/>
      <c r="F625" s="164">
        <f t="shared" si="96"/>
        <v>11064059</v>
      </c>
      <c r="G625" s="244"/>
      <c r="H625" s="244"/>
      <c r="I625" s="164">
        <f t="shared" si="96"/>
        <v>11637975</v>
      </c>
      <c r="J625" s="164"/>
      <c r="K625" s="238"/>
      <c r="L625" s="164">
        <f>L676+L727</f>
        <v>13075078</v>
      </c>
      <c r="N625" s="165" t="e">
        <f>SUM(N582:N624)</f>
        <v>#REF!</v>
      </c>
      <c r="Q625" s="185"/>
      <c r="AA625" s="76"/>
      <c r="AB625" s="76"/>
      <c r="AC625" s="76"/>
      <c r="AD625" s="76"/>
      <c r="AE625" s="76"/>
      <c r="AF625" s="76"/>
      <c r="AG625" s="76"/>
      <c r="AH625" s="76"/>
    </row>
    <row r="626" spans="1:34">
      <c r="A626" s="182" t="s">
        <v>114</v>
      </c>
      <c r="B626" s="182"/>
      <c r="C626" s="255">
        <f t="shared" si="95"/>
        <v>56999.999999999993</v>
      </c>
      <c r="D626" s="217"/>
      <c r="E626" s="217"/>
      <c r="F626" s="218">
        <f t="shared" si="96"/>
        <v>2999.9999999999995</v>
      </c>
      <c r="G626" s="217"/>
      <c r="H626" s="217"/>
      <c r="I626" s="218">
        <f t="shared" si="96"/>
        <v>2999.9999999999995</v>
      </c>
      <c r="J626" s="217"/>
      <c r="K626" s="217"/>
      <c r="L626" s="218">
        <f>F626</f>
        <v>2999.9999999999995</v>
      </c>
      <c r="Q626" s="235">
        <v>0.1235</v>
      </c>
      <c r="AA626" s="76"/>
      <c r="AB626" s="76"/>
      <c r="AC626" s="76"/>
      <c r="AD626" s="76"/>
      <c r="AE626" s="76"/>
      <c r="AF626" s="76"/>
      <c r="AG626" s="76"/>
      <c r="AH626" s="76"/>
    </row>
    <row r="627" spans="1:34" ht="17.25" customHeight="1" thickBot="1">
      <c r="A627" s="182" t="s">
        <v>132</v>
      </c>
      <c r="B627" s="182"/>
      <c r="C627" s="284">
        <f>SUM(C625:C626)</f>
        <v>168577999</v>
      </c>
      <c r="D627" s="258"/>
      <c r="E627" s="259"/>
      <c r="F627" s="260">
        <f>F625+F626</f>
        <v>11067059</v>
      </c>
      <c r="G627" s="258"/>
      <c r="H627" s="258"/>
      <c r="I627" s="260">
        <f>I625+I626</f>
        <v>11640975</v>
      </c>
      <c r="J627" s="258"/>
      <c r="K627" s="262"/>
      <c r="L627" s="260">
        <f>L625+L626</f>
        <v>13078078</v>
      </c>
      <c r="O627" s="179" t="s">
        <v>116</v>
      </c>
      <c r="P627" s="180">
        <v>13078067.675739147</v>
      </c>
      <c r="Q627" s="176">
        <f>(L627-I627)/I627</f>
        <v>0.12345211633905236</v>
      </c>
      <c r="R627" s="88" t="s">
        <v>117</v>
      </c>
      <c r="S627" s="235"/>
      <c r="AA627" s="76"/>
      <c r="AB627" s="76"/>
      <c r="AC627" s="76"/>
      <c r="AD627" s="76"/>
      <c r="AE627" s="76"/>
      <c r="AF627" s="76"/>
      <c r="AG627" s="76"/>
      <c r="AH627" s="76"/>
    </row>
    <row r="628" spans="1:34" ht="16.5" thickTop="1">
      <c r="A628" s="182"/>
      <c r="B628" s="182"/>
      <c r="C628" s="314"/>
      <c r="D628" s="272"/>
      <c r="E628" s="273"/>
      <c r="F628" s="237"/>
      <c r="G628" s="272"/>
      <c r="H628" s="272"/>
      <c r="I628" s="237"/>
      <c r="J628" s="315" t="s">
        <v>0</v>
      </c>
      <c r="K628" s="274"/>
      <c r="L628" s="174" t="s">
        <v>0</v>
      </c>
      <c r="O628" s="183" t="s">
        <v>118</v>
      </c>
      <c r="P628" s="184">
        <f>P627-L627</f>
        <v>-10.324260853230953</v>
      </c>
      <c r="Q628" s="223" t="s">
        <v>0</v>
      </c>
      <c r="AA628" s="76"/>
      <c r="AB628" s="76"/>
      <c r="AC628" s="76"/>
      <c r="AD628" s="76"/>
      <c r="AE628" s="76"/>
      <c r="AF628" s="76"/>
      <c r="AG628" s="76"/>
      <c r="AH628" s="76"/>
    </row>
    <row r="629" spans="1:34" hidden="1">
      <c r="A629" s="199" t="s">
        <v>191</v>
      </c>
      <c r="B629" s="182"/>
      <c r="C629" s="200"/>
      <c r="D629" s="252"/>
      <c r="E629" s="164"/>
      <c r="F629" s="164"/>
      <c r="G629" s="252"/>
      <c r="H629" s="252"/>
      <c r="I629" s="164"/>
      <c r="J629" s="252"/>
      <c r="K629" s="182"/>
      <c r="L629" s="164"/>
      <c r="AA629" s="76"/>
      <c r="AB629" s="76"/>
      <c r="AC629" s="76"/>
      <c r="AD629" s="76"/>
      <c r="AE629" s="76"/>
      <c r="AF629" s="76"/>
      <c r="AG629" s="76"/>
      <c r="AH629" s="76"/>
    </row>
    <row r="630" spans="1:34" hidden="1">
      <c r="A630" s="217" t="s">
        <v>71</v>
      </c>
      <c r="B630" s="182"/>
      <c r="C630" s="200"/>
      <c r="D630" s="252"/>
      <c r="E630" s="164"/>
      <c r="F630" s="164"/>
      <c r="G630" s="252"/>
      <c r="H630" s="252"/>
      <c r="I630" s="164"/>
      <c r="J630" s="252"/>
      <c r="K630" s="182"/>
      <c r="L630" s="164"/>
      <c r="N630" s="165"/>
      <c r="O630" s="165"/>
      <c r="P630" s="266" t="s">
        <v>0</v>
      </c>
      <c r="Q630" s="131"/>
      <c r="AA630" s="76"/>
      <c r="AB630" s="76"/>
      <c r="AC630" s="76"/>
      <c r="AD630" s="76"/>
      <c r="AE630" s="76"/>
      <c r="AF630" s="76"/>
      <c r="AG630" s="76"/>
      <c r="AH630" s="76"/>
    </row>
    <row r="631" spans="1:34" hidden="1">
      <c r="A631" s="238"/>
      <c r="B631" s="182"/>
      <c r="C631" s="200"/>
      <c r="D631" s="252"/>
      <c r="E631" s="164"/>
      <c r="F631" s="304"/>
      <c r="G631" s="252"/>
      <c r="H631" s="252"/>
      <c r="I631" s="304"/>
      <c r="J631" s="252"/>
      <c r="K631" s="182"/>
      <c r="L631" s="305"/>
      <c r="N631" s="76"/>
      <c r="O631" s="76"/>
      <c r="P631" s="144"/>
      <c r="Q631" s="144"/>
      <c r="R631" s="76"/>
      <c r="S631" s="76"/>
      <c r="T631" s="76"/>
      <c r="U631" s="76"/>
      <c r="V631" s="76"/>
      <c r="W631" s="76"/>
      <c r="X631" s="76"/>
      <c r="Y631" s="76"/>
      <c r="Z631" s="76"/>
      <c r="AA631" s="76"/>
      <c r="AB631" s="76"/>
      <c r="AC631" s="76"/>
      <c r="AD631" s="76"/>
      <c r="AE631" s="76"/>
      <c r="AF631" s="76"/>
      <c r="AG631" s="76"/>
      <c r="AH631" s="76"/>
    </row>
    <row r="632" spans="1:34" hidden="1">
      <c r="A632" s="217" t="s">
        <v>193</v>
      </c>
      <c r="B632" s="182"/>
      <c r="C632" s="234"/>
      <c r="D632" s="164" t="s">
        <v>0</v>
      </c>
      <c r="E632" s="164"/>
      <c r="F632" s="182"/>
      <c r="G632" s="164" t="s">
        <v>0</v>
      </c>
      <c r="H632" s="164"/>
      <c r="I632" s="182"/>
      <c r="J632" s="164" t="s">
        <v>0</v>
      </c>
      <c r="K632" s="182"/>
      <c r="L632" s="182"/>
      <c r="N632" s="76"/>
      <c r="O632" s="76"/>
      <c r="P632" s="144"/>
      <c r="Q632" s="144"/>
      <c r="R632" s="76"/>
      <c r="S632" s="76"/>
      <c r="T632" s="76"/>
      <c r="U632" s="76"/>
      <c r="V632" s="76"/>
      <c r="W632" s="76"/>
      <c r="X632" s="76"/>
      <c r="Y632" s="76"/>
      <c r="Z632" s="76"/>
      <c r="AA632" s="76"/>
      <c r="AB632" s="76"/>
      <c r="AC632" s="76"/>
      <c r="AD632" s="76"/>
      <c r="AE632" s="76"/>
      <c r="AF632" s="76"/>
      <c r="AG632" s="76"/>
      <c r="AH632" s="76"/>
    </row>
    <row r="633" spans="1:34" hidden="1">
      <c r="A633" s="217" t="s">
        <v>194</v>
      </c>
      <c r="B633" s="182"/>
      <c r="C633" s="234">
        <v>876</v>
      </c>
      <c r="D633" s="252">
        <f>$D$582</f>
        <v>0</v>
      </c>
      <c r="E633" s="239"/>
      <c r="F633" s="236">
        <f>ROUND(D633*$C633,0)</f>
        <v>0</v>
      </c>
      <c r="G633" s="252">
        <f>$G$582</f>
        <v>0</v>
      </c>
      <c r="H633" s="252"/>
      <c r="I633" s="236">
        <f>ROUND(G633*C633,0)</f>
        <v>0</v>
      </c>
      <c r="J633" s="252">
        <f>$J$582</f>
        <v>0</v>
      </c>
      <c r="K633" s="239"/>
      <c r="L633" s="236">
        <f>ROUND(J633*$C633,0)</f>
        <v>0</v>
      </c>
      <c r="N633" s="76"/>
      <c r="O633" s="76"/>
      <c r="P633" s="144"/>
      <c r="Q633" s="144"/>
      <c r="R633" s="76"/>
      <c r="S633" s="76"/>
      <c r="T633" s="76"/>
      <c r="U633" s="76"/>
      <c r="V633" s="76"/>
      <c r="W633" s="76"/>
      <c r="X633" s="76"/>
      <c r="Y633" s="76"/>
      <c r="Z633" s="76"/>
      <c r="AA633" s="76"/>
      <c r="AB633" s="76"/>
      <c r="AC633" s="76"/>
      <c r="AD633" s="76"/>
      <c r="AE633" s="76"/>
      <c r="AF633" s="76"/>
      <c r="AG633" s="76"/>
      <c r="AH633" s="76"/>
    </row>
    <row r="634" spans="1:34" hidden="1">
      <c r="A634" s="217" t="s">
        <v>195</v>
      </c>
      <c r="B634" s="182"/>
      <c r="C634" s="234"/>
      <c r="D634" s="252"/>
      <c r="E634" s="239"/>
      <c r="F634" s="236"/>
      <c r="G634" s="252"/>
      <c r="H634" s="252"/>
      <c r="I634" s="236"/>
      <c r="J634" s="252"/>
      <c r="K634" s="239"/>
      <c r="L634" s="236"/>
      <c r="N634" s="76"/>
      <c r="O634" s="76"/>
      <c r="P634" s="144"/>
      <c r="Q634" s="144"/>
      <c r="R634" s="76"/>
      <c r="S634" s="76"/>
      <c r="T634" s="76"/>
      <c r="U634" s="76"/>
      <c r="V634" s="76"/>
      <c r="W634" s="76"/>
      <c r="X634" s="76"/>
      <c r="Y634" s="76"/>
      <c r="Z634" s="76"/>
      <c r="AA634" s="76"/>
      <c r="AB634" s="76"/>
      <c r="AC634" s="76"/>
      <c r="AD634" s="76"/>
      <c r="AE634" s="76"/>
      <c r="AF634" s="76"/>
      <c r="AG634" s="76"/>
      <c r="AH634" s="76"/>
    </row>
    <row r="635" spans="1:34" hidden="1">
      <c r="A635" s="217" t="s">
        <v>196</v>
      </c>
      <c r="B635" s="182"/>
      <c r="C635" s="234">
        <v>3362</v>
      </c>
      <c r="D635" s="252">
        <f>$D$584</f>
        <v>0</v>
      </c>
      <c r="E635" s="239"/>
      <c r="F635" s="236">
        <f>ROUND(D635*$C635,0)</f>
        <v>0</v>
      </c>
      <c r="G635" s="252">
        <f>$G$584</f>
        <v>0</v>
      </c>
      <c r="H635" s="252"/>
      <c r="I635" s="236">
        <f t="shared" ref="I635:I637" si="97">ROUND(G635*C635,0)</f>
        <v>0</v>
      </c>
      <c r="J635" s="252">
        <f>$J$584</f>
        <v>0</v>
      </c>
      <c r="K635" s="239"/>
      <c r="L635" s="236">
        <f>ROUND(J635*$C635,0)</f>
        <v>0</v>
      </c>
      <c r="N635" s="76"/>
      <c r="O635" s="76"/>
      <c r="P635" s="144"/>
      <c r="Q635" s="144"/>
      <c r="R635" s="76"/>
      <c r="S635" s="76"/>
      <c r="T635" s="76"/>
      <c r="U635" s="76"/>
      <c r="V635" s="76"/>
      <c r="W635" s="76"/>
      <c r="X635" s="76"/>
      <c r="Y635" s="76"/>
      <c r="Z635" s="76"/>
      <c r="AA635" s="76"/>
      <c r="AB635" s="76"/>
      <c r="AC635" s="76"/>
      <c r="AD635" s="76"/>
      <c r="AE635" s="76"/>
      <c r="AF635" s="76"/>
      <c r="AG635" s="76"/>
      <c r="AH635" s="76"/>
    </row>
    <row r="636" spans="1:34" hidden="1">
      <c r="A636" s="217" t="s">
        <v>197</v>
      </c>
      <c r="B636" s="182"/>
      <c r="C636" s="234">
        <v>362</v>
      </c>
      <c r="D636" s="252">
        <f>$D$585</f>
        <v>301</v>
      </c>
      <c r="E636" s="239"/>
      <c r="F636" s="236">
        <f>ROUND(D636*$C636,0)</f>
        <v>108962</v>
      </c>
      <c r="G636" s="252">
        <f>$G$585</f>
        <v>312</v>
      </c>
      <c r="H636" s="252"/>
      <c r="I636" s="236">
        <f t="shared" si="97"/>
        <v>112944</v>
      </c>
      <c r="J636" s="252">
        <f>$J$585</f>
        <v>352</v>
      </c>
      <c r="K636" s="239"/>
      <c r="L636" s="236">
        <f>ROUND(J636*$C636,0)</f>
        <v>127424</v>
      </c>
      <c r="N636" s="76"/>
      <c r="O636" s="76"/>
      <c r="P636" s="144"/>
      <c r="Q636" s="144"/>
      <c r="R636" s="76"/>
      <c r="S636" s="76"/>
      <c r="T636" s="76"/>
      <c r="U636" s="76"/>
      <c r="V636" s="76"/>
      <c r="W636" s="76"/>
      <c r="X636" s="76"/>
      <c r="Y636" s="76"/>
      <c r="Z636" s="76"/>
      <c r="AA636" s="76"/>
      <c r="AB636" s="76"/>
      <c r="AC636" s="76"/>
      <c r="AD636" s="76"/>
      <c r="AE636" s="76"/>
      <c r="AF636" s="76"/>
      <c r="AG636" s="76"/>
      <c r="AH636" s="76"/>
    </row>
    <row r="637" spans="1:34" hidden="1">
      <c r="A637" s="217" t="s">
        <v>198</v>
      </c>
      <c r="B637" s="182"/>
      <c r="C637" s="234">
        <v>9</v>
      </c>
      <c r="D637" s="252">
        <f>$D$586</f>
        <v>1215</v>
      </c>
      <c r="E637" s="239"/>
      <c r="F637" s="236">
        <f>ROUND(D637*$C637,0)</f>
        <v>10935</v>
      </c>
      <c r="G637" s="252">
        <f>$G$586</f>
        <v>1268</v>
      </c>
      <c r="H637" s="252"/>
      <c r="I637" s="236">
        <f t="shared" si="97"/>
        <v>11412</v>
      </c>
      <c r="J637" s="252">
        <f>$J$586</f>
        <v>1435</v>
      </c>
      <c r="K637" s="239"/>
      <c r="L637" s="236">
        <f>ROUND(J637*$C637,0)</f>
        <v>12915</v>
      </c>
      <c r="N637" s="76"/>
      <c r="O637" s="76"/>
      <c r="P637" s="144"/>
      <c r="Q637" s="144"/>
      <c r="R637" s="76"/>
      <c r="S637" s="76"/>
      <c r="T637" s="76"/>
      <c r="U637" s="76"/>
      <c r="V637" s="76"/>
      <c r="W637" s="76"/>
      <c r="X637" s="76"/>
      <c r="Y637" s="76"/>
      <c r="Z637" s="76"/>
      <c r="AA637" s="76"/>
      <c r="AB637" s="76"/>
      <c r="AC637" s="76"/>
      <c r="AD637" s="76"/>
      <c r="AE637" s="76"/>
      <c r="AF637" s="76"/>
      <c r="AG637" s="76"/>
      <c r="AH637" s="76"/>
    </row>
    <row r="638" spans="1:34" hidden="1">
      <c r="A638" s="217" t="s">
        <v>111</v>
      </c>
      <c r="B638" s="182"/>
      <c r="C638" s="234">
        <f>SUM(C633:C637)</f>
        <v>4609</v>
      </c>
      <c r="D638" s="252"/>
      <c r="E638" s="239"/>
      <c r="F638" s="236"/>
      <c r="G638" s="252"/>
      <c r="H638" s="252"/>
      <c r="I638" s="236"/>
      <c r="J638" s="252"/>
      <c r="K638" s="239"/>
      <c r="L638" s="236"/>
      <c r="N638" s="76"/>
      <c r="O638" s="76"/>
      <c r="P638" s="144"/>
      <c r="Q638" s="144"/>
      <c r="R638" s="76"/>
      <c r="S638" s="76"/>
      <c r="T638" s="76"/>
      <c r="U638" s="76"/>
      <c r="V638" s="76"/>
      <c r="W638" s="76"/>
      <c r="X638" s="76"/>
      <c r="Y638" s="76"/>
      <c r="Z638" s="76"/>
      <c r="AA638" s="76"/>
      <c r="AB638" s="76"/>
      <c r="AC638" s="76"/>
      <c r="AD638" s="76"/>
      <c r="AE638" s="76"/>
      <c r="AF638" s="76"/>
      <c r="AG638" s="76"/>
      <c r="AH638" s="76"/>
    </row>
    <row r="639" spans="1:34" hidden="1">
      <c r="A639" s="217" t="s">
        <v>199</v>
      </c>
      <c r="B639" s="182"/>
      <c r="C639" s="234">
        <f>5999+21955+2684+69</f>
        <v>30707</v>
      </c>
      <c r="D639" s="252"/>
      <c r="E639" s="236"/>
      <c r="F639" s="236"/>
      <c r="G639" s="252"/>
      <c r="H639" s="252"/>
      <c r="I639" s="236"/>
      <c r="J639" s="252"/>
      <c r="K639" s="236"/>
      <c r="L639" s="236"/>
      <c r="N639" s="76"/>
      <c r="O639" s="76"/>
      <c r="P639" s="144"/>
      <c r="Q639" s="144"/>
      <c r="R639" s="76"/>
      <c r="S639" s="76"/>
      <c r="T639" s="76"/>
      <c r="U639" s="76"/>
      <c r="V639" s="76"/>
      <c r="W639" s="76"/>
      <c r="X639" s="76"/>
      <c r="Y639" s="76"/>
      <c r="Z639" s="76"/>
      <c r="AA639" s="76"/>
      <c r="AB639" s="76"/>
      <c r="AC639" s="76"/>
      <c r="AD639" s="76"/>
      <c r="AE639" s="76"/>
      <c r="AF639" s="76"/>
      <c r="AG639" s="76"/>
      <c r="AH639" s="76"/>
    </row>
    <row r="640" spans="1:34" hidden="1">
      <c r="A640" s="217" t="s">
        <v>200</v>
      </c>
      <c r="B640" s="182"/>
      <c r="C640" s="234">
        <f>944+3596+384+9</f>
        <v>4933</v>
      </c>
      <c r="D640" s="252"/>
      <c r="E640" s="236"/>
      <c r="F640" s="236"/>
      <c r="G640" s="252"/>
      <c r="H640" s="252"/>
      <c r="I640" s="236"/>
      <c r="J640" s="252"/>
      <c r="K640" s="236"/>
      <c r="L640" s="236"/>
      <c r="N640" s="76"/>
      <c r="O640" s="76"/>
      <c r="P640" s="144"/>
      <c r="Q640" s="144"/>
      <c r="R640" s="76"/>
      <c r="S640" s="76"/>
      <c r="T640" s="76"/>
      <c r="U640" s="76"/>
      <c r="V640" s="76"/>
      <c r="W640" s="76"/>
      <c r="X640" s="76"/>
      <c r="Y640" s="76"/>
      <c r="Z640" s="76"/>
      <c r="AA640" s="76"/>
      <c r="AB640" s="76"/>
      <c r="AC640" s="76"/>
      <c r="AD640" s="76"/>
      <c r="AE640" s="76"/>
      <c r="AF640" s="76"/>
      <c r="AG640" s="76"/>
      <c r="AH640" s="76"/>
    </row>
    <row r="641" spans="1:34" hidden="1">
      <c r="A641" s="217" t="s">
        <v>201</v>
      </c>
      <c r="B641" s="182"/>
      <c r="C641" s="234"/>
      <c r="D641" s="252"/>
      <c r="E641" s="239"/>
      <c r="F641" s="236"/>
      <c r="G641" s="252"/>
      <c r="H641" s="252"/>
      <c r="I641" s="236"/>
      <c r="J641" s="252"/>
      <c r="K641" s="239"/>
      <c r="L641" s="236"/>
      <c r="N641" s="76"/>
      <c r="O641" s="76"/>
      <c r="P641" s="144"/>
      <c r="Q641" s="144"/>
      <c r="R641" s="76"/>
      <c r="S641" s="76"/>
      <c r="T641" s="76"/>
      <c r="U641" s="76"/>
      <c r="V641" s="76"/>
      <c r="W641" s="76"/>
      <c r="X641" s="76"/>
      <c r="Y641" s="76"/>
      <c r="Z641" s="76"/>
      <c r="AA641" s="76"/>
      <c r="AB641" s="76"/>
      <c r="AC641" s="76"/>
      <c r="AD641" s="76"/>
      <c r="AE641" s="76"/>
      <c r="AF641" s="76"/>
      <c r="AG641" s="76"/>
      <c r="AH641" s="76"/>
    </row>
    <row r="642" spans="1:34" hidden="1">
      <c r="A642" s="217" t="s">
        <v>202</v>
      </c>
      <c r="B642" s="182"/>
      <c r="C642" s="234">
        <v>2288</v>
      </c>
      <c r="D642" s="252">
        <f>$D$591</f>
        <v>19.87</v>
      </c>
      <c r="E642" s="239"/>
      <c r="F642" s="236">
        <f>ROUND(D642*$C642,0)</f>
        <v>45463</v>
      </c>
      <c r="G642" s="252">
        <f>$G$591</f>
        <v>20.86</v>
      </c>
      <c r="H642" s="252"/>
      <c r="I642" s="236">
        <f>ROUND(G642*C642,0)</f>
        <v>47728</v>
      </c>
      <c r="J642" s="252">
        <f>$J$591</f>
        <v>23.44</v>
      </c>
      <c r="K642" s="239"/>
      <c r="L642" s="236">
        <f>ROUND(J642*$C642,0)</f>
        <v>53631</v>
      </c>
      <c r="N642" s="76"/>
      <c r="O642" s="76"/>
      <c r="P642" s="144"/>
      <c r="Q642" s="144"/>
      <c r="R642" s="76"/>
      <c r="S642" s="76"/>
      <c r="T642" s="76"/>
      <c r="U642" s="76"/>
      <c r="V642" s="76"/>
      <c r="W642" s="76"/>
      <c r="X642" s="76"/>
      <c r="Y642" s="76"/>
      <c r="Z642" s="76"/>
      <c r="AA642" s="76"/>
      <c r="AB642" s="76"/>
      <c r="AC642" s="76"/>
      <c r="AD642" s="76"/>
      <c r="AE642" s="76"/>
      <c r="AF642" s="76"/>
      <c r="AG642" s="76"/>
      <c r="AH642" s="76"/>
    </row>
    <row r="643" spans="1:34" hidden="1">
      <c r="A643" s="217" t="s">
        <v>203</v>
      </c>
      <c r="B643" s="182"/>
      <c r="C643" s="234"/>
      <c r="D643" s="252"/>
      <c r="E643" s="239"/>
      <c r="F643" s="236"/>
      <c r="G643" s="252"/>
      <c r="H643" s="252"/>
      <c r="I643" s="236"/>
      <c r="J643" s="252"/>
      <c r="K643" s="239"/>
      <c r="L643" s="236"/>
      <c r="N643" s="76"/>
      <c r="O643" s="76"/>
      <c r="P643" s="144"/>
      <c r="Q643" s="144"/>
      <c r="R643" s="76"/>
      <c r="S643" s="76"/>
      <c r="T643" s="76"/>
      <c r="U643" s="76"/>
      <c r="V643" s="76"/>
      <c r="W643" s="76"/>
      <c r="X643" s="76"/>
      <c r="Y643" s="76"/>
      <c r="Z643" s="76"/>
      <c r="AA643" s="76"/>
      <c r="AB643" s="76"/>
      <c r="AC643" s="76"/>
      <c r="AD643" s="76"/>
      <c r="AE643" s="76"/>
      <c r="AF643" s="76"/>
      <c r="AG643" s="76"/>
      <c r="AH643" s="76"/>
    </row>
    <row r="644" spans="1:34" hidden="1">
      <c r="A644" s="217" t="s">
        <v>196</v>
      </c>
      <c r="B644" s="182"/>
      <c r="C644" s="234">
        <f>45312</f>
        <v>45312</v>
      </c>
      <c r="D644" s="252">
        <f>$D$593</f>
        <v>19.87</v>
      </c>
      <c r="E644" s="239"/>
      <c r="F644" s="236">
        <f>ROUND(D644*$C644,0)</f>
        <v>900349</v>
      </c>
      <c r="G644" s="252">
        <f>$G$593</f>
        <v>20.860000000000003</v>
      </c>
      <c r="H644" s="252"/>
      <c r="I644" s="236">
        <f t="shared" ref="I644:I648" si="98">ROUND(G644*C644,0)</f>
        <v>945208</v>
      </c>
      <c r="J644" s="252">
        <f>$J$593</f>
        <v>23.44</v>
      </c>
      <c r="K644" s="239"/>
      <c r="L644" s="236">
        <f>ROUND(J644*$C644,0)</f>
        <v>1062113</v>
      </c>
      <c r="N644" s="76"/>
      <c r="O644" s="76"/>
      <c r="P644" s="144"/>
      <c r="Q644" s="144"/>
      <c r="R644" s="76"/>
      <c r="S644" s="76"/>
      <c r="T644" s="76"/>
      <c r="U644" s="76"/>
      <c r="V644" s="76"/>
      <c r="W644" s="76"/>
      <c r="X644" s="76"/>
      <c r="Y644" s="76"/>
      <c r="Z644" s="76"/>
      <c r="AA644" s="76"/>
      <c r="AB644" s="76"/>
      <c r="AC644" s="76"/>
      <c r="AD644" s="76"/>
      <c r="AE644" s="76"/>
      <c r="AF644" s="76"/>
      <c r="AG644" s="76"/>
      <c r="AH644" s="76"/>
    </row>
    <row r="645" spans="1:34" hidden="1">
      <c r="A645" s="217" t="s">
        <v>197</v>
      </c>
      <c r="B645" s="182"/>
      <c r="C645" s="234">
        <f>34943</f>
        <v>34943</v>
      </c>
      <c r="D645" s="252">
        <f>$D$594</f>
        <v>13.64</v>
      </c>
      <c r="E645" s="239"/>
      <c r="F645" s="236">
        <f>ROUND(D645*$C645,0)</f>
        <v>476623</v>
      </c>
      <c r="G645" s="252">
        <f>$G$594</f>
        <v>14.53</v>
      </c>
      <c r="H645" s="252"/>
      <c r="I645" s="236">
        <f t="shared" si="98"/>
        <v>507722</v>
      </c>
      <c r="J645" s="252">
        <f>$J$594</f>
        <v>16.32</v>
      </c>
      <c r="K645" s="239"/>
      <c r="L645" s="236">
        <f>ROUND(J645*$C645,0)</f>
        <v>570270</v>
      </c>
      <c r="N645" s="76"/>
      <c r="O645" s="76"/>
      <c r="P645" s="144"/>
      <c r="Q645" s="144"/>
      <c r="R645" s="76"/>
      <c r="S645" s="76"/>
      <c r="T645" s="76"/>
      <c r="U645" s="76"/>
      <c r="V645" s="76"/>
      <c r="W645" s="76"/>
      <c r="X645" s="76"/>
      <c r="Y645" s="76"/>
      <c r="Z645" s="76"/>
      <c r="AA645" s="76"/>
      <c r="AB645" s="76"/>
      <c r="AC645" s="76"/>
      <c r="AD645" s="76"/>
      <c r="AE645" s="76"/>
      <c r="AF645" s="76"/>
      <c r="AG645" s="76"/>
      <c r="AH645" s="76"/>
    </row>
    <row r="646" spans="1:34" hidden="1">
      <c r="A646" s="217" t="s">
        <v>198</v>
      </c>
      <c r="B646" s="182"/>
      <c r="C646" s="234">
        <f>3419</f>
        <v>3419</v>
      </c>
      <c r="D646" s="252">
        <f>$D$595</f>
        <v>10.62</v>
      </c>
      <c r="E646" s="239"/>
      <c r="F646" s="236">
        <f>ROUND(D646*$C646,0)</f>
        <v>36310</v>
      </c>
      <c r="G646" s="252">
        <f>$G$595</f>
        <v>11.340000000000002</v>
      </c>
      <c r="H646" s="252"/>
      <c r="I646" s="236">
        <f t="shared" si="98"/>
        <v>38771</v>
      </c>
      <c r="J646" s="252">
        <f>$J$595</f>
        <v>12.77</v>
      </c>
      <c r="K646" s="239"/>
      <c r="L646" s="236">
        <f>ROUND(J646*$C646,0)</f>
        <v>43661</v>
      </c>
      <c r="N646" s="76"/>
      <c r="O646" s="76"/>
      <c r="P646" s="144"/>
      <c r="Q646" s="144"/>
      <c r="R646" s="76"/>
      <c r="S646" s="76"/>
      <c r="T646" s="76"/>
      <c r="U646" s="76"/>
      <c r="V646" s="76"/>
      <c r="W646" s="76"/>
      <c r="X646" s="76"/>
      <c r="Y646" s="76"/>
      <c r="Z646" s="76"/>
      <c r="AA646" s="76"/>
      <c r="AB646" s="76"/>
      <c r="AC646" s="76"/>
      <c r="AD646" s="76"/>
      <c r="AE646" s="76"/>
      <c r="AF646" s="76"/>
      <c r="AG646" s="76"/>
      <c r="AH646" s="76"/>
    </row>
    <row r="647" spans="1:34" hidden="1">
      <c r="A647" s="217" t="s">
        <v>204</v>
      </c>
      <c r="B647" s="182"/>
      <c r="C647" s="234">
        <v>526</v>
      </c>
      <c r="D647" s="252">
        <f>$D$596</f>
        <v>59.61</v>
      </c>
      <c r="E647" s="239"/>
      <c r="F647" s="236">
        <f>ROUND(D647*$C647,0)</f>
        <v>31355</v>
      </c>
      <c r="G647" s="252">
        <f>$G$596</f>
        <v>62.58</v>
      </c>
      <c r="H647" s="252"/>
      <c r="I647" s="236">
        <f t="shared" si="98"/>
        <v>32917</v>
      </c>
      <c r="J647" s="252">
        <f>$J$596</f>
        <v>70.320000000000007</v>
      </c>
      <c r="K647" s="239"/>
      <c r="L647" s="236">
        <f>ROUND(J647*$C647,0)</f>
        <v>36988</v>
      </c>
      <c r="N647" s="76"/>
      <c r="O647" s="76"/>
      <c r="P647" s="144"/>
      <c r="Q647" s="144"/>
      <c r="R647" s="76"/>
      <c r="S647" s="76"/>
      <c r="T647" s="76"/>
      <c r="U647" s="76"/>
      <c r="V647" s="76"/>
      <c r="W647" s="76"/>
      <c r="X647" s="76"/>
      <c r="Y647" s="76"/>
      <c r="Z647" s="76"/>
      <c r="AA647" s="76"/>
      <c r="AB647" s="76"/>
      <c r="AC647" s="76"/>
      <c r="AD647" s="76"/>
      <c r="AE647" s="76"/>
      <c r="AF647" s="76"/>
      <c r="AG647" s="76"/>
      <c r="AH647" s="76"/>
    </row>
    <row r="648" spans="1:34" hidden="1">
      <c r="A648" s="217" t="s">
        <v>205</v>
      </c>
      <c r="B648" s="182"/>
      <c r="C648" s="234">
        <v>937</v>
      </c>
      <c r="D648" s="252">
        <f>$D$597</f>
        <v>119.22</v>
      </c>
      <c r="E648" s="239"/>
      <c r="F648" s="236">
        <f>ROUND(D648*$C648,0)</f>
        <v>111709</v>
      </c>
      <c r="G648" s="252">
        <f>$G$597</f>
        <v>125.16000000000003</v>
      </c>
      <c r="H648" s="252"/>
      <c r="I648" s="236">
        <f t="shared" si="98"/>
        <v>117275</v>
      </c>
      <c r="J648" s="252">
        <f>$J$597</f>
        <v>140.64000000000001</v>
      </c>
      <c r="K648" s="239"/>
      <c r="L648" s="236">
        <f>ROUND(J648*$C648,0)</f>
        <v>131780</v>
      </c>
      <c r="N648" s="76"/>
      <c r="O648" s="76"/>
      <c r="P648" s="144"/>
      <c r="Q648" s="144"/>
      <c r="R648" s="76"/>
      <c r="S648" s="76"/>
      <c r="T648" s="76"/>
      <c r="U648" s="76"/>
      <c r="V648" s="76"/>
      <c r="W648" s="76"/>
      <c r="X648" s="76"/>
      <c r="Y648" s="76"/>
      <c r="Z648" s="76"/>
      <c r="AA648" s="76"/>
      <c r="AB648" s="76"/>
      <c r="AC648" s="76"/>
      <c r="AD648" s="76"/>
      <c r="AE648" s="76"/>
      <c r="AF648" s="76"/>
      <c r="AG648" s="76"/>
      <c r="AH648" s="76"/>
    </row>
    <row r="649" spans="1:34" hidden="1">
      <c r="A649" s="217" t="s">
        <v>206</v>
      </c>
      <c r="B649" s="182"/>
      <c r="C649" s="234"/>
      <c r="D649" s="252"/>
      <c r="E649" s="239"/>
      <c r="F649" s="236"/>
      <c r="G649" s="252"/>
      <c r="H649" s="252"/>
      <c r="I649" s="236"/>
      <c r="J649" s="252"/>
      <c r="K649" s="239"/>
      <c r="L649" s="236"/>
      <c r="N649" s="76"/>
      <c r="O649" s="76"/>
      <c r="P649" s="144"/>
      <c r="Q649" s="144"/>
      <c r="R649" s="76"/>
      <c r="S649" s="76"/>
      <c r="T649" s="76"/>
      <c r="U649" s="76"/>
      <c r="V649" s="76"/>
      <c r="W649" s="76"/>
      <c r="X649" s="76"/>
      <c r="Y649" s="76"/>
      <c r="Z649" s="76"/>
      <c r="AA649" s="76"/>
      <c r="AB649" s="76"/>
      <c r="AC649" s="76"/>
      <c r="AD649" s="76"/>
      <c r="AE649" s="76"/>
      <c r="AF649" s="76"/>
      <c r="AG649" s="76"/>
      <c r="AH649" s="76"/>
    </row>
    <row r="650" spans="1:34" hidden="1">
      <c r="A650" s="217" t="s">
        <v>202</v>
      </c>
      <c r="B650" s="182"/>
      <c r="C650" s="234">
        <v>26</v>
      </c>
      <c r="D650" s="275">
        <f>-D642</f>
        <v>-19.87</v>
      </c>
      <c r="E650" s="239"/>
      <c r="F650" s="236">
        <f>ROUND(D650*$C650,0)</f>
        <v>-517</v>
      </c>
      <c r="G650" s="275">
        <f>-G642</f>
        <v>-20.86</v>
      </c>
      <c r="H650" s="275"/>
      <c r="I650" s="236">
        <f t="shared" ref="I650:I651" si="99">ROUND(G650*C650,0)</f>
        <v>-542</v>
      </c>
      <c r="J650" s="275">
        <f>-J642</f>
        <v>-23.44</v>
      </c>
      <c r="K650" s="239"/>
      <c r="L650" s="236">
        <f>ROUND(J650*$C650,0)</f>
        <v>-609</v>
      </c>
      <c r="N650" s="76"/>
      <c r="O650" s="76"/>
      <c r="P650" s="144"/>
      <c r="Q650" s="144"/>
      <c r="R650" s="76"/>
      <c r="S650" s="76"/>
      <c r="T650" s="76"/>
      <c r="U650" s="76"/>
      <c r="V650" s="76"/>
      <c r="W650" s="76"/>
      <c r="X650" s="76"/>
      <c r="Y650" s="76"/>
      <c r="Z650" s="76"/>
      <c r="AA650" s="76"/>
      <c r="AB650" s="76"/>
      <c r="AC650" s="76"/>
      <c r="AD650" s="76"/>
      <c r="AE650" s="76"/>
      <c r="AF650" s="76"/>
      <c r="AG650" s="76"/>
      <c r="AH650" s="76"/>
    </row>
    <row r="651" spans="1:34" hidden="1">
      <c r="A651" s="217" t="s">
        <v>207</v>
      </c>
      <c r="B651" s="182"/>
      <c r="C651" s="234">
        <v>369</v>
      </c>
      <c r="D651" s="275">
        <f>-D644</f>
        <v>-19.87</v>
      </c>
      <c r="E651" s="239"/>
      <c r="F651" s="236">
        <f>ROUND(D651*$C651,0)</f>
        <v>-7332</v>
      </c>
      <c r="G651" s="275">
        <f>-G644</f>
        <v>-20.860000000000003</v>
      </c>
      <c r="H651" s="275"/>
      <c r="I651" s="236">
        <f t="shared" si="99"/>
        <v>-7697</v>
      </c>
      <c r="J651" s="275">
        <f>-J644</f>
        <v>-23.44</v>
      </c>
      <c r="K651" s="239"/>
      <c r="L651" s="236">
        <f>ROUND(J651*$C651,0)</f>
        <v>-8649</v>
      </c>
      <c r="N651" s="76"/>
      <c r="O651" s="76"/>
      <c r="P651" s="144"/>
      <c r="Q651" s="144"/>
      <c r="R651" s="76"/>
      <c r="S651" s="76"/>
      <c r="T651" s="76"/>
      <c r="U651" s="76"/>
      <c r="V651" s="76"/>
      <c r="W651" s="76"/>
      <c r="X651" s="76"/>
      <c r="Y651" s="76"/>
      <c r="Z651" s="76"/>
      <c r="AA651" s="76"/>
      <c r="AB651" s="76"/>
      <c r="AC651" s="76"/>
      <c r="AD651" s="76"/>
      <c r="AE651" s="76"/>
      <c r="AF651" s="76"/>
      <c r="AG651" s="76"/>
      <c r="AH651" s="76"/>
    </row>
    <row r="652" spans="1:34" hidden="1">
      <c r="A652" s="238" t="s">
        <v>174</v>
      </c>
      <c r="B652" s="182"/>
      <c r="C652" s="234"/>
      <c r="D652" s="252"/>
      <c r="E652" s="236"/>
      <c r="F652" s="236"/>
      <c r="G652" s="252"/>
      <c r="H652" s="252"/>
      <c r="I652" s="236"/>
      <c r="J652" s="252"/>
      <c r="K652" s="236"/>
      <c r="L652" s="236"/>
      <c r="N652" s="76"/>
      <c r="O652" s="76"/>
      <c r="P652" s="144"/>
      <c r="Q652" s="144"/>
      <c r="R652" s="76"/>
      <c r="S652" s="76"/>
      <c r="T652" s="76"/>
      <c r="U652" s="76"/>
      <c r="V652" s="76"/>
      <c r="W652" s="76"/>
      <c r="X652" s="76"/>
      <c r="Y652" s="76"/>
      <c r="Z652" s="76"/>
      <c r="AA652" s="76"/>
      <c r="AB652" s="76"/>
      <c r="AC652" s="76"/>
      <c r="AD652" s="76"/>
      <c r="AE652" s="76"/>
      <c r="AF652" s="76"/>
      <c r="AG652" s="76"/>
      <c r="AH652" s="76"/>
    </row>
    <row r="653" spans="1:34" hidden="1">
      <c r="A653" s="217" t="s">
        <v>208</v>
      </c>
      <c r="B653" s="182"/>
      <c r="C653" s="234">
        <f>5119835+73941907+57110109+7748720</f>
        <v>143920571</v>
      </c>
      <c r="D653" s="316">
        <f>$D$602</f>
        <v>5.3710000000000004</v>
      </c>
      <c r="E653" s="236" t="s">
        <v>126</v>
      </c>
      <c r="F653" s="236">
        <f>ROUND(D653/100*$C653,0)</f>
        <v>7729974</v>
      </c>
      <c r="G653" s="316">
        <f>$G$602</f>
        <v>5.6469999999999994</v>
      </c>
      <c r="H653" s="316"/>
      <c r="I653" s="236">
        <f>ROUND(G653/100*C653,0)</f>
        <v>8127195</v>
      </c>
      <c r="J653" s="316">
        <f>$J$602</f>
        <v>6.3440000000000003</v>
      </c>
      <c r="K653" s="236" t="s">
        <v>126</v>
      </c>
      <c r="L653" s="236">
        <f>ROUND(J653/100*$C653,0)</f>
        <v>9130321</v>
      </c>
      <c r="N653" s="76"/>
      <c r="O653" s="76"/>
      <c r="P653" s="144"/>
      <c r="Q653" s="144"/>
      <c r="R653" s="76"/>
      <c r="S653" s="76"/>
      <c r="T653" s="76"/>
      <c r="U653" s="76"/>
      <c r="V653" s="76"/>
      <c r="W653" s="76"/>
      <c r="X653" s="76"/>
      <c r="Y653" s="76"/>
      <c r="Z653" s="76"/>
      <c r="AA653" s="76"/>
      <c r="AB653" s="76"/>
      <c r="AC653" s="76"/>
      <c r="AD653" s="76"/>
      <c r="AE653" s="76"/>
      <c r="AF653" s="76"/>
      <c r="AG653" s="76"/>
      <c r="AH653" s="76"/>
    </row>
    <row r="654" spans="1:34" hidden="1">
      <c r="A654" s="238" t="s">
        <v>150</v>
      </c>
      <c r="B654" s="182"/>
      <c r="C654" s="181">
        <f>1799+22720+3742</f>
        <v>28261</v>
      </c>
      <c r="D654" s="253">
        <f>$D$603</f>
        <v>45</v>
      </c>
      <c r="E654" s="238" t="s">
        <v>126</v>
      </c>
      <c r="F654" s="236">
        <f>ROUND(D654*$C654/100,0)</f>
        <v>12717</v>
      </c>
      <c r="G654" s="253">
        <f>$G$603</f>
        <v>50</v>
      </c>
      <c r="H654" s="253"/>
      <c r="I654" s="236">
        <f>ROUND(G654/100*C654,0)</f>
        <v>14131</v>
      </c>
      <c r="J654" s="253">
        <f>$J$603</f>
        <v>55</v>
      </c>
      <c r="K654" s="238" t="s">
        <v>126</v>
      </c>
      <c r="L654" s="236">
        <f>ROUND(J654*$C654/100,0)</f>
        <v>15544</v>
      </c>
      <c r="N654" s="76"/>
      <c r="O654" s="76"/>
      <c r="P654" s="144"/>
      <c r="Q654" s="144"/>
      <c r="R654" s="76"/>
      <c r="S654" s="76"/>
      <c r="T654" s="76"/>
      <c r="U654" s="76"/>
      <c r="V654" s="76"/>
      <c r="W654" s="76"/>
      <c r="X654" s="76"/>
      <c r="Y654" s="76"/>
      <c r="Z654" s="76"/>
      <c r="AA654" s="76"/>
      <c r="AB654" s="76"/>
      <c r="AC654" s="76"/>
      <c r="AD654" s="76"/>
      <c r="AE654" s="76"/>
      <c r="AF654" s="76"/>
      <c r="AG654" s="76"/>
      <c r="AH654" s="76"/>
    </row>
    <row r="655" spans="1:34" hidden="1">
      <c r="A655" s="280" t="s">
        <v>151</v>
      </c>
      <c r="B655" s="182"/>
      <c r="C655" s="234"/>
      <c r="D655" s="247">
        <v>-0.01</v>
      </c>
      <c r="E655" s="164"/>
      <c r="F655" s="236"/>
      <c r="G655" s="247">
        <v>-0.01</v>
      </c>
      <c r="H655" s="247"/>
      <c r="I655" s="236"/>
      <c r="J655" s="247">
        <v>-0.01</v>
      </c>
      <c r="K655" s="182"/>
      <c r="L655" s="236"/>
      <c r="N655" s="76"/>
      <c r="O655" s="76"/>
      <c r="P655" s="144"/>
      <c r="Q655" s="144"/>
      <c r="R655" s="76"/>
      <c r="S655" s="76"/>
      <c r="T655" s="76"/>
      <c r="U655" s="76"/>
      <c r="V655" s="76"/>
      <c r="W655" s="76"/>
      <c r="X655" s="76"/>
      <c r="Y655" s="76"/>
      <c r="Z655" s="76"/>
      <c r="AA655" s="76"/>
      <c r="AB655" s="76"/>
      <c r="AC655" s="76"/>
      <c r="AD655" s="76"/>
      <c r="AE655" s="76"/>
      <c r="AF655" s="76"/>
      <c r="AG655" s="76"/>
      <c r="AH655" s="76"/>
    </row>
    <row r="656" spans="1:34" hidden="1">
      <c r="A656" s="217" t="s">
        <v>141</v>
      </c>
      <c r="B656" s="182"/>
      <c r="C656" s="234">
        <v>0</v>
      </c>
      <c r="D656" s="304">
        <f>D633</f>
        <v>0</v>
      </c>
      <c r="E656" s="239"/>
      <c r="F656" s="236">
        <f>ROUND(D656*$C656*$D$604,0)</f>
        <v>0</v>
      </c>
      <c r="G656" s="304">
        <f>G633</f>
        <v>0</v>
      </c>
      <c r="H656" s="304"/>
      <c r="I656" s="236">
        <f>ROUND(G656*C656*$G$604,0)</f>
        <v>0</v>
      </c>
      <c r="J656" s="304">
        <f>J633</f>
        <v>0</v>
      </c>
      <c r="K656" s="239"/>
      <c r="L656" s="236">
        <f>ROUND(J656*$C656*$D$604,0)</f>
        <v>0</v>
      </c>
      <c r="N656" s="76"/>
      <c r="O656" s="76"/>
      <c r="P656" s="144"/>
      <c r="Q656" s="144"/>
      <c r="R656" s="76"/>
      <c r="S656" s="76"/>
      <c r="T656" s="76"/>
      <c r="U656" s="76"/>
      <c r="V656" s="76"/>
      <c r="W656" s="76"/>
      <c r="X656" s="76"/>
      <c r="Y656" s="76"/>
      <c r="Z656" s="76"/>
      <c r="AA656" s="76"/>
      <c r="AB656" s="76"/>
      <c r="AC656" s="76"/>
      <c r="AD656" s="76"/>
      <c r="AE656" s="76"/>
      <c r="AF656" s="76"/>
      <c r="AG656" s="76"/>
      <c r="AH656" s="76"/>
    </row>
    <row r="657" spans="1:34" hidden="1">
      <c r="A657" s="217" t="s">
        <v>142</v>
      </c>
      <c r="B657" s="182"/>
      <c r="C657" s="234"/>
      <c r="D657" s="304"/>
      <c r="E657" s="239"/>
      <c r="F657" s="236"/>
      <c r="G657" s="304"/>
      <c r="H657" s="304"/>
      <c r="I657" s="236"/>
      <c r="J657" s="304"/>
      <c r="K657" s="239"/>
      <c r="L657" s="236"/>
      <c r="N657" s="76"/>
      <c r="O657" s="76"/>
      <c r="P657" s="144"/>
      <c r="Q657" s="144"/>
      <c r="R657" s="76"/>
      <c r="S657" s="76"/>
      <c r="T657" s="76"/>
      <c r="U657" s="76"/>
      <c r="V657" s="76"/>
      <c r="W657" s="76"/>
      <c r="X657" s="76"/>
      <c r="Y657" s="76"/>
      <c r="Z657" s="76"/>
      <c r="AA657" s="76"/>
      <c r="AB657" s="76"/>
      <c r="AC657" s="76"/>
      <c r="AD657" s="76"/>
      <c r="AE657" s="76"/>
      <c r="AF657" s="76"/>
      <c r="AG657" s="76"/>
      <c r="AH657" s="76"/>
    </row>
    <row r="658" spans="1:34" hidden="1">
      <c r="A658" s="217" t="s">
        <v>196</v>
      </c>
      <c r="B658" s="182"/>
      <c r="C658" s="234">
        <v>0</v>
      </c>
      <c r="D658" s="304">
        <f>D635</f>
        <v>0</v>
      </c>
      <c r="E658" s="239"/>
      <c r="F658" s="236">
        <f>ROUND(D658*$C658*$D$604,0)</f>
        <v>0</v>
      </c>
      <c r="G658" s="304">
        <f>G635</f>
        <v>0</v>
      </c>
      <c r="H658" s="304"/>
      <c r="I658" s="236">
        <f t="shared" ref="I658:I661" si="100">ROUND(G658*C658*$G$604,0)</f>
        <v>0</v>
      </c>
      <c r="J658" s="304">
        <f>J635</f>
        <v>0</v>
      </c>
      <c r="K658" s="239"/>
      <c r="L658" s="236">
        <f>ROUND(J658*$C658*$D$604,0)</f>
        <v>0</v>
      </c>
      <c r="N658" s="76"/>
      <c r="O658" s="76"/>
      <c r="P658" s="144"/>
      <c r="Q658" s="144"/>
      <c r="R658" s="76"/>
      <c r="S658" s="76"/>
      <c r="T658" s="76"/>
      <c r="U658" s="76"/>
      <c r="V658" s="76"/>
      <c r="W658" s="76"/>
      <c r="X658" s="76"/>
      <c r="Y658" s="76"/>
      <c r="Z658" s="76"/>
      <c r="AA658" s="76"/>
      <c r="AB658" s="76"/>
      <c r="AC658" s="76"/>
      <c r="AD658" s="76"/>
      <c r="AE658" s="76"/>
      <c r="AF658" s="76"/>
      <c r="AG658" s="76"/>
      <c r="AH658" s="76"/>
    </row>
    <row r="659" spans="1:34" hidden="1">
      <c r="A659" s="217" t="s">
        <v>197</v>
      </c>
      <c r="B659" s="182"/>
      <c r="C659" s="234">
        <v>0</v>
      </c>
      <c r="D659" s="304">
        <f>D636</f>
        <v>301</v>
      </c>
      <c r="E659" s="239"/>
      <c r="F659" s="236">
        <f>ROUND(D659*$C659*$D$604,0)</f>
        <v>0</v>
      </c>
      <c r="G659" s="304">
        <f>G636</f>
        <v>312</v>
      </c>
      <c r="H659" s="304"/>
      <c r="I659" s="236">
        <f t="shared" si="100"/>
        <v>0</v>
      </c>
      <c r="J659" s="304">
        <f>J636</f>
        <v>352</v>
      </c>
      <c r="K659" s="239"/>
      <c r="L659" s="236">
        <f>ROUND(J659*$C659*$D$604,0)</f>
        <v>0</v>
      </c>
      <c r="N659" s="76"/>
      <c r="O659" s="76"/>
      <c r="P659" s="144"/>
      <c r="Q659" s="144"/>
      <c r="R659" s="76"/>
      <c r="S659" s="76"/>
      <c r="T659" s="76"/>
      <c r="U659" s="76"/>
      <c r="V659" s="76"/>
      <c r="W659" s="76"/>
      <c r="X659" s="76"/>
      <c r="Y659" s="76"/>
      <c r="Z659" s="76"/>
      <c r="AA659" s="76"/>
      <c r="AB659" s="76"/>
      <c r="AC659" s="76"/>
      <c r="AD659" s="76"/>
      <c r="AE659" s="76"/>
      <c r="AF659" s="76"/>
      <c r="AG659" s="76"/>
      <c r="AH659" s="76"/>
    </row>
    <row r="660" spans="1:34" hidden="1">
      <c r="A660" s="217" t="s">
        <v>198</v>
      </c>
      <c r="B660" s="182"/>
      <c r="C660" s="234">
        <v>0</v>
      </c>
      <c r="D660" s="304">
        <f>D637</f>
        <v>1215</v>
      </c>
      <c r="E660" s="239"/>
      <c r="F660" s="236">
        <f>ROUND(D660*$C660*$D$604,0)</f>
        <v>0</v>
      </c>
      <c r="G660" s="304">
        <f>G637</f>
        <v>1268</v>
      </c>
      <c r="H660" s="304"/>
      <c r="I660" s="236">
        <f t="shared" si="100"/>
        <v>0</v>
      </c>
      <c r="J660" s="304">
        <f>J637</f>
        <v>1435</v>
      </c>
      <c r="K660" s="239"/>
      <c r="L660" s="236">
        <f>ROUND(J660*$C660*$D$604,0)</f>
        <v>0</v>
      </c>
      <c r="N660" s="76"/>
      <c r="O660" s="76"/>
      <c r="P660" s="144"/>
      <c r="Q660" s="144"/>
      <c r="R660" s="76"/>
      <c r="S660" s="76"/>
      <c r="T660" s="76"/>
      <c r="U660" s="76"/>
      <c r="V660" s="76"/>
      <c r="W660" s="76"/>
      <c r="X660" s="76"/>
      <c r="Y660" s="76"/>
      <c r="Z660" s="76"/>
      <c r="AA660" s="76"/>
      <c r="AB660" s="76"/>
      <c r="AC660" s="76"/>
      <c r="AD660" s="76"/>
      <c r="AE660" s="76"/>
      <c r="AF660" s="76"/>
      <c r="AG660" s="76"/>
      <c r="AH660" s="76"/>
    </row>
    <row r="661" spans="1:34" hidden="1">
      <c r="A661" s="217" t="s">
        <v>141</v>
      </c>
      <c r="B661" s="182"/>
      <c r="C661" s="234">
        <v>0</v>
      </c>
      <c r="D661" s="304">
        <f>D642</f>
        <v>19.87</v>
      </c>
      <c r="E661" s="239"/>
      <c r="F661" s="236">
        <f>ROUND(D661*$C661*$D$604,0)</f>
        <v>0</v>
      </c>
      <c r="G661" s="304">
        <f>G642</f>
        <v>20.86</v>
      </c>
      <c r="H661" s="304"/>
      <c r="I661" s="236">
        <f t="shared" si="100"/>
        <v>0</v>
      </c>
      <c r="J661" s="304">
        <f>J642</f>
        <v>23.44</v>
      </c>
      <c r="K661" s="239"/>
      <c r="L661" s="236">
        <f>ROUND(J661*$C661*$D$604,0)</f>
        <v>0</v>
      </c>
      <c r="N661" s="76"/>
      <c r="O661" s="76"/>
      <c r="P661" s="144"/>
      <c r="Q661" s="144"/>
      <c r="R661" s="76"/>
      <c r="S661" s="76"/>
      <c r="T661" s="76"/>
      <c r="U661" s="76"/>
      <c r="V661" s="76"/>
      <c r="W661" s="76"/>
      <c r="X661" s="76"/>
      <c r="Y661" s="76"/>
      <c r="Z661" s="76"/>
      <c r="AA661" s="76"/>
      <c r="AB661" s="76"/>
      <c r="AC661" s="76"/>
      <c r="AD661" s="76"/>
      <c r="AE661" s="76"/>
      <c r="AF661" s="76"/>
      <c r="AG661" s="76"/>
      <c r="AH661" s="76"/>
    </row>
    <row r="662" spans="1:34" hidden="1">
      <c r="A662" s="217" t="s">
        <v>142</v>
      </c>
      <c r="B662" s="182"/>
      <c r="C662" s="234"/>
      <c r="D662" s="304"/>
      <c r="E662" s="239"/>
      <c r="F662" s="236"/>
      <c r="G662" s="304"/>
      <c r="H662" s="304"/>
      <c r="I662" s="236"/>
      <c r="J662" s="304"/>
      <c r="K662" s="239"/>
      <c r="L662" s="236"/>
      <c r="N662" s="76"/>
      <c r="O662" s="76"/>
      <c r="P662" s="144"/>
      <c r="Q662" s="144"/>
      <c r="R662" s="76"/>
      <c r="S662" s="76"/>
      <c r="T662" s="76"/>
      <c r="U662" s="76"/>
      <c r="V662" s="76"/>
      <c r="W662" s="76"/>
      <c r="X662" s="76"/>
      <c r="Y662" s="76"/>
      <c r="Z662" s="76"/>
      <c r="AA662" s="76"/>
      <c r="AB662" s="76"/>
      <c r="AC662" s="76"/>
      <c r="AD662" s="76"/>
      <c r="AE662" s="76"/>
      <c r="AF662" s="76"/>
      <c r="AG662" s="76"/>
      <c r="AH662" s="76"/>
    </row>
    <row r="663" spans="1:34" hidden="1">
      <c r="A663" s="217" t="s">
        <v>196</v>
      </c>
      <c r="B663" s="182"/>
      <c r="C663" s="234">
        <v>0</v>
      </c>
      <c r="D663" s="304">
        <f>D644</f>
        <v>19.87</v>
      </c>
      <c r="E663" s="239"/>
      <c r="F663" s="236">
        <f>ROUND(D663*$C663*$D$604,0)</f>
        <v>0</v>
      </c>
      <c r="G663" s="304">
        <f>G644</f>
        <v>20.860000000000003</v>
      </c>
      <c r="H663" s="304"/>
      <c r="I663" s="236">
        <f t="shared" ref="I663:I667" si="101">ROUND(G663*C663*$G$604,0)</f>
        <v>0</v>
      </c>
      <c r="J663" s="304">
        <f>J644</f>
        <v>23.44</v>
      </c>
      <c r="K663" s="239"/>
      <c r="L663" s="236">
        <f>ROUND(J663*$C663*$D$604,0)</f>
        <v>0</v>
      </c>
      <c r="N663" s="76"/>
      <c r="O663" s="76"/>
      <c r="P663" s="144"/>
      <c r="Q663" s="144"/>
      <c r="R663" s="76"/>
      <c r="S663" s="76"/>
      <c r="T663" s="76"/>
      <c r="U663" s="76"/>
      <c r="V663" s="76"/>
      <c r="W663" s="76"/>
      <c r="X663" s="76"/>
      <c r="Y663" s="76"/>
      <c r="Z663" s="76"/>
      <c r="AA663" s="76"/>
      <c r="AB663" s="76"/>
      <c r="AC663" s="76"/>
      <c r="AD663" s="76"/>
      <c r="AE663" s="76"/>
      <c r="AF663" s="76"/>
      <c r="AG663" s="76"/>
      <c r="AH663" s="76"/>
    </row>
    <row r="664" spans="1:34" hidden="1">
      <c r="A664" s="217" t="s">
        <v>197</v>
      </c>
      <c r="B664" s="182"/>
      <c r="C664" s="234">
        <v>0</v>
      </c>
      <c r="D664" s="304">
        <f>D645</f>
        <v>13.64</v>
      </c>
      <c r="E664" s="239"/>
      <c r="F664" s="236">
        <f>ROUND(D664*$C664*$D$604,0)</f>
        <v>0</v>
      </c>
      <c r="G664" s="304">
        <f>G645</f>
        <v>14.53</v>
      </c>
      <c r="H664" s="304"/>
      <c r="I664" s="236">
        <f t="shared" si="101"/>
        <v>0</v>
      </c>
      <c r="J664" s="304">
        <f>J645</f>
        <v>16.32</v>
      </c>
      <c r="K664" s="239"/>
      <c r="L664" s="236">
        <f>ROUND(J664*$C664*$D$604,0)</f>
        <v>0</v>
      </c>
      <c r="N664" s="76"/>
      <c r="O664" s="76"/>
      <c r="P664" s="144"/>
      <c r="Q664" s="144"/>
      <c r="R664" s="76"/>
      <c r="S664" s="76"/>
      <c r="T664" s="76"/>
      <c r="U664" s="76"/>
      <c r="V664" s="76"/>
      <c r="W664" s="76"/>
      <c r="X664" s="76"/>
      <c r="Y664" s="76"/>
      <c r="Z664" s="76"/>
      <c r="AA664" s="76"/>
      <c r="AB664" s="76"/>
      <c r="AC664" s="76"/>
      <c r="AD664" s="76"/>
      <c r="AE664" s="76"/>
      <c r="AF664" s="76"/>
      <c r="AG664" s="76"/>
      <c r="AH664" s="76"/>
    </row>
    <row r="665" spans="1:34" hidden="1">
      <c r="A665" s="217" t="s">
        <v>198</v>
      </c>
      <c r="B665" s="182"/>
      <c r="C665" s="234">
        <v>0</v>
      </c>
      <c r="D665" s="304">
        <f>D646</f>
        <v>10.62</v>
      </c>
      <c r="E665" s="239"/>
      <c r="F665" s="236">
        <f>ROUND(D665*$C665*$D$604,0)</f>
        <v>0</v>
      </c>
      <c r="G665" s="304">
        <f>G646</f>
        <v>11.340000000000002</v>
      </c>
      <c r="H665" s="304"/>
      <c r="I665" s="236">
        <f t="shared" si="101"/>
        <v>0</v>
      </c>
      <c r="J665" s="304">
        <f>J646</f>
        <v>12.77</v>
      </c>
      <c r="K665" s="239"/>
      <c r="L665" s="236">
        <f>ROUND(J665*$C665*$D$604,0)</f>
        <v>0</v>
      </c>
      <c r="N665" s="76"/>
      <c r="O665" s="76"/>
      <c r="P665" s="144"/>
      <c r="Q665" s="144"/>
      <c r="R665" s="76"/>
      <c r="S665" s="76"/>
      <c r="T665" s="76"/>
      <c r="U665" s="76"/>
      <c r="V665" s="76"/>
      <c r="W665" s="76"/>
      <c r="X665" s="76"/>
      <c r="Y665" s="76"/>
      <c r="Z665" s="76"/>
      <c r="AA665" s="76"/>
      <c r="AB665" s="76"/>
      <c r="AC665" s="76"/>
      <c r="AD665" s="76"/>
      <c r="AE665" s="76"/>
      <c r="AF665" s="76"/>
      <c r="AG665" s="76"/>
      <c r="AH665" s="76"/>
    </row>
    <row r="666" spans="1:34" hidden="1">
      <c r="A666" s="217" t="s">
        <v>209</v>
      </c>
      <c r="B666" s="182"/>
      <c r="C666" s="234">
        <v>0</v>
      </c>
      <c r="D666" s="275">
        <f>D647</f>
        <v>59.61</v>
      </c>
      <c r="E666" s="239"/>
      <c r="F666" s="236">
        <f>ROUND(D666*$C666*$D$604,0)</f>
        <v>0</v>
      </c>
      <c r="G666" s="275">
        <f>G647</f>
        <v>62.58</v>
      </c>
      <c r="H666" s="275"/>
      <c r="I666" s="236">
        <f t="shared" si="101"/>
        <v>0</v>
      </c>
      <c r="J666" s="275">
        <f>J647</f>
        <v>70.320000000000007</v>
      </c>
      <c r="K666" s="239"/>
      <c r="L666" s="236">
        <f>ROUND(J666*$C666*$D$604,0)</f>
        <v>0</v>
      </c>
      <c r="N666" s="76"/>
      <c r="O666" s="76"/>
      <c r="P666" s="144"/>
      <c r="Q666" s="144"/>
      <c r="R666" s="76"/>
      <c r="S666" s="76"/>
      <c r="T666" s="76"/>
      <c r="U666" s="76"/>
      <c r="V666" s="76"/>
      <c r="W666" s="76"/>
      <c r="X666" s="76"/>
      <c r="Y666" s="76"/>
      <c r="Z666" s="76"/>
      <c r="AA666" s="76"/>
      <c r="AB666" s="76"/>
      <c r="AC666" s="76"/>
      <c r="AD666" s="76"/>
      <c r="AE666" s="76"/>
      <c r="AF666" s="76"/>
      <c r="AG666" s="76"/>
      <c r="AH666" s="76"/>
    </row>
    <row r="667" spans="1:34" hidden="1">
      <c r="A667" s="217" t="s">
        <v>210</v>
      </c>
      <c r="B667" s="182"/>
      <c r="C667" s="234">
        <v>0</v>
      </c>
      <c r="D667" s="275">
        <f>D648</f>
        <v>119.22</v>
      </c>
      <c r="E667" s="239"/>
      <c r="F667" s="236">
        <f>ROUND(D667*$C667*$D$604,0)</f>
        <v>0</v>
      </c>
      <c r="G667" s="275">
        <f>G648</f>
        <v>125.16000000000003</v>
      </c>
      <c r="H667" s="275"/>
      <c r="I667" s="236">
        <f t="shared" si="101"/>
        <v>0</v>
      </c>
      <c r="J667" s="275">
        <f>J648</f>
        <v>140.64000000000001</v>
      </c>
      <c r="K667" s="239"/>
      <c r="L667" s="236">
        <f>ROUND(J667*$C667*$D$604,0)</f>
        <v>0</v>
      </c>
      <c r="N667" s="76"/>
      <c r="O667" s="76"/>
      <c r="P667" s="144"/>
      <c r="Q667" s="144"/>
      <c r="R667" s="76"/>
      <c r="S667" s="76"/>
      <c r="T667" s="76"/>
      <c r="U667" s="76"/>
      <c r="V667" s="76"/>
      <c r="W667" s="76"/>
      <c r="X667" s="76"/>
      <c r="Y667" s="76"/>
      <c r="Z667" s="76"/>
      <c r="AA667" s="76"/>
      <c r="AB667" s="76"/>
      <c r="AC667" s="76"/>
      <c r="AD667" s="76"/>
      <c r="AE667" s="76"/>
      <c r="AF667" s="76"/>
      <c r="AG667" s="76"/>
      <c r="AH667" s="76"/>
    </row>
    <row r="668" spans="1:34" hidden="1">
      <c r="A668" s="217" t="s">
        <v>206</v>
      </c>
      <c r="B668" s="182"/>
      <c r="C668" s="234"/>
      <c r="D668" s="252"/>
      <c r="E668" s="239"/>
      <c r="F668" s="236"/>
      <c r="G668" s="252"/>
      <c r="H668" s="252"/>
      <c r="I668" s="236"/>
      <c r="J668" s="252"/>
      <c r="K668" s="239"/>
      <c r="L668" s="236"/>
      <c r="N668" s="76"/>
      <c r="O668" s="76"/>
      <c r="P668" s="144"/>
      <c r="Q668" s="144"/>
      <c r="R668" s="76"/>
      <c r="S668" s="76"/>
      <c r="T668" s="76"/>
      <c r="U668" s="76"/>
      <c r="V668" s="76"/>
      <c r="W668" s="76"/>
      <c r="X668" s="76"/>
      <c r="Y668" s="76"/>
      <c r="Z668" s="76"/>
      <c r="AA668" s="76"/>
      <c r="AB668" s="76"/>
      <c r="AC668" s="76"/>
      <c r="AD668" s="76"/>
      <c r="AE668" s="76"/>
      <c r="AF668" s="76"/>
      <c r="AG668" s="76"/>
      <c r="AH668" s="76"/>
    </row>
    <row r="669" spans="1:34" hidden="1">
      <c r="A669" s="217" t="s">
        <v>202</v>
      </c>
      <c r="B669" s="182"/>
      <c r="C669" s="234">
        <v>0</v>
      </c>
      <c r="D669" s="275">
        <f>D650</f>
        <v>-19.87</v>
      </c>
      <c r="E669" s="239"/>
      <c r="F669" s="236">
        <f>ROUND(D669*$C669*$D$604,0)</f>
        <v>0</v>
      </c>
      <c r="G669" s="275">
        <f>G650</f>
        <v>-20.86</v>
      </c>
      <c r="H669" s="275"/>
      <c r="I669" s="236">
        <f t="shared" ref="I669:I670" si="102">ROUND(G669*C669*$G$604,0)</f>
        <v>0</v>
      </c>
      <c r="J669" s="275">
        <f>J650</f>
        <v>-23.44</v>
      </c>
      <c r="K669" s="239"/>
      <c r="L669" s="236">
        <f>ROUND(J669*$C669*$D$604,0)</f>
        <v>0</v>
      </c>
      <c r="N669" s="76"/>
      <c r="O669" s="76"/>
      <c r="P669" s="144"/>
      <c r="Q669" s="144"/>
      <c r="R669" s="76"/>
      <c r="S669" s="76"/>
      <c r="T669" s="76"/>
      <c r="U669" s="76"/>
      <c r="V669" s="76"/>
      <c r="W669" s="76"/>
      <c r="X669" s="76"/>
      <c r="Y669" s="76"/>
      <c r="Z669" s="76"/>
      <c r="AA669" s="76"/>
      <c r="AB669" s="76"/>
      <c r="AC669" s="76"/>
      <c r="AD669" s="76"/>
      <c r="AE669" s="76"/>
      <c r="AF669" s="76"/>
      <c r="AG669" s="76"/>
      <c r="AH669" s="76"/>
    </row>
    <row r="670" spans="1:34" hidden="1">
      <c r="A670" s="217" t="s">
        <v>207</v>
      </c>
      <c r="B670" s="182"/>
      <c r="C670" s="234">
        <v>0</v>
      </c>
      <c r="D670" s="275">
        <f>D651</f>
        <v>-19.87</v>
      </c>
      <c r="E670" s="239"/>
      <c r="F670" s="236">
        <f>ROUND(D670*$C670*$D$604,0)</f>
        <v>0</v>
      </c>
      <c r="G670" s="275">
        <f>G651</f>
        <v>-20.860000000000003</v>
      </c>
      <c r="H670" s="275"/>
      <c r="I670" s="236">
        <f t="shared" si="102"/>
        <v>0</v>
      </c>
      <c r="J670" s="275">
        <f>J651</f>
        <v>-23.44</v>
      </c>
      <c r="K670" s="239"/>
      <c r="L670" s="236">
        <f>ROUND(J670*$C670*$D$604,0)</f>
        <v>0</v>
      </c>
      <c r="N670" s="76"/>
      <c r="O670" s="76"/>
      <c r="P670" s="144"/>
      <c r="Q670" s="144"/>
      <c r="R670" s="76"/>
      <c r="S670" s="76"/>
      <c r="T670" s="76"/>
      <c r="U670" s="76"/>
      <c r="V670" s="76"/>
      <c r="W670" s="76"/>
      <c r="X670" s="76"/>
      <c r="Y670" s="76"/>
      <c r="Z670" s="76"/>
      <c r="AA670" s="76"/>
      <c r="AB670" s="76"/>
      <c r="AC670" s="76"/>
      <c r="AD670" s="76"/>
      <c r="AE670" s="76"/>
      <c r="AF670" s="76"/>
      <c r="AG670" s="76"/>
      <c r="AH670" s="76"/>
    </row>
    <row r="671" spans="1:34" hidden="1">
      <c r="A671" s="238" t="s">
        <v>174</v>
      </c>
      <c r="B671" s="182"/>
      <c r="C671" s="234"/>
      <c r="D671" s="304"/>
      <c r="E671" s="236"/>
      <c r="F671" s="236"/>
      <c r="G671" s="304"/>
      <c r="H671" s="304"/>
      <c r="I671" s="236"/>
      <c r="J671" s="304"/>
      <c r="K671" s="236"/>
      <c r="L671" s="236"/>
      <c r="N671" s="76"/>
      <c r="O671" s="76"/>
      <c r="P671" s="144"/>
      <c r="Q671" s="144"/>
      <c r="R671" s="76"/>
      <c r="S671" s="76"/>
      <c r="T671" s="76"/>
      <c r="U671" s="76"/>
      <c r="V671" s="76"/>
      <c r="W671" s="76"/>
      <c r="X671" s="76"/>
      <c r="Y671" s="76"/>
      <c r="Z671" s="76"/>
      <c r="AA671" s="76"/>
      <c r="AB671" s="76"/>
      <c r="AC671" s="76"/>
      <c r="AD671" s="76"/>
      <c r="AE671" s="76"/>
      <c r="AF671" s="76"/>
      <c r="AG671" s="76"/>
      <c r="AH671" s="76"/>
    </row>
    <row r="672" spans="1:34" hidden="1">
      <c r="A672" s="217" t="s">
        <v>208</v>
      </c>
      <c r="B672" s="182"/>
      <c r="C672" s="234">
        <v>0</v>
      </c>
      <c r="D672" s="313">
        <f>D653</f>
        <v>5.3710000000000004</v>
      </c>
      <c r="E672" s="236" t="s">
        <v>126</v>
      </c>
      <c r="F672" s="236">
        <f>ROUND(D672/100*$C672*$D$604,0)</f>
        <v>0</v>
      </c>
      <c r="G672" s="313">
        <f>G653</f>
        <v>5.6469999999999994</v>
      </c>
      <c r="H672" s="313"/>
      <c r="I672" s="236">
        <f t="shared" ref="I672:I673" si="103">ROUND(G672*C672,0)</f>
        <v>0</v>
      </c>
      <c r="J672" s="313">
        <f>J653</f>
        <v>6.3440000000000003</v>
      </c>
      <c r="K672" s="236" t="s">
        <v>126</v>
      </c>
      <c r="L672" s="236">
        <f>ROUND(J672/100*$C672*$D$604,0)</f>
        <v>0</v>
      </c>
      <c r="N672" s="76"/>
      <c r="O672" s="76"/>
      <c r="P672" s="144"/>
      <c r="Q672" s="144"/>
      <c r="R672" s="76"/>
      <c r="S672" s="76"/>
      <c r="T672" s="76"/>
      <c r="U672" s="76"/>
      <c r="V672" s="76"/>
      <c r="W672" s="76"/>
      <c r="X672" s="76"/>
      <c r="Y672" s="76"/>
      <c r="Z672" s="76"/>
      <c r="AA672" s="76"/>
      <c r="AB672" s="76"/>
      <c r="AC672" s="76"/>
      <c r="AD672" s="76"/>
      <c r="AE672" s="76"/>
      <c r="AF672" s="76"/>
      <c r="AG672" s="76"/>
      <c r="AH672" s="76"/>
    </row>
    <row r="673" spans="1:34" hidden="1">
      <c r="A673" s="238" t="s">
        <v>150</v>
      </c>
      <c r="B673" s="182"/>
      <c r="C673" s="234">
        <v>0</v>
      </c>
      <c r="D673" s="294">
        <f>D654</f>
        <v>45</v>
      </c>
      <c r="E673" s="236" t="s">
        <v>126</v>
      </c>
      <c r="F673" s="236">
        <f>ROUND(D673/100*$C673*$D$604,0)</f>
        <v>0</v>
      </c>
      <c r="G673" s="294">
        <f>G654</f>
        <v>50</v>
      </c>
      <c r="H673" s="294"/>
      <c r="I673" s="236">
        <f t="shared" si="103"/>
        <v>0</v>
      </c>
      <c r="J673" s="294">
        <f>J654</f>
        <v>55</v>
      </c>
      <c r="K673" s="238" t="s">
        <v>126</v>
      </c>
      <c r="L673" s="236">
        <f>ROUND(J673/100*$C673*$D$604,0)</f>
        <v>0</v>
      </c>
      <c r="N673" s="76"/>
      <c r="O673" s="76"/>
      <c r="P673" s="144"/>
      <c r="Q673" s="144"/>
      <c r="R673" s="76"/>
      <c r="S673" s="76"/>
      <c r="T673" s="76"/>
      <c r="U673" s="76"/>
      <c r="V673" s="76"/>
      <c r="W673" s="76"/>
      <c r="X673" s="76"/>
      <c r="Y673" s="76"/>
      <c r="Z673" s="76"/>
      <c r="AA673" s="76"/>
      <c r="AB673" s="76"/>
      <c r="AC673" s="76"/>
      <c r="AD673" s="76"/>
      <c r="AE673" s="76"/>
      <c r="AF673" s="76"/>
      <c r="AG673" s="76"/>
      <c r="AH673" s="76"/>
    </row>
    <row r="674" spans="1:34" hidden="1">
      <c r="A674" s="238" t="s">
        <v>187</v>
      </c>
      <c r="B674" s="182"/>
      <c r="C674" s="234">
        <v>0</v>
      </c>
      <c r="D674" s="204">
        <f>$D$623</f>
        <v>60</v>
      </c>
      <c r="E674" s="283" t="s">
        <v>0</v>
      </c>
      <c r="F674" s="236">
        <f>ROUND(D674*$C674,0)</f>
        <v>0</v>
      </c>
      <c r="G674" s="204">
        <f>$D$623</f>
        <v>60</v>
      </c>
      <c r="H674" s="204"/>
      <c r="I674" s="236">
        <f t="shared" ref="I674:I675" si="104">ROUND(G674/100*C674*$G$604,0)</f>
        <v>0</v>
      </c>
      <c r="J674" s="204">
        <f>$J$623</f>
        <v>60</v>
      </c>
      <c r="K674" s="182"/>
      <c r="L674" s="236">
        <f>ROUND(J674*$C674,0)</f>
        <v>0</v>
      </c>
      <c r="N674" s="76"/>
      <c r="O674" s="76"/>
      <c r="P674" s="144"/>
      <c r="Q674" s="144"/>
      <c r="R674" s="76"/>
      <c r="S674" s="76"/>
      <c r="T674" s="76"/>
      <c r="U674" s="76"/>
      <c r="V674" s="76"/>
      <c r="W674" s="76"/>
      <c r="X674" s="76"/>
      <c r="Y674" s="76"/>
      <c r="Z674" s="76"/>
      <c r="AA674" s="76"/>
      <c r="AB674" s="76"/>
      <c r="AC674" s="76"/>
      <c r="AD674" s="76"/>
      <c r="AE674" s="76"/>
      <c r="AF674" s="76"/>
      <c r="AG674" s="76"/>
      <c r="AH674" s="76"/>
    </row>
    <row r="675" spans="1:34" hidden="1">
      <c r="A675" s="238" t="s">
        <v>188</v>
      </c>
      <c r="B675" s="182"/>
      <c r="C675" s="234">
        <v>0</v>
      </c>
      <c r="D675" s="253">
        <f>$D$624</f>
        <v>-30</v>
      </c>
      <c r="E675" s="236" t="s">
        <v>126</v>
      </c>
      <c r="F675" s="236">
        <f>ROUND(D675*$C675,0)</f>
        <v>0</v>
      </c>
      <c r="G675" s="253">
        <f>$D$624</f>
        <v>-30</v>
      </c>
      <c r="H675" s="253"/>
      <c r="I675" s="236">
        <f t="shared" si="104"/>
        <v>0</v>
      </c>
      <c r="J675" s="253">
        <f>$J$624</f>
        <v>-30</v>
      </c>
      <c r="K675" s="236" t="s">
        <v>126</v>
      </c>
      <c r="L675" s="236">
        <f>ROUND(J675*$C675,0)</f>
        <v>0</v>
      </c>
      <c r="N675" s="76"/>
      <c r="O675" s="76"/>
      <c r="P675" s="144"/>
      <c r="Q675" s="144"/>
      <c r="R675" s="76"/>
      <c r="S675" s="76"/>
      <c r="T675" s="76"/>
      <c r="U675" s="76"/>
      <c r="V675" s="76"/>
      <c r="W675" s="76"/>
      <c r="X675" s="76"/>
      <c r="Y675" s="76"/>
      <c r="Z675" s="76"/>
      <c r="AA675" s="76"/>
      <c r="AB675" s="76"/>
      <c r="AC675" s="76"/>
      <c r="AD675" s="76"/>
      <c r="AE675" s="76"/>
      <c r="AF675" s="76"/>
      <c r="AG675" s="76"/>
      <c r="AH675" s="76"/>
    </row>
    <row r="676" spans="1:34" hidden="1">
      <c r="A676" s="182" t="s">
        <v>131</v>
      </c>
      <c r="B676" s="182"/>
      <c r="C676" s="234">
        <f>SUM(C653:C653)</f>
        <v>143920571</v>
      </c>
      <c r="D676" s="244"/>
      <c r="E676" s="164"/>
      <c r="F676" s="164">
        <f>SUM(F633:F675)</f>
        <v>9456548</v>
      </c>
      <c r="G676" s="244"/>
      <c r="H676" s="244"/>
      <c r="I676" s="164">
        <f>SUM(I633:I675)</f>
        <v>9947064</v>
      </c>
      <c r="J676" s="244"/>
      <c r="K676" s="238"/>
      <c r="L676" s="164">
        <f>SUM(L633:L675)</f>
        <v>11175389</v>
      </c>
      <c r="N676" s="76"/>
      <c r="O676" s="76"/>
      <c r="P676" s="144"/>
      <c r="Q676" s="144"/>
      <c r="R676" s="76"/>
      <c r="S676" s="76"/>
      <c r="T676" s="76"/>
      <c r="U676" s="76"/>
      <c r="V676" s="76"/>
      <c r="W676" s="76"/>
      <c r="X676" s="76"/>
      <c r="Y676" s="76"/>
      <c r="Z676" s="76"/>
      <c r="AA676" s="76"/>
      <c r="AB676" s="76"/>
      <c r="AC676" s="76"/>
      <c r="AD676" s="76"/>
      <c r="AE676" s="76"/>
      <c r="AF676" s="76"/>
      <c r="AG676" s="76"/>
      <c r="AH676" s="76"/>
    </row>
    <row r="677" spans="1:34" hidden="1">
      <c r="A677" s="182" t="s">
        <v>114</v>
      </c>
      <c r="B677" s="182"/>
      <c r="C677" s="270">
        <v>48679.23045602168</v>
      </c>
      <c r="D677" s="217"/>
      <c r="E677" s="217"/>
      <c r="F677" s="218">
        <v>2564.1791713331781</v>
      </c>
      <c r="G677" s="217"/>
      <c r="H677" s="217"/>
      <c r="I677" s="218">
        <f>F677</f>
        <v>2564.1791713331781</v>
      </c>
      <c r="J677" s="217"/>
      <c r="K677" s="217"/>
      <c r="L677" s="218">
        <f>F677</f>
        <v>2564.1791713331781</v>
      </c>
      <c r="N677" s="196"/>
      <c r="O677" s="196"/>
      <c r="P677" s="194"/>
      <c r="Q677" s="144"/>
      <c r="R677" s="76"/>
      <c r="S677" s="76"/>
      <c r="T677" s="76"/>
      <c r="U677" s="76"/>
      <c r="V677" s="76"/>
      <c r="W677" s="76"/>
      <c r="X677" s="76"/>
      <c r="Y677" s="76"/>
      <c r="Z677" s="76"/>
      <c r="AA677" s="76"/>
      <c r="AB677" s="76"/>
      <c r="AC677" s="76"/>
      <c r="AD677" s="76"/>
      <c r="AE677" s="76"/>
      <c r="AF677" s="76"/>
      <c r="AG677" s="76"/>
      <c r="AH677" s="76"/>
    </row>
    <row r="678" spans="1:34" ht="16.5" hidden="1" thickBot="1">
      <c r="A678" s="182" t="s">
        <v>132</v>
      </c>
      <c r="B678" s="182"/>
      <c r="C678" s="284">
        <f>SUM(C676:C677)</f>
        <v>143969250.23045602</v>
      </c>
      <c r="D678" s="258"/>
      <c r="E678" s="259"/>
      <c r="F678" s="260">
        <f>F676+F677</f>
        <v>9459112.1791713331</v>
      </c>
      <c r="G678" s="258"/>
      <c r="H678" s="258"/>
      <c r="I678" s="260">
        <f>I676+I677</f>
        <v>9949628.1791713331</v>
      </c>
      <c r="J678" s="258"/>
      <c r="K678" s="262"/>
      <c r="L678" s="260">
        <f>L676+L677</f>
        <v>11177953.179171333</v>
      </c>
      <c r="N678" s="197"/>
      <c r="O678" s="197"/>
      <c r="P678" s="198"/>
      <c r="Q678" s="144"/>
      <c r="R678" s="76"/>
      <c r="S678" s="76"/>
      <c r="T678" s="76"/>
      <c r="U678" s="76"/>
      <c r="V678" s="76"/>
      <c r="W678" s="76"/>
      <c r="X678" s="76"/>
      <c r="Y678" s="76"/>
      <c r="Z678" s="76"/>
      <c r="AA678" s="76"/>
      <c r="AB678" s="76"/>
      <c r="AC678" s="76"/>
      <c r="AD678" s="76"/>
      <c r="AE678" s="76"/>
      <c r="AF678" s="76"/>
      <c r="AG678" s="76"/>
      <c r="AH678" s="76"/>
    </row>
    <row r="679" spans="1:34" hidden="1">
      <c r="A679" s="182"/>
      <c r="B679" s="182"/>
      <c r="C679" s="314"/>
      <c r="D679" s="272"/>
      <c r="E679" s="273"/>
      <c r="F679" s="237"/>
      <c r="G679" s="272"/>
      <c r="H679" s="272"/>
      <c r="I679" s="237"/>
      <c r="J679" s="315" t="s">
        <v>0</v>
      </c>
      <c r="K679" s="274"/>
      <c r="L679" s="174" t="s">
        <v>0</v>
      </c>
      <c r="N679" s="76"/>
      <c r="O679" s="76"/>
      <c r="P679" s="144"/>
      <c r="Q679" s="144"/>
      <c r="R679" s="76"/>
      <c r="S679" s="76"/>
      <c r="T679" s="76"/>
      <c r="U679" s="76"/>
      <c r="V679" s="76"/>
      <c r="W679" s="76"/>
      <c r="X679" s="76"/>
      <c r="Y679" s="76"/>
      <c r="Z679" s="76"/>
      <c r="AA679" s="76"/>
      <c r="AB679" s="76"/>
      <c r="AC679" s="76"/>
      <c r="AD679" s="76"/>
      <c r="AE679" s="76"/>
      <c r="AF679" s="76"/>
      <c r="AG679" s="76"/>
      <c r="AH679" s="76"/>
    </row>
    <row r="680" spans="1:34" hidden="1">
      <c r="A680" s="199" t="s">
        <v>211</v>
      </c>
      <c r="B680" s="182"/>
      <c r="C680" s="200"/>
      <c r="D680" s="252"/>
      <c r="E680" s="164"/>
      <c r="F680" s="164"/>
      <c r="G680" s="252"/>
      <c r="H680" s="252"/>
      <c r="I680" s="164"/>
      <c r="J680" s="252"/>
      <c r="K680" s="182"/>
      <c r="L680" s="164"/>
      <c r="N680" s="76"/>
      <c r="O680" s="76"/>
      <c r="P680" s="144"/>
      <c r="Q680" s="144"/>
      <c r="R680" s="76"/>
      <c r="S680" s="76"/>
      <c r="T680" s="76"/>
      <c r="U680" s="76"/>
      <c r="V680" s="76"/>
      <c r="W680" s="76"/>
      <c r="X680" s="76"/>
      <c r="Y680" s="76"/>
      <c r="Z680" s="76"/>
      <c r="AA680" s="76"/>
      <c r="AB680" s="76"/>
      <c r="AC680" s="76"/>
      <c r="AD680" s="76"/>
      <c r="AE680" s="76"/>
      <c r="AF680" s="76"/>
      <c r="AG680" s="76"/>
      <c r="AH680" s="76"/>
    </row>
    <row r="681" spans="1:34" hidden="1">
      <c r="A681" s="217" t="s">
        <v>212</v>
      </c>
      <c r="B681" s="182"/>
      <c r="C681" s="200"/>
      <c r="D681" s="252"/>
      <c r="E681" s="164"/>
      <c r="F681" s="164"/>
      <c r="G681" s="252"/>
      <c r="H681" s="252"/>
      <c r="I681" s="164"/>
      <c r="J681" s="252"/>
      <c r="K681" s="182"/>
      <c r="L681" s="164"/>
      <c r="N681" s="76"/>
      <c r="O681" s="76"/>
      <c r="P681" s="144"/>
      <c r="Q681" s="144"/>
      <c r="R681" s="76"/>
      <c r="S681" s="76"/>
      <c r="T681" s="76"/>
      <c r="U681" s="76"/>
      <c r="V681" s="76"/>
      <c r="W681" s="76"/>
      <c r="X681" s="76"/>
      <c r="Y681" s="76"/>
      <c r="Z681" s="76"/>
      <c r="AA681" s="76"/>
      <c r="AB681" s="76"/>
      <c r="AC681" s="76"/>
      <c r="AD681" s="76"/>
      <c r="AE681" s="76"/>
      <c r="AF681" s="76"/>
      <c r="AG681" s="76"/>
      <c r="AH681" s="76"/>
    </row>
    <row r="682" spans="1:34" hidden="1">
      <c r="A682" s="238"/>
      <c r="B682" s="182"/>
      <c r="C682" s="200"/>
      <c r="D682" s="252"/>
      <c r="E682" s="164"/>
      <c r="F682" s="304"/>
      <c r="G682" s="252"/>
      <c r="H682" s="252"/>
      <c r="I682" s="304"/>
      <c r="J682" s="252"/>
      <c r="K682" s="182"/>
      <c r="L682" s="305"/>
      <c r="N682" s="76"/>
      <c r="O682" s="76"/>
      <c r="P682" s="144"/>
      <c r="Q682" s="144"/>
      <c r="R682" s="76"/>
      <c r="S682" s="76"/>
      <c r="T682" s="76"/>
      <c r="U682" s="76"/>
      <c r="V682" s="76"/>
      <c r="W682" s="76"/>
      <c r="X682" s="76"/>
      <c r="Y682" s="76"/>
      <c r="Z682" s="76"/>
      <c r="AA682" s="76"/>
      <c r="AB682" s="76"/>
      <c r="AC682" s="76"/>
      <c r="AD682" s="76"/>
      <c r="AE682" s="76"/>
      <c r="AF682" s="76"/>
      <c r="AG682" s="76"/>
      <c r="AH682" s="76"/>
    </row>
    <row r="683" spans="1:34" hidden="1">
      <c r="A683" s="217" t="s">
        <v>193</v>
      </c>
      <c r="B683" s="182"/>
      <c r="C683" s="234"/>
      <c r="D683" s="164" t="s">
        <v>0</v>
      </c>
      <c r="E683" s="164"/>
      <c r="F683" s="182"/>
      <c r="G683" s="164" t="s">
        <v>0</v>
      </c>
      <c r="H683" s="164"/>
      <c r="I683" s="182"/>
      <c r="J683" s="164" t="s">
        <v>0</v>
      </c>
      <c r="K683" s="182"/>
      <c r="L683" s="182"/>
      <c r="N683" s="76"/>
      <c r="O683" s="76"/>
      <c r="P683" s="144"/>
      <c r="Q683" s="144"/>
      <c r="R683" s="76"/>
      <c r="S683" s="76"/>
      <c r="T683" s="76"/>
      <c r="U683" s="76"/>
      <c r="V683" s="76"/>
      <c r="W683" s="76"/>
      <c r="X683" s="76"/>
      <c r="Y683" s="76"/>
      <c r="Z683" s="76"/>
      <c r="AA683" s="76"/>
      <c r="AB683" s="76"/>
      <c r="AC683" s="76"/>
      <c r="AD683" s="76"/>
      <c r="AE683" s="76"/>
      <c r="AF683" s="76"/>
      <c r="AG683" s="76"/>
      <c r="AH683" s="76"/>
    </row>
    <row r="684" spans="1:34" hidden="1">
      <c r="A684" s="217" t="s">
        <v>194</v>
      </c>
      <c r="B684" s="182"/>
      <c r="C684" s="234">
        <v>179</v>
      </c>
      <c r="D684" s="252">
        <f>$D$582</f>
        <v>0</v>
      </c>
      <c r="E684" s="239"/>
      <c r="F684" s="236">
        <f>ROUND(D684*$C684,0)</f>
        <v>0</v>
      </c>
      <c r="G684" s="252">
        <f>$G$582</f>
        <v>0</v>
      </c>
      <c r="H684" s="252"/>
      <c r="I684" s="236">
        <f>ROUND(G684*C684,0)</f>
        <v>0</v>
      </c>
      <c r="J684" s="252">
        <f>$J$582</f>
        <v>0</v>
      </c>
      <c r="K684" s="239"/>
      <c r="L684" s="236">
        <f>ROUND(J684*$C684,0)</f>
        <v>0</v>
      </c>
      <c r="N684" s="76"/>
      <c r="O684" s="76"/>
      <c r="P684" s="144"/>
      <c r="Q684" s="144"/>
      <c r="R684" s="76"/>
      <c r="S684" s="76"/>
      <c r="T684" s="76"/>
      <c r="U684" s="76"/>
      <c r="V684" s="76"/>
      <c r="W684" s="76"/>
      <c r="X684" s="76"/>
      <c r="Y684" s="76"/>
      <c r="Z684" s="76"/>
      <c r="AA684" s="76"/>
      <c r="AB684" s="76"/>
      <c r="AC684" s="76"/>
      <c r="AD684" s="76"/>
      <c r="AE684" s="76"/>
      <c r="AF684" s="76"/>
      <c r="AG684" s="76"/>
      <c r="AH684" s="76"/>
    </row>
    <row r="685" spans="1:34" hidden="1">
      <c r="A685" s="217" t="s">
        <v>195</v>
      </c>
      <c r="B685" s="182"/>
      <c r="C685" s="234"/>
      <c r="D685" s="252"/>
      <c r="E685" s="239"/>
      <c r="F685" s="236"/>
      <c r="G685" s="252"/>
      <c r="H685" s="252"/>
      <c r="I685" s="236"/>
      <c r="J685" s="252"/>
      <c r="K685" s="239"/>
      <c r="L685" s="236"/>
      <c r="N685" s="76"/>
      <c r="O685" s="76"/>
      <c r="P685" s="144"/>
      <c r="Q685" s="144"/>
      <c r="R685" s="76"/>
      <c r="S685" s="76"/>
      <c r="T685" s="76"/>
      <c r="U685" s="76"/>
      <c r="V685" s="76"/>
      <c r="W685" s="76"/>
      <c r="X685" s="76"/>
      <c r="Y685" s="76"/>
      <c r="Z685" s="76"/>
      <c r="AA685" s="76"/>
      <c r="AB685" s="76"/>
      <c r="AC685" s="76"/>
      <c r="AD685" s="76"/>
      <c r="AE685" s="76"/>
      <c r="AF685" s="76"/>
      <c r="AG685" s="76"/>
      <c r="AH685" s="76"/>
    </row>
    <row r="686" spans="1:34" hidden="1">
      <c r="A686" s="217" t="s">
        <v>196</v>
      </c>
      <c r="B686" s="182"/>
      <c r="C686" s="234">
        <f>1+456</f>
        <v>457</v>
      </c>
      <c r="D686" s="252">
        <f>$D$584</f>
        <v>0</v>
      </c>
      <c r="E686" s="239"/>
      <c r="F686" s="236">
        <f>ROUND(D686*$C686,0)</f>
        <v>0</v>
      </c>
      <c r="G686" s="252">
        <f>$G$584</f>
        <v>0</v>
      </c>
      <c r="H686" s="252"/>
      <c r="I686" s="236">
        <f t="shared" ref="I686:I688" si="105">ROUND(G686*C686,0)</f>
        <v>0</v>
      </c>
      <c r="J686" s="252">
        <f>$J$584</f>
        <v>0</v>
      </c>
      <c r="K686" s="239"/>
      <c r="L686" s="236">
        <f>ROUND(J686*$C686,0)</f>
        <v>0</v>
      </c>
      <c r="N686" s="76"/>
      <c r="O686" s="76"/>
      <c r="P686" s="144"/>
      <c r="Q686" s="144"/>
      <c r="R686" s="76"/>
      <c r="S686" s="76"/>
      <c r="T686" s="76"/>
      <c r="U686" s="76"/>
      <c r="V686" s="76"/>
      <c r="W686" s="76"/>
      <c r="X686" s="76"/>
      <c r="Y686" s="76"/>
      <c r="Z686" s="76"/>
      <c r="AA686" s="76"/>
      <c r="AB686" s="76"/>
      <c r="AC686" s="76"/>
      <c r="AD686" s="76"/>
      <c r="AE686" s="76"/>
      <c r="AF686" s="76"/>
      <c r="AG686" s="76"/>
      <c r="AH686" s="76"/>
    </row>
    <row r="687" spans="1:34" hidden="1">
      <c r="A687" s="217" t="s">
        <v>197</v>
      </c>
      <c r="B687" s="182"/>
      <c r="C687" s="234">
        <f>55</f>
        <v>55</v>
      </c>
      <c r="D687" s="252">
        <f>$D$585</f>
        <v>301</v>
      </c>
      <c r="E687" s="239"/>
      <c r="F687" s="236">
        <f>ROUND(D687*$C687,0)</f>
        <v>16555</v>
      </c>
      <c r="G687" s="252">
        <f>$G$585</f>
        <v>312</v>
      </c>
      <c r="H687" s="252"/>
      <c r="I687" s="236">
        <f t="shared" si="105"/>
        <v>17160</v>
      </c>
      <c r="J687" s="252">
        <f>$J$585</f>
        <v>352</v>
      </c>
      <c r="K687" s="239"/>
      <c r="L687" s="236">
        <f>ROUND(J687*$C687,0)</f>
        <v>19360</v>
      </c>
      <c r="N687" s="76"/>
      <c r="O687" s="76"/>
      <c r="P687" s="144"/>
      <c r="Q687" s="144"/>
      <c r="R687" s="76"/>
      <c r="S687" s="76"/>
      <c r="T687" s="76"/>
      <c r="U687" s="76"/>
      <c r="V687" s="76"/>
      <c r="W687" s="76"/>
      <c r="X687" s="76"/>
      <c r="Y687" s="76"/>
      <c r="Z687" s="76"/>
      <c r="AA687" s="76"/>
      <c r="AB687" s="76"/>
      <c r="AC687" s="76"/>
      <c r="AD687" s="76"/>
      <c r="AE687" s="76"/>
      <c r="AF687" s="76"/>
      <c r="AG687" s="76"/>
      <c r="AH687" s="76"/>
    </row>
    <row r="688" spans="1:34" hidden="1">
      <c r="A688" s="217" t="s">
        <v>198</v>
      </c>
      <c r="B688" s="182"/>
      <c r="C688" s="234">
        <f>3</f>
        <v>3</v>
      </c>
      <c r="D688" s="252">
        <f>$D$586</f>
        <v>1215</v>
      </c>
      <c r="E688" s="239"/>
      <c r="F688" s="236">
        <f>ROUND(D688*$C688,0)</f>
        <v>3645</v>
      </c>
      <c r="G688" s="252">
        <f>$G$586</f>
        <v>1268</v>
      </c>
      <c r="H688" s="252"/>
      <c r="I688" s="236">
        <f t="shared" si="105"/>
        <v>3804</v>
      </c>
      <c r="J688" s="252">
        <f>$J$586</f>
        <v>1435</v>
      </c>
      <c r="K688" s="239"/>
      <c r="L688" s="236">
        <f>ROUND(J688*$C688,0)</f>
        <v>4305</v>
      </c>
      <c r="N688" s="76"/>
      <c r="O688" s="76"/>
      <c r="P688" s="144"/>
      <c r="Q688" s="144"/>
      <c r="R688" s="76"/>
      <c r="S688" s="76"/>
      <c r="T688" s="76"/>
      <c r="U688" s="76"/>
      <c r="V688" s="76"/>
      <c r="W688" s="76"/>
      <c r="X688" s="76"/>
      <c r="Y688" s="76"/>
      <c r="Z688" s="76"/>
      <c r="AA688" s="76"/>
      <c r="AB688" s="76"/>
      <c r="AC688" s="76"/>
      <c r="AD688" s="76"/>
      <c r="AE688" s="76"/>
      <c r="AF688" s="76"/>
      <c r="AG688" s="76"/>
      <c r="AH688" s="76"/>
    </row>
    <row r="689" spans="1:34" hidden="1">
      <c r="A689" s="217" t="s">
        <v>111</v>
      </c>
      <c r="B689" s="182"/>
      <c r="C689" s="234">
        <f>SUM(C684:C688)</f>
        <v>694</v>
      </c>
      <c r="D689" s="252"/>
      <c r="E689" s="239"/>
      <c r="F689" s="236"/>
      <c r="G689" s="252"/>
      <c r="H689" s="252"/>
      <c r="I689" s="236"/>
      <c r="J689" s="252"/>
      <c r="K689" s="239"/>
      <c r="L689" s="236"/>
      <c r="N689" s="76"/>
      <c r="O689" s="76"/>
      <c r="P689" s="144"/>
      <c r="Q689" s="144"/>
      <c r="R689" s="76"/>
      <c r="S689" s="76"/>
      <c r="T689" s="76"/>
      <c r="U689" s="76"/>
      <c r="V689" s="76"/>
      <c r="W689" s="76"/>
      <c r="X689" s="76"/>
      <c r="Y689" s="76"/>
      <c r="Z689" s="76"/>
      <c r="AA689" s="76"/>
      <c r="AB689" s="76"/>
      <c r="AC689" s="76"/>
      <c r="AD689" s="76"/>
      <c r="AE689" s="76"/>
      <c r="AF689" s="76"/>
      <c r="AG689" s="76"/>
      <c r="AH689" s="76"/>
    </row>
    <row r="690" spans="1:34" hidden="1">
      <c r="A690" s="217" t="s">
        <v>199</v>
      </c>
      <c r="B690" s="182"/>
      <c r="C690" s="234">
        <f>4+1+6+1291+3332+445+26</f>
        <v>5105</v>
      </c>
      <c r="D690" s="252"/>
      <c r="E690" s="236"/>
      <c r="F690" s="236"/>
      <c r="G690" s="252"/>
      <c r="H690" s="252"/>
      <c r="I690" s="236"/>
      <c r="J690" s="252"/>
      <c r="K690" s="236"/>
      <c r="L690" s="236"/>
      <c r="N690" s="76"/>
      <c r="O690" s="76"/>
      <c r="P690" s="144"/>
      <c r="Q690" s="144"/>
      <c r="R690" s="76"/>
      <c r="S690" s="76"/>
      <c r="T690" s="76"/>
      <c r="U690" s="76"/>
      <c r="V690" s="76"/>
      <c r="W690" s="76"/>
      <c r="X690" s="76"/>
      <c r="Y690" s="76"/>
      <c r="Z690" s="76"/>
      <c r="AA690" s="76"/>
      <c r="AB690" s="76"/>
      <c r="AC690" s="76"/>
      <c r="AD690" s="76"/>
      <c r="AE690" s="76"/>
      <c r="AF690" s="76"/>
      <c r="AG690" s="76"/>
      <c r="AH690" s="76"/>
    </row>
    <row r="691" spans="1:34" hidden="1">
      <c r="A691" s="217" t="s">
        <v>200</v>
      </c>
      <c r="B691" s="182"/>
      <c r="C691" s="234">
        <f>1+1+1+191+492+62+3</f>
        <v>751</v>
      </c>
      <c r="D691" s="252"/>
      <c r="E691" s="236"/>
      <c r="F691" s="236"/>
      <c r="G691" s="252"/>
      <c r="H691" s="252"/>
      <c r="I691" s="236"/>
      <c r="J691" s="252"/>
      <c r="K691" s="236"/>
      <c r="L691" s="236"/>
      <c r="N691" s="76"/>
      <c r="O691" s="76"/>
      <c r="P691" s="144"/>
      <c r="Q691" s="144"/>
      <c r="R691" s="76"/>
      <c r="S691" s="76"/>
      <c r="T691" s="76"/>
      <c r="U691" s="76"/>
      <c r="V691" s="76"/>
      <c r="W691" s="76"/>
      <c r="X691" s="76"/>
      <c r="Y691" s="76"/>
      <c r="Z691" s="76"/>
      <c r="AA691" s="76"/>
      <c r="AB691" s="76"/>
      <c r="AC691" s="76"/>
      <c r="AD691" s="76"/>
      <c r="AE691" s="76"/>
      <c r="AF691" s="76"/>
      <c r="AG691" s="76"/>
      <c r="AH691" s="76"/>
    </row>
    <row r="692" spans="1:34" hidden="1">
      <c r="A692" s="217" t="s">
        <v>201</v>
      </c>
      <c r="B692" s="182"/>
      <c r="C692" s="234"/>
      <c r="D692" s="252"/>
      <c r="E692" s="239"/>
      <c r="F692" s="236"/>
      <c r="G692" s="252"/>
      <c r="H692" s="252"/>
      <c r="I692" s="236"/>
      <c r="J692" s="252"/>
      <c r="K692" s="239"/>
      <c r="L692" s="236"/>
      <c r="N692" s="76"/>
      <c r="O692" s="76"/>
      <c r="P692" s="144"/>
      <c r="Q692" s="144"/>
      <c r="R692" s="76"/>
      <c r="S692" s="76"/>
      <c r="T692" s="76"/>
      <c r="U692" s="76"/>
      <c r="V692" s="76"/>
      <c r="W692" s="76"/>
      <c r="X692" s="76"/>
      <c r="Y692" s="76"/>
      <c r="Z692" s="76"/>
      <c r="AA692" s="76"/>
      <c r="AB692" s="76"/>
      <c r="AC692" s="76"/>
      <c r="AD692" s="76"/>
      <c r="AE692" s="76"/>
      <c r="AF692" s="76"/>
      <c r="AG692" s="76"/>
      <c r="AH692" s="76"/>
    </row>
    <row r="693" spans="1:34" hidden="1">
      <c r="A693" s="217" t="s">
        <v>202</v>
      </c>
      <c r="B693" s="182"/>
      <c r="C693" s="234">
        <v>824</v>
      </c>
      <c r="D693" s="252">
        <f>$D$591</f>
        <v>19.87</v>
      </c>
      <c r="E693" s="239"/>
      <c r="F693" s="236">
        <f>ROUND(D693*$C693,0)</f>
        <v>16373</v>
      </c>
      <c r="G693" s="252">
        <f>$G$591</f>
        <v>20.86</v>
      </c>
      <c r="H693" s="252"/>
      <c r="I693" s="236">
        <f>ROUND(G693*C693,0)</f>
        <v>17189</v>
      </c>
      <c r="J693" s="252">
        <f>$J$591</f>
        <v>23.44</v>
      </c>
      <c r="K693" s="239"/>
      <c r="L693" s="236">
        <f>ROUND(J693*$C693,0)</f>
        <v>19315</v>
      </c>
      <c r="N693" s="76"/>
      <c r="O693" s="76"/>
      <c r="P693" s="144"/>
      <c r="Q693" s="144"/>
      <c r="R693" s="76"/>
      <c r="S693" s="76"/>
      <c r="T693" s="76"/>
      <c r="U693" s="76"/>
      <c r="V693" s="76"/>
      <c r="W693" s="76"/>
      <c r="X693" s="76"/>
      <c r="Y693" s="76"/>
      <c r="Z693" s="76"/>
      <c r="AA693" s="76"/>
      <c r="AB693" s="76"/>
      <c r="AC693" s="76"/>
      <c r="AD693" s="76"/>
      <c r="AE693" s="76"/>
      <c r="AF693" s="76"/>
      <c r="AG693" s="76"/>
      <c r="AH693" s="76"/>
    </row>
    <row r="694" spans="1:34" hidden="1">
      <c r="A694" s="217" t="s">
        <v>203</v>
      </c>
      <c r="B694" s="182"/>
      <c r="C694" s="234"/>
      <c r="D694" s="252"/>
      <c r="E694" s="239"/>
      <c r="F694" s="236"/>
      <c r="G694" s="252"/>
      <c r="H694" s="252"/>
      <c r="I694" s="236"/>
      <c r="J694" s="252"/>
      <c r="K694" s="239"/>
      <c r="L694" s="236"/>
      <c r="N694" s="76"/>
      <c r="O694" s="76"/>
      <c r="P694" s="144"/>
      <c r="Q694" s="144"/>
      <c r="R694" s="76"/>
      <c r="S694" s="76"/>
      <c r="T694" s="76"/>
      <c r="U694" s="76"/>
      <c r="V694" s="76"/>
      <c r="W694" s="76"/>
      <c r="X694" s="76"/>
      <c r="Y694" s="76"/>
      <c r="Z694" s="76"/>
      <c r="AA694" s="76"/>
      <c r="AB694" s="76"/>
      <c r="AC694" s="76"/>
      <c r="AD694" s="76"/>
      <c r="AE694" s="76"/>
      <c r="AF694" s="76"/>
      <c r="AG694" s="76"/>
      <c r="AH694" s="76"/>
    </row>
    <row r="695" spans="1:34" hidden="1">
      <c r="A695" s="217" t="s">
        <v>196</v>
      </c>
      <c r="B695" s="182"/>
      <c r="C695" s="234">
        <f>7207+39</f>
        <v>7246</v>
      </c>
      <c r="D695" s="252">
        <f>$D$593</f>
        <v>19.87</v>
      </c>
      <c r="E695" s="239"/>
      <c r="F695" s="236">
        <f>ROUND(D695*$C695,0)</f>
        <v>143978</v>
      </c>
      <c r="G695" s="252">
        <f>$G$593</f>
        <v>20.860000000000003</v>
      </c>
      <c r="H695" s="252"/>
      <c r="I695" s="236">
        <f t="shared" ref="I695:I699" si="106">ROUND(G695*C695,0)</f>
        <v>151152</v>
      </c>
      <c r="J695" s="252">
        <f>$J$593</f>
        <v>23.44</v>
      </c>
      <c r="K695" s="239"/>
      <c r="L695" s="236">
        <f>ROUND(J695*$C695,0)</f>
        <v>169846</v>
      </c>
      <c r="N695" s="76"/>
      <c r="O695" s="76"/>
      <c r="P695" s="144"/>
      <c r="Q695" s="144"/>
      <c r="R695" s="76"/>
      <c r="S695" s="76"/>
      <c r="T695" s="76"/>
      <c r="U695" s="76"/>
      <c r="V695" s="76"/>
      <c r="W695" s="76"/>
      <c r="X695" s="76"/>
      <c r="Y695" s="76"/>
      <c r="Z695" s="76"/>
      <c r="AA695" s="76"/>
      <c r="AB695" s="76"/>
      <c r="AC695" s="76"/>
      <c r="AD695" s="76"/>
      <c r="AE695" s="76"/>
      <c r="AF695" s="76"/>
      <c r="AG695" s="76"/>
      <c r="AH695" s="76"/>
    </row>
    <row r="696" spans="1:34" hidden="1">
      <c r="A696" s="217" t="s">
        <v>197</v>
      </c>
      <c r="B696" s="182"/>
      <c r="C696" s="234">
        <f>5433</f>
        <v>5433</v>
      </c>
      <c r="D696" s="252">
        <f>$D$594</f>
        <v>13.64</v>
      </c>
      <c r="E696" s="239"/>
      <c r="F696" s="236">
        <f>ROUND(D696*$C696,0)</f>
        <v>74106</v>
      </c>
      <c r="G696" s="252">
        <f>$G$594</f>
        <v>14.53</v>
      </c>
      <c r="H696" s="252"/>
      <c r="I696" s="236">
        <f t="shared" si="106"/>
        <v>78941</v>
      </c>
      <c r="J696" s="252">
        <f>$J$594</f>
        <v>16.32</v>
      </c>
      <c r="K696" s="239"/>
      <c r="L696" s="236">
        <f>ROUND(J696*$C696,0)</f>
        <v>88667</v>
      </c>
      <c r="N696" s="76"/>
      <c r="O696" s="76"/>
      <c r="P696" s="144"/>
      <c r="Q696" s="144"/>
      <c r="R696" s="76"/>
      <c r="S696" s="76"/>
      <c r="T696" s="76"/>
      <c r="U696" s="76"/>
      <c r="V696" s="76"/>
      <c r="W696" s="76"/>
      <c r="X696" s="76"/>
      <c r="Y696" s="76"/>
      <c r="Z696" s="76"/>
      <c r="AA696" s="76"/>
      <c r="AB696" s="76"/>
      <c r="AC696" s="76"/>
      <c r="AD696" s="76"/>
      <c r="AE696" s="76"/>
      <c r="AF696" s="76"/>
      <c r="AG696" s="76"/>
      <c r="AH696" s="76"/>
    </row>
    <row r="697" spans="1:34" hidden="1">
      <c r="A697" s="217" t="s">
        <v>198</v>
      </c>
      <c r="B697" s="182"/>
      <c r="C697" s="234">
        <f>1289</f>
        <v>1289</v>
      </c>
      <c r="D697" s="252">
        <f>$D$595</f>
        <v>10.62</v>
      </c>
      <c r="E697" s="239"/>
      <c r="F697" s="236">
        <f>ROUND(D697*$C697,0)</f>
        <v>13689</v>
      </c>
      <c r="G697" s="252">
        <f>$G$595</f>
        <v>11.340000000000002</v>
      </c>
      <c r="H697" s="252"/>
      <c r="I697" s="236">
        <f t="shared" si="106"/>
        <v>14617</v>
      </c>
      <c r="J697" s="252">
        <f>$J$595</f>
        <v>12.77</v>
      </c>
      <c r="K697" s="239"/>
      <c r="L697" s="236">
        <f>ROUND(J697*$C697,0)</f>
        <v>16461</v>
      </c>
      <c r="N697" s="76"/>
      <c r="O697" s="76"/>
      <c r="P697" s="144"/>
      <c r="Q697" s="144"/>
      <c r="R697" s="76"/>
      <c r="S697" s="76"/>
      <c r="T697" s="76"/>
      <c r="U697" s="76"/>
      <c r="V697" s="76"/>
      <c r="W697" s="76"/>
      <c r="X697" s="76"/>
      <c r="Y697" s="76"/>
      <c r="Z697" s="76"/>
      <c r="AA697" s="76"/>
      <c r="AB697" s="76"/>
      <c r="AC697" s="76"/>
      <c r="AD697" s="76"/>
      <c r="AE697" s="76"/>
      <c r="AF697" s="76"/>
      <c r="AG697" s="76"/>
      <c r="AH697" s="76"/>
    </row>
    <row r="698" spans="1:34" hidden="1">
      <c r="A698" s="217" t="s">
        <v>204</v>
      </c>
      <c r="B698" s="182"/>
      <c r="C698" s="234">
        <v>82</v>
      </c>
      <c r="D698" s="252">
        <f>$D$596</f>
        <v>59.61</v>
      </c>
      <c r="E698" s="239"/>
      <c r="F698" s="236">
        <f>ROUND(D698*$C698,0)</f>
        <v>4888</v>
      </c>
      <c r="G698" s="252">
        <f>$G$596</f>
        <v>62.58</v>
      </c>
      <c r="H698" s="252"/>
      <c r="I698" s="236">
        <f t="shared" si="106"/>
        <v>5132</v>
      </c>
      <c r="J698" s="252">
        <f>$J$596</f>
        <v>70.320000000000007</v>
      </c>
      <c r="K698" s="239"/>
      <c r="L698" s="236">
        <f>ROUND(J698*$C698,0)</f>
        <v>5766</v>
      </c>
      <c r="N698" s="76"/>
      <c r="O698" s="76"/>
      <c r="P698" s="144"/>
      <c r="Q698" s="144"/>
      <c r="R698" s="76"/>
      <c r="S698" s="76"/>
      <c r="T698" s="76"/>
      <c r="U698" s="76"/>
      <c r="V698" s="76"/>
      <c r="W698" s="76"/>
      <c r="X698" s="76"/>
      <c r="Y698" s="76"/>
      <c r="Z698" s="76"/>
      <c r="AA698" s="76"/>
      <c r="AB698" s="76"/>
      <c r="AC698" s="76"/>
      <c r="AD698" s="76"/>
      <c r="AE698" s="76"/>
      <c r="AF698" s="76"/>
      <c r="AG698" s="76"/>
      <c r="AH698" s="76"/>
    </row>
    <row r="699" spans="1:34" hidden="1">
      <c r="A699" s="217" t="s">
        <v>205</v>
      </c>
      <c r="B699" s="182"/>
      <c r="C699" s="234">
        <v>101</v>
      </c>
      <c r="D699" s="252">
        <f>$D$597</f>
        <v>119.22</v>
      </c>
      <c r="E699" s="239"/>
      <c r="F699" s="236">
        <f>ROUND(D699*$C699,0)</f>
        <v>12041</v>
      </c>
      <c r="G699" s="252">
        <f>$G$597</f>
        <v>125.16000000000003</v>
      </c>
      <c r="H699" s="252"/>
      <c r="I699" s="236">
        <f t="shared" si="106"/>
        <v>12641</v>
      </c>
      <c r="J699" s="252">
        <f>$J$597</f>
        <v>140.64000000000001</v>
      </c>
      <c r="K699" s="239"/>
      <c r="L699" s="236">
        <f>ROUND(J699*$C699,0)</f>
        <v>14205</v>
      </c>
      <c r="N699" s="76"/>
      <c r="O699" s="76"/>
      <c r="P699" s="144"/>
      <c r="Q699" s="144"/>
      <c r="R699" s="76"/>
      <c r="S699" s="76"/>
      <c r="T699" s="76"/>
      <c r="U699" s="76"/>
      <c r="V699" s="76"/>
      <c r="W699" s="76"/>
      <c r="X699" s="76"/>
      <c r="Y699" s="76"/>
      <c r="Z699" s="76"/>
      <c r="AA699" s="76"/>
      <c r="AB699" s="76"/>
      <c r="AC699" s="76"/>
      <c r="AD699" s="76"/>
      <c r="AE699" s="76"/>
      <c r="AF699" s="76"/>
      <c r="AG699" s="76"/>
      <c r="AH699" s="76"/>
    </row>
    <row r="700" spans="1:34" hidden="1">
      <c r="A700" s="217" t="s">
        <v>206</v>
      </c>
      <c r="B700" s="182"/>
      <c r="C700" s="234"/>
      <c r="D700" s="252"/>
      <c r="E700" s="239"/>
      <c r="F700" s="236"/>
      <c r="G700" s="252"/>
      <c r="H700" s="252"/>
      <c r="I700" s="236"/>
      <c r="J700" s="252"/>
      <c r="K700" s="239"/>
      <c r="L700" s="236"/>
      <c r="N700" s="76"/>
      <c r="O700" s="76"/>
      <c r="P700" s="144"/>
      <c r="Q700" s="144"/>
      <c r="R700" s="76"/>
      <c r="S700" s="76"/>
      <c r="T700" s="76"/>
      <c r="U700" s="76"/>
      <c r="V700" s="76"/>
      <c r="W700" s="76"/>
      <c r="X700" s="76"/>
      <c r="Y700" s="76"/>
      <c r="Z700" s="76"/>
      <c r="AA700" s="76"/>
      <c r="AB700" s="76"/>
      <c r="AC700" s="76"/>
      <c r="AD700" s="76"/>
      <c r="AE700" s="76"/>
      <c r="AF700" s="76"/>
      <c r="AG700" s="76"/>
      <c r="AH700" s="76"/>
    </row>
    <row r="701" spans="1:34" hidden="1">
      <c r="A701" s="217" t="s">
        <v>202</v>
      </c>
      <c r="B701" s="182"/>
      <c r="C701" s="234">
        <v>9</v>
      </c>
      <c r="D701" s="275">
        <f>-D693</f>
        <v>-19.87</v>
      </c>
      <c r="E701" s="239"/>
      <c r="F701" s="236">
        <f>ROUND(D701*$C701,0)</f>
        <v>-179</v>
      </c>
      <c r="G701" s="275">
        <f>-G693</f>
        <v>-20.86</v>
      </c>
      <c r="H701" s="275"/>
      <c r="I701" s="236">
        <f t="shared" ref="I701:I702" si="107">ROUND(G701*C701,0)</f>
        <v>-188</v>
      </c>
      <c r="J701" s="275">
        <f>-J693</f>
        <v>-23.44</v>
      </c>
      <c r="K701" s="239"/>
      <c r="L701" s="236">
        <f>ROUND(J701*$C701,0)</f>
        <v>-211</v>
      </c>
      <c r="N701" s="76"/>
      <c r="O701" s="76"/>
      <c r="P701" s="144"/>
      <c r="Q701" s="144"/>
      <c r="R701" s="76"/>
      <c r="S701" s="76"/>
      <c r="T701" s="76"/>
      <c r="U701" s="76"/>
      <c r="V701" s="76"/>
      <c r="W701" s="76"/>
      <c r="X701" s="76"/>
      <c r="Y701" s="76"/>
      <c r="Z701" s="76"/>
      <c r="AA701" s="76"/>
      <c r="AB701" s="76"/>
      <c r="AC701" s="76"/>
      <c r="AD701" s="76"/>
      <c r="AE701" s="76"/>
      <c r="AF701" s="76"/>
      <c r="AG701" s="76"/>
      <c r="AH701" s="76"/>
    </row>
    <row r="702" spans="1:34" hidden="1">
      <c r="A702" s="217" t="s">
        <v>207</v>
      </c>
      <c r="B702" s="182"/>
      <c r="C702" s="234">
        <v>64</v>
      </c>
      <c r="D702" s="275">
        <f>-D695</f>
        <v>-19.87</v>
      </c>
      <c r="E702" s="239"/>
      <c r="F702" s="236">
        <f>ROUND(D702*$C702,0)</f>
        <v>-1272</v>
      </c>
      <c r="G702" s="275">
        <f>-G695</f>
        <v>-20.860000000000003</v>
      </c>
      <c r="H702" s="275"/>
      <c r="I702" s="236">
        <f t="shared" si="107"/>
        <v>-1335</v>
      </c>
      <c r="J702" s="275">
        <f>-J695</f>
        <v>-23.44</v>
      </c>
      <c r="K702" s="239"/>
      <c r="L702" s="236">
        <f>ROUND(J702*$C702,0)</f>
        <v>-1500</v>
      </c>
      <c r="N702" s="76"/>
      <c r="O702" s="76"/>
      <c r="P702" s="144"/>
      <c r="Q702" s="144"/>
      <c r="R702" s="76"/>
      <c r="S702" s="76"/>
      <c r="T702" s="76"/>
      <c r="U702" s="76"/>
      <c r="V702" s="76"/>
      <c r="W702" s="76"/>
      <c r="X702" s="76"/>
      <c r="Y702" s="76"/>
      <c r="Z702" s="76"/>
      <c r="AA702" s="76"/>
      <c r="AB702" s="76"/>
      <c r="AC702" s="76"/>
      <c r="AD702" s="76"/>
      <c r="AE702" s="76"/>
      <c r="AF702" s="76"/>
      <c r="AG702" s="76"/>
      <c r="AH702" s="76"/>
    </row>
    <row r="703" spans="1:34" hidden="1">
      <c r="A703" s="238" t="s">
        <v>174</v>
      </c>
      <c r="B703" s="182"/>
      <c r="C703" s="234"/>
      <c r="D703" s="252"/>
      <c r="E703" s="236"/>
      <c r="F703" s="236"/>
      <c r="G703" s="252"/>
      <c r="H703" s="252"/>
      <c r="I703" s="236"/>
      <c r="J703" s="252"/>
      <c r="K703" s="236"/>
      <c r="L703" s="236"/>
      <c r="N703" s="76"/>
      <c r="O703" s="76"/>
      <c r="P703" s="144"/>
      <c r="Q703" s="144"/>
      <c r="R703" s="76"/>
      <c r="S703" s="76"/>
      <c r="T703" s="76"/>
      <c r="U703" s="76"/>
      <c r="V703" s="76"/>
      <c r="W703" s="76"/>
      <c r="X703" s="76"/>
      <c r="Y703" s="76"/>
      <c r="Z703" s="76"/>
      <c r="AA703" s="76"/>
      <c r="AB703" s="76"/>
      <c r="AC703" s="76"/>
      <c r="AD703" s="76"/>
      <c r="AE703" s="76"/>
      <c r="AF703" s="76"/>
      <c r="AG703" s="76"/>
      <c r="AH703" s="76"/>
    </row>
    <row r="704" spans="1:34" hidden="1">
      <c r="A704" s="217" t="s">
        <v>208</v>
      </c>
      <c r="B704" s="182"/>
      <c r="C704" s="234">
        <f>23263+1310548+11798188+8292749+3175680</f>
        <v>24600428</v>
      </c>
      <c r="D704" s="316">
        <f>$D$602</f>
        <v>5.3710000000000004</v>
      </c>
      <c r="E704" s="236" t="s">
        <v>126</v>
      </c>
      <c r="F704" s="236">
        <f>ROUND(D704/100*$C704,0)</f>
        <v>1321289</v>
      </c>
      <c r="G704" s="316">
        <f>$G$602</f>
        <v>5.6469999999999994</v>
      </c>
      <c r="H704" s="316"/>
      <c r="I704" s="236">
        <f>ROUND(G704/100*C704,0)</f>
        <v>1389186</v>
      </c>
      <c r="J704" s="316">
        <f>$J$602</f>
        <v>6.3440000000000003</v>
      </c>
      <c r="K704" s="236" t="s">
        <v>126</v>
      </c>
      <c r="L704" s="236">
        <f>ROUND(J704/100*$C704,0)</f>
        <v>1560651</v>
      </c>
      <c r="N704" s="76"/>
      <c r="O704" s="76"/>
      <c r="P704" s="144"/>
      <c r="Q704" s="144"/>
      <c r="R704" s="76"/>
      <c r="S704" s="76"/>
      <c r="T704" s="76"/>
      <c r="U704" s="76"/>
      <c r="V704" s="76"/>
      <c r="W704" s="76"/>
      <c r="X704" s="76"/>
      <c r="Y704" s="76"/>
      <c r="Z704" s="76"/>
      <c r="AA704" s="76"/>
      <c r="AB704" s="76"/>
      <c r="AC704" s="76"/>
      <c r="AD704" s="76"/>
      <c r="AE704" s="76"/>
      <c r="AF704" s="76"/>
      <c r="AG704" s="76"/>
      <c r="AH704" s="76"/>
    </row>
    <row r="705" spans="1:34" hidden="1">
      <c r="A705" s="238" t="s">
        <v>150</v>
      </c>
      <c r="B705" s="182"/>
      <c r="C705" s="234">
        <f>352+3692+256</f>
        <v>4300</v>
      </c>
      <c r="D705" s="253">
        <f>$D$603</f>
        <v>45</v>
      </c>
      <c r="E705" s="238" t="s">
        <v>126</v>
      </c>
      <c r="F705" s="236">
        <f>ROUND(D705*$C705/100,0)</f>
        <v>1935</v>
      </c>
      <c r="G705" s="253">
        <f>$G$603</f>
        <v>50</v>
      </c>
      <c r="H705" s="253"/>
      <c r="I705" s="236">
        <f>ROUND(G705*C705/100,0)</f>
        <v>2150</v>
      </c>
      <c r="J705" s="253">
        <f>$J$603</f>
        <v>55</v>
      </c>
      <c r="K705" s="238" t="s">
        <v>126</v>
      </c>
      <c r="L705" s="236">
        <f>ROUND(J705*$C705/100,0)</f>
        <v>2365</v>
      </c>
      <c r="N705" s="76"/>
      <c r="O705" s="76"/>
      <c r="P705" s="144"/>
      <c r="Q705" s="144"/>
      <c r="R705" s="76"/>
      <c r="S705" s="76"/>
      <c r="T705" s="76"/>
      <c r="U705" s="76"/>
      <c r="V705" s="76"/>
      <c r="W705" s="76"/>
      <c r="X705" s="76"/>
      <c r="Y705" s="76"/>
      <c r="Z705" s="76"/>
      <c r="AA705" s="76"/>
      <c r="AB705" s="76"/>
      <c r="AC705" s="76"/>
      <c r="AD705" s="76"/>
      <c r="AE705" s="76"/>
      <c r="AF705" s="76"/>
      <c r="AG705" s="76"/>
      <c r="AH705" s="76"/>
    </row>
    <row r="706" spans="1:34" hidden="1">
      <c r="A706" s="280" t="s">
        <v>151</v>
      </c>
      <c r="B706" s="182"/>
      <c r="C706" s="234"/>
      <c r="D706" s="247">
        <v>-0.01</v>
      </c>
      <c r="E706" s="164"/>
      <c r="F706" s="236"/>
      <c r="G706" s="247">
        <v>-0.01</v>
      </c>
      <c r="H706" s="247"/>
      <c r="I706" s="236"/>
      <c r="J706" s="247">
        <v>-0.01</v>
      </c>
      <c r="K706" s="182"/>
      <c r="L706" s="236"/>
      <c r="N706" s="76"/>
      <c r="O706" s="76"/>
      <c r="P706" s="144"/>
      <c r="Q706" s="144"/>
      <c r="R706" s="76"/>
      <c r="S706" s="76"/>
      <c r="T706" s="76"/>
      <c r="U706" s="76"/>
      <c r="V706" s="76"/>
      <c r="W706" s="76"/>
      <c r="X706" s="76"/>
      <c r="Y706" s="76"/>
      <c r="Z706" s="76"/>
      <c r="AA706" s="76"/>
      <c r="AB706" s="76"/>
      <c r="AC706" s="76"/>
      <c r="AD706" s="76"/>
      <c r="AE706" s="76"/>
      <c r="AF706" s="76"/>
      <c r="AG706" s="76"/>
      <c r="AH706" s="76"/>
    </row>
    <row r="707" spans="1:34" hidden="1">
      <c r="A707" s="217" t="s">
        <v>141</v>
      </c>
      <c r="B707" s="182"/>
      <c r="C707" s="234">
        <v>0</v>
      </c>
      <c r="D707" s="304">
        <f>D684</f>
        <v>0</v>
      </c>
      <c r="E707" s="239"/>
      <c r="F707" s="236">
        <f>ROUND(D707*$C707*$D$604,0)</f>
        <v>0</v>
      </c>
      <c r="G707" s="304">
        <f>G684</f>
        <v>0</v>
      </c>
      <c r="H707" s="304"/>
      <c r="I707" s="236">
        <f>ROUND(G707*C707,0)</f>
        <v>0</v>
      </c>
      <c r="J707" s="304">
        <f>J684</f>
        <v>0</v>
      </c>
      <c r="K707" s="239"/>
      <c r="L707" s="236">
        <f>ROUND(J707*$C707*$D$604,0)</f>
        <v>0</v>
      </c>
      <c r="N707" s="76"/>
      <c r="O707" s="76"/>
      <c r="P707" s="144"/>
      <c r="Q707" s="144"/>
      <c r="R707" s="76"/>
      <c r="S707" s="76"/>
      <c r="T707" s="76"/>
      <c r="U707" s="76"/>
      <c r="V707" s="76"/>
      <c r="W707" s="76"/>
      <c r="X707" s="76"/>
      <c r="Y707" s="76"/>
      <c r="Z707" s="76"/>
      <c r="AA707" s="76"/>
      <c r="AB707" s="76"/>
      <c r="AC707" s="76"/>
      <c r="AD707" s="76"/>
      <c r="AE707" s="76"/>
      <c r="AF707" s="76"/>
      <c r="AG707" s="76"/>
      <c r="AH707" s="76"/>
    </row>
    <row r="708" spans="1:34" hidden="1">
      <c r="A708" s="217" t="s">
        <v>142</v>
      </c>
      <c r="B708" s="182"/>
      <c r="C708" s="234"/>
      <c r="D708" s="304"/>
      <c r="E708" s="239"/>
      <c r="F708" s="236"/>
      <c r="G708" s="304"/>
      <c r="H708" s="304"/>
      <c r="I708" s="236"/>
      <c r="J708" s="304"/>
      <c r="K708" s="239"/>
      <c r="L708" s="236"/>
      <c r="N708" s="76"/>
      <c r="O708" s="76"/>
      <c r="P708" s="144"/>
      <c r="Q708" s="144"/>
      <c r="R708" s="76"/>
      <c r="S708" s="76"/>
      <c r="T708" s="76"/>
      <c r="U708" s="76"/>
      <c r="V708" s="76"/>
      <c r="W708" s="76"/>
      <c r="X708" s="76"/>
      <c r="Y708" s="76"/>
      <c r="Z708" s="76"/>
      <c r="AA708" s="76"/>
      <c r="AB708" s="76"/>
      <c r="AC708" s="76"/>
      <c r="AD708" s="76"/>
      <c r="AE708" s="76"/>
      <c r="AF708" s="76"/>
      <c r="AG708" s="76"/>
      <c r="AH708" s="76"/>
    </row>
    <row r="709" spans="1:34" hidden="1">
      <c r="A709" s="217" t="s">
        <v>196</v>
      </c>
      <c r="B709" s="182"/>
      <c r="C709" s="234">
        <v>2</v>
      </c>
      <c r="D709" s="304">
        <f>D686</f>
        <v>0</v>
      </c>
      <c r="E709" s="239"/>
      <c r="F709" s="236">
        <f>ROUND(D709*$C709*$D$604,0)</f>
        <v>0</v>
      </c>
      <c r="G709" s="304">
        <f>G686</f>
        <v>0</v>
      </c>
      <c r="H709" s="304"/>
      <c r="I709" s="236">
        <f t="shared" ref="I709:I712" si="108">ROUND(G709*C709,0)</f>
        <v>0</v>
      </c>
      <c r="J709" s="304">
        <f>J686</f>
        <v>0</v>
      </c>
      <c r="K709" s="239"/>
      <c r="L709" s="236">
        <f>ROUND(J709*$C709*$D$604,0)</f>
        <v>0</v>
      </c>
      <c r="N709" s="76"/>
      <c r="O709" s="76"/>
      <c r="P709" s="144"/>
      <c r="Q709" s="144"/>
      <c r="R709" s="76"/>
      <c r="S709" s="76"/>
      <c r="T709" s="76"/>
      <c r="U709" s="76"/>
      <c r="V709" s="76"/>
      <c r="W709" s="76"/>
      <c r="X709" s="76"/>
      <c r="Y709" s="76"/>
      <c r="Z709" s="76"/>
      <c r="AA709" s="76"/>
      <c r="AB709" s="76"/>
      <c r="AC709" s="76"/>
      <c r="AD709" s="76"/>
      <c r="AE709" s="76"/>
      <c r="AF709" s="76"/>
      <c r="AG709" s="76"/>
      <c r="AH709" s="76"/>
    </row>
    <row r="710" spans="1:34" hidden="1">
      <c r="A710" s="217" t="s">
        <v>197</v>
      </c>
      <c r="B710" s="182"/>
      <c r="C710" s="234">
        <v>0</v>
      </c>
      <c r="D710" s="304">
        <f>D687</f>
        <v>301</v>
      </c>
      <c r="E710" s="239"/>
      <c r="F710" s="236">
        <f>ROUND(D710*$C710*$D$604,0)</f>
        <v>0</v>
      </c>
      <c r="G710" s="304">
        <f>G687</f>
        <v>312</v>
      </c>
      <c r="H710" s="304"/>
      <c r="I710" s="236">
        <f t="shared" si="108"/>
        <v>0</v>
      </c>
      <c r="J710" s="304">
        <f>J687</f>
        <v>352</v>
      </c>
      <c r="K710" s="239"/>
      <c r="L710" s="236">
        <f>ROUND(J710*$C710*$D$604,0)</f>
        <v>0</v>
      </c>
      <c r="N710" s="76"/>
      <c r="O710" s="76"/>
      <c r="P710" s="144"/>
      <c r="Q710" s="144"/>
      <c r="R710" s="76"/>
      <c r="S710" s="76"/>
      <c r="T710" s="76"/>
      <c r="U710" s="76"/>
      <c r="V710" s="76"/>
      <c r="W710" s="76"/>
      <c r="X710" s="76"/>
      <c r="Y710" s="76"/>
      <c r="Z710" s="76"/>
      <c r="AA710" s="76"/>
      <c r="AB710" s="76"/>
      <c r="AC710" s="76"/>
      <c r="AD710" s="76"/>
      <c r="AE710" s="76"/>
      <c r="AF710" s="76"/>
      <c r="AG710" s="76"/>
      <c r="AH710" s="76"/>
    </row>
    <row r="711" spans="1:34" hidden="1">
      <c r="A711" s="217" t="s">
        <v>198</v>
      </c>
      <c r="B711" s="182"/>
      <c r="C711" s="234">
        <v>0</v>
      </c>
      <c r="D711" s="304">
        <f>D688</f>
        <v>1215</v>
      </c>
      <c r="E711" s="239"/>
      <c r="F711" s="236">
        <f>ROUND(D711*$C711*$D$604,0)</f>
        <v>0</v>
      </c>
      <c r="G711" s="304">
        <f>G688</f>
        <v>1268</v>
      </c>
      <c r="H711" s="304"/>
      <c r="I711" s="236">
        <f t="shared" si="108"/>
        <v>0</v>
      </c>
      <c r="J711" s="304">
        <f>J688</f>
        <v>1435</v>
      </c>
      <c r="K711" s="239"/>
      <c r="L711" s="236">
        <f>ROUND(J711*$C711*$D$604,0)</f>
        <v>0</v>
      </c>
      <c r="N711" s="76"/>
      <c r="O711" s="76"/>
      <c r="P711" s="144"/>
      <c r="Q711" s="144"/>
      <c r="R711" s="76"/>
      <c r="S711" s="76"/>
      <c r="T711" s="76"/>
      <c r="U711" s="76"/>
      <c r="V711" s="76"/>
      <c r="W711" s="76"/>
      <c r="X711" s="76"/>
      <c r="Y711" s="76"/>
      <c r="Z711" s="76"/>
      <c r="AA711" s="76"/>
      <c r="AB711" s="76"/>
      <c r="AC711" s="76"/>
      <c r="AD711" s="76"/>
      <c r="AE711" s="76"/>
      <c r="AF711" s="76"/>
      <c r="AG711" s="76"/>
      <c r="AH711" s="76"/>
    </row>
    <row r="712" spans="1:34" hidden="1">
      <c r="A712" s="217" t="s">
        <v>141</v>
      </c>
      <c r="B712" s="182"/>
      <c r="C712" s="234">
        <v>0</v>
      </c>
      <c r="D712" s="304">
        <f>D693</f>
        <v>19.87</v>
      </c>
      <c r="E712" s="239"/>
      <c r="F712" s="236">
        <f>ROUND(D712*$C712*$D$604,0)</f>
        <v>0</v>
      </c>
      <c r="G712" s="304">
        <f>G693</f>
        <v>20.86</v>
      </c>
      <c r="H712" s="304"/>
      <c r="I712" s="236">
        <f t="shared" si="108"/>
        <v>0</v>
      </c>
      <c r="J712" s="304">
        <f>J693</f>
        <v>23.44</v>
      </c>
      <c r="K712" s="239"/>
      <c r="L712" s="236">
        <f>ROUND(J712*$C712*$D$604,0)</f>
        <v>0</v>
      </c>
      <c r="N712" s="76"/>
      <c r="O712" s="76"/>
      <c r="P712" s="144"/>
      <c r="Q712" s="144"/>
      <c r="R712" s="76"/>
      <c r="S712" s="76"/>
      <c r="T712" s="76"/>
      <c r="U712" s="76"/>
      <c r="V712" s="76"/>
      <c r="W712" s="76"/>
      <c r="X712" s="76"/>
      <c r="Y712" s="76"/>
      <c r="Z712" s="76"/>
      <c r="AA712" s="76"/>
      <c r="AB712" s="76"/>
      <c r="AC712" s="76"/>
      <c r="AD712" s="76"/>
      <c r="AE712" s="76"/>
      <c r="AF712" s="76"/>
      <c r="AG712" s="76"/>
      <c r="AH712" s="76"/>
    </row>
    <row r="713" spans="1:34" hidden="1">
      <c r="A713" s="217" t="s">
        <v>142</v>
      </c>
      <c r="B713" s="182"/>
      <c r="C713" s="234"/>
      <c r="D713" s="304"/>
      <c r="E713" s="239"/>
      <c r="F713" s="236"/>
      <c r="G713" s="304"/>
      <c r="H713" s="304"/>
      <c r="I713" s="236"/>
      <c r="J713" s="304"/>
      <c r="K713" s="239"/>
      <c r="L713" s="236"/>
      <c r="N713" s="76"/>
      <c r="O713" s="76"/>
      <c r="P713" s="144"/>
      <c r="Q713" s="144"/>
      <c r="R713" s="76"/>
      <c r="S713" s="76"/>
      <c r="T713" s="76"/>
      <c r="U713" s="76"/>
      <c r="V713" s="76"/>
      <c r="W713" s="76"/>
      <c r="X713" s="76"/>
      <c r="Y713" s="76"/>
      <c r="Z713" s="76"/>
      <c r="AA713" s="76"/>
      <c r="AB713" s="76"/>
      <c r="AC713" s="76"/>
      <c r="AD713" s="76"/>
      <c r="AE713" s="76"/>
      <c r="AF713" s="76"/>
      <c r="AG713" s="76"/>
      <c r="AH713" s="76"/>
    </row>
    <row r="714" spans="1:34" hidden="1">
      <c r="A714" s="217" t="s">
        <v>196</v>
      </c>
      <c r="B714" s="182"/>
      <c r="C714" s="234">
        <v>39</v>
      </c>
      <c r="D714" s="304">
        <f>D695</f>
        <v>19.87</v>
      </c>
      <c r="E714" s="239"/>
      <c r="F714" s="236">
        <f>ROUND(D714*$C714*$D$604,0)</f>
        <v>-8</v>
      </c>
      <c r="G714" s="304">
        <f>G695</f>
        <v>20.860000000000003</v>
      </c>
      <c r="H714" s="304"/>
      <c r="I714" s="236">
        <f>ROUND(G714*$C714*$G$604,0)</f>
        <v>-8</v>
      </c>
      <c r="J714" s="304">
        <f>J695</f>
        <v>23.44</v>
      </c>
      <c r="K714" s="239"/>
      <c r="L714" s="236">
        <f>ROUND(J714*$C714*$D$604,0)</f>
        <v>-9</v>
      </c>
      <c r="N714" s="76"/>
      <c r="O714" s="76"/>
      <c r="P714" s="144"/>
      <c r="Q714" s="144"/>
      <c r="R714" s="76"/>
      <c r="S714" s="76"/>
      <c r="T714" s="76"/>
      <c r="U714" s="76"/>
      <c r="V714" s="76"/>
      <c r="W714" s="76"/>
      <c r="X714" s="76"/>
      <c r="Y714" s="76"/>
      <c r="Z714" s="76"/>
      <c r="AA714" s="76"/>
      <c r="AB714" s="76"/>
      <c r="AC714" s="76"/>
      <c r="AD714" s="76"/>
      <c r="AE714" s="76"/>
      <c r="AF714" s="76"/>
      <c r="AG714" s="76"/>
      <c r="AH714" s="76"/>
    </row>
    <row r="715" spans="1:34" hidden="1">
      <c r="A715" s="217" t="s">
        <v>197</v>
      </c>
      <c r="B715" s="182"/>
      <c r="C715" s="234">
        <v>0</v>
      </c>
      <c r="D715" s="304">
        <f>D696</f>
        <v>13.64</v>
      </c>
      <c r="E715" s="239"/>
      <c r="F715" s="236">
        <f>ROUND(D715*$C715*$D$604,0)</f>
        <v>0</v>
      </c>
      <c r="G715" s="304">
        <f>G696</f>
        <v>14.53</v>
      </c>
      <c r="H715" s="304"/>
      <c r="I715" s="236">
        <f t="shared" ref="I715:I718" si="109">ROUND(G715*$C715*$G$604,0)</f>
        <v>0</v>
      </c>
      <c r="J715" s="304">
        <f>J696</f>
        <v>16.32</v>
      </c>
      <c r="K715" s="239"/>
      <c r="L715" s="236">
        <f>ROUND(J715*$C715*$D$604,0)</f>
        <v>0</v>
      </c>
      <c r="N715" s="76"/>
      <c r="O715" s="76"/>
      <c r="P715" s="144"/>
      <c r="Q715" s="144"/>
      <c r="R715" s="76"/>
      <c r="S715" s="76"/>
      <c r="T715" s="76"/>
      <c r="U715" s="76"/>
      <c r="V715" s="76"/>
      <c r="W715" s="76"/>
      <c r="X715" s="76"/>
      <c r="Y715" s="76"/>
      <c r="Z715" s="76"/>
      <c r="AA715" s="76"/>
      <c r="AB715" s="76"/>
      <c r="AC715" s="76"/>
      <c r="AD715" s="76"/>
      <c r="AE715" s="76"/>
      <c r="AF715" s="76"/>
      <c r="AG715" s="76"/>
      <c r="AH715" s="76"/>
    </row>
    <row r="716" spans="1:34" hidden="1">
      <c r="A716" s="217" t="s">
        <v>198</v>
      </c>
      <c r="B716" s="182"/>
      <c r="C716" s="234">
        <v>0</v>
      </c>
      <c r="D716" s="304">
        <f>D697</f>
        <v>10.62</v>
      </c>
      <c r="E716" s="239"/>
      <c r="F716" s="236">
        <f>ROUND(D716*$C716*$D$604,0)</f>
        <v>0</v>
      </c>
      <c r="G716" s="304">
        <f>G697</f>
        <v>11.340000000000002</v>
      </c>
      <c r="H716" s="304"/>
      <c r="I716" s="236">
        <f t="shared" si="109"/>
        <v>0</v>
      </c>
      <c r="J716" s="304">
        <f>J697</f>
        <v>12.77</v>
      </c>
      <c r="K716" s="239"/>
      <c r="L716" s="236">
        <f>ROUND(J716*$C716*$D$604,0)</f>
        <v>0</v>
      </c>
      <c r="N716" s="76"/>
      <c r="O716" s="76"/>
      <c r="P716" s="144"/>
      <c r="Q716" s="144"/>
      <c r="R716" s="76"/>
      <c r="S716" s="76"/>
      <c r="T716" s="76"/>
      <c r="U716" s="76"/>
      <c r="V716" s="76"/>
      <c r="W716" s="76"/>
      <c r="X716" s="76"/>
      <c r="Y716" s="76"/>
      <c r="Z716" s="76"/>
      <c r="AA716" s="76"/>
      <c r="AB716" s="76"/>
      <c r="AC716" s="76"/>
      <c r="AD716" s="76"/>
      <c r="AE716" s="76"/>
      <c r="AF716" s="76"/>
      <c r="AG716" s="76"/>
      <c r="AH716" s="76"/>
    </row>
    <row r="717" spans="1:34" hidden="1">
      <c r="A717" s="217" t="s">
        <v>209</v>
      </c>
      <c r="B717" s="182"/>
      <c r="C717" s="234">
        <v>0</v>
      </c>
      <c r="D717" s="275">
        <f>D698</f>
        <v>59.61</v>
      </c>
      <c r="E717" s="239"/>
      <c r="F717" s="236">
        <f>ROUND(D717*$C717*$D$604,0)</f>
        <v>0</v>
      </c>
      <c r="G717" s="275">
        <f>G698</f>
        <v>62.58</v>
      </c>
      <c r="H717" s="275"/>
      <c r="I717" s="236">
        <f t="shared" si="109"/>
        <v>0</v>
      </c>
      <c r="J717" s="275">
        <f>J698</f>
        <v>70.320000000000007</v>
      </c>
      <c r="K717" s="239"/>
      <c r="L717" s="236">
        <f>ROUND(J717*$C717*$D$604,0)</f>
        <v>0</v>
      </c>
      <c r="N717" s="76"/>
      <c r="O717" s="76"/>
      <c r="P717" s="144"/>
      <c r="Q717" s="144"/>
      <c r="R717" s="76"/>
      <c r="S717" s="76"/>
      <c r="T717" s="76"/>
      <c r="U717" s="76"/>
      <c r="V717" s="76"/>
      <c r="W717" s="76"/>
      <c r="X717" s="76"/>
      <c r="Y717" s="76"/>
      <c r="Z717" s="76"/>
      <c r="AA717" s="76"/>
      <c r="AB717" s="76"/>
      <c r="AC717" s="76"/>
      <c r="AD717" s="76"/>
      <c r="AE717" s="76"/>
      <c r="AF717" s="76"/>
      <c r="AG717" s="76"/>
      <c r="AH717" s="76"/>
    </row>
    <row r="718" spans="1:34" hidden="1">
      <c r="A718" s="217" t="s">
        <v>210</v>
      </c>
      <c r="B718" s="182"/>
      <c r="C718" s="234">
        <v>0</v>
      </c>
      <c r="D718" s="275">
        <f>D699</f>
        <v>119.22</v>
      </c>
      <c r="E718" s="239"/>
      <c r="F718" s="236">
        <f>ROUND(D718*$C718*$D$604,0)</f>
        <v>0</v>
      </c>
      <c r="G718" s="275">
        <f>G699</f>
        <v>125.16000000000003</v>
      </c>
      <c r="H718" s="275"/>
      <c r="I718" s="236">
        <f t="shared" si="109"/>
        <v>0</v>
      </c>
      <c r="J718" s="275">
        <f>J699</f>
        <v>140.64000000000001</v>
      </c>
      <c r="K718" s="239"/>
      <c r="L718" s="236">
        <f>ROUND(J718*$C718*$D$604,0)</f>
        <v>0</v>
      </c>
      <c r="N718" s="76"/>
      <c r="O718" s="76"/>
      <c r="P718" s="144"/>
      <c r="Q718" s="144"/>
      <c r="R718" s="76"/>
      <c r="S718" s="76"/>
      <c r="T718" s="76"/>
      <c r="U718" s="76"/>
      <c r="V718" s="76"/>
      <c r="W718" s="76"/>
      <c r="X718" s="76"/>
      <c r="Y718" s="76"/>
      <c r="Z718" s="76"/>
      <c r="AA718" s="76"/>
      <c r="AB718" s="76"/>
      <c r="AC718" s="76"/>
      <c r="AD718" s="76"/>
      <c r="AE718" s="76"/>
      <c r="AF718" s="76"/>
      <c r="AG718" s="76"/>
      <c r="AH718" s="76"/>
    </row>
    <row r="719" spans="1:34" hidden="1">
      <c r="A719" s="217" t="s">
        <v>206</v>
      </c>
      <c r="B719" s="182"/>
      <c r="C719" s="234"/>
      <c r="D719" s="252"/>
      <c r="E719" s="239"/>
      <c r="F719" s="236"/>
      <c r="G719" s="252"/>
      <c r="H719" s="252"/>
      <c r="I719" s="236"/>
      <c r="J719" s="252"/>
      <c r="K719" s="239"/>
      <c r="L719" s="236"/>
      <c r="N719" s="76"/>
      <c r="O719" s="76"/>
      <c r="P719" s="144"/>
      <c r="Q719" s="144"/>
      <c r="R719" s="76"/>
      <c r="S719" s="76"/>
      <c r="T719" s="76"/>
      <c r="U719" s="76"/>
      <c r="V719" s="76"/>
      <c r="W719" s="76"/>
      <c r="X719" s="76"/>
      <c r="Y719" s="76"/>
      <c r="Z719" s="76"/>
      <c r="AA719" s="76"/>
      <c r="AB719" s="76"/>
      <c r="AC719" s="76"/>
      <c r="AD719" s="76"/>
      <c r="AE719" s="76"/>
      <c r="AF719" s="76"/>
      <c r="AG719" s="76"/>
      <c r="AH719" s="76"/>
    </row>
    <row r="720" spans="1:34" hidden="1">
      <c r="A720" s="217" t="s">
        <v>202</v>
      </c>
      <c r="B720" s="182"/>
      <c r="C720" s="234">
        <v>0</v>
      </c>
      <c r="D720" s="275">
        <f>D701</f>
        <v>-19.87</v>
      </c>
      <c r="E720" s="239"/>
      <c r="F720" s="236">
        <f>ROUND(D720*$C720*$D$604,0)</f>
        <v>0</v>
      </c>
      <c r="G720" s="275">
        <f>G701</f>
        <v>-20.86</v>
      </c>
      <c r="H720" s="275"/>
      <c r="I720" s="236">
        <f t="shared" ref="I720:I721" si="110">ROUND(G720*$C720*$G$604,0)</f>
        <v>0</v>
      </c>
      <c r="J720" s="275">
        <f>J701</f>
        <v>-23.44</v>
      </c>
      <c r="K720" s="239"/>
      <c r="L720" s="236">
        <f>ROUND(J720*$C720*$D$604,0)</f>
        <v>0</v>
      </c>
      <c r="N720" s="76"/>
      <c r="O720" s="76"/>
      <c r="P720" s="144"/>
      <c r="Q720" s="144"/>
      <c r="R720" s="76"/>
      <c r="S720" s="76"/>
      <c r="T720" s="76"/>
      <c r="U720" s="76"/>
      <c r="V720" s="76"/>
      <c r="W720" s="76"/>
      <c r="X720" s="76"/>
      <c r="Y720" s="76"/>
      <c r="Z720" s="76"/>
      <c r="AA720" s="76"/>
      <c r="AB720" s="76"/>
      <c r="AC720" s="76"/>
      <c r="AD720" s="76"/>
      <c r="AE720" s="76"/>
      <c r="AF720" s="76"/>
      <c r="AG720" s="76"/>
      <c r="AH720" s="76"/>
    </row>
    <row r="721" spans="1:34" hidden="1">
      <c r="A721" s="217" t="s">
        <v>207</v>
      </c>
      <c r="B721" s="182"/>
      <c r="C721" s="234">
        <v>0</v>
      </c>
      <c r="D721" s="275">
        <f>D702</f>
        <v>-19.87</v>
      </c>
      <c r="E721" s="239"/>
      <c r="F721" s="236">
        <f>ROUND(D721*$C721*$D$604,0)</f>
        <v>0</v>
      </c>
      <c r="G721" s="275">
        <f>G702</f>
        <v>-20.860000000000003</v>
      </c>
      <c r="H721" s="275"/>
      <c r="I721" s="236">
        <f t="shared" si="110"/>
        <v>0</v>
      </c>
      <c r="J721" s="275">
        <f>J702</f>
        <v>-23.44</v>
      </c>
      <c r="K721" s="239"/>
      <c r="L721" s="236">
        <f>ROUND(J721*$C721*$D$604,0)</f>
        <v>0</v>
      </c>
      <c r="N721" s="76"/>
      <c r="O721" s="76"/>
      <c r="P721" s="144"/>
      <c r="Q721" s="144"/>
      <c r="R721" s="76"/>
      <c r="S721" s="76"/>
      <c r="T721" s="76"/>
      <c r="U721" s="76"/>
      <c r="V721" s="76"/>
      <c r="W721" s="76"/>
      <c r="X721" s="76"/>
      <c r="Y721" s="76"/>
      <c r="Z721" s="76"/>
      <c r="AA721" s="76"/>
      <c r="AB721" s="76"/>
      <c r="AC721" s="76"/>
      <c r="AD721" s="76"/>
      <c r="AE721" s="76"/>
      <c r="AF721" s="76"/>
      <c r="AG721" s="76"/>
      <c r="AH721" s="76"/>
    </row>
    <row r="722" spans="1:34" hidden="1">
      <c r="A722" s="238" t="s">
        <v>174</v>
      </c>
      <c r="B722" s="182"/>
      <c r="C722" s="234"/>
      <c r="D722" s="304"/>
      <c r="E722" s="236"/>
      <c r="F722" s="236"/>
      <c r="G722" s="304"/>
      <c r="H722" s="304"/>
      <c r="I722" s="236"/>
      <c r="J722" s="304"/>
      <c r="K722" s="236"/>
      <c r="L722" s="236"/>
      <c r="N722" s="76"/>
      <c r="O722" s="76"/>
      <c r="P722" s="144"/>
      <c r="Q722" s="144"/>
      <c r="R722" s="76"/>
      <c r="S722" s="76"/>
      <c r="T722" s="76"/>
      <c r="U722" s="76"/>
      <c r="V722" s="76"/>
      <c r="W722" s="76"/>
      <c r="X722" s="76"/>
      <c r="Y722" s="76"/>
      <c r="Z722" s="76"/>
      <c r="AA722" s="76"/>
      <c r="AB722" s="76"/>
      <c r="AC722" s="76"/>
      <c r="AD722" s="76"/>
      <c r="AE722" s="76"/>
      <c r="AF722" s="76"/>
      <c r="AG722" s="76"/>
      <c r="AH722" s="76"/>
    </row>
    <row r="723" spans="1:34" hidden="1">
      <c r="A723" s="217" t="s">
        <v>208</v>
      </c>
      <c r="B723" s="182"/>
      <c r="C723" s="234">
        <v>23263</v>
      </c>
      <c r="D723" s="313">
        <f>D704</f>
        <v>5.3710000000000004</v>
      </c>
      <c r="E723" s="236" t="s">
        <v>126</v>
      </c>
      <c r="F723" s="236">
        <f>ROUND(D723/100*$C723*$D$604,0)</f>
        <v>-12</v>
      </c>
      <c r="G723" s="313">
        <f>G704</f>
        <v>5.6469999999999994</v>
      </c>
      <c r="H723" s="313"/>
      <c r="I723" s="236">
        <f>ROUND(G723/100*C723*$G$604,0)</f>
        <v>-13</v>
      </c>
      <c r="J723" s="313">
        <f>J704</f>
        <v>6.3440000000000003</v>
      </c>
      <c r="K723" s="236" t="s">
        <v>126</v>
      </c>
      <c r="L723" s="236">
        <f>ROUND(J723/100*$C723*$D$604,0)</f>
        <v>-15</v>
      </c>
      <c r="N723" s="76"/>
      <c r="O723" s="76"/>
      <c r="P723" s="144"/>
      <c r="Q723" s="144"/>
      <c r="R723" s="76"/>
      <c r="S723" s="76"/>
      <c r="T723" s="76"/>
      <c r="U723" s="76"/>
      <c r="V723" s="76"/>
      <c r="W723" s="76"/>
      <c r="X723" s="76"/>
      <c r="Y723" s="76"/>
      <c r="Z723" s="76"/>
      <c r="AA723" s="76"/>
      <c r="AB723" s="76"/>
      <c r="AC723" s="76"/>
      <c r="AD723" s="76"/>
      <c r="AE723" s="76"/>
      <c r="AF723" s="76"/>
      <c r="AG723" s="76"/>
      <c r="AH723" s="76"/>
    </row>
    <row r="724" spans="1:34" hidden="1">
      <c r="A724" s="238" t="s">
        <v>150</v>
      </c>
      <c r="B724" s="182"/>
      <c r="C724" s="234">
        <v>0</v>
      </c>
      <c r="D724" s="294">
        <f>D705</f>
        <v>45</v>
      </c>
      <c r="E724" s="236" t="s">
        <v>126</v>
      </c>
      <c r="F724" s="236">
        <f>ROUND(D724/100*$C724*$D$604,0)</f>
        <v>0</v>
      </c>
      <c r="G724" s="294">
        <f>G705</f>
        <v>50</v>
      </c>
      <c r="H724" s="294"/>
      <c r="I724" s="236">
        <f>ROUND(G724/100*C724*$G$604,0)</f>
        <v>0</v>
      </c>
      <c r="J724" s="294">
        <f>J705</f>
        <v>55</v>
      </c>
      <c r="K724" s="238" t="s">
        <v>126</v>
      </c>
      <c r="L724" s="236">
        <f>ROUND(J724/100*$C724*$D$604,0)</f>
        <v>0</v>
      </c>
      <c r="N724" s="76"/>
      <c r="O724" s="76"/>
      <c r="P724" s="144"/>
      <c r="Q724" s="144"/>
      <c r="R724" s="76"/>
      <c r="S724" s="76"/>
      <c r="T724" s="76"/>
      <c r="U724" s="76"/>
      <c r="V724" s="76"/>
      <c r="W724" s="76"/>
      <c r="X724" s="76"/>
      <c r="Y724" s="76"/>
      <c r="Z724" s="76"/>
      <c r="AA724" s="76"/>
      <c r="AB724" s="76"/>
      <c r="AC724" s="76"/>
      <c r="AD724" s="76"/>
      <c r="AE724" s="76"/>
      <c r="AF724" s="76"/>
      <c r="AG724" s="76"/>
      <c r="AH724" s="76"/>
    </row>
    <row r="725" spans="1:34" hidden="1">
      <c r="A725" s="238" t="s">
        <v>187</v>
      </c>
      <c r="B725" s="182"/>
      <c r="C725" s="234">
        <f>4+6</f>
        <v>10</v>
      </c>
      <c r="D725" s="204">
        <f>$D$623</f>
        <v>60</v>
      </c>
      <c r="E725" s="283" t="s">
        <v>0</v>
      </c>
      <c r="F725" s="236">
        <f>ROUND(D725*$C725,0)</f>
        <v>600</v>
      </c>
      <c r="G725" s="204">
        <f>$G$623</f>
        <v>60</v>
      </c>
      <c r="H725" s="204"/>
      <c r="I725" s="236">
        <f>ROUND(G725*$C725,0)</f>
        <v>600</v>
      </c>
      <c r="J725" s="204">
        <f>$J$623</f>
        <v>60</v>
      </c>
      <c r="K725" s="182"/>
      <c r="L725" s="236">
        <f>ROUND(J725*$C725,0)</f>
        <v>600</v>
      </c>
      <c r="N725" s="76"/>
      <c r="O725" s="76"/>
      <c r="P725" s="144"/>
      <c r="Q725" s="144"/>
      <c r="R725" s="76"/>
      <c r="S725" s="76"/>
      <c r="T725" s="76"/>
      <c r="U725" s="76"/>
      <c r="V725" s="76"/>
      <c r="W725" s="76"/>
      <c r="X725" s="76"/>
      <c r="Y725" s="76"/>
      <c r="Z725" s="76"/>
      <c r="AA725" s="76"/>
      <c r="AB725" s="76"/>
      <c r="AC725" s="76"/>
      <c r="AD725" s="76"/>
      <c r="AE725" s="76"/>
      <c r="AF725" s="76"/>
      <c r="AG725" s="76"/>
      <c r="AH725" s="76"/>
    </row>
    <row r="726" spans="1:34" hidden="1">
      <c r="A726" s="238" t="s">
        <v>188</v>
      </c>
      <c r="B726" s="182"/>
      <c r="C726" s="234">
        <f>10*C714</f>
        <v>390</v>
      </c>
      <c r="D726" s="253">
        <f>$D$624</f>
        <v>-30</v>
      </c>
      <c r="E726" s="236" t="s">
        <v>126</v>
      </c>
      <c r="F726" s="236">
        <f>ROUND(D726*$C726/100,0)</f>
        <v>-117</v>
      </c>
      <c r="G726" s="253">
        <f>$G$624</f>
        <v>-30</v>
      </c>
      <c r="H726" s="253"/>
      <c r="I726" s="236">
        <f>ROUND(G726*$C726/100,0)</f>
        <v>-117</v>
      </c>
      <c r="J726" s="253">
        <f>$J$624</f>
        <v>-30</v>
      </c>
      <c r="K726" s="236" t="s">
        <v>126</v>
      </c>
      <c r="L726" s="236">
        <f>ROUND(J726*$C726/100,0)</f>
        <v>-117</v>
      </c>
      <c r="N726" s="76"/>
      <c r="O726" s="76"/>
      <c r="P726" s="144"/>
      <c r="Q726" s="144"/>
      <c r="R726" s="76"/>
      <c r="S726" s="76"/>
      <c r="T726" s="76"/>
      <c r="U726" s="76"/>
      <c r="V726" s="76"/>
      <c r="W726" s="76"/>
      <c r="X726" s="76"/>
      <c r="Y726" s="76"/>
      <c r="Z726" s="76"/>
      <c r="AA726" s="76"/>
      <c r="AB726" s="76"/>
      <c r="AC726" s="76"/>
      <c r="AD726" s="76"/>
      <c r="AE726" s="76"/>
      <c r="AF726" s="76"/>
      <c r="AG726" s="76"/>
      <c r="AH726" s="76"/>
    </row>
    <row r="727" spans="1:34" hidden="1">
      <c r="A727" s="182" t="s">
        <v>131</v>
      </c>
      <c r="B727" s="182"/>
      <c r="C727" s="234">
        <f>SUM(C704:C704)</f>
        <v>24600428</v>
      </c>
      <c r="D727" s="244"/>
      <c r="E727" s="164"/>
      <c r="F727" s="164">
        <f>SUM(F684:F726)</f>
        <v>1607511</v>
      </c>
      <c r="G727" s="244"/>
      <c r="H727" s="244"/>
      <c r="I727" s="164">
        <f>SUM(I684:I726)</f>
        <v>1690911</v>
      </c>
      <c r="J727" s="244"/>
      <c r="K727" s="238"/>
      <c r="L727" s="164">
        <f>SUM(L684:L726)</f>
        <v>1899689</v>
      </c>
      <c r="N727" s="76"/>
      <c r="O727" s="76"/>
      <c r="P727" s="144"/>
      <c r="Q727" s="144"/>
      <c r="R727" s="76"/>
      <c r="S727" s="76"/>
      <c r="T727" s="76"/>
      <c r="U727" s="76"/>
      <c r="V727" s="76"/>
      <c r="W727" s="76"/>
      <c r="X727" s="76"/>
      <c r="Y727" s="76"/>
      <c r="Z727" s="76"/>
      <c r="AA727" s="76"/>
      <c r="AB727" s="76"/>
      <c r="AC727" s="76"/>
      <c r="AD727" s="76"/>
      <c r="AE727" s="76"/>
      <c r="AF727" s="76"/>
      <c r="AG727" s="76"/>
      <c r="AH727" s="76"/>
    </row>
    <row r="728" spans="1:34" hidden="1">
      <c r="A728" s="182" t="s">
        <v>114</v>
      </c>
      <c r="B728" s="182"/>
      <c r="C728" s="270">
        <v>8320.7695439783147</v>
      </c>
      <c r="D728" s="217"/>
      <c r="E728" s="217"/>
      <c r="F728" s="218">
        <v>435.82082866682146</v>
      </c>
      <c r="G728" s="217"/>
      <c r="H728" s="217"/>
      <c r="I728" s="218">
        <f>F728</f>
        <v>435.82082866682146</v>
      </c>
      <c r="J728" s="217"/>
      <c r="K728" s="217"/>
      <c r="L728" s="218">
        <f>F728</f>
        <v>435.82082866682146</v>
      </c>
      <c r="N728" s="196"/>
      <c r="O728" s="196"/>
      <c r="P728" s="194"/>
      <c r="Q728" s="144"/>
      <c r="R728" s="76"/>
      <c r="S728" s="76"/>
      <c r="T728" s="76"/>
      <c r="U728" s="76"/>
      <c r="V728" s="76"/>
      <c r="W728" s="76"/>
      <c r="X728" s="76"/>
      <c r="Y728" s="76"/>
      <c r="Z728" s="76"/>
      <c r="AA728" s="76"/>
      <c r="AB728" s="76"/>
      <c r="AC728" s="76"/>
      <c r="AD728" s="76"/>
      <c r="AE728" s="76"/>
      <c r="AF728" s="76"/>
      <c r="AG728" s="76"/>
      <c r="AH728" s="76"/>
    </row>
    <row r="729" spans="1:34" ht="16.5" hidden="1" thickBot="1">
      <c r="A729" s="182" t="s">
        <v>132</v>
      </c>
      <c r="B729" s="182"/>
      <c r="C729" s="284">
        <f>SUM(C727:C728)</f>
        <v>24608748.769543979</v>
      </c>
      <c r="D729" s="258"/>
      <c r="E729" s="259"/>
      <c r="F729" s="260">
        <f>F727+F728</f>
        <v>1607946.8208286669</v>
      </c>
      <c r="G729" s="258"/>
      <c r="H729" s="258"/>
      <c r="I729" s="260">
        <f>I727+I728</f>
        <v>1691346.8208286669</v>
      </c>
      <c r="J729" s="258"/>
      <c r="K729" s="262"/>
      <c r="L729" s="260">
        <f>L727+L728</f>
        <v>1900124.8208286669</v>
      </c>
      <c r="N729" s="197"/>
      <c r="O729" s="197"/>
      <c r="P729" s="198"/>
      <c r="Q729" s="144"/>
      <c r="R729" s="76"/>
      <c r="S729" s="76"/>
      <c r="T729" s="76"/>
      <c r="U729" s="76"/>
      <c r="V729" s="76"/>
      <c r="W729" s="76"/>
      <c r="X729" s="76"/>
      <c r="Y729" s="76"/>
      <c r="Z729" s="76"/>
      <c r="AA729" s="76"/>
      <c r="AB729" s="76"/>
      <c r="AC729" s="76"/>
      <c r="AD729" s="76"/>
      <c r="AE729" s="76"/>
      <c r="AF729" s="76"/>
      <c r="AG729" s="76"/>
      <c r="AH729" s="76"/>
    </row>
    <row r="730" spans="1:34" hidden="1">
      <c r="A730" s="211"/>
      <c r="B730" s="302"/>
      <c r="C730" s="211"/>
      <c r="D730" s="200"/>
      <c r="E730" s="200"/>
      <c r="F730" s="303"/>
      <c r="G730" s="200"/>
      <c r="H730" s="200"/>
      <c r="I730" s="303"/>
      <c r="J730" s="211"/>
      <c r="K730" s="211"/>
      <c r="L730" s="211"/>
      <c r="N730" s="76"/>
      <c r="O730" s="76"/>
      <c r="P730" s="144"/>
      <c r="Q730" s="144"/>
      <c r="R730" s="76"/>
      <c r="S730" s="76"/>
      <c r="T730" s="76"/>
      <c r="U730" s="76"/>
      <c r="V730" s="76"/>
      <c r="W730" s="76"/>
      <c r="X730" s="76"/>
      <c r="Y730" s="76"/>
      <c r="Z730" s="76"/>
      <c r="AA730" s="76"/>
      <c r="AB730" s="76"/>
      <c r="AC730" s="76"/>
      <c r="AD730" s="76"/>
      <c r="AE730" s="76"/>
      <c r="AF730" s="76"/>
      <c r="AG730" s="76"/>
      <c r="AH730" s="76"/>
    </row>
    <row r="731" spans="1:34">
      <c r="A731" s="199" t="s">
        <v>213</v>
      </c>
      <c r="B731" s="182"/>
      <c r="C731" s="182"/>
      <c r="D731" s="164"/>
      <c r="E731" s="164"/>
      <c r="F731" s="182"/>
      <c r="G731" s="164"/>
      <c r="H731" s="164"/>
      <c r="I731" s="182"/>
      <c r="J731" s="164"/>
      <c r="K731" s="182"/>
      <c r="L731" s="182"/>
      <c r="N731" s="76"/>
      <c r="O731" s="76"/>
      <c r="P731" s="144"/>
      <c r="Q731" s="144"/>
      <c r="R731" s="76"/>
      <c r="S731" s="76"/>
      <c r="T731" s="76"/>
      <c r="U731" s="76"/>
      <c r="V731" s="76"/>
      <c r="W731" s="76"/>
      <c r="X731" s="76"/>
      <c r="Y731" s="76"/>
      <c r="Z731" s="76"/>
      <c r="AA731" s="76"/>
      <c r="AB731" s="76"/>
      <c r="AC731" s="76"/>
      <c r="AD731" s="76"/>
      <c r="AE731" s="76"/>
      <c r="AF731" s="76"/>
      <c r="AG731" s="76"/>
      <c r="AH731" s="76"/>
    </row>
    <row r="732" spans="1:34">
      <c r="A732" s="217" t="s">
        <v>214</v>
      </c>
      <c r="B732" s="182"/>
      <c r="C732" s="182"/>
      <c r="D732" s="164"/>
      <c r="E732" s="164"/>
      <c r="F732" s="182"/>
      <c r="G732" s="164"/>
      <c r="H732" s="164"/>
      <c r="I732" s="182"/>
      <c r="J732" s="164"/>
      <c r="K732" s="182"/>
      <c r="L732" s="182"/>
      <c r="N732" s="76"/>
      <c r="O732" s="76"/>
      <c r="P732" s="144"/>
      <c r="Q732" s="144"/>
      <c r="R732" s="76"/>
      <c r="S732" s="76"/>
      <c r="T732" s="76"/>
      <c r="U732" s="76"/>
      <c r="V732" s="76"/>
      <c r="W732" s="76"/>
      <c r="X732" s="76"/>
      <c r="Y732" s="76"/>
      <c r="Z732" s="76"/>
      <c r="AA732" s="76"/>
      <c r="AB732" s="76"/>
      <c r="AC732" s="76"/>
      <c r="AD732" s="76"/>
      <c r="AE732" s="76"/>
      <c r="AF732" s="76"/>
      <c r="AG732" s="76"/>
      <c r="AH732" s="76"/>
    </row>
    <row r="733" spans="1:34">
      <c r="A733" s="238"/>
      <c r="B733" s="182"/>
      <c r="C733" s="182"/>
      <c r="D733" s="164"/>
      <c r="E733" s="164"/>
      <c r="F733" s="182"/>
      <c r="G733" s="164"/>
      <c r="H733" s="164"/>
      <c r="I733" s="182"/>
      <c r="J733" s="164"/>
      <c r="K733" s="182"/>
      <c r="L733" s="182"/>
      <c r="N733" s="76"/>
      <c r="O733" s="76"/>
      <c r="P733" s="144"/>
      <c r="Q733" s="144"/>
      <c r="R733" s="76"/>
      <c r="S733" s="76"/>
      <c r="T733" s="76"/>
      <c r="U733" s="76"/>
      <c r="V733" s="76"/>
      <c r="W733" s="76"/>
      <c r="X733" s="76"/>
      <c r="Y733" s="76"/>
      <c r="Z733" s="76"/>
      <c r="AA733" s="76"/>
      <c r="AB733" s="76"/>
      <c r="AC733" s="76"/>
      <c r="AD733" s="76"/>
      <c r="AE733" s="76"/>
      <c r="AF733" s="76"/>
      <c r="AG733" s="76"/>
      <c r="AH733" s="76"/>
    </row>
    <row r="734" spans="1:34">
      <c r="A734" s="238" t="s">
        <v>144</v>
      </c>
      <c r="B734" s="182"/>
      <c r="C734" s="234"/>
      <c r="D734" s="164"/>
      <c r="E734" s="164"/>
      <c r="F734" s="182"/>
      <c r="G734" s="164"/>
      <c r="H734" s="164"/>
      <c r="I734" s="182"/>
      <c r="J734" s="164"/>
      <c r="K734" s="182"/>
      <c r="L734" s="182"/>
      <c r="N734" s="76"/>
      <c r="O734" s="76"/>
      <c r="P734" s="144"/>
      <c r="Q734" s="144"/>
      <c r="R734" s="76"/>
      <c r="S734" s="76"/>
      <c r="T734" s="76"/>
      <c r="U734" s="76"/>
      <c r="V734" s="76"/>
      <c r="W734" s="76"/>
      <c r="X734" s="76"/>
      <c r="Y734" s="76"/>
      <c r="Z734" s="76"/>
      <c r="AA734" s="76"/>
      <c r="AB734" s="76"/>
      <c r="AC734" s="76"/>
      <c r="AD734" s="76"/>
      <c r="AE734" s="76"/>
      <c r="AF734" s="76"/>
      <c r="AG734" s="76"/>
      <c r="AH734" s="76"/>
    </row>
    <row r="735" spans="1:34">
      <c r="A735" s="238" t="s">
        <v>215</v>
      </c>
      <c r="B735" s="182"/>
      <c r="C735" s="234">
        <v>12</v>
      </c>
      <c r="D735" s="304">
        <v>1205</v>
      </c>
      <c r="E735" s="252"/>
      <c r="F735" s="164">
        <f>ROUND(D735*$C735,0)</f>
        <v>14460</v>
      </c>
      <c r="G735" s="304">
        <v>1215</v>
      </c>
      <c r="H735" s="304"/>
      <c r="I735" s="164">
        <f>ROUND(G735*C735,0)</f>
        <v>14580</v>
      </c>
      <c r="J735" s="304">
        <f>J848</f>
        <v>1365</v>
      </c>
      <c r="K735" s="236"/>
      <c r="L735" s="164">
        <f>ROUND(J735*$C735,0)</f>
        <v>16380</v>
      </c>
      <c r="N735" s="165" t="e">
        <f>J735*#REF!</f>
        <v>#REF!</v>
      </c>
      <c r="P735" s="88"/>
      <c r="R735" s="76"/>
      <c r="S735" s="76"/>
      <c r="T735" s="76"/>
      <c r="U735" s="76"/>
      <c r="V735" s="76"/>
      <c r="W735" s="76"/>
      <c r="X735" s="76"/>
      <c r="Y735" s="76"/>
      <c r="Z735" s="76"/>
      <c r="AA735" s="76"/>
      <c r="AB735" s="76"/>
      <c r="AC735" s="76"/>
      <c r="AD735" s="76"/>
      <c r="AE735" s="76"/>
      <c r="AF735" s="76"/>
      <c r="AG735" s="76"/>
      <c r="AH735" s="76"/>
    </row>
    <row r="736" spans="1:34">
      <c r="A736" s="238" t="s">
        <v>216</v>
      </c>
      <c r="B736" s="182"/>
      <c r="C736" s="234">
        <v>0</v>
      </c>
      <c r="D736" s="304">
        <v>1450</v>
      </c>
      <c r="E736" s="252"/>
      <c r="F736" s="164">
        <f>ROUND(D736*$C736,0)</f>
        <v>0</v>
      </c>
      <c r="G736" s="304">
        <v>1465</v>
      </c>
      <c r="H736" s="304"/>
      <c r="I736" s="164">
        <f>ROUND(G736*C736,0)</f>
        <v>0</v>
      </c>
      <c r="J736" s="304">
        <f>J849</f>
        <v>1650</v>
      </c>
      <c r="K736" s="239"/>
      <c r="L736" s="164">
        <f>ROUND(J736*$C736,0)</f>
        <v>0</v>
      </c>
      <c r="N736" s="165" t="e">
        <f>J736*#REF!</f>
        <v>#REF!</v>
      </c>
      <c r="P736" s="88"/>
      <c r="R736" s="76"/>
      <c r="S736" s="76"/>
      <c r="T736" s="76"/>
      <c r="U736" s="76"/>
      <c r="V736" s="76"/>
      <c r="W736" s="76"/>
      <c r="X736" s="76"/>
      <c r="Y736" s="76"/>
      <c r="Z736" s="76"/>
      <c r="AA736" s="76"/>
      <c r="AB736" s="76"/>
      <c r="AC736" s="76"/>
      <c r="AD736" s="76"/>
      <c r="AE736" s="76"/>
      <c r="AF736" s="76"/>
      <c r="AG736" s="76"/>
      <c r="AH736" s="76"/>
    </row>
    <row r="737" spans="1:34">
      <c r="A737" s="238" t="s">
        <v>145</v>
      </c>
      <c r="B737" s="182"/>
      <c r="C737" s="234">
        <f>SUM(C735:C736)</f>
        <v>12</v>
      </c>
      <c r="D737" s="304" t="s">
        <v>0</v>
      </c>
      <c r="E737" s="252"/>
      <c r="F737" s="164" t="s">
        <v>0</v>
      </c>
      <c r="G737" s="304" t="s">
        <v>0</v>
      </c>
      <c r="H737" s="304"/>
      <c r="I737" s="164" t="s">
        <v>0</v>
      </c>
      <c r="J737" s="304">
        <f>Q796</f>
        <v>0</v>
      </c>
      <c r="K737" s="236"/>
      <c r="L737" s="164" t="s">
        <v>0</v>
      </c>
      <c r="R737" s="76"/>
      <c r="S737" s="76"/>
      <c r="T737" s="76"/>
      <c r="U737" s="76"/>
      <c r="V737" s="76"/>
      <c r="W737" s="76"/>
      <c r="X737" s="76"/>
      <c r="Y737" s="76"/>
      <c r="Z737" s="76"/>
      <c r="AA737" s="76"/>
      <c r="AB737" s="76"/>
      <c r="AC737" s="76"/>
      <c r="AD737" s="76"/>
      <c r="AE737" s="76"/>
      <c r="AF737" s="76"/>
      <c r="AG737" s="76"/>
      <c r="AH737" s="76"/>
    </row>
    <row r="738" spans="1:34">
      <c r="A738" s="238" t="s">
        <v>217</v>
      </c>
      <c r="B738" s="182"/>
      <c r="C738" s="234">
        <f>14980</f>
        <v>14980</v>
      </c>
      <c r="D738" s="304">
        <v>0.91</v>
      </c>
      <c r="E738" s="252"/>
      <c r="F738" s="164">
        <f>ROUND(D738*$C738,0)</f>
        <v>13632</v>
      </c>
      <c r="G738" s="304">
        <v>0.92</v>
      </c>
      <c r="H738" s="304"/>
      <c r="I738" s="164">
        <f t="shared" ref="I738:I740" si="111">ROUND(G738*C738,0)</f>
        <v>13782</v>
      </c>
      <c r="J738" s="304">
        <f>J851</f>
        <v>1.04</v>
      </c>
      <c r="K738" s="236"/>
      <c r="L738" s="164">
        <f>ROUND(J738*$C738,0)</f>
        <v>15579</v>
      </c>
      <c r="N738" s="165" t="e">
        <f>J738*#REF!</f>
        <v>#REF!</v>
      </c>
      <c r="P738" s="88"/>
      <c r="R738" s="76"/>
      <c r="S738" s="76"/>
      <c r="T738" s="76"/>
      <c r="U738" s="76"/>
      <c r="V738" s="76"/>
      <c r="W738" s="76"/>
      <c r="X738" s="76"/>
      <c r="Y738" s="76"/>
      <c r="Z738" s="76"/>
      <c r="AA738" s="76"/>
      <c r="AB738" s="76"/>
      <c r="AC738" s="76"/>
      <c r="AD738" s="76"/>
      <c r="AE738" s="76"/>
      <c r="AF738" s="76"/>
      <c r="AG738" s="76"/>
      <c r="AH738" s="76"/>
    </row>
    <row r="739" spans="1:34">
      <c r="A739" s="238" t="s">
        <v>218</v>
      </c>
      <c r="B739" s="182"/>
      <c r="C739" s="234">
        <v>0</v>
      </c>
      <c r="D739" s="304">
        <v>0.83</v>
      </c>
      <c r="E739" s="252"/>
      <c r="F739" s="164">
        <f>ROUND(D739*$C739,0)</f>
        <v>0</v>
      </c>
      <c r="G739" s="304">
        <v>0.84</v>
      </c>
      <c r="H739" s="304"/>
      <c r="I739" s="164">
        <f t="shared" si="111"/>
        <v>0</v>
      </c>
      <c r="J739" s="304">
        <f>J852</f>
        <v>0.95</v>
      </c>
      <c r="K739" s="236"/>
      <c r="L739" s="164">
        <f>ROUND(J739*$C739,0)</f>
        <v>0</v>
      </c>
      <c r="N739" s="165" t="e">
        <f>J739*#REF!</f>
        <v>#REF!</v>
      </c>
      <c r="R739" s="76"/>
      <c r="S739" s="76"/>
      <c r="T739" s="76"/>
      <c r="U739" s="76"/>
      <c r="V739" s="76"/>
      <c r="W739" s="76"/>
      <c r="X739" s="76"/>
      <c r="Y739" s="76"/>
      <c r="Z739" s="76"/>
      <c r="AA739" s="76"/>
      <c r="AB739" s="76"/>
      <c r="AC739" s="76"/>
      <c r="AD739" s="76"/>
      <c r="AE739" s="76"/>
      <c r="AF739" s="76"/>
      <c r="AG739" s="76"/>
      <c r="AH739" s="76"/>
    </row>
    <row r="740" spans="1:34">
      <c r="A740" s="217" t="s">
        <v>153</v>
      </c>
      <c r="B740" s="182"/>
      <c r="C740" s="234">
        <v>10720</v>
      </c>
      <c r="D740" s="304">
        <v>6.03</v>
      </c>
      <c r="E740" s="252"/>
      <c r="F740" s="164">
        <f>ROUND(D740*$C740,0)</f>
        <v>64642</v>
      </c>
      <c r="G740" s="304">
        <v>6.22</v>
      </c>
      <c r="H740" s="304"/>
      <c r="I740" s="164">
        <f t="shared" si="111"/>
        <v>66678</v>
      </c>
      <c r="J740" s="304">
        <f>J853</f>
        <v>7.02</v>
      </c>
      <c r="K740" s="236"/>
      <c r="L740" s="164">
        <f>ROUND(J740*$C740,0)</f>
        <v>75254</v>
      </c>
      <c r="N740" s="165" t="e">
        <f>J740*#REF!</f>
        <v>#REF!</v>
      </c>
      <c r="R740" s="76"/>
      <c r="S740" s="76"/>
      <c r="T740" s="76"/>
      <c r="U740" s="76"/>
      <c r="V740" s="76"/>
      <c r="W740" s="76"/>
      <c r="X740" s="76"/>
      <c r="Y740" s="76"/>
      <c r="Z740" s="76"/>
      <c r="AA740" s="76"/>
      <c r="AB740" s="76"/>
      <c r="AC740" s="76"/>
      <c r="AD740" s="76"/>
      <c r="AE740" s="76"/>
      <c r="AF740" s="76"/>
      <c r="AG740" s="76"/>
      <c r="AH740" s="76"/>
    </row>
    <row r="741" spans="1:34">
      <c r="A741" s="238" t="s">
        <v>174</v>
      </c>
      <c r="B741" s="182"/>
      <c r="C741" s="234"/>
      <c r="D741" s="304"/>
      <c r="E741" s="252"/>
      <c r="F741" s="164"/>
      <c r="G741" s="304"/>
      <c r="H741" s="304"/>
      <c r="I741" s="164"/>
      <c r="J741" s="304"/>
      <c r="K741" s="236"/>
      <c r="L741" s="164"/>
      <c r="R741" s="76"/>
      <c r="S741" s="76"/>
      <c r="T741" s="76"/>
      <c r="U741" s="76"/>
      <c r="V741" s="76"/>
      <c r="W741" s="76"/>
      <c r="X741" s="76"/>
      <c r="Y741" s="76"/>
      <c r="Z741" s="76"/>
      <c r="AA741" s="76"/>
      <c r="AB741" s="76"/>
      <c r="AC741" s="76"/>
      <c r="AD741" s="76"/>
      <c r="AE741" s="76"/>
      <c r="AF741" s="76"/>
      <c r="AG741" s="76"/>
      <c r="AH741" s="76"/>
    </row>
    <row r="742" spans="1:34">
      <c r="A742" s="238" t="s">
        <v>208</v>
      </c>
      <c r="B742" s="182"/>
      <c r="C742" s="234">
        <v>1813080</v>
      </c>
      <c r="D742" s="317">
        <v>3.4990000000000001</v>
      </c>
      <c r="E742" s="236" t="s">
        <v>126</v>
      </c>
      <c r="F742" s="164">
        <f>ROUND(D742/100*$C742,0)</f>
        <v>63440</v>
      </c>
      <c r="G742" s="317">
        <v>3.718</v>
      </c>
      <c r="H742" s="317"/>
      <c r="I742" s="164">
        <f>ROUND(G742/100*C742,0)</f>
        <v>67410</v>
      </c>
      <c r="J742" s="317">
        <f>J855</f>
        <v>4.1850000000000005</v>
      </c>
      <c r="K742" s="236" t="s">
        <v>126</v>
      </c>
      <c r="L742" s="164">
        <f>ROUND(J742/100*$C742,0)</f>
        <v>75877</v>
      </c>
      <c r="N742" s="165" t="e">
        <f>(J742/100)*#REF!</f>
        <v>#REF!</v>
      </c>
      <c r="R742" s="76"/>
      <c r="S742" s="76"/>
      <c r="T742" s="76"/>
      <c r="U742" s="76"/>
      <c r="V742" s="76"/>
      <c r="W742" s="76"/>
      <c r="X742" s="76"/>
      <c r="Y742" s="76"/>
      <c r="Z742" s="76"/>
      <c r="AA742" s="76"/>
      <c r="AB742" s="76"/>
      <c r="AC742" s="76"/>
      <c r="AD742" s="76"/>
      <c r="AE742" s="76"/>
      <c r="AF742" s="76"/>
      <c r="AG742" s="76"/>
      <c r="AH742" s="76"/>
    </row>
    <row r="743" spans="1:34">
      <c r="A743" s="238" t="s">
        <v>150</v>
      </c>
      <c r="B743" s="182"/>
      <c r="C743" s="234">
        <v>0</v>
      </c>
      <c r="D743" s="304">
        <v>0.45</v>
      </c>
      <c r="E743" s="236"/>
      <c r="F743" s="164">
        <f>ROUND(D743*$C743,0)</f>
        <v>0</v>
      </c>
      <c r="G743" s="304">
        <v>0.48</v>
      </c>
      <c r="H743" s="304"/>
      <c r="I743" s="164">
        <f>ROUND(G743*C743,0)</f>
        <v>0</v>
      </c>
      <c r="J743" s="304">
        <f>J856</f>
        <v>0.54</v>
      </c>
      <c r="K743" s="236"/>
      <c r="L743" s="164">
        <f>ROUND(J743*$C743,0)</f>
        <v>0</v>
      </c>
      <c r="N743" s="165" t="e">
        <f>J743*#REF!</f>
        <v>#REF!</v>
      </c>
      <c r="O743" s="234"/>
      <c r="R743" s="76"/>
      <c r="S743" s="76"/>
      <c r="T743" s="76"/>
      <c r="U743" s="76"/>
      <c r="V743" s="76"/>
      <c r="W743" s="76"/>
      <c r="X743" s="76"/>
      <c r="Y743" s="76"/>
      <c r="Z743" s="76"/>
      <c r="AA743" s="76"/>
      <c r="AB743" s="76"/>
      <c r="AC743" s="76"/>
      <c r="AD743" s="76"/>
      <c r="AE743" s="76"/>
      <c r="AF743" s="76"/>
      <c r="AG743" s="76"/>
      <c r="AH743" s="76"/>
    </row>
    <row r="744" spans="1:34">
      <c r="A744" s="217" t="s">
        <v>176</v>
      </c>
      <c r="B744" s="182"/>
      <c r="C744" s="234">
        <v>0</v>
      </c>
      <c r="D744" s="318">
        <v>5.9999999999999995E-4</v>
      </c>
      <c r="E744" s="236"/>
      <c r="F744" s="164">
        <f>ROUND(D744*$C744,0)</f>
        <v>0</v>
      </c>
      <c r="G744" s="318">
        <v>5.9999999999999995E-4</v>
      </c>
      <c r="H744" s="318"/>
      <c r="I744" s="164">
        <f>ROUND(G744*C744,0)</f>
        <v>0</v>
      </c>
      <c r="J744" s="318">
        <v>5.9999999999999995E-4</v>
      </c>
      <c r="K744" s="236"/>
      <c r="L744" s="164">
        <f>ROUND(J744*$C744,0)</f>
        <v>0</v>
      </c>
      <c r="N744" s="165" t="e">
        <f>J744*#REF!</f>
        <v>#REF!</v>
      </c>
      <c r="O744" s="234"/>
      <c r="R744" s="76"/>
      <c r="S744" s="76"/>
      <c r="T744" s="76"/>
      <c r="U744" s="76"/>
      <c r="V744" s="76"/>
      <c r="W744" s="76"/>
      <c r="X744" s="76"/>
      <c r="Y744" s="76"/>
      <c r="Z744" s="76"/>
      <c r="AA744" s="76"/>
      <c r="AB744" s="76"/>
      <c r="AC744" s="76"/>
      <c r="AD744" s="76"/>
      <c r="AE744" s="76"/>
      <c r="AF744" s="76"/>
      <c r="AG744" s="76"/>
      <c r="AH744" s="76"/>
    </row>
    <row r="745" spans="1:34">
      <c r="A745" s="280" t="s">
        <v>151</v>
      </c>
      <c r="B745" s="182"/>
      <c r="C745" s="234"/>
      <c r="D745" s="319">
        <v>-0.01</v>
      </c>
      <c r="E745" s="247"/>
      <c r="F745" s="164"/>
      <c r="G745" s="319" t="s">
        <v>0</v>
      </c>
      <c r="H745" s="319"/>
      <c r="I745" s="164"/>
      <c r="J745" s="319" t="str">
        <f>J803</f>
        <v xml:space="preserve"> </v>
      </c>
      <c r="K745" s="281"/>
      <c r="L745" s="164"/>
      <c r="R745" s="76"/>
      <c r="S745" s="76"/>
      <c r="T745" s="76"/>
      <c r="U745" s="76"/>
      <c r="V745" s="76"/>
      <c r="W745" s="76"/>
      <c r="X745" s="76"/>
      <c r="Y745" s="76"/>
      <c r="Z745" s="76"/>
      <c r="AA745" s="76"/>
      <c r="AB745" s="76"/>
      <c r="AC745" s="76"/>
      <c r="AD745" s="76"/>
      <c r="AE745" s="76"/>
      <c r="AF745" s="76"/>
      <c r="AG745" s="76"/>
      <c r="AH745" s="76"/>
    </row>
    <row r="746" spans="1:34">
      <c r="A746" s="238" t="s">
        <v>215</v>
      </c>
      <c r="B746" s="182"/>
      <c r="C746" s="234">
        <v>0</v>
      </c>
      <c r="D746" s="304">
        <f>D735</f>
        <v>1205</v>
      </c>
      <c r="E746" s="249"/>
      <c r="F746" s="236">
        <f>ROUND(D746*$C746*$D$803,0)</f>
        <v>0</v>
      </c>
      <c r="G746" s="304">
        <f>G735</f>
        <v>1215</v>
      </c>
      <c r="H746" s="304"/>
      <c r="I746" s="236">
        <f>ROUND(G746*C746*$G$803,0)</f>
        <v>0</v>
      </c>
      <c r="J746" s="304">
        <f>J804</f>
        <v>0</v>
      </c>
      <c r="K746" s="236"/>
      <c r="L746" s="236">
        <f>ROUND(J746*$C746*$D$803,0)</f>
        <v>0</v>
      </c>
      <c r="N746" s="165" t="e">
        <f>-(J746*#REF!)/100</f>
        <v>#REF!</v>
      </c>
      <c r="R746" s="76"/>
      <c r="S746" s="76"/>
      <c r="T746" s="76"/>
      <c r="U746" s="76"/>
      <c r="V746" s="76"/>
      <c r="W746" s="76"/>
      <c r="X746" s="76"/>
      <c r="Y746" s="76"/>
      <c r="Z746" s="76"/>
      <c r="AA746" s="76"/>
      <c r="AB746" s="76"/>
      <c r="AC746" s="76"/>
      <c r="AD746" s="76"/>
      <c r="AE746" s="76"/>
      <c r="AF746" s="76"/>
      <c r="AG746" s="76"/>
      <c r="AH746" s="76"/>
    </row>
    <row r="747" spans="1:34">
      <c r="A747" s="238" t="s">
        <v>216</v>
      </c>
      <c r="B747" s="182"/>
      <c r="C747" s="234">
        <f>C736</f>
        <v>0</v>
      </c>
      <c r="D747" s="304">
        <f>D736</f>
        <v>1450</v>
      </c>
      <c r="E747" s="249"/>
      <c r="F747" s="236">
        <f>ROUND(D747*$C747*$D$803,0)</f>
        <v>0</v>
      </c>
      <c r="G747" s="304">
        <f>G736</f>
        <v>1465</v>
      </c>
      <c r="H747" s="304"/>
      <c r="I747" s="236">
        <f t="shared" ref="I747:I749" si="112">ROUND(G747*C747*$G$803,0)</f>
        <v>0</v>
      </c>
      <c r="J747" s="304">
        <v>0</v>
      </c>
      <c r="K747" s="236"/>
      <c r="L747" s="236">
        <f>ROUND(J747*$C747*$D$803,0)</f>
        <v>0</v>
      </c>
      <c r="N747" s="165" t="e">
        <f>-(J747*#REF!)/100</f>
        <v>#REF!</v>
      </c>
      <c r="R747" s="76"/>
      <c r="S747" s="76"/>
      <c r="T747" s="76"/>
      <c r="U747" s="76"/>
      <c r="V747" s="76"/>
      <c r="W747" s="76"/>
      <c r="X747" s="76"/>
      <c r="Y747" s="76"/>
      <c r="Z747" s="76"/>
      <c r="AA747" s="76"/>
      <c r="AB747" s="76"/>
      <c r="AC747" s="76"/>
      <c r="AD747" s="76"/>
      <c r="AE747" s="76"/>
      <c r="AF747" s="76"/>
      <c r="AG747" s="76"/>
      <c r="AH747" s="76"/>
    </row>
    <row r="748" spans="1:34">
      <c r="A748" s="238" t="s">
        <v>217</v>
      </c>
      <c r="B748" s="182"/>
      <c r="C748" s="234">
        <v>0</v>
      </c>
      <c r="D748" s="304">
        <f>D738</f>
        <v>0.91</v>
      </c>
      <c r="E748" s="249"/>
      <c r="F748" s="236">
        <f>ROUND(D748*$C748*$D$803,0)</f>
        <v>0</v>
      </c>
      <c r="G748" s="304">
        <f>G738</f>
        <v>0.92</v>
      </c>
      <c r="H748" s="304"/>
      <c r="I748" s="236">
        <f t="shared" si="112"/>
        <v>0</v>
      </c>
      <c r="J748" s="304">
        <v>0</v>
      </c>
      <c r="K748" s="236"/>
      <c r="L748" s="236">
        <f>ROUND(J748*$C748*$D$803,0)</f>
        <v>0</v>
      </c>
      <c r="N748" s="165" t="e">
        <f>-(J748*#REF!)/100</f>
        <v>#REF!</v>
      </c>
      <c r="R748" s="76"/>
      <c r="S748" s="76"/>
      <c r="T748" s="76"/>
      <c r="U748" s="76"/>
      <c r="V748" s="76"/>
      <c r="W748" s="76"/>
      <c r="X748" s="76"/>
      <c r="Y748" s="76"/>
      <c r="Z748" s="76"/>
      <c r="AA748" s="76"/>
      <c r="AB748" s="76"/>
      <c r="AC748" s="76"/>
      <c r="AD748" s="76"/>
      <c r="AE748" s="76"/>
      <c r="AF748" s="76"/>
      <c r="AG748" s="76"/>
      <c r="AH748" s="76"/>
    </row>
    <row r="749" spans="1:34">
      <c r="A749" s="238" t="s">
        <v>218</v>
      </c>
      <c r="B749" s="182"/>
      <c r="C749" s="234">
        <f>C739</f>
        <v>0</v>
      </c>
      <c r="D749" s="304">
        <f>D739</f>
        <v>0.83</v>
      </c>
      <c r="E749" s="249"/>
      <c r="F749" s="236">
        <f>ROUND(D749*$C749*$D$803,0)</f>
        <v>0</v>
      </c>
      <c r="G749" s="304">
        <f>G739</f>
        <v>0.84</v>
      </c>
      <c r="H749" s="304"/>
      <c r="I749" s="236">
        <f t="shared" si="112"/>
        <v>0</v>
      </c>
      <c r="J749" s="304">
        <v>0</v>
      </c>
      <c r="K749" s="236"/>
      <c r="L749" s="236">
        <f>ROUND(J749*$C749*$D$803,0)</f>
        <v>0</v>
      </c>
      <c r="N749" s="165" t="e">
        <f>-(J749*#REF!)/100</f>
        <v>#REF!</v>
      </c>
      <c r="R749" s="76"/>
      <c r="S749" s="76"/>
      <c r="T749" s="76"/>
      <c r="U749" s="76"/>
      <c r="V749" s="76"/>
      <c r="W749" s="76"/>
      <c r="X749" s="76"/>
      <c r="Y749" s="76"/>
      <c r="Z749" s="76"/>
      <c r="AA749" s="76"/>
      <c r="AB749" s="76"/>
      <c r="AC749" s="76"/>
      <c r="AD749" s="76"/>
      <c r="AE749" s="76"/>
      <c r="AF749" s="76"/>
      <c r="AG749" s="76"/>
      <c r="AH749" s="76"/>
    </row>
    <row r="750" spans="1:34">
      <c r="A750" s="217" t="s">
        <v>153</v>
      </c>
      <c r="B750" s="304"/>
      <c r="C750" s="234">
        <v>0</v>
      </c>
      <c r="D750" s="304">
        <f>D740</f>
        <v>6.03</v>
      </c>
      <c r="E750" s="252"/>
      <c r="F750" s="236">
        <f>ROUND(D750*$C750*$D$803,0)</f>
        <v>0</v>
      </c>
      <c r="G750" s="304">
        <f>G740</f>
        <v>6.22</v>
      </c>
      <c r="H750" s="304"/>
      <c r="I750" s="236">
        <f>ROUND(G750*C750*$G$803,0)</f>
        <v>0</v>
      </c>
      <c r="J750" s="304">
        <v>0</v>
      </c>
      <c r="K750" s="236"/>
      <c r="L750" s="236">
        <f>ROUND(J750*$C750*$D$803,0)</f>
        <v>0</v>
      </c>
      <c r="N750" s="165" t="e">
        <f>-(J750*#REF!)/100</f>
        <v>#REF!</v>
      </c>
      <c r="R750" s="76"/>
      <c r="S750" s="76"/>
      <c r="T750" s="76"/>
      <c r="U750" s="76"/>
      <c r="V750" s="76"/>
      <c r="W750" s="76"/>
      <c r="X750" s="76"/>
      <c r="Y750" s="76"/>
      <c r="Z750" s="76"/>
      <c r="AA750" s="76"/>
      <c r="AB750" s="76"/>
      <c r="AC750" s="76"/>
      <c r="AD750" s="76"/>
      <c r="AE750" s="76"/>
      <c r="AF750" s="76"/>
      <c r="AG750" s="76"/>
      <c r="AH750" s="76"/>
    </row>
    <row r="751" spans="1:34">
      <c r="A751" s="238" t="s">
        <v>208</v>
      </c>
      <c r="B751" s="182"/>
      <c r="C751" s="234">
        <v>0</v>
      </c>
      <c r="D751" s="320">
        <f>D742</f>
        <v>3.4990000000000001</v>
      </c>
      <c r="E751" s="236" t="s">
        <v>126</v>
      </c>
      <c r="F751" s="236">
        <f>ROUND(D751/100*$C751*$D$803,0)</f>
        <v>0</v>
      </c>
      <c r="G751" s="320">
        <f>G742</f>
        <v>3.718</v>
      </c>
      <c r="H751" s="236" t="s">
        <v>126</v>
      </c>
      <c r="I751" s="236">
        <f>ROUND(G751/100*C751*$G$803,0)</f>
        <v>0</v>
      </c>
      <c r="J751" s="320">
        <v>0</v>
      </c>
      <c r="K751" s="236" t="s">
        <v>126</v>
      </c>
      <c r="L751" s="236">
        <f>ROUND(J751/100*$C751*$D$803,0)</f>
        <v>0</v>
      </c>
      <c r="N751" s="165" t="e">
        <f>-((J751*#REF!)/100)/100</f>
        <v>#REF!</v>
      </c>
      <c r="R751" s="76"/>
      <c r="S751" s="76"/>
      <c r="T751" s="76"/>
      <c r="U751" s="76"/>
      <c r="V751" s="76"/>
      <c r="W751" s="76"/>
      <c r="X751" s="76"/>
      <c r="Y751" s="76"/>
      <c r="Z751" s="76"/>
      <c r="AA751" s="76"/>
      <c r="AB751" s="76"/>
      <c r="AC751" s="76"/>
      <c r="AD751" s="76"/>
      <c r="AE751" s="76"/>
      <c r="AF751" s="76"/>
      <c r="AG751" s="76"/>
      <c r="AH751" s="76"/>
    </row>
    <row r="752" spans="1:34">
      <c r="A752" s="238" t="s">
        <v>150</v>
      </c>
      <c r="B752" s="182"/>
      <c r="C752" s="234">
        <v>0</v>
      </c>
      <c r="D752" s="304">
        <f>D743</f>
        <v>0.45</v>
      </c>
      <c r="E752" s="236"/>
      <c r="F752" s="236">
        <f>ROUND(D752*$C752*$D$803,0)</f>
        <v>0</v>
      </c>
      <c r="G752" s="304">
        <f>G743</f>
        <v>0.48</v>
      </c>
      <c r="H752" s="236"/>
      <c r="I752" s="236">
        <f t="shared" ref="I752:I754" si="113">ROUND(G752*C752*$G$803,0)</f>
        <v>0</v>
      </c>
      <c r="J752" s="304">
        <v>0</v>
      </c>
      <c r="K752" s="236"/>
      <c r="L752" s="236">
        <f>ROUND(J752*$C752*$D$803,0)</f>
        <v>0</v>
      </c>
      <c r="N752" s="165" t="e">
        <f>-(J752*#REF!)/100</f>
        <v>#REF!</v>
      </c>
      <c r="R752" s="76"/>
      <c r="S752" s="76"/>
      <c r="T752" s="76"/>
      <c r="U752" s="76"/>
      <c r="V752" s="76"/>
      <c r="W752" s="76"/>
      <c r="X752" s="76"/>
      <c r="Y752" s="76"/>
      <c r="Z752" s="76"/>
      <c r="AA752" s="76"/>
      <c r="AB752" s="76"/>
      <c r="AC752" s="76"/>
      <c r="AD752" s="76"/>
      <c r="AE752" s="76"/>
      <c r="AF752" s="76"/>
      <c r="AG752" s="76"/>
      <c r="AH752" s="76"/>
    </row>
    <row r="753" spans="1:37">
      <c r="A753" s="217" t="s">
        <v>219</v>
      </c>
      <c r="B753" s="182"/>
      <c r="C753" s="234">
        <v>0</v>
      </c>
      <c r="D753" s="304">
        <f>D811</f>
        <v>0</v>
      </c>
      <c r="E753" s="252"/>
      <c r="F753" s="236">
        <f>ROUND(D753*$C753,0)</f>
        <v>0</v>
      </c>
      <c r="G753" s="304">
        <f>G811</f>
        <v>0</v>
      </c>
      <c r="H753" s="252"/>
      <c r="I753" s="236">
        <f t="shared" si="113"/>
        <v>0</v>
      </c>
      <c r="J753" s="304">
        <v>0</v>
      </c>
      <c r="K753" s="236"/>
      <c r="L753" s="236">
        <f>ROUND(J753*$C753,0)</f>
        <v>0</v>
      </c>
      <c r="N753" s="165" t="e">
        <f>-(J753*#REF!)/100</f>
        <v>#REF!</v>
      </c>
      <c r="R753" s="76"/>
      <c r="S753" s="76"/>
      <c r="T753" s="76"/>
      <c r="U753" s="76"/>
      <c r="V753" s="76"/>
      <c r="W753" s="76"/>
      <c r="X753" s="76"/>
      <c r="Y753" s="76"/>
      <c r="Z753" s="76"/>
      <c r="AA753" s="76"/>
      <c r="AB753" s="76"/>
      <c r="AC753" s="76"/>
      <c r="AD753" s="76"/>
      <c r="AE753" s="76"/>
      <c r="AF753" s="76"/>
      <c r="AG753" s="76"/>
      <c r="AH753" s="76"/>
    </row>
    <row r="754" spans="1:37">
      <c r="A754" s="217" t="s">
        <v>188</v>
      </c>
      <c r="B754" s="182"/>
      <c r="C754" s="234">
        <v>0</v>
      </c>
      <c r="D754" s="304">
        <f>D812</f>
        <v>0</v>
      </c>
      <c r="E754" s="236"/>
      <c r="F754" s="236">
        <f>ROUND(D754*$C754,0)</f>
        <v>0</v>
      </c>
      <c r="G754" s="304">
        <f>G812</f>
        <v>0</v>
      </c>
      <c r="H754" s="236"/>
      <c r="I754" s="236">
        <f t="shared" si="113"/>
        <v>0</v>
      </c>
      <c r="J754" s="304">
        <f>J812</f>
        <v>0</v>
      </c>
      <c r="K754" s="236"/>
      <c r="L754" s="236">
        <f>ROUND(J754*$C754,0)</f>
        <v>0</v>
      </c>
      <c r="N754" s="165" t="e">
        <f>-(J754*#REF!)/100</f>
        <v>#REF!</v>
      </c>
      <c r="R754" s="76"/>
      <c r="S754" s="76"/>
      <c r="T754" s="76"/>
      <c r="U754" s="76"/>
      <c r="V754" s="76"/>
      <c r="W754" s="76"/>
      <c r="X754" s="76"/>
      <c r="Y754" s="76"/>
      <c r="Z754" s="76"/>
      <c r="AA754" s="76"/>
      <c r="AB754" s="76"/>
      <c r="AC754" s="76"/>
      <c r="AD754" s="76"/>
      <c r="AE754" s="76"/>
      <c r="AF754" s="76"/>
      <c r="AG754" s="76"/>
      <c r="AH754" s="76"/>
    </row>
    <row r="755" spans="1:37">
      <c r="A755" s="217" t="s">
        <v>181</v>
      </c>
      <c r="B755" s="182"/>
      <c r="C755" s="234">
        <v>1280</v>
      </c>
      <c r="D755" s="321">
        <v>3.0150000000000001</v>
      </c>
      <c r="E755" s="236"/>
      <c r="F755" s="236">
        <f>ROUND(D755*$C755,0)</f>
        <v>3859</v>
      </c>
      <c r="G755" s="321">
        <v>3.11</v>
      </c>
      <c r="H755" s="236"/>
      <c r="I755" s="236">
        <f>ROUND(G755*$C755,0)</f>
        <v>3981</v>
      </c>
      <c r="J755" s="321">
        <f>ROUND(J740/2,3)</f>
        <v>3.51</v>
      </c>
      <c r="K755" s="236"/>
      <c r="L755" s="236">
        <f>ROUND($C755*J755,0)</f>
        <v>4493</v>
      </c>
      <c r="N755" s="165" t="e">
        <f>J755*#REF!</f>
        <v>#REF!</v>
      </c>
      <c r="R755" s="76"/>
      <c r="S755" s="76"/>
      <c r="T755" s="76"/>
      <c r="U755" s="76"/>
      <c r="V755" s="76"/>
      <c r="W755" s="76"/>
      <c r="X755" s="76"/>
      <c r="Y755" s="76"/>
      <c r="Z755" s="76"/>
      <c r="AA755" s="76"/>
      <c r="AB755" s="76"/>
      <c r="AC755" s="76"/>
      <c r="AD755" s="76"/>
      <c r="AE755" s="76"/>
      <c r="AF755" s="76"/>
      <c r="AG755" s="76"/>
      <c r="AH755" s="76"/>
    </row>
    <row r="756" spans="1:37">
      <c r="A756" s="217" t="s">
        <v>182</v>
      </c>
      <c r="B756" s="182"/>
      <c r="C756" s="234">
        <v>760</v>
      </c>
      <c r="D756" s="249">
        <v>24.12</v>
      </c>
      <c r="E756" s="236"/>
      <c r="F756" s="236">
        <f>ROUND(D756*$C756,0)</f>
        <v>18331</v>
      </c>
      <c r="G756" s="249">
        <v>24.88</v>
      </c>
      <c r="H756" s="236"/>
      <c r="I756" s="236">
        <f>ROUND(G756*$C756,0)</f>
        <v>18909</v>
      </c>
      <c r="J756" s="249">
        <f>J740*4</f>
        <v>28.08</v>
      </c>
      <c r="K756" s="236"/>
      <c r="L756" s="236">
        <f>ROUND($C756*J756,0)</f>
        <v>21341</v>
      </c>
      <c r="N756" s="165" t="e">
        <f>J756*#REF!</f>
        <v>#REF!</v>
      </c>
      <c r="R756" s="76"/>
      <c r="S756" s="76"/>
      <c r="T756" s="76"/>
      <c r="U756" s="76"/>
      <c r="V756" s="76"/>
      <c r="W756" s="76"/>
      <c r="X756" s="76"/>
      <c r="Y756" s="76"/>
      <c r="Z756" s="76"/>
      <c r="AA756" s="76"/>
      <c r="AB756" s="76"/>
      <c r="AC756" s="76"/>
      <c r="AD756" s="76"/>
      <c r="AE756" s="76"/>
      <c r="AF756" s="76"/>
      <c r="AG756" s="76"/>
      <c r="AH756" s="76"/>
    </row>
    <row r="757" spans="1:37">
      <c r="A757" s="143" t="s">
        <v>183</v>
      </c>
      <c r="B757" s="211"/>
      <c r="C757" s="234">
        <v>6920</v>
      </c>
      <c r="D757" s="322">
        <v>13.996</v>
      </c>
      <c r="E757" s="236" t="s">
        <v>126</v>
      </c>
      <c r="F757" s="236">
        <f>ROUND($C757*D757/100,0)</f>
        <v>969</v>
      </c>
      <c r="G757" s="322">
        <v>14.872</v>
      </c>
      <c r="H757" s="236" t="s">
        <v>126</v>
      </c>
      <c r="I757" s="236">
        <f>ROUND($C757*G757/100,0)</f>
        <v>1029</v>
      </c>
      <c r="J757" s="322">
        <f>J742*4</f>
        <v>16.740000000000002</v>
      </c>
      <c r="K757" s="236" t="s">
        <v>126</v>
      </c>
      <c r="L757" s="236">
        <f>ROUND($C757*J757/100,0)</f>
        <v>1158</v>
      </c>
      <c r="N757" s="165" t="e">
        <f>(J757/100)*#REF!</f>
        <v>#REF!</v>
      </c>
      <c r="R757" s="76"/>
      <c r="S757" s="76"/>
      <c r="T757" s="76"/>
      <c r="U757" s="76"/>
      <c r="V757" s="76"/>
      <c r="W757" s="76"/>
      <c r="X757" s="76"/>
      <c r="Y757" s="76"/>
      <c r="Z757" s="76"/>
      <c r="AA757" s="76"/>
      <c r="AB757" s="76"/>
      <c r="AC757" s="76"/>
      <c r="AD757" s="76"/>
      <c r="AE757" s="76"/>
      <c r="AF757" s="76"/>
      <c r="AG757" s="76"/>
      <c r="AH757" s="76"/>
    </row>
    <row r="758" spans="1:37">
      <c r="A758" s="182" t="s">
        <v>131</v>
      </c>
      <c r="B758" s="182"/>
      <c r="C758" s="234">
        <f>C742+C757</f>
        <v>1820000</v>
      </c>
      <c r="D758" s="244"/>
      <c r="E758" s="164"/>
      <c r="F758" s="164">
        <f>SUM(F735:F757)</f>
        <v>179333</v>
      </c>
      <c r="G758" s="244"/>
      <c r="H758" s="244"/>
      <c r="I758" s="164">
        <f>SUM(I735:I757)</f>
        <v>186369</v>
      </c>
      <c r="J758" s="244"/>
      <c r="K758" s="182"/>
      <c r="L758" s="164">
        <f>SUM(L735:L757)</f>
        <v>210082</v>
      </c>
      <c r="N758" s="165" t="e">
        <f>SUM(N735:N757)</f>
        <v>#REF!</v>
      </c>
      <c r="R758" s="76"/>
      <c r="S758" s="76"/>
      <c r="T758" s="76"/>
      <c r="U758" s="76"/>
      <c r="V758" s="76"/>
      <c r="W758" s="76"/>
      <c r="X758" s="76"/>
      <c r="Y758" s="76"/>
      <c r="Z758" s="76"/>
      <c r="AA758" s="76"/>
      <c r="AB758" s="76"/>
      <c r="AC758" s="76"/>
      <c r="AD758" s="76"/>
      <c r="AE758" s="76"/>
      <c r="AF758" s="76"/>
      <c r="AG758" s="76"/>
      <c r="AH758" s="76"/>
    </row>
    <row r="759" spans="1:37">
      <c r="A759" s="182" t="s">
        <v>114</v>
      </c>
      <c r="B759" s="182"/>
      <c r="C759" s="234">
        <v>36960.978427143622</v>
      </c>
      <c r="D759" s="217"/>
      <c r="E759" s="217"/>
      <c r="F759" s="256">
        <v>5378.9646183328177</v>
      </c>
      <c r="G759" s="217"/>
      <c r="H759" s="217"/>
      <c r="I759" s="256">
        <f>F759</f>
        <v>5378.9646183328177</v>
      </c>
      <c r="J759" s="217"/>
      <c r="K759" s="217"/>
      <c r="L759" s="256">
        <f>F759</f>
        <v>5378.9646183328177</v>
      </c>
      <c r="R759" s="76"/>
      <c r="S759" s="76"/>
      <c r="T759" s="76"/>
      <c r="U759" s="76"/>
      <c r="V759" s="76"/>
      <c r="W759" s="76"/>
      <c r="X759" s="76"/>
      <c r="Y759" s="76"/>
      <c r="Z759" s="76"/>
      <c r="AA759" s="76"/>
      <c r="AB759" s="76"/>
      <c r="AC759" s="76"/>
      <c r="AD759" s="76"/>
      <c r="AE759" s="76"/>
      <c r="AF759" s="76"/>
      <c r="AG759" s="76"/>
      <c r="AH759" s="76"/>
    </row>
    <row r="760" spans="1:37" ht="16.5" thickBot="1">
      <c r="A760" s="182" t="s">
        <v>132</v>
      </c>
      <c r="B760" s="182"/>
      <c r="C760" s="323">
        <f>SUM(C758)+C759</f>
        <v>1856960.9784271435</v>
      </c>
      <c r="D760" s="258"/>
      <c r="E760" s="259"/>
      <c r="F760" s="260">
        <f>F758+F759</f>
        <v>184711.96461833283</v>
      </c>
      <c r="G760" s="258"/>
      <c r="H760" s="258"/>
      <c r="I760" s="260">
        <f>I758+I759</f>
        <v>191747.96461833283</v>
      </c>
      <c r="J760" s="258"/>
      <c r="K760" s="262"/>
      <c r="L760" s="260">
        <f>L758+L759</f>
        <v>215460.96461833283</v>
      </c>
      <c r="O760" s="179" t="s">
        <v>116</v>
      </c>
      <c r="P760" s="180">
        <v>215419.48659487645</v>
      </c>
      <c r="Q760" s="176">
        <f>(L760-I760)/I760</f>
        <v>0.1236675447752462</v>
      </c>
      <c r="R760" s="88" t="s">
        <v>117</v>
      </c>
      <c r="S760" s="76"/>
      <c r="T760" s="76"/>
      <c r="U760" s="76"/>
      <c r="V760" s="76"/>
      <c r="W760" s="76"/>
      <c r="X760" s="76"/>
      <c r="Y760" s="76"/>
      <c r="Z760" s="76"/>
      <c r="AA760" s="76"/>
      <c r="AB760" s="76"/>
      <c r="AC760" s="76"/>
      <c r="AD760" s="76"/>
      <c r="AE760" s="76"/>
      <c r="AF760" s="76"/>
      <c r="AG760" s="76"/>
      <c r="AH760" s="76"/>
    </row>
    <row r="761" spans="1:37" ht="16.5" thickTop="1">
      <c r="A761" s="182"/>
      <c r="B761" s="182"/>
      <c r="C761" s="200"/>
      <c r="D761" s="252"/>
      <c r="E761" s="164"/>
      <c r="F761" s="164"/>
      <c r="G761" s="252"/>
      <c r="H761" s="252"/>
      <c r="I761" s="164"/>
      <c r="J761" s="252"/>
      <c r="K761" s="182"/>
      <c r="L761" s="304"/>
      <c r="O761" s="183" t="s">
        <v>118</v>
      </c>
      <c r="P761" s="184">
        <f>P760-L760</f>
        <v>-41.47802345638047</v>
      </c>
      <c r="Q761" s="88" t="s">
        <v>0</v>
      </c>
      <c r="R761" s="76"/>
      <c r="S761" s="76"/>
      <c r="T761" s="76"/>
      <c r="U761" s="76"/>
      <c r="V761" s="76"/>
      <c r="W761" s="76"/>
      <c r="X761" s="76"/>
      <c r="Y761" s="76"/>
      <c r="Z761" s="76"/>
      <c r="AA761" s="76"/>
      <c r="AB761" s="76"/>
      <c r="AC761" s="76"/>
      <c r="AD761" s="76"/>
      <c r="AE761" s="76"/>
      <c r="AF761" s="76"/>
      <c r="AG761" s="76"/>
      <c r="AH761" s="76"/>
    </row>
    <row r="762" spans="1:37">
      <c r="A762" s="199" t="s">
        <v>220</v>
      </c>
      <c r="B762" s="182"/>
      <c r="C762" s="182"/>
      <c r="D762" s="164"/>
      <c r="E762" s="164"/>
      <c r="F762" s="182"/>
      <c r="G762" s="164"/>
      <c r="H762" s="164"/>
      <c r="I762" s="182"/>
      <c r="J762" s="164"/>
      <c r="K762" s="182"/>
      <c r="L762" s="182"/>
      <c r="N762" s="76"/>
      <c r="O762" s="76"/>
      <c r="P762" s="144"/>
      <c r="Q762" s="144"/>
      <c r="R762" s="76"/>
      <c r="S762" s="76"/>
      <c r="T762" s="76"/>
      <c r="U762" s="76"/>
      <c r="V762" s="76"/>
      <c r="W762" s="76"/>
      <c r="X762" s="76"/>
      <c r="Y762" s="76"/>
      <c r="Z762" s="76"/>
      <c r="AA762" s="76"/>
      <c r="AB762" s="76"/>
      <c r="AC762" s="76"/>
      <c r="AD762" s="76"/>
      <c r="AE762" s="76"/>
      <c r="AF762" s="76"/>
      <c r="AG762" s="76"/>
      <c r="AH762" s="76"/>
    </row>
    <row r="763" spans="1:37">
      <c r="A763" s="217" t="s">
        <v>221</v>
      </c>
      <c r="B763" s="182"/>
      <c r="C763" s="182"/>
      <c r="D763" s="164"/>
      <c r="E763" s="164"/>
      <c r="F763" s="182"/>
      <c r="G763" s="164"/>
      <c r="H763" s="164"/>
      <c r="I763" s="182"/>
      <c r="J763" s="164"/>
      <c r="K763" s="182"/>
      <c r="L763" s="182"/>
      <c r="N763" s="76"/>
      <c r="O763" s="76"/>
      <c r="P763" s="144"/>
      <c r="Q763" s="144"/>
      <c r="R763" s="76"/>
      <c r="S763" s="76"/>
      <c r="T763" s="76"/>
      <c r="U763" s="76"/>
      <c r="V763" s="76"/>
      <c r="W763" s="76"/>
      <c r="X763" s="76"/>
      <c r="Y763" s="76"/>
      <c r="Z763" s="76"/>
      <c r="AA763" s="76"/>
      <c r="AB763" s="76"/>
      <c r="AC763" s="76"/>
      <c r="AD763" s="76"/>
      <c r="AE763" s="76"/>
      <c r="AF763" s="76"/>
      <c r="AG763" s="76"/>
      <c r="AH763" s="76"/>
    </row>
    <row r="764" spans="1:37">
      <c r="A764" s="238"/>
      <c r="B764" s="182"/>
      <c r="C764" s="182"/>
      <c r="D764" s="164"/>
      <c r="E764" s="164"/>
      <c r="F764" s="182"/>
      <c r="G764" s="164"/>
      <c r="H764" s="164"/>
      <c r="I764" s="182"/>
      <c r="J764" s="164"/>
      <c r="K764" s="182"/>
      <c r="L764" s="182"/>
      <c r="N764" s="76"/>
      <c r="O764" s="76"/>
      <c r="P764" s="144"/>
      <c r="Q764" s="144"/>
      <c r="R764" s="76"/>
      <c r="S764" s="76"/>
      <c r="T764" s="76"/>
      <c r="U764" s="76"/>
      <c r="V764" s="76"/>
      <c r="W764" s="76"/>
      <c r="X764" s="76"/>
      <c r="Y764" s="76"/>
      <c r="Z764" s="76"/>
      <c r="AA764" s="76"/>
      <c r="AB764" s="76"/>
      <c r="AC764" s="76"/>
      <c r="AD764" s="76"/>
      <c r="AE764" s="76"/>
      <c r="AF764" s="76"/>
      <c r="AG764" s="76"/>
      <c r="AH764" s="76"/>
    </row>
    <row r="765" spans="1:37">
      <c r="A765" s="238" t="s">
        <v>144</v>
      </c>
      <c r="B765" s="182"/>
      <c r="C765" s="234"/>
      <c r="D765" s="164"/>
      <c r="E765" s="164"/>
      <c r="F765" s="182"/>
      <c r="G765" s="164"/>
      <c r="H765" s="164"/>
      <c r="I765" s="182"/>
      <c r="J765" s="164"/>
      <c r="K765" s="182"/>
      <c r="L765" s="182"/>
      <c r="N765" s="76"/>
      <c r="O765" s="76"/>
      <c r="P765" s="144"/>
      <c r="Q765" s="144"/>
      <c r="R765" s="76"/>
      <c r="S765" s="76"/>
      <c r="T765" s="76"/>
      <c r="U765" s="76"/>
      <c r="V765" s="76"/>
      <c r="W765" s="76"/>
      <c r="X765" s="76"/>
      <c r="Y765" s="76"/>
      <c r="Z765" s="76"/>
      <c r="AA765" s="76"/>
      <c r="AB765" s="76"/>
      <c r="AC765" s="76"/>
      <c r="AD765" s="76"/>
      <c r="AE765" s="76"/>
      <c r="AF765" s="76"/>
      <c r="AG765" s="76"/>
      <c r="AH765" s="76"/>
    </row>
    <row r="766" spans="1:37">
      <c r="A766" s="238" t="s">
        <v>215</v>
      </c>
      <c r="B766" s="182"/>
      <c r="C766" s="234">
        <f>C794+C1040</f>
        <v>616</v>
      </c>
      <c r="D766" s="252"/>
      <c r="E766" s="252"/>
      <c r="F766" s="164">
        <f>F794+F1040</f>
        <v>742280</v>
      </c>
      <c r="G766" s="252"/>
      <c r="H766" s="252"/>
      <c r="I766" s="164">
        <f>I794+I1040</f>
        <v>752040</v>
      </c>
      <c r="J766" s="252"/>
      <c r="K766" s="236"/>
      <c r="L766" s="164">
        <f>L794+L1040</f>
        <v>845040</v>
      </c>
      <c r="N766" s="165" t="e">
        <f>J766*#REF!</f>
        <v>#REF!</v>
      </c>
      <c r="P766" s="88" t="s">
        <v>0</v>
      </c>
      <c r="Q766" s="143"/>
      <c r="Y766" s="231"/>
      <c r="Z766" s="231"/>
      <c r="AF766" s="76"/>
      <c r="AG766" s="76"/>
      <c r="AH766" s="76"/>
      <c r="AI766" s="76"/>
      <c r="AJ766" s="76"/>
      <c r="AK766" s="76"/>
    </row>
    <row r="767" spans="1:37">
      <c r="A767" s="238" t="s">
        <v>216</v>
      </c>
      <c r="B767" s="182"/>
      <c r="C767" s="234">
        <f t="shared" ref="C767:C786" si="114">C795+C1041</f>
        <v>60</v>
      </c>
      <c r="D767" s="252"/>
      <c r="E767" s="252"/>
      <c r="F767" s="164">
        <f>F795+F1041</f>
        <v>87000</v>
      </c>
      <c r="G767" s="252"/>
      <c r="H767" s="252"/>
      <c r="I767" s="164">
        <f>I795+I1041</f>
        <v>96120</v>
      </c>
      <c r="J767" s="252"/>
      <c r="K767" s="239"/>
      <c r="L767" s="164">
        <f>L795+L1041</f>
        <v>110064</v>
      </c>
      <c r="N767" s="165" t="e">
        <f>J767*#REF!</f>
        <v>#REF!</v>
      </c>
      <c r="P767" s="88" t="s">
        <v>0</v>
      </c>
      <c r="Q767" s="143"/>
      <c r="R767" s="210"/>
      <c r="S767" s="210"/>
      <c r="T767" s="210"/>
      <c r="U767" s="210"/>
      <c r="V767" s="210"/>
      <c r="W767" s="210"/>
      <c r="X767" s="131"/>
      <c r="Y767" s="231"/>
      <c r="Z767" s="231"/>
      <c r="AF767" s="76"/>
      <c r="AG767" s="76"/>
      <c r="AH767" s="76"/>
      <c r="AI767" s="76"/>
      <c r="AJ767" s="76"/>
      <c r="AK767" s="76"/>
    </row>
    <row r="768" spans="1:37">
      <c r="A768" s="238" t="s">
        <v>145</v>
      </c>
      <c r="B768" s="182"/>
      <c r="C768" s="234">
        <f t="shared" si="114"/>
        <v>676</v>
      </c>
      <c r="D768" s="252"/>
      <c r="E768" s="252"/>
      <c r="F768" s="164"/>
      <c r="G768" s="252"/>
      <c r="H768" s="252"/>
      <c r="I768" s="164"/>
      <c r="J768" s="252"/>
      <c r="K768" s="236"/>
      <c r="L768" s="164"/>
      <c r="P768" s="235"/>
      <c r="Q768" s="143"/>
      <c r="R768" s="210"/>
      <c r="S768" s="210"/>
      <c r="T768" s="210"/>
      <c r="U768" s="210"/>
      <c r="V768" s="210"/>
      <c r="W768" s="210"/>
      <c r="X768" s="131"/>
      <c r="AF768" s="76"/>
      <c r="AG768" s="76"/>
      <c r="AH768" s="76"/>
      <c r="AI768" s="76"/>
      <c r="AJ768" s="76"/>
      <c r="AK768" s="76"/>
    </row>
    <row r="769" spans="1:37">
      <c r="A769" s="238" t="s">
        <v>217</v>
      </c>
      <c r="B769" s="182"/>
      <c r="C769" s="234">
        <f t="shared" si="114"/>
        <v>833348</v>
      </c>
      <c r="D769" s="252"/>
      <c r="E769" s="252"/>
      <c r="F769" s="164">
        <f t="shared" ref="F769:I771" si="115">F797+F1043</f>
        <v>758347</v>
      </c>
      <c r="G769" s="252"/>
      <c r="H769" s="252"/>
      <c r="I769" s="164">
        <f t="shared" si="115"/>
        <v>690665</v>
      </c>
      <c r="J769" s="252"/>
      <c r="K769" s="236"/>
      <c r="L769" s="164">
        <f t="shared" ref="L769:L771" si="116">L797+L1043</f>
        <v>782581</v>
      </c>
      <c r="N769" s="165" t="e">
        <f>J769*#REF!</f>
        <v>#REF!</v>
      </c>
      <c r="P769" s="88" t="s">
        <v>0</v>
      </c>
      <c r="Q769" s="143"/>
      <c r="R769" s="210"/>
      <c r="S769" s="210"/>
      <c r="T769" s="210"/>
      <c r="U769" s="210"/>
      <c r="V769" s="210"/>
      <c r="W769" s="210"/>
      <c r="X769" s="131"/>
      <c r="AF769" s="76"/>
      <c r="AG769" s="76"/>
      <c r="AH769" s="76"/>
      <c r="AI769" s="76"/>
      <c r="AJ769" s="76"/>
      <c r="AK769" s="76"/>
    </row>
    <row r="770" spans="1:37">
      <c r="A770" s="238" t="s">
        <v>218</v>
      </c>
      <c r="B770" s="182"/>
      <c r="C770" s="234">
        <f t="shared" si="114"/>
        <v>884503</v>
      </c>
      <c r="D770" s="252"/>
      <c r="E770" s="252"/>
      <c r="F770" s="164">
        <f t="shared" si="115"/>
        <v>734137</v>
      </c>
      <c r="G770" s="252"/>
      <c r="H770" s="252"/>
      <c r="I770" s="164">
        <f t="shared" si="115"/>
        <v>262841</v>
      </c>
      <c r="J770" s="252"/>
      <c r="K770" s="236"/>
      <c r="L770" s="164">
        <f t="shared" si="116"/>
        <v>298813</v>
      </c>
      <c r="N770" s="165" t="e">
        <f>J770*#REF!</f>
        <v>#REF!</v>
      </c>
      <c r="P770" s="88" t="s">
        <v>0</v>
      </c>
      <c r="Q770" s="143"/>
      <c r="R770" s="210"/>
      <c r="S770" s="210"/>
      <c r="T770" s="210"/>
      <c r="U770" s="210"/>
      <c r="V770" s="210"/>
      <c r="W770" s="210"/>
      <c r="X770" s="131"/>
      <c r="AF770" s="76"/>
      <c r="AG770" s="76"/>
      <c r="AH770" s="76"/>
      <c r="AI770" s="76"/>
      <c r="AJ770" s="76"/>
      <c r="AK770" s="76"/>
    </row>
    <row r="771" spans="1:37">
      <c r="A771" s="217" t="s">
        <v>153</v>
      </c>
      <c r="B771" s="182"/>
      <c r="C771" s="234">
        <f t="shared" si="114"/>
        <v>1484624</v>
      </c>
      <c r="D771" s="252"/>
      <c r="E771" s="252"/>
      <c r="F771" s="164">
        <f t="shared" si="115"/>
        <v>8952283</v>
      </c>
      <c r="G771" s="252"/>
      <c r="H771" s="252"/>
      <c r="I771" s="164">
        <f t="shared" si="115"/>
        <v>9129263</v>
      </c>
      <c r="J771" s="252"/>
      <c r="K771" s="236"/>
      <c r="L771" s="164">
        <f t="shared" si="116"/>
        <v>10291359</v>
      </c>
      <c r="N771" s="165" t="e">
        <f>J771*#REF!</f>
        <v>#REF!</v>
      </c>
      <c r="P771" s="88" t="s">
        <v>0</v>
      </c>
      <c r="Q771" s="143"/>
      <c r="R771" s="210"/>
      <c r="S771" s="210"/>
      <c r="T771" s="210"/>
      <c r="U771" s="210"/>
      <c r="V771" s="210"/>
      <c r="W771" s="210"/>
      <c r="X771" s="131"/>
      <c r="AF771" s="76"/>
      <c r="AG771" s="76"/>
      <c r="AH771" s="76"/>
      <c r="AI771" s="76"/>
      <c r="AJ771" s="76"/>
      <c r="AK771" s="76"/>
    </row>
    <row r="772" spans="1:37">
      <c r="A772" s="238" t="s">
        <v>174</v>
      </c>
      <c r="B772" s="182"/>
      <c r="C772" s="234"/>
      <c r="D772" s="252"/>
      <c r="E772" s="252"/>
      <c r="F772" s="164"/>
      <c r="G772" s="252"/>
      <c r="H772" s="252"/>
      <c r="I772" s="164"/>
      <c r="J772" s="252"/>
      <c r="K772" s="236"/>
      <c r="L772" s="164"/>
      <c r="P772" s="235"/>
      <c r="AA772" s="76"/>
      <c r="AB772" s="76"/>
      <c r="AC772" s="76"/>
      <c r="AD772" s="76"/>
      <c r="AE772" s="76"/>
      <c r="AF772" s="76"/>
      <c r="AG772" s="76"/>
      <c r="AH772" s="76"/>
    </row>
    <row r="773" spans="1:37">
      <c r="A773" s="238" t="s">
        <v>208</v>
      </c>
      <c r="B773" s="182"/>
      <c r="C773" s="234">
        <f t="shared" si="114"/>
        <v>797826216</v>
      </c>
      <c r="D773" s="309"/>
      <c r="E773" s="236"/>
      <c r="F773" s="164">
        <f t="shared" ref="F773:I774" si="117">F801+F1047</f>
        <v>27915940</v>
      </c>
      <c r="G773" s="309"/>
      <c r="H773" s="309"/>
      <c r="I773" s="164">
        <f t="shared" si="117"/>
        <v>29371320</v>
      </c>
      <c r="J773" s="324"/>
      <c r="K773" s="236"/>
      <c r="L773" s="164">
        <f t="shared" ref="L773:L774" si="118">L801+L1047</f>
        <v>33081031</v>
      </c>
      <c r="N773" s="165" t="e">
        <f>(J773/100)*#REF!</f>
        <v>#REF!</v>
      </c>
      <c r="P773" s="88" t="s">
        <v>0</v>
      </c>
      <c r="AA773" s="76"/>
      <c r="AB773" s="76"/>
      <c r="AC773" s="76"/>
      <c r="AD773" s="76"/>
      <c r="AE773" s="76"/>
      <c r="AF773" s="76"/>
      <c r="AG773" s="76"/>
      <c r="AH773" s="76"/>
    </row>
    <row r="774" spans="1:37">
      <c r="A774" s="238" t="s">
        <v>150</v>
      </c>
      <c r="B774" s="182"/>
      <c r="C774" s="234">
        <f t="shared" si="114"/>
        <v>376776</v>
      </c>
      <c r="D774" s="252"/>
      <c r="E774" s="236"/>
      <c r="F774" s="164">
        <f t="shared" si="117"/>
        <v>169548</v>
      </c>
      <c r="G774" s="252"/>
      <c r="H774" s="252"/>
      <c r="I774" s="164">
        <f t="shared" si="117"/>
        <v>177041</v>
      </c>
      <c r="J774" s="252"/>
      <c r="K774" s="236"/>
      <c r="L774" s="164">
        <f t="shared" si="118"/>
        <v>199650</v>
      </c>
      <c r="N774" s="165" t="e">
        <f>J774*#REF!</f>
        <v>#REF!</v>
      </c>
      <c r="O774" s="235"/>
      <c r="P774" s="88" t="s">
        <v>0</v>
      </c>
      <c r="AA774" s="76"/>
      <c r="AB774" s="76"/>
      <c r="AC774" s="76"/>
      <c r="AD774" s="76"/>
      <c r="AE774" s="76"/>
      <c r="AF774" s="76"/>
      <c r="AG774" s="76"/>
      <c r="AH774" s="76"/>
    </row>
    <row r="775" spans="1:37">
      <c r="A775" s="280" t="s">
        <v>151</v>
      </c>
      <c r="B775" s="182"/>
      <c r="C775" s="234"/>
      <c r="D775" s="247"/>
      <c r="E775" s="247"/>
      <c r="F775" s="164"/>
      <c r="G775" s="247"/>
      <c r="H775" s="247"/>
      <c r="I775" s="164"/>
      <c r="J775" s="247"/>
      <c r="K775" s="281"/>
      <c r="L775" s="164"/>
      <c r="AA775" s="76"/>
      <c r="AB775" s="76"/>
      <c r="AC775" s="76"/>
      <c r="AD775" s="76"/>
      <c r="AE775" s="76"/>
      <c r="AF775" s="76"/>
      <c r="AG775" s="76"/>
      <c r="AH775" s="76"/>
    </row>
    <row r="776" spans="1:37">
      <c r="A776" s="238" t="s">
        <v>215</v>
      </c>
      <c r="B776" s="182"/>
      <c r="C776" s="234">
        <f t="shared" si="114"/>
        <v>120</v>
      </c>
      <c r="D776" s="249"/>
      <c r="E776" s="249"/>
      <c r="F776" s="164">
        <f t="shared" ref="F776:I785" si="119">F804+F1050</f>
        <v>-1446</v>
      </c>
      <c r="G776" s="249"/>
      <c r="H776" s="249"/>
      <c r="I776" s="164">
        <f t="shared" si="119"/>
        <v>0</v>
      </c>
      <c r="J776" s="249"/>
      <c r="K776" s="236"/>
      <c r="L776" s="164">
        <f t="shared" ref="L776:L785" si="120">L804+L1050</f>
        <v>0</v>
      </c>
      <c r="N776" s="165" t="e">
        <f>-(J776/100)*#REF!</f>
        <v>#REF!</v>
      </c>
      <c r="AA776" s="76"/>
      <c r="AB776" s="76"/>
      <c r="AC776" s="76"/>
      <c r="AD776" s="76"/>
      <c r="AE776" s="76"/>
      <c r="AF776" s="76"/>
      <c r="AG776" s="76"/>
      <c r="AH776" s="76"/>
    </row>
    <row r="777" spans="1:37">
      <c r="A777" s="238" t="s">
        <v>216</v>
      </c>
      <c r="B777" s="182"/>
      <c r="C777" s="234">
        <f t="shared" si="114"/>
        <v>36</v>
      </c>
      <c r="D777" s="249"/>
      <c r="E777" s="249"/>
      <c r="F777" s="164">
        <f t="shared" si="119"/>
        <v>-522</v>
      </c>
      <c r="G777" s="249"/>
      <c r="H777" s="249"/>
      <c r="I777" s="164">
        <f t="shared" si="119"/>
        <v>0</v>
      </c>
      <c r="J777" s="249"/>
      <c r="K777" s="236"/>
      <c r="L777" s="164">
        <f t="shared" si="120"/>
        <v>0</v>
      </c>
      <c r="N777" s="165" t="e">
        <f>-(J777/100)*#REF!</f>
        <v>#REF!</v>
      </c>
      <c r="AA777" s="76"/>
      <c r="AB777" s="76"/>
      <c r="AC777" s="76"/>
      <c r="AD777" s="76"/>
      <c r="AE777" s="76"/>
      <c r="AF777" s="76"/>
      <c r="AG777" s="76"/>
      <c r="AH777" s="76"/>
    </row>
    <row r="778" spans="1:37">
      <c r="A778" s="238" t="s">
        <v>217</v>
      </c>
      <c r="B778" s="182"/>
      <c r="C778" s="234">
        <f t="shared" si="114"/>
        <v>161734</v>
      </c>
      <c r="D778" s="249"/>
      <c r="E778" s="249"/>
      <c r="F778" s="164">
        <f t="shared" si="119"/>
        <v>-1472</v>
      </c>
      <c r="G778" s="249"/>
      <c r="H778" s="249"/>
      <c r="I778" s="164">
        <f t="shared" si="119"/>
        <v>0</v>
      </c>
      <c r="J778" s="249"/>
      <c r="K778" s="236"/>
      <c r="L778" s="164">
        <f t="shared" si="120"/>
        <v>0</v>
      </c>
      <c r="N778" s="165" t="e">
        <f>-(J778/100)*#REF!</f>
        <v>#REF!</v>
      </c>
      <c r="O778" s="143" t="s">
        <v>0</v>
      </c>
      <c r="AA778" s="76"/>
      <c r="AB778" s="76"/>
      <c r="AC778" s="76"/>
      <c r="AD778" s="76"/>
      <c r="AE778" s="76"/>
      <c r="AF778" s="76"/>
      <c r="AG778" s="76"/>
      <c r="AH778" s="76"/>
    </row>
    <row r="779" spans="1:37">
      <c r="A779" s="238" t="s">
        <v>218</v>
      </c>
      <c r="B779" s="182"/>
      <c r="C779" s="234">
        <f t="shared" si="114"/>
        <v>779622</v>
      </c>
      <c r="D779" s="249"/>
      <c r="E779" s="249"/>
      <c r="F779" s="164">
        <f t="shared" si="119"/>
        <v>-6471</v>
      </c>
      <c r="G779" s="249"/>
      <c r="H779" s="249"/>
      <c r="I779" s="164">
        <f t="shared" si="119"/>
        <v>0</v>
      </c>
      <c r="J779" s="249"/>
      <c r="K779" s="236"/>
      <c r="L779" s="164">
        <f t="shared" si="120"/>
        <v>0</v>
      </c>
      <c r="N779" s="165" t="e">
        <f>-(J779/100)*#REF!</f>
        <v>#REF!</v>
      </c>
      <c r="AA779" s="76"/>
      <c r="AB779" s="76"/>
      <c r="AC779" s="76"/>
      <c r="AD779" s="76"/>
      <c r="AE779" s="76"/>
      <c r="AF779" s="76"/>
      <c r="AG779" s="76"/>
      <c r="AH779" s="76"/>
    </row>
    <row r="780" spans="1:37">
      <c r="A780" s="217" t="s">
        <v>153</v>
      </c>
      <c r="B780" s="304"/>
      <c r="C780" s="234">
        <f t="shared" si="114"/>
        <v>853417</v>
      </c>
      <c r="D780" s="249"/>
      <c r="E780" s="252"/>
      <c r="F780" s="164">
        <f t="shared" si="119"/>
        <v>-51461</v>
      </c>
      <c r="G780" s="249"/>
      <c r="H780" s="249"/>
      <c r="I780" s="164">
        <f t="shared" si="119"/>
        <v>0</v>
      </c>
      <c r="J780" s="249"/>
      <c r="K780" s="236"/>
      <c r="L780" s="164">
        <f t="shared" si="120"/>
        <v>0</v>
      </c>
      <c r="N780" s="165" t="e">
        <f>-(J780/100)*#REF!</f>
        <v>#REF!</v>
      </c>
      <c r="AA780" s="76"/>
      <c r="AB780" s="76"/>
      <c r="AC780" s="76"/>
      <c r="AD780" s="76"/>
      <c r="AE780" s="76"/>
      <c r="AF780" s="76"/>
      <c r="AG780" s="76"/>
      <c r="AH780" s="76"/>
    </row>
    <row r="781" spans="1:37">
      <c r="A781" s="238" t="s">
        <v>208</v>
      </c>
      <c r="B781" s="182"/>
      <c r="C781" s="234">
        <f t="shared" si="114"/>
        <v>512434095</v>
      </c>
      <c r="D781" s="250"/>
      <c r="E781" s="236"/>
      <c r="F781" s="164">
        <f t="shared" si="119"/>
        <v>-179301</v>
      </c>
      <c r="G781" s="250"/>
      <c r="H781" s="250"/>
      <c r="I781" s="164">
        <f t="shared" si="119"/>
        <v>0</v>
      </c>
      <c r="J781" s="250"/>
      <c r="K781" s="236"/>
      <c r="L781" s="164">
        <f t="shared" si="120"/>
        <v>0</v>
      </c>
      <c r="N781" s="165" t="e">
        <f>-((J781/100)*#REF!)/100</f>
        <v>#REF!</v>
      </c>
      <c r="AA781" s="76"/>
      <c r="AB781" s="76"/>
      <c r="AC781" s="76"/>
      <c r="AD781" s="76"/>
      <c r="AE781" s="76"/>
      <c r="AF781" s="76"/>
      <c r="AG781" s="76"/>
      <c r="AH781" s="76"/>
    </row>
    <row r="782" spans="1:37">
      <c r="A782" s="238" t="s">
        <v>150</v>
      </c>
      <c r="B782" s="182"/>
      <c r="C782" s="234">
        <f t="shared" si="114"/>
        <v>202632</v>
      </c>
      <c r="D782" s="304"/>
      <c r="E782" s="236"/>
      <c r="F782" s="164">
        <f t="shared" si="119"/>
        <v>-912</v>
      </c>
      <c r="G782" s="304"/>
      <c r="H782" s="304"/>
      <c r="I782" s="164">
        <f t="shared" si="119"/>
        <v>0</v>
      </c>
      <c r="J782" s="304"/>
      <c r="K782" s="236"/>
      <c r="L782" s="164">
        <f t="shared" si="120"/>
        <v>0</v>
      </c>
      <c r="N782" s="165" t="e">
        <f>-(J782/100)*#REF!</f>
        <v>#REF!</v>
      </c>
      <c r="S782" s="143" t="s">
        <v>0</v>
      </c>
      <c r="AA782" s="76"/>
      <c r="AB782" s="76"/>
      <c r="AC782" s="76"/>
      <c r="AD782" s="76"/>
      <c r="AE782" s="76"/>
      <c r="AF782" s="76"/>
      <c r="AG782" s="76"/>
      <c r="AH782" s="76"/>
    </row>
    <row r="783" spans="1:37">
      <c r="A783" s="217" t="s">
        <v>219</v>
      </c>
      <c r="B783" s="182"/>
      <c r="C783" s="234">
        <f t="shared" si="114"/>
        <v>144.12</v>
      </c>
      <c r="D783" s="252"/>
      <c r="E783" s="252"/>
      <c r="F783" s="164">
        <f t="shared" si="119"/>
        <v>8647</v>
      </c>
      <c r="G783" s="252"/>
      <c r="H783" s="252"/>
      <c r="I783" s="164">
        <f t="shared" si="119"/>
        <v>0</v>
      </c>
      <c r="J783" s="252"/>
      <c r="K783" s="236"/>
      <c r="L783" s="164">
        <f t="shared" si="120"/>
        <v>0</v>
      </c>
      <c r="N783" s="165" t="e">
        <f>J783*#REF!</f>
        <v>#REF!</v>
      </c>
      <c r="AA783" s="76"/>
      <c r="AB783" s="76"/>
      <c r="AC783" s="76"/>
      <c r="AD783" s="76"/>
      <c r="AE783" s="76"/>
      <c r="AF783" s="76"/>
      <c r="AG783" s="76"/>
      <c r="AH783" s="76"/>
    </row>
    <row r="784" spans="1:37">
      <c r="A784" s="217" t="s">
        <v>188</v>
      </c>
      <c r="B784" s="182"/>
      <c r="C784" s="234">
        <f t="shared" si="114"/>
        <v>941356</v>
      </c>
      <c r="D784" s="252"/>
      <c r="E784" s="236"/>
      <c r="F784" s="164">
        <f t="shared" si="119"/>
        <v>-706017</v>
      </c>
      <c r="G784" s="252"/>
      <c r="H784" s="252"/>
      <c r="I784" s="164">
        <f t="shared" si="119"/>
        <v>0</v>
      </c>
      <c r="J784" s="252"/>
      <c r="K784" s="236"/>
      <c r="L784" s="164">
        <f t="shared" si="120"/>
        <v>0</v>
      </c>
      <c r="N784" s="165" t="e">
        <f>J784*#REF!</f>
        <v>#REF!</v>
      </c>
      <c r="AA784" s="76"/>
      <c r="AB784" s="76"/>
      <c r="AC784" s="76"/>
      <c r="AD784" s="76"/>
      <c r="AE784" s="76"/>
      <c r="AF784" s="76"/>
      <c r="AG784" s="76"/>
      <c r="AH784" s="76"/>
    </row>
    <row r="785" spans="1:36">
      <c r="A785" s="182" t="s">
        <v>131</v>
      </c>
      <c r="B785" s="182"/>
      <c r="C785" s="234">
        <f t="shared" si="114"/>
        <v>797826216</v>
      </c>
      <c r="D785" s="244"/>
      <c r="E785" s="164"/>
      <c r="F785" s="164">
        <f t="shared" si="119"/>
        <v>38420580</v>
      </c>
      <c r="G785" s="244"/>
      <c r="H785" s="244"/>
      <c r="I785" s="164">
        <f t="shared" si="119"/>
        <v>40479290</v>
      </c>
      <c r="J785" s="164"/>
      <c r="K785" s="182"/>
      <c r="L785" s="164">
        <f t="shared" si="120"/>
        <v>45608538</v>
      </c>
      <c r="N785" s="165" t="e">
        <f>SUM(N766:N784)</f>
        <v>#REF!</v>
      </c>
      <c r="AA785" s="76"/>
      <c r="AB785" s="76"/>
      <c r="AC785" s="76"/>
      <c r="AD785" s="76"/>
      <c r="AE785" s="76"/>
      <c r="AF785" s="76"/>
      <c r="AG785" s="76"/>
      <c r="AH785" s="76"/>
    </row>
    <row r="786" spans="1:36">
      <c r="A786" s="182" t="s">
        <v>114</v>
      </c>
      <c r="B786" s="182"/>
      <c r="C786" s="255">
        <f t="shared" si="114"/>
        <v>15806939.02370416</v>
      </c>
      <c r="D786" s="217"/>
      <c r="E786" s="217"/>
      <c r="F786" s="325">
        <f>F814+F1060</f>
        <v>1070240.3555242394</v>
      </c>
      <c r="G786" s="217"/>
      <c r="H786" s="217"/>
      <c r="I786" s="325">
        <f>I814+I1060</f>
        <v>1070240.3555242394</v>
      </c>
      <c r="J786" s="217"/>
      <c r="K786" s="217"/>
      <c r="L786" s="325">
        <f>L814+L1060</f>
        <v>1070240.3555242394</v>
      </c>
      <c r="R786" s="185"/>
      <c r="S786" s="185"/>
      <c r="AA786" s="76"/>
      <c r="AB786" s="76"/>
      <c r="AC786" s="76"/>
      <c r="AD786" s="76"/>
      <c r="AE786" s="76"/>
      <c r="AF786" s="76"/>
      <c r="AG786" s="76"/>
      <c r="AH786" s="76"/>
    </row>
    <row r="787" spans="1:36" ht="16.5" thickBot="1">
      <c r="A787" s="182" t="s">
        <v>132</v>
      </c>
      <c r="B787" s="182"/>
      <c r="C787" s="326">
        <f>SUM(C785:C786)</f>
        <v>813633155.02370417</v>
      </c>
      <c r="D787" s="258"/>
      <c r="E787" s="259"/>
      <c r="F787" s="327">
        <f>F785+F786</f>
        <v>39490820.355524242</v>
      </c>
      <c r="G787" s="258"/>
      <c r="H787" s="272"/>
      <c r="I787" s="327">
        <f>I785+I786</f>
        <v>41549530.355524242</v>
      </c>
      <c r="J787" s="258"/>
      <c r="K787" s="262"/>
      <c r="L787" s="327">
        <f>L785+L786</f>
        <v>46678778.355524242</v>
      </c>
      <c r="O787" s="179" t="s">
        <v>116</v>
      </c>
      <c r="P787" s="180">
        <v>46894290.447551668</v>
      </c>
      <c r="Q787" s="176">
        <f>(L787-I787)/I787</f>
        <v>0.12344900065321768</v>
      </c>
      <c r="R787" s="88" t="s">
        <v>117</v>
      </c>
      <c r="AA787" s="76"/>
      <c r="AB787" s="76"/>
      <c r="AC787" s="76"/>
      <c r="AD787" s="76"/>
      <c r="AE787" s="76"/>
      <c r="AF787" s="76"/>
      <c r="AG787" s="76"/>
      <c r="AH787" s="76"/>
    </row>
    <row r="788" spans="1:36" ht="16.5" hidden="1" thickTop="1">
      <c r="A788" s="182"/>
      <c r="B788" s="182"/>
      <c r="C788" s="200"/>
      <c r="D788" s="252"/>
      <c r="E788" s="164"/>
      <c r="F788" s="164"/>
      <c r="G788" s="252"/>
      <c r="H788" s="252"/>
      <c r="I788" s="164"/>
      <c r="J788" s="275" t="s">
        <v>0</v>
      </c>
      <c r="K788" s="182"/>
      <c r="L788" s="164" t="s">
        <v>0</v>
      </c>
      <c r="O788" s="328" t="s">
        <v>118</v>
      </c>
      <c r="P788" s="329">
        <f>P787-L787-L760</f>
        <v>51.127409092936432</v>
      </c>
      <c r="Q788" s="185" t="s">
        <v>0</v>
      </c>
      <c r="AA788" s="76"/>
      <c r="AB788" s="76"/>
      <c r="AC788" s="76"/>
      <c r="AD788" s="76"/>
      <c r="AE788" s="76"/>
      <c r="AF788" s="76"/>
      <c r="AG788" s="76"/>
      <c r="AH788" s="76"/>
    </row>
    <row r="789" spans="1:36" ht="16.5" thickTop="1">
      <c r="A789" s="182"/>
      <c r="B789" s="182"/>
      <c r="C789" s="200"/>
      <c r="D789" s="252"/>
      <c r="E789" s="164"/>
      <c r="F789" s="164"/>
      <c r="G789" s="252"/>
      <c r="H789" s="252"/>
      <c r="I789" s="164"/>
      <c r="J789" s="252"/>
      <c r="K789" s="182"/>
      <c r="L789" s="304"/>
      <c r="N789" s="76"/>
      <c r="O789" s="183" t="s">
        <v>118</v>
      </c>
      <c r="P789" s="184">
        <f>P787-L787-L760</f>
        <v>51.127409092936432</v>
      </c>
      <c r="Q789" s="144"/>
      <c r="R789" s="76"/>
      <c r="S789" s="76"/>
      <c r="T789" s="76"/>
      <c r="U789" s="76"/>
      <c r="V789" s="76"/>
      <c r="W789" s="76"/>
      <c r="X789" s="76"/>
      <c r="Y789" s="76"/>
      <c r="Z789" s="76"/>
      <c r="AA789" s="76"/>
      <c r="AB789" s="76"/>
      <c r="AC789" s="76"/>
      <c r="AD789" s="76"/>
      <c r="AE789" s="76"/>
      <c r="AF789" s="76"/>
      <c r="AG789" s="76"/>
      <c r="AH789" s="76"/>
    </row>
    <row r="790" spans="1:36">
      <c r="A790" s="199" t="s">
        <v>220</v>
      </c>
      <c r="B790" s="182"/>
      <c r="C790" s="182"/>
      <c r="D790" s="164"/>
      <c r="E790" s="164"/>
      <c r="F790" s="182"/>
      <c r="G790" s="164"/>
      <c r="H790" s="164"/>
      <c r="I790" s="182"/>
      <c r="J790" s="164"/>
      <c r="K790" s="182"/>
      <c r="L790" s="182"/>
      <c r="N790" s="267"/>
      <c r="O790" s="267"/>
      <c r="P790" s="144"/>
      <c r="Q790" s="144"/>
      <c r="R790" s="76"/>
      <c r="S790" s="76"/>
      <c r="T790" s="76"/>
      <c r="U790" s="76"/>
      <c r="V790" s="76"/>
      <c r="W790" s="76"/>
      <c r="X790" s="76"/>
      <c r="Y790" s="76"/>
      <c r="Z790" s="76"/>
      <c r="AA790" s="76"/>
      <c r="AB790" s="76"/>
      <c r="AC790" s="76"/>
      <c r="AD790" s="76"/>
      <c r="AE790" s="76"/>
      <c r="AF790" s="76"/>
      <c r="AG790" s="76"/>
      <c r="AH790" s="76"/>
    </row>
    <row r="791" spans="1:36">
      <c r="A791" s="217" t="s">
        <v>222</v>
      </c>
      <c r="B791" s="182"/>
      <c r="C791" s="182"/>
      <c r="D791" s="164"/>
      <c r="E791" s="164"/>
      <c r="F791" s="182"/>
      <c r="G791" s="164"/>
      <c r="H791" s="164"/>
      <c r="I791" s="182"/>
      <c r="J791" s="164"/>
      <c r="K791" s="182"/>
      <c r="L791" s="182"/>
      <c r="N791" s="76"/>
      <c r="O791" s="76"/>
      <c r="P791" s="144"/>
      <c r="Q791" s="144"/>
      <c r="R791" s="76"/>
      <c r="S791" s="76"/>
      <c r="T791" s="76"/>
      <c r="U791" s="76"/>
      <c r="V791" s="76"/>
      <c r="W791" s="76"/>
      <c r="X791" s="76"/>
      <c r="Y791" s="76"/>
      <c r="Z791" s="76"/>
      <c r="AA791" s="76"/>
      <c r="AB791" s="76"/>
      <c r="AC791" s="76"/>
      <c r="AD791" s="76"/>
      <c r="AE791" s="76"/>
      <c r="AF791" s="76"/>
      <c r="AG791" s="76"/>
      <c r="AH791" s="76"/>
    </row>
    <row r="792" spans="1:36">
      <c r="A792" s="238"/>
      <c r="B792" s="182"/>
      <c r="C792" s="182"/>
      <c r="D792" s="164"/>
      <c r="E792" s="164"/>
      <c r="F792" s="182"/>
      <c r="G792" s="164"/>
      <c r="H792" s="164"/>
      <c r="I792" s="182"/>
      <c r="J792" s="164"/>
      <c r="K792" s="182"/>
      <c r="L792" s="182"/>
      <c r="N792" s="76"/>
      <c r="O792" s="76"/>
      <c r="P792" s="144"/>
      <c r="Q792" s="144"/>
      <c r="R792" s="76"/>
      <c r="S792" s="76"/>
      <c r="T792" s="76"/>
      <c r="U792" s="76"/>
      <c r="V792" s="76"/>
      <c r="W792" s="76"/>
      <c r="X792" s="76"/>
      <c r="Y792" s="76"/>
      <c r="Z792" s="76"/>
      <c r="AA792" s="76"/>
      <c r="AB792" s="76"/>
      <c r="AC792" s="76"/>
      <c r="AD792" s="76"/>
      <c r="AE792" s="76"/>
      <c r="AF792" s="76"/>
      <c r="AG792" s="76"/>
      <c r="AH792" s="76"/>
    </row>
    <row r="793" spans="1:36">
      <c r="A793" s="238" t="s">
        <v>144</v>
      </c>
      <c r="B793" s="182"/>
      <c r="C793" s="234"/>
      <c r="D793" s="164"/>
      <c r="E793" s="164"/>
      <c r="F793" s="182"/>
      <c r="G793" s="164"/>
      <c r="H793" s="164"/>
      <c r="I793" s="182"/>
      <c r="J793" s="164"/>
      <c r="K793" s="182"/>
      <c r="L793" s="182"/>
      <c r="N793" s="76"/>
      <c r="Q793" s="76"/>
      <c r="R793" s="175" t="s">
        <v>0</v>
      </c>
      <c r="Z793" s="330"/>
      <c r="AA793" s="76"/>
      <c r="AB793" s="76"/>
      <c r="AC793" s="76"/>
      <c r="AD793" s="76"/>
      <c r="AE793" s="76"/>
      <c r="AF793" s="76"/>
      <c r="AG793" s="76"/>
      <c r="AH793" s="76"/>
      <c r="AI793" s="76"/>
      <c r="AJ793" s="76"/>
    </row>
    <row r="794" spans="1:36">
      <c r="A794" s="238" t="s">
        <v>215</v>
      </c>
      <c r="B794" s="182"/>
      <c r="C794" s="234">
        <f>C985+C1013</f>
        <v>616</v>
      </c>
      <c r="D794" s="252"/>
      <c r="E794" s="252"/>
      <c r="F794" s="164">
        <f>F985+F1013</f>
        <v>742280</v>
      </c>
      <c r="G794" s="252"/>
      <c r="H794" s="252"/>
      <c r="I794" s="164">
        <f>I985+I1013</f>
        <v>752040</v>
      </c>
      <c r="K794" s="236"/>
      <c r="L794" s="164">
        <f>L985+L1013</f>
        <v>845040</v>
      </c>
      <c r="N794" s="76"/>
      <c r="Q794" s="252"/>
      <c r="R794" s="88"/>
      <c r="T794" s="210"/>
      <c r="U794" s="131"/>
      <c r="V794" s="210"/>
      <c r="W794" s="131"/>
      <c r="X794" s="210"/>
      <c r="Y794" s="210"/>
      <c r="Z794" s="205"/>
      <c r="AA794" s="76"/>
      <c r="AB794" s="76"/>
      <c r="AC794" s="76"/>
      <c r="AD794" s="76"/>
      <c r="AE794" s="76"/>
      <c r="AF794" s="76"/>
      <c r="AG794" s="76"/>
      <c r="AH794" s="76"/>
      <c r="AI794" s="76"/>
      <c r="AJ794" s="76"/>
    </row>
    <row r="795" spans="1:36">
      <c r="A795" s="238" t="s">
        <v>216</v>
      </c>
      <c r="B795" s="182"/>
      <c r="C795" s="234">
        <f t="shared" ref="C795:C815" si="121">C986+C1014</f>
        <v>48</v>
      </c>
      <c r="D795" s="252"/>
      <c r="E795" s="252"/>
      <c r="F795" s="164">
        <f>F986+F1014</f>
        <v>69600</v>
      </c>
      <c r="G795" s="252"/>
      <c r="H795" s="252"/>
      <c r="I795" s="164">
        <f>I986+I1014</f>
        <v>70920</v>
      </c>
      <c r="K795" s="239"/>
      <c r="L795" s="164">
        <f>L986+L1014</f>
        <v>79920</v>
      </c>
      <c r="N795" s="76"/>
      <c r="Q795" s="252"/>
      <c r="R795" s="88"/>
      <c r="T795" s="210"/>
      <c r="U795" s="131"/>
      <c r="V795" s="210"/>
      <c r="W795" s="131"/>
      <c r="X795" s="210"/>
      <c r="Y795" s="210"/>
      <c r="Z795" s="205"/>
      <c r="AA795" s="76"/>
      <c r="AB795" s="76"/>
      <c r="AC795" s="76"/>
      <c r="AD795" s="76"/>
      <c r="AE795" s="76"/>
      <c r="AF795" s="76"/>
      <c r="AG795" s="76"/>
      <c r="AH795" s="76"/>
      <c r="AI795" s="76"/>
      <c r="AJ795" s="76"/>
    </row>
    <row r="796" spans="1:36">
      <c r="A796" s="238" t="s">
        <v>145</v>
      </c>
      <c r="B796" s="182"/>
      <c r="C796" s="234">
        <f t="shared" si="121"/>
        <v>664</v>
      </c>
      <c r="D796" s="252"/>
      <c r="E796" s="252"/>
      <c r="F796" s="164"/>
      <c r="G796" s="252"/>
      <c r="H796" s="252"/>
      <c r="I796" s="164"/>
      <c r="K796" s="236"/>
      <c r="L796" s="164"/>
      <c r="N796" s="76"/>
      <c r="Q796" s="252"/>
      <c r="R796" s="235"/>
      <c r="T796" s="210"/>
      <c r="U796" s="131"/>
      <c r="V796" s="210"/>
      <c r="W796" s="131"/>
      <c r="X796" s="210"/>
      <c r="Y796" s="210"/>
      <c r="Z796" s="205"/>
      <c r="AA796" s="76"/>
      <c r="AB796" s="76"/>
      <c r="AC796" s="76"/>
      <c r="AD796" s="76"/>
      <c r="AE796" s="76"/>
      <c r="AF796" s="76"/>
      <c r="AG796" s="76"/>
      <c r="AH796" s="76"/>
      <c r="AI796" s="76"/>
      <c r="AJ796" s="76"/>
    </row>
    <row r="797" spans="1:36">
      <c r="A797" s="238" t="s">
        <v>217</v>
      </c>
      <c r="B797" s="182"/>
      <c r="C797" s="234">
        <f t="shared" si="121"/>
        <v>833348</v>
      </c>
      <c r="D797" s="252"/>
      <c r="E797" s="252"/>
      <c r="F797" s="164">
        <f t="shared" ref="F797:F799" si="122">F988+F1016</f>
        <v>758347</v>
      </c>
      <c r="G797" s="252"/>
      <c r="H797" s="252"/>
      <c r="I797" s="164">
        <f t="shared" ref="I797:I799" si="123">I988+I1016</f>
        <v>690665</v>
      </c>
      <c r="K797" s="236"/>
      <c r="L797" s="164">
        <f t="shared" ref="L797:L799" si="124">L988+L1016</f>
        <v>782581</v>
      </c>
      <c r="N797" s="76"/>
      <c r="Q797" s="252"/>
      <c r="R797" s="88"/>
      <c r="T797" s="210"/>
      <c r="U797" s="131"/>
      <c r="V797" s="210"/>
      <c r="W797" s="131"/>
      <c r="X797" s="210"/>
      <c r="Y797" s="210"/>
      <c r="Z797" s="205"/>
      <c r="AA797" s="76"/>
      <c r="AB797" s="76"/>
      <c r="AC797" s="76"/>
      <c r="AD797" s="76"/>
      <c r="AE797" s="76"/>
      <c r="AF797" s="76"/>
      <c r="AG797" s="76"/>
      <c r="AH797" s="76"/>
      <c r="AI797" s="76"/>
      <c r="AJ797" s="76"/>
    </row>
    <row r="798" spans="1:36">
      <c r="A798" s="238" t="s">
        <v>218</v>
      </c>
      <c r="B798" s="182"/>
      <c r="C798" s="234">
        <f t="shared" si="121"/>
        <v>209422</v>
      </c>
      <c r="D798" s="252"/>
      <c r="E798" s="252"/>
      <c r="F798" s="164">
        <f t="shared" si="122"/>
        <v>173820</v>
      </c>
      <c r="G798" s="252"/>
      <c r="H798" s="252"/>
      <c r="I798" s="164">
        <f t="shared" si="123"/>
        <v>127825</v>
      </c>
      <c r="K798" s="236"/>
      <c r="L798" s="164">
        <f t="shared" si="124"/>
        <v>143544</v>
      </c>
      <c r="N798" s="76"/>
      <c r="Q798" s="252"/>
      <c r="R798" s="88"/>
      <c r="T798" s="210"/>
      <c r="U798" s="131"/>
      <c r="V798" s="210"/>
      <c r="W798" s="131"/>
      <c r="X798" s="210"/>
      <c r="Y798" s="210"/>
      <c r="Z798" s="205"/>
      <c r="AA798" s="76"/>
      <c r="AB798" s="76"/>
      <c r="AC798" s="76"/>
      <c r="AD798" s="76"/>
      <c r="AE798" s="76"/>
      <c r="AF798" s="76"/>
      <c r="AG798" s="76"/>
      <c r="AH798" s="76"/>
      <c r="AI798" s="76"/>
      <c r="AJ798" s="76"/>
    </row>
    <row r="799" spans="1:36">
      <c r="A799" s="217" t="s">
        <v>153</v>
      </c>
      <c r="B799" s="182"/>
      <c r="C799" s="234">
        <f t="shared" si="121"/>
        <v>826040</v>
      </c>
      <c r="D799" s="252"/>
      <c r="E799" s="252"/>
      <c r="F799" s="164">
        <f t="shared" si="122"/>
        <v>4981021</v>
      </c>
      <c r="G799" s="252"/>
      <c r="H799" s="252"/>
      <c r="I799" s="164">
        <f t="shared" si="123"/>
        <v>5118486</v>
      </c>
      <c r="K799" s="236"/>
      <c r="L799" s="164">
        <f t="shared" si="124"/>
        <v>5773473</v>
      </c>
      <c r="N799" s="76"/>
      <c r="Q799" s="252"/>
      <c r="R799" s="88"/>
      <c r="S799" s="144"/>
      <c r="T799" s="331"/>
      <c r="U799" s="205"/>
      <c r="V799" s="331"/>
      <c r="W799" s="205"/>
      <c r="X799" s="331"/>
      <c r="Y799" s="144"/>
      <c r="Z799" s="205"/>
      <c r="AA799" s="76"/>
      <c r="AB799" s="76"/>
      <c r="AC799" s="76"/>
      <c r="AD799" s="76"/>
      <c r="AE799" s="76"/>
      <c r="AF799" s="76"/>
      <c r="AG799" s="76"/>
      <c r="AH799" s="76"/>
    </row>
    <row r="800" spans="1:36">
      <c r="A800" s="238" t="s">
        <v>174</v>
      </c>
      <c r="B800" s="182"/>
      <c r="C800" s="234"/>
      <c r="D800" s="252"/>
      <c r="E800" s="252"/>
      <c r="F800" s="164"/>
      <c r="G800" s="252"/>
      <c r="H800" s="252"/>
      <c r="I800" s="164"/>
      <c r="K800" s="236"/>
      <c r="L800" s="164"/>
      <c r="N800" s="76"/>
      <c r="Q800" s="252"/>
      <c r="R800" s="235"/>
      <c r="S800" s="144"/>
      <c r="T800" s="76"/>
      <c r="U800" s="76"/>
      <c r="V800" s="267"/>
      <c r="W800" s="76"/>
      <c r="X800" s="76"/>
      <c r="Y800" s="76"/>
      <c r="Z800" s="76"/>
      <c r="AA800" s="76"/>
      <c r="AB800" s="76"/>
      <c r="AC800" s="76"/>
      <c r="AD800" s="76"/>
      <c r="AE800" s="76"/>
      <c r="AF800" s="76"/>
      <c r="AG800" s="76"/>
      <c r="AH800" s="76"/>
    </row>
    <row r="801" spans="1:34">
      <c r="A801" s="238" t="s">
        <v>208</v>
      </c>
      <c r="B801" s="182"/>
      <c r="C801" s="234">
        <f t="shared" si="121"/>
        <v>361867121</v>
      </c>
      <c r="D801" s="324"/>
      <c r="E801" s="236"/>
      <c r="F801" s="164">
        <f t="shared" ref="F801:F802" si="125">F992+F1020</f>
        <v>12661731</v>
      </c>
      <c r="G801" s="324"/>
      <c r="H801" s="324"/>
      <c r="I801" s="164">
        <f t="shared" ref="I801:I802" si="126">I992+I1020</f>
        <v>13415217</v>
      </c>
      <c r="K801" s="236"/>
      <c r="L801" s="164">
        <f t="shared" ref="L801:L802" si="127">L992+L1020</f>
        <v>15102078</v>
      </c>
      <c r="N801" s="76"/>
      <c r="Q801" s="324"/>
      <c r="R801" s="88"/>
      <c r="S801" s="144"/>
      <c r="T801" s="76"/>
      <c r="U801" s="76"/>
      <c r="V801" s="331"/>
      <c r="W801" s="76"/>
      <c r="X801" s="76"/>
      <c r="Y801" s="76"/>
      <c r="Z801" s="76"/>
      <c r="AA801" s="76"/>
      <c r="AB801" s="76"/>
      <c r="AC801" s="76"/>
      <c r="AD801" s="76"/>
      <c r="AE801" s="76"/>
      <c r="AF801" s="76"/>
      <c r="AG801" s="76"/>
      <c r="AH801" s="76"/>
    </row>
    <row r="802" spans="1:34">
      <c r="A802" s="238" t="s">
        <v>150</v>
      </c>
      <c r="B802" s="182"/>
      <c r="C802" s="234">
        <f t="shared" si="121"/>
        <v>198384</v>
      </c>
      <c r="D802" s="252"/>
      <c r="E802" s="236"/>
      <c r="F802" s="164">
        <f t="shared" si="125"/>
        <v>89272</v>
      </c>
      <c r="G802" s="252"/>
      <c r="H802" s="252"/>
      <c r="I802" s="164">
        <f t="shared" si="126"/>
        <v>94981</v>
      </c>
      <c r="K802" s="236"/>
      <c r="L802" s="164">
        <f t="shared" si="127"/>
        <v>106886</v>
      </c>
      <c r="N802" s="76"/>
      <c r="Q802" s="252"/>
      <c r="R802" s="88"/>
      <c r="S802" s="144"/>
      <c r="T802" s="76"/>
      <c r="U802" s="76"/>
      <c r="V802" s="76"/>
      <c r="W802" s="76"/>
      <c r="X802" s="76"/>
      <c r="Y802" s="76"/>
      <c r="Z802" s="76"/>
      <c r="AA802" s="76"/>
      <c r="AB802" s="76"/>
      <c r="AC802" s="76"/>
      <c r="AD802" s="76"/>
      <c r="AE802" s="76"/>
      <c r="AF802" s="76"/>
      <c r="AG802" s="76"/>
      <c r="AH802" s="76"/>
    </row>
    <row r="803" spans="1:34">
      <c r="A803" s="280" t="s">
        <v>151</v>
      </c>
      <c r="B803" s="182"/>
      <c r="C803" s="234"/>
      <c r="D803" s="247"/>
      <c r="E803" s="247"/>
      <c r="F803" s="164"/>
      <c r="G803" s="247"/>
      <c r="H803" s="247"/>
      <c r="I803" s="164"/>
      <c r="J803" s="247" t="s">
        <v>0</v>
      </c>
      <c r="K803" s="281"/>
      <c r="L803" s="164"/>
      <c r="N803" s="76"/>
      <c r="O803" s="76"/>
      <c r="P803" s="144"/>
      <c r="Q803" s="144"/>
      <c r="R803" s="76"/>
      <c r="S803" s="76"/>
      <c r="T803" s="76"/>
      <c r="U803" s="76"/>
      <c r="V803" s="76"/>
      <c r="W803" s="76"/>
      <c r="X803" s="76"/>
      <c r="Y803" s="76" t="s">
        <v>0</v>
      </c>
      <c r="Z803" s="76"/>
      <c r="AA803" s="76"/>
      <c r="AB803" s="76"/>
      <c r="AC803" s="76"/>
      <c r="AD803" s="76"/>
      <c r="AE803" s="76"/>
      <c r="AF803" s="76"/>
      <c r="AG803" s="76"/>
      <c r="AH803" s="76"/>
    </row>
    <row r="804" spans="1:34">
      <c r="A804" s="238" t="s">
        <v>215</v>
      </c>
      <c r="B804" s="182"/>
      <c r="C804" s="234">
        <f t="shared" si="121"/>
        <v>120</v>
      </c>
      <c r="D804" s="249"/>
      <c r="E804" s="249"/>
      <c r="F804" s="164">
        <f t="shared" ref="F804:F815" si="128">F995+F1023</f>
        <v>-1446</v>
      </c>
      <c r="G804" s="249"/>
      <c r="H804" s="249"/>
      <c r="I804" s="164">
        <f t="shared" ref="I804:I815" si="129">I995+I1023</f>
        <v>0</v>
      </c>
      <c r="J804" s="249"/>
      <c r="K804" s="236"/>
      <c r="L804" s="164">
        <f t="shared" ref="L804:L815" si="130">L995+L1023</f>
        <v>0</v>
      </c>
      <c r="N804" s="76"/>
      <c r="O804" s="76"/>
      <c r="P804" s="144"/>
      <c r="Q804" s="144"/>
      <c r="R804" s="76"/>
      <c r="S804" s="76"/>
      <c r="T804" s="76"/>
      <c r="U804" s="76"/>
      <c r="V804" s="76"/>
      <c r="W804" s="76"/>
      <c r="X804" s="76"/>
      <c r="Y804" s="76"/>
      <c r="Z804" s="76"/>
      <c r="AA804" s="76"/>
      <c r="AB804" s="76"/>
      <c r="AC804" s="76"/>
      <c r="AD804" s="76"/>
      <c r="AE804" s="76"/>
      <c r="AF804" s="76"/>
      <c r="AG804" s="76"/>
      <c r="AH804" s="76"/>
    </row>
    <row r="805" spans="1:34">
      <c r="A805" s="238" t="s">
        <v>216</v>
      </c>
      <c r="B805" s="182"/>
      <c r="C805" s="234">
        <f t="shared" si="121"/>
        <v>24</v>
      </c>
      <c r="D805" s="249"/>
      <c r="E805" s="249"/>
      <c r="F805" s="164">
        <f t="shared" si="128"/>
        <v>-348</v>
      </c>
      <c r="G805" s="249"/>
      <c r="H805" s="249"/>
      <c r="I805" s="164">
        <f t="shared" si="129"/>
        <v>0</v>
      </c>
      <c r="J805" s="249"/>
      <c r="K805" s="236"/>
      <c r="L805" s="164">
        <f t="shared" si="130"/>
        <v>0</v>
      </c>
      <c r="N805" s="76"/>
      <c r="O805" s="76"/>
      <c r="P805" s="144"/>
      <c r="Q805" s="144"/>
      <c r="R805" s="76"/>
      <c r="S805" s="76"/>
      <c r="T805" s="76"/>
      <c r="U805" s="76"/>
      <c r="V805" s="76"/>
      <c r="W805" s="76" t="s">
        <v>0</v>
      </c>
      <c r="X805" s="76"/>
      <c r="Y805" s="76"/>
      <c r="Z805" s="76"/>
      <c r="AA805" s="76"/>
      <c r="AB805" s="76"/>
      <c r="AC805" s="76"/>
      <c r="AD805" s="76"/>
      <c r="AE805" s="76"/>
      <c r="AF805" s="76"/>
      <c r="AG805" s="76"/>
      <c r="AH805" s="76"/>
    </row>
    <row r="806" spans="1:34">
      <c r="A806" s="238" t="s">
        <v>217</v>
      </c>
      <c r="B806" s="182"/>
      <c r="C806" s="234">
        <f t="shared" si="121"/>
        <v>161734</v>
      </c>
      <c r="D806" s="249"/>
      <c r="E806" s="249"/>
      <c r="F806" s="164">
        <f t="shared" si="128"/>
        <v>-1472</v>
      </c>
      <c r="G806" s="249"/>
      <c r="H806" s="249"/>
      <c r="I806" s="164">
        <f t="shared" si="129"/>
        <v>0</v>
      </c>
      <c r="J806" s="249"/>
      <c r="K806" s="236"/>
      <c r="L806" s="164">
        <f t="shared" si="130"/>
        <v>0</v>
      </c>
      <c r="N806" s="76"/>
      <c r="O806" s="76"/>
      <c r="P806" s="144"/>
      <c r="Q806" s="144"/>
      <c r="R806" s="76"/>
      <c r="S806" s="76"/>
      <c r="T806" s="76"/>
      <c r="U806" s="76"/>
      <c r="V806" s="76"/>
      <c r="W806" s="76"/>
      <c r="X806" s="76"/>
      <c r="Y806" s="76"/>
      <c r="Z806" s="76"/>
      <c r="AA806" s="76"/>
      <c r="AB806" s="76"/>
      <c r="AC806" s="76"/>
      <c r="AD806" s="76"/>
      <c r="AE806" s="76"/>
      <c r="AF806" s="76"/>
      <c r="AG806" s="76"/>
      <c r="AH806" s="76"/>
    </row>
    <row r="807" spans="1:34">
      <c r="A807" s="238" t="s">
        <v>218</v>
      </c>
      <c r="B807" s="182"/>
      <c r="C807" s="234">
        <f t="shared" si="121"/>
        <v>104541</v>
      </c>
      <c r="D807" s="249"/>
      <c r="E807" s="249"/>
      <c r="F807" s="164">
        <f t="shared" si="128"/>
        <v>-868</v>
      </c>
      <c r="G807" s="249"/>
      <c r="H807" s="249"/>
      <c r="I807" s="164">
        <f t="shared" si="129"/>
        <v>0</v>
      </c>
      <c r="J807" s="249"/>
      <c r="K807" s="236"/>
      <c r="L807" s="164">
        <f t="shared" si="130"/>
        <v>0</v>
      </c>
      <c r="N807" s="76"/>
      <c r="O807" s="76"/>
      <c r="P807" s="144"/>
      <c r="Q807" s="144"/>
      <c r="R807" s="76"/>
      <c r="S807" s="76"/>
      <c r="T807" s="76"/>
      <c r="U807" s="76"/>
      <c r="V807" s="76"/>
      <c r="W807" s="76"/>
      <c r="X807" s="76"/>
      <c r="Y807" s="76"/>
      <c r="Z807" s="76"/>
      <c r="AA807" s="76"/>
      <c r="AB807" s="76"/>
      <c r="AC807" s="76"/>
      <c r="AD807" s="76"/>
      <c r="AE807" s="76"/>
      <c r="AF807" s="76"/>
      <c r="AG807" s="76"/>
      <c r="AH807" s="76"/>
    </row>
    <row r="808" spans="1:34">
      <c r="A808" s="217" t="s">
        <v>153</v>
      </c>
      <c r="B808" s="304"/>
      <c r="C808" s="234">
        <f t="shared" si="121"/>
        <v>194833</v>
      </c>
      <c r="D808" s="249"/>
      <c r="E808" s="252"/>
      <c r="F808" s="164">
        <f t="shared" si="128"/>
        <v>-11748</v>
      </c>
      <c r="G808" s="249"/>
      <c r="H808" s="249"/>
      <c r="I808" s="164">
        <f t="shared" si="129"/>
        <v>0</v>
      </c>
      <c r="J808" s="249"/>
      <c r="K808" s="236"/>
      <c r="L808" s="164">
        <f t="shared" si="130"/>
        <v>0</v>
      </c>
      <c r="N808" s="76"/>
      <c r="O808" s="76"/>
      <c r="P808" s="144"/>
      <c r="Q808" s="144"/>
      <c r="R808" s="76"/>
      <c r="S808" s="76"/>
      <c r="T808" s="76"/>
      <c r="U808" s="76"/>
      <c r="V808" s="76"/>
      <c r="W808" s="76"/>
      <c r="X808" s="76"/>
      <c r="Y808" s="76"/>
      <c r="Z808" s="76"/>
      <c r="AA808" s="76"/>
      <c r="AB808" s="76"/>
      <c r="AC808" s="76"/>
      <c r="AD808" s="76"/>
      <c r="AE808" s="76"/>
      <c r="AF808" s="76"/>
      <c r="AG808" s="76"/>
      <c r="AH808" s="76"/>
    </row>
    <row r="809" spans="1:34">
      <c r="A809" s="238" t="s">
        <v>208</v>
      </c>
      <c r="B809" s="182"/>
      <c r="C809" s="234">
        <f t="shared" si="121"/>
        <v>76475000</v>
      </c>
      <c r="D809" s="250"/>
      <c r="E809" s="236"/>
      <c r="F809" s="164">
        <f t="shared" si="128"/>
        <v>-26759</v>
      </c>
      <c r="G809" s="250"/>
      <c r="H809" s="250"/>
      <c r="I809" s="164">
        <f t="shared" si="129"/>
        <v>0</v>
      </c>
      <c r="J809" s="250"/>
      <c r="K809" s="236"/>
      <c r="L809" s="164">
        <f t="shared" si="130"/>
        <v>0</v>
      </c>
      <c r="N809" s="76"/>
      <c r="O809" s="76"/>
      <c r="P809" s="144"/>
      <c r="Q809" s="144"/>
      <c r="R809" s="76"/>
      <c r="S809" s="76"/>
      <c r="T809" s="76"/>
      <c r="U809" s="76"/>
      <c r="V809" s="76"/>
      <c r="W809" s="76"/>
      <c r="X809" s="76"/>
      <c r="Y809" s="76"/>
      <c r="Z809" s="76"/>
      <c r="AA809" s="76"/>
      <c r="AB809" s="76"/>
      <c r="AC809" s="76"/>
      <c r="AD809" s="76"/>
      <c r="AE809" s="76"/>
      <c r="AF809" s="76"/>
      <c r="AG809" s="76"/>
      <c r="AH809" s="76"/>
    </row>
    <row r="810" spans="1:34">
      <c r="A810" s="238" t="s">
        <v>150</v>
      </c>
      <c r="B810" s="182"/>
      <c r="C810" s="234">
        <f t="shared" si="121"/>
        <v>24240</v>
      </c>
      <c r="D810" s="304"/>
      <c r="E810" s="236"/>
      <c r="F810" s="164">
        <f t="shared" si="128"/>
        <v>-109</v>
      </c>
      <c r="G810" s="304"/>
      <c r="H810" s="304"/>
      <c r="I810" s="164">
        <f t="shared" si="129"/>
        <v>0</v>
      </c>
      <c r="J810" s="304"/>
      <c r="K810" s="236"/>
      <c r="L810" s="164">
        <f t="shared" si="130"/>
        <v>0</v>
      </c>
      <c r="N810" s="76"/>
      <c r="O810" s="76"/>
      <c r="P810" s="144"/>
      <c r="Q810" s="144"/>
      <c r="R810" s="76"/>
      <c r="S810" s="76"/>
      <c r="T810" s="76"/>
      <c r="U810" s="76"/>
      <c r="V810" s="76"/>
      <c r="W810" s="76"/>
      <c r="X810" s="76"/>
      <c r="Y810" s="76"/>
      <c r="Z810" s="76"/>
      <c r="AA810" s="76"/>
      <c r="AB810" s="76"/>
      <c r="AC810" s="76"/>
      <c r="AD810" s="76"/>
      <c r="AE810" s="76"/>
      <c r="AF810" s="76"/>
      <c r="AG810" s="76"/>
      <c r="AH810" s="76"/>
    </row>
    <row r="811" spans="1:34">
      <c r="A811" s="217" t="s">
        <v>219</v>
      </c>
      <c r="B811" s="182"/>
      <c r="C811" s="234">
        <f t="shared" si="121"/>
        <v>132.12</v>
      </c>
      <c r="D811" s="252"/>
      <c r="E811" s="252"/>
      <c r="F811" s="164">
        <f t="shared" si="128"/>
        <v>7927</v>
      </c>
      <c r="G811" s="252"/>
      <c r="H811" s="252"/>
      <c r="I811" s="164">
        <f t="shared" si="129"/>
        <v>0</v>
      </c>
      <c r="J811" s="252"/>
      <c r="K811" s="236"/>
      <c r="L811" s="164">
        <f t="shared" si="130"/>
        <v>0</v>
      </c>
      <c r="N811" s="76"/>
      <c r="O811" s="76"/>
      <c r="P811" s="144"/>
      <c r="Q811" s="144"/>
      <c r="R811" s="76"/>
      <c r="S811" s="76"/>
      <c r="T811" s="76"/>
      <c r="U811" s="76"/>
      <c r="V811" s="76"/>
      <c r="W811" s="76"/>
      <c r="X811" s="76"/>
      <c r="Y811" s="76"/>
      <c r="Z811" s="76"/>
      <c r="AA811" s="76"/>
      <c r="AB811" s="76"/>
      <c r="AC811" s="76"/>
      <c r="AD811" s="76"/>
      <c r="AE811" s="76"/>
      <c r="AF811" s="76"/>
      <c r="AG811" s="76"/>
      <c r="AH811" s="76"/>
    </row>
    <row r="812" spans="1:34">
      <c r="A812" s="217" t="s">
        <v>188</v>
      </c>
      <c r="B812" s="182"/>
      <c r="C812" s="234">
        <f t="shared" si="121"/>
        <v>266275</v>
      </c>
      <c r="D812" s="252"/>
      <c r="E812" s="236"/>
      <c r="F812" s="164">
        <f t="shared" si="128"/>
        <v>-199706</v>
      </c>
      <c r="G812" s="252"/>
      <c r="H812" s="252"/>
      <c r="I812" s="164">
        <f t="shared" si="129"/>
        <v>0</v>
      </c>
      <c r="J812" s="252"/>
      <c r="K812" s="236"/>
      <c r="L812" s="164">
        <f t="shared" si="130"/>
        <v>0</v>
      </c>
      <c r="N812" s="76"/>
      <c r="O812" s="76"/>
      <c r="P812" s="144"/>
      <c r="Q812" s="144"/>
      <c r="R812" s="76"/>
      <c r="S812" s="76"/>
      <c r="T812" s="76"/>
      <c r="U812" s="76"/>
      <c r="V812" s="76"/>
      <c r="W812" s="76"/>
      <c r="X812" s="76"/>
      <c r="Y812" s="76"/>
      <c r="Z812" s="76"/>
      <c r="AA812" s="76"/>
      <c r="AB812" s="76"/>
      <c r="AC812" s="76"/>
      <c r="AD812" s="76"/>
      <c r="AE812" s="76"/>
      <c r="AF812" s="76"/>
      <c r="AG812" s="76"/>
      <c r="AH812" s="76"/>
    </row>
    <row r="813" spans="1:34">
      <c r="A813" s="182" t="s">
        <v>131</v>
      </c>
      <c r="B813" s="182"/>
      <c r="C813" s="234">
        <f t="shared" si="121"/>
        <v>361867121</v>
      </c>
      <c r="D813" s="244"/>
      <c r="E813" s="164"/>
      <c r="F813" s="164">
        <f t="shared" si="128"/>
        <v>19241542</v>
      </c>
      <c r="G813" s="244"/>
      <c r="H813" s="244"/>
      <c r="I813" s="164">
        <f t="shared" si="129"/>
        <v>20270134</v>
      </c>
      <c r="J813" s="164"/>
      <c r="K813" s="182"/>
      <c r="L813" s="164">
        <f t="shared" si="130"/>
        <v>22833522</v>
      </c>
      <c r="N813" s="76"/>
      <c r="O813" s="76"/>
      <c r="Q813" s="144"/>
      <c r="R813" s="76"/>
      <c r="S813" s="76"/>
      <c r="T813" s="76"/>
      <c r="U813" s="76"/>
      <c r="V813" s="76"/>
      <c r="W813" s="76"/>
      <c r="X813" s="76"/>
      <c r="Y813" s="76"/>
      <c r="Z813" s="76"/>
      <c r="AA813" s="76"/>
      <c r="AB813" s="76"/>
      <c r="AC813" s="76"/>
      <c r="AD813" s="76"/>
      <c r="AE813" s="76"/>
      <c r="AF813" s="76"/>
      <c r="AG813" s="76"/>
      <c r="AH813" s="76"/>
    </row>
    <row r="814" spans="1:34">
      <c r="A814" s="182" t="s">
        <v>114</v>
      </c>
      <c r="B814" s="182"/>
      <c r="C814" s="255">
        <f t="shared" si="121"/>
        <v>6953381.4932579761</v>
      </c>
      <c r="D814" s="217"/>
      <c r="E814" s="217"/>
      <c r="F814" s="325">
        <f t="shared" si="128"/>
        <v>495121.97092241183</v>
      </c>
      <c r="G814" s="217"/>
      <c r="H814" s="217"/>
      <c r="I814" s="325">
        <f t="shared" si="129"/>
        <v>495121.97092241183</v>
      </c>
      <c r="J814" s="217"/>
      <c r="K814" s="217"/>
      <c r="L814" s="325">
        <f t="shared" si="130"/>
        <v>495121.97092241183</v>
      </c>
      <c r="N814" s="196"/>
      <c r="O814" s="196"/>
      <c r="P814" s="194"/>
      <c r="Q814" s="144"/>
      <c r="R814" s="76"/>
      <c r="S814" s="76"/>
      <c r="T814" s="76"/>
      <c r="U814" s="76"/>
      <c r="V814" s="76"/>
      <c r="W814" s="76"/>
      <c r="X814" s="76"/>
      <c r="Y814" s="76"/>
      <c r="Z814" s="76"/>
      <c r="AA814" s="76"/>
      <c r="AB814" s="76"/>
      <c r="AC814" s="76"/>
      <c r="AD814" s="76"/>
      <c r="AE814" s="76"/>
      <c r="AF814" s="76"/>
      <c r="AG814" s="76"/>
      <c r="AH814" s="76"/>
    </row>
    <row r="815" spans="1:34" ht="16.5" thickBot="1">
      <c r="A815" s="182" t="s">
        <v>132</v>
      </c>
      <c r="B815" s="182"/>
      <c r="C815" s="332">
        <f t="shared" si="121"/>
        <v>368820502.493258</v>
      </c>
      <c r="D815" s="258"/>
      <c r="E815" s="259"/>
      <c r="F815" s="333">
        <f t="shared" si="128"/>
        <v>19736663.97092241</v>
      </c>
      <c r="G815" s="258"/>
      <c r="H815" s="272"/>
      <c r="I815" s="333">
        <f t="shared" si="129"/>
        <v>20765255.97092241</v>
      </c>
      <c r="J815" s="258"/>
      <c r="K815" s="262"/>
      <c r="L815" s="333">
        <f t="shared" si="130"/>
        <v>23328643.97092241</v>
      </c>
      <c r="N815" s="197"/>
      <c r="O815" s="179" t="s">
        <v>116</v>
      </c>
      <c r="P815" s="180">
        <v>23544171.836958114</v>
      </c>
      <c r="R815" s="76"/>
      <c r="S815" s="76"/>
      <c r="T815" s="76"/>
      <c r="U815" s="76"/>
      <c r="V815" s="76"/>
      <c r="W815" s="76"/>
      <c r="X815" s="76"/>
      <c r="Y815" s="76"/>
      <c r="Z815" s="76"/>
      <c r="AA815" s="76"/>
      <c r="AB815" s="76"/>
      <c r="AC815" s="76"/>
      <c r="AD815" s="76"/>
      <c r="AE815" s="76"/>
      <c r="AF815" s="76"/>
      <c r="AG815" s="76"/>
      <c r="AH815" s="76"/>
    </row>
    <row r="816" spans="1:34" ht="16.5" thickTop="1">
      <c r="A816" s="199" t="s">
        <v>220</v>
      </c>
      <c r="B816" s="182"/>
      <c r="C816" s="182"/>
      <c r="D816" s="164"/>
      <c r="E816" s="164"/>
      <c r="F816" s="182"/>
      <c r="G816" s="164"/>
      <c r="H816" s="164"/>
      <c r="I816" s="182"/>
      <c r="J816" s="164"/>
      <c r="K816" s="182"/>
      <c r="L816" s="182"/>
      <c r="N816" s="76"/>
      <c r="O816" s="334" t="s">
        <v>118</v>
      </c>
      <c r="P816" s="222">
        <f>P815-L815-L760</f>
        <v>66.901417370740091</v>
      </c>
      <c r="Q816" s="144"/>
      <c r="R816" s="76"/>
      <c r="S816" s="76"/>
      <c r="T816" s="76"/>
      <c r="U816" s="76"/>
      <c r="V816" s="76"/>
      <c r="W816" s="76"/>
      <c r="X816" s="76"/>
      <c r="Y816" s="76"/>
      <c r="Z816" s="76"/>
      <c r="AA816" s="76"/>
      <c r="AB816" s="76"/>
      <c r="AC816" s="76"/>
      <c r="AD816" s="76"/>
      <c r="AE816" s="76"/>
      <c r="AF816" s="76"/>
      <c r="AG816" s="76"/>
      <c r="AH816" s="76"/>
    </row>
    <row r="817" spans="1:34">
      <c r="A817" s="217" t="s">
        <v>223</v>
      </c>
      <c r="B817" s="182"/>
      <c r="C817" s="182"/>
      <c r="D817" s="164"/>
      <c r="E817" s="164"/>
      <c r="F817" s="182"/>
      <c r="G817" s="164"/>
      <c r="H817" s="164"/>
      <c r="I817" s="182"/>
      <c r="J817" s="164"/>
      <c r="K817" s="182"/>
      <c r="L817" s="182"/>
      <c r="N817" s="76"/>
      <c r="O817" s="76"/>
      <c r="P817" s="144"/>
      <c r="Q817" s="144"/>
      <c r="R817" s="76"/>
      <c r="S817" s="76"/>
      <c r="T817" s="76"/>
      <c r="U817" s="76"/>
      <c r="V817" s="76"/>
      <c r="W817" s="76"/>
      <c r="X817" s="76"/>
      <c r="Y817" s="76"/>
      <c r="Z817" s="76"/>
      <c r="AA817" s="76"/>
      <c r="AB817" s="76"/>
      <c r="AC817" s="76"/>
      <c r="AD817" s="76"/>
      <c r="AE817" s="76"/>
      <c r="AF817" s="76"/>
      <c r="AG817" s="76"/>
      <c r="AH817" s="76"/>
    </row>
    <row r="818" spans="1:34">
      <c r="A818" s="238"/>
      <c r="B818" s="182"/>
      <c r="C818" s="182"/>
      <c r="D818" s="164"/>
      <c r="E818" s="164"/>
      <c r="F818" s="182"/>
      <c r="G818" s="164"/>
      <c r="H818" s="164"/>
      <c r="I818" s="182"/>
      <c r="J818" s="164"/>
      <c r="K818" s="182"/>
      <c r="L818" s="182"/>
      <c r="N818" s="76"/>
      <c r="O818" s="76"/>
      <c r="P818" s="144"/>
      <c r="Q818" s="144"/>
      <c r="R818" s="76"/>
      <c r="S818" s="76"/>
      <c r="T818" s="76"/>
      <c r="U818" s="76"/>
      <c r="V818" s="76"/>
      <c r="W818" s="76"/>
      <c r="X818" s="76"/>
      <c r="Y818" s="76"/>
      <c r="Z818" s="76"/>
      <c r="AA818" s="76"/>
      <c r="AB818" s="76"/>
      <c r="AC818" s="76"/>
      <c r="AD818" s="76"/>
      <c r="AE818" s="76"/>
      <c r="AF818" s="76"/>
      <c r="AG818" s="76"/>
      <c r="AH818" s="76"/>
    </row>
    <row r="819" spans="1:34">
      <c r="A819" s="238" t="s">
        <v>144</v>
      </c>
      <c r="B819" s="182"/>
      <c r="C819" s="234"/>
      <c r="D819" s="164"/>
      <c r="E819" s="164"/>
      <c r="F819" s="182"/>
      <c r="G819" s="164"/>
      <c r="H819" s="164"/>
      <c r="I819" s="182"/>
      <c r="J819" s="164"/>
      <c r="K819" s="182"/>
      <c r="L819" s="182"/>
      <c r="N819" s="76"/>
      <c r="O819" s="76"/>
      <c r="P819" s="144"/>
      <c r="Q819" s="144"/>
      <c r="R819" s="76"/>
      <c r="S819" s="76"/>
      <c r="T819" s="76"/>
      <c r="U819" s="76"/>
      <c r="V819" s="76"/>
      <c r="W819" s="76"/>
      <c r="X819" s="76"/>
      <c r="Y819" s="76"/>
      <c r="Z819" s="76"/>
      <c r="AA819" s="76"/>
      <c r="AB819" s="76"/>
      <c r="AC819" s="76"/>
      <c r="AD819" s="76"/>
      <c r="AE819" s="76"/>
      <c r="AF819" s="76"/>
      <c r="AG819" s="76"/>
      <c r="AH819" s="76"/>
    </row>
    <row r="820" spans="1:34">
      <c r="A820" s="238" t="s">
        <v>215</v>
      </c>
      <c r="B820" s="182"/>
      <c r="C820" s="234">
        <f>C848+C875</f>
        <v>496</v>
      </c>
      <c r="D820" s="252">
        <v>1205</v>
      </c>
      <c r="E820" s="252"/>
      <c r="F820" s="164">
        <f>ROUND(D820*$C820,0)</f>
        <v>597680</v>
      </c>
      <c r="G820" s="252">
        <v>1215</v>
      </c>
      <c r="H820" s="252"/>
      <c r="I820" s="164">
        <f>ROUND(G820*C820,0)</f>
        <v>602640</v>
      </c>
      <c r="J820" s="252">
        <f>ROUND(G820*(1+$Q$840),0)-3</f>
        <v>1365</v>
      </c>
      <c r="K820" s="236"/>
      <c r="L820" s="164">
        <f>ROUND(J820*$C820,0)</f>
        <v>677040</v>
      </c>
      <c r="N820" s="76"/>
      <c r="O820" s="76"/>
      <c r="Q820" s="335">
        <f>(J820-G820)/G820</f>
        <v>0.12345679012345678</v>
      </c>
      <c r="R820" s="144"/>
      <c r="S820" s="76"/>
      <c r="T820" s="76"/>
      <c r="U820" s="76"/>
      <c r="V820" s="76"/>
      <c r="W820" s="76"/>
      <c r="X820" s="76"/>
      <c r="Y820" s="76"/>
      <c r="Z820" s="76"/>
      <c r="AA820" s="76"/>
      <c r="AB820" s="76"/>
      <c r="AC820" s="76"/>
      <c r="AD820" s="76"/>
      <c r="AE820" s="76"/>
      <c r="AF820" s="76"/>
      <c r="AG820" s="76"/>
      <c r="AH820" s="76"/>
    </row>
    <row r="821" spans="1:34">
      <c r="A821" s="238" t="s">
        <v>216</v>
      </c>
      <c r="B821" s="182"/>
      <c r="C821" s="234">
        <f t="shared" ref="C821:C828" si="131">C849+C876</f>
        <v>24</v>
      </c>
      <c r="D821" s="252">
        <v>1450</v>
      </c>
      <c r="E821" s="252"/>
      <c r="F821" s="164">
        <f>ROUND(D821*$C821,0)</f>
        <v>34800</v>
      </c>
      <c r="G821" s="252">
        <v>1465</v>
      </c>
      <c r="H821" s="252"/>
      <c r="I821" s="164">
        <f>ROUND(G821*C821,0)</f>
        <v>35160</v>
      </c>
      <c r="J821" s="252">
        <f>ROUND(G821*(1+$Q$840),0)</f>
        <v>1650</v>
      </c>
      <c r="K821" s="239"/>
      <c r="L821" s="164">
        <f>ROUND(J821*$C821,0)</f>
        <v>39600</v>
      </c>
      <c r="N821" s="76"/>
      <c r="O821" s="76"/>
      <c r="Q821" s="335">
        <f>(J821-G821)/G821</f>
        <v>0.12627986348122866</v>
      </c>
      <c r="R821" s="144"/>
      <c r="S821" s="76"/>
      <c r="T821" s="76"/>
      <c r="U821" s="76"/>
      <c r="V821" s="76"/>
      <c r="W821" s="76"/>
      <c r="X821" s="76"/>
      <c r="Y821" s="76"/>
      <c r="Z821" s="76"/>
      <c r="AA821" s="76"/>
      <c r="AB821" s="76"/>
      <c r="AC821" s="76"/>
      <c r="AD821" s="76"/>
      <c r="AE821" s="76"/>
      <c r="AF821" s="76"/>
      <c r="AG821" s="76"/>
      <c r="AH821" s="76"/>
    </row>
    <row r="822" spans="1:34">
      <c r="A822" s="238" t="s">
        <v>145</v>
      </c>
      <c r="B822" s="182"/>
      <c r="C822" s="234">
        <f t="shared" si="131"/>
        <v>520</v>
      </c>
      <c r="D822" s="252" t="s">
        <v>0</v>
      </c>
      <c r="E822" s="252"/>
      <c r="F822" s="164" t="s">
        <v>0</v>
      </c>
      <c r="G822" s="252" t="s">
        <v>0</v>
      </c>
      <c r="H822" s="252"/>
      <c r="I822" s="164" t="s">
        <v>0</v>
      </c>
      <c r="J822" s="252" t="s">
        <v>0</v>
      </c>
      <c r="K822" s="236"/>
      <c r="L822" s="164" t="s">
        <v>0</v>
      </c>
      <c r="N822" s="76"/>
      <c r="O822" s="76"/>
      <c r="Q822" s="144"/>
      <c r="R822" s="144"/>
      <c r="S822" s="76"/>
      <c r="T822" s="76"/>
      <c r="U822" s="76"/>
      <c r="V822" s="76"/>
      <c r="W822" s="76"/>
      <c r="X822" s="76"/>
      <c r="Y822" s="76"/>
      <c r="Z822" s="76"/>
      <c r="AA822" s="76"/>
      <c r="AB822" s="76"/>
      <c r="AC822" s="76"/>
      <c r="AD822" s="76"/>
      <c r="AE822" s="76"/>
      <c r="AF822" s="76"/>
      <c r="AG822" s="76"/>
      <c r="AH822" s="76"/>
    </row>
    <row r="823" spans="1:34">
      <c r="A823" s="238" t="s">
        <v>217</v>
      </c>
      <c r="B823" s="182"/>
      <c r="C823" s="234">
        <f t="shared" si="131"/>
        <v>671614</v>
      </c>
      <c r="D823" s="252">
        <v>0.91</v>
      </c>
      <c r="E823" s="252"/>
      <c r="F823" s="164">
        <f>ROUND(D823*$C823,0)</f>
        <v>611169</v>
      </c>
      <c r="G823" s="252">
        <v>0.92</v>
      </c>
      <c r="H823" s="252"/>
      <c r="I823" s="164">
        <f t="shared" ref="I823:I825" si="132">ROUND(G823*C823,0)</f>
        <v>617885</v>
      </c>
      <c r="J823" s="252">
        <f>ROUND(G823*(1+$Q$840),2)</f>
        <v>1.04</v>
      </c>
      <c r="K823" s="236"/>
      <c r="L823" s="164">
        <f>ROUND(J823*$C823,0)</f>
        <v>698479</v>
      </c>
      <c r="N823" s="76"/>
      <c r="O823" s="76"/>
      <c r="Q823" s="335">
        <f>(J823-G823)/G823</f>
        <v>0.13043478260869565</v>
      </c>
      <c r="R823" s="144"/>
      <c r="S823" s="76"/>
      <c r="T823" s="76"/>
      <c r="U823" s="76"/>
      <c r="V823" s="76"/>
      <c r="W823" s="76"/>
      <c r="X823" s="76"/>
      <c r="Y823" s="76"/>
      <c r="Z823" s="76"/>
      <c r="AA823" s="76"/>
      <c r="AB823" s="76"/>
      <c r="AC823" s="76"/>
      <c r="AD823" s="76"/>
      <c r="AE823" s="76"/>
      <c r="AF823" s="76"/>
      <c r="AG823" s="76"/>
      <c r="AH823" s="76"/>
    </row>
    <row r="824" spans="1:34">
      <c r="A824" s="238" t="s">
        <v>218</v>
      </c>
      <c r="B824" s="182"/>
      <c r="C824" s="234">
        <f t="shared" si="131"/>
        <v>104881</v>
      </c>
      <c r="D824" s="252">
        <v>0.83</v>
      </c>
      <c r="E824" s="252"/>
      <c r="F824" s="164">
        <f>ROUND(D824*$C824,0)</f>
        <v>87051</v>
      </c>
      <c r="G824" s="252">
        <v>0.84</v>
      </c>
      <c r="H824" s="252"/>
      <c r="I824" s="164">
        <f t="shared" si="132"/>
        <v>88100</v>
      </c>
      <c r="J824" s="252">
        <f>ROUND(G824*(1+$Q$840),2)</f>
        <v>0.95</v>
      </c>
      <c r="K824" s="236"/>
      <c r="L824" s="164">
        <f>ROUND(J824*$C824,0)</f>
        <v>99637</v>
      </c>
      <c r="N824" s="76"/>
      <c r="O824" s="76"/>
      <c r="Q824" s="335">
        <f>(J824-G824)/G824</f>
        <v>0.13095238095238093</v>
      </c>
      <c r="R824" s="144"/>
      <c r="S824" s="76" t="s">
        <v>0</v>
      </c>
      <c r="T824" s="76"/>
      <c r="U824" s="76"/>
      <c r="V824" s="76"/>
      <c r="W824" s="76"/>
      <c r="X824" s="76"/>
      <c r="Y824" s="76"/>
      <c r="Z824" s="76"/>
      <c r="AA824" s="76"/>
      <c r="AB824" s="76"/>
      <c r="AC824" s="76"/>
      <c r="AD824" s="76"/>
      <c r="AE824" s="76"/>
      <c r="AF824" s="76"/>
      <c r="AG824" s="76"/>
      <c r="AH824" s="76"/>
    </row>
    <row r="825" spans="1:34">
      <c r="A825" s="217" t="s">
        <v>153</v>
      </c>
      <c r="B825" s="182"/>
      <c r="C825" s="234">
        <f t="shared" si="131"/>
        <v>631207</v>
      </c>
      <c r="D825" s="252">
        <v>6.03</v>
      </c>
      <c r="E825" s="252"/>
      <c r="F825" s="164">
        <f>ROUND(D825*$C825,0)</f>
        <v>3806178</v>
      </c>
      <c r="G825" s="252">
        <v>6.22</v>
      </c>
      <c r="H825" s="252"/>
      <c r="I825" s="164">
        <f t="shared" si="132"/>
        <v>3926108</v>
      </c>
      <c r="J825" s="252">
        <f>ROUND(G825*(1+$Q$840),2)+0.01</f>
        <v>7.02</v>
      </c>
      <c r="K825" s="236"/>
      <c r="L825" s="164">
        <f>ROUND(J825*$C825,0)</f>
        <v>4431073</v>
      </c>
      <c r="N825" s="76"/>
      <c r="O825" s="76"/>
      <c r="Q825" s="335">
        <f>(J825-G825)/G825</f>
        <v>0.12861736334405141</v>
      </c>
      <c r="R825" s="144"/>
      <c r="S825" s="76"/>
      <c r="T825" s="76"/>
      <c r="U825" s="76"/>
      <c r="V825" s="76"/>
      <c r="W825" s="76"/>
      <c r="X825" s="76"/>
      <c r="Y825" s="76"/>
      <c r="Z825" s="76"/>
      <c r="AA825" s="76"/>
      <c r="AB825" s="76"/>
      <c r="AC825" s="76"/>
      <c r="AD825" s="76"/>
      <c r="AE825" s="76"/>
      <c r="AF825" s="76"/>
      <c r="AG825" s="76"/>
      <c r="AH825" s="76"/>
    </row>
    <row r="826" spans="1:34">
      <c r="A826" s="238" t="s">
        <v>174</v>
      </c>
      <c r="B826" s="182"/>
      <c r="C826" s="234"/>
      <c r="D826" s="252" t="s">
        <v>0</v>
      </c>
      <c r="E826" s="252"/>
      <c r="F826" s="164"/>
      <c r="G826" s="252" t="s">
        <v>0</v>
      </c>
      <c r="H826" s="252"/>
      <c r="I826" s="164"/>
      <c r="J826" s="252" t="s">
        <v>0</v>
      </c>
      <c r="K826" s="236"/>
      <c r="L826" s="164"/>
      <c r="N826" s="76"/>
      <c r="O826" s="76"/>
      <c r="Q826" s="144"/>
      <c r="R826" s="144"/>
      <c r="S826" s="76"/>
      <c r="T826" s="76"/>
      <c r="U826" s="76"/>
      <c r="V826" s="76"/>
      <c r="W826" s="76"/>
      <c r="X826" s="76"/>
      <c r="Y826" s="76"/>
      <c r="Z826" s="76"/>
      <c r="AA826" s="76"/>
      <c r="AB826" s="76"/>
      <c r="AC826" s="76"/>
      <c r="AD826" s="76"/>
      <c r="AE826" s="76"/>
      <c r="AF826" s="76"/>
      <c r="AG826" s="76"/>
      <c r="AH826" s="76"/>
    </row>
    <row r="827" spans="1:34">
      <c r="A827" s="238" t="s">
        <v>208</v>
      </c>
      <c r="B827" s="182"/>
      <c r="C827" s="234">
        <f t="shared" si="131"/>
        <v>285392121</v>
      </c>
      <c r="D827" s="324">
        <v>3.4990000000000001</v>
      </c>
      <c r="E827" s="236" t="s">
        <v>126</v>
      </c>
      <c r="F827" s="164">
        <f>ROUND(D827/100*$C827,0)</f>
        <v>9985870</v>
      </c>
      <c r="G827" s="324">
        <v>3.718</v>
      </c>
      <c r="H827" s="324"/>
      <c r="I827" s="164">
        <f>ROUND(G827/100*C827,0)</f>
        <v>10610879</v>
      </c>
      <c r="J827" s="324">
        <f>ROUND(G827*(1+$Q$840),3)-0.002</f>
        <v>4.1850000000000005</v>
      </c>
      <c r="K827" s="236" t="s">
        <v>126</v>
      </c>
      <c r="L827" s="164">
        <f>ROUND(J827/100*$C827,0)</f>
        <v>11943660</v>
      </c>
      <c r="N827" s="76"/>
      <c r="O827" s="76"/>
      <c r="Q827" s="335">
        <f>(J827-G827)/G827</f>
        <v>0.12560516406670266</v>
      </c>
      <c r="R827" s="144"/>
      <c r="S827" s="76"/>
      <c r="T827" s="76"/>
      <c r="U827" s="76"/>
      <c r="V827" s="76"/>
      <c r="W827" s="76"/>
      <c r="X827" s="76"/>
      <c r="Y827" s="76"/>
      <c r="Z827" s="76"/>
      <c r="AA827" s="76"/>
      <c r="AB827" s="76"/>
      <c r="AC827" s="76"/>
      <c r="AD827" s="76"/>
      <c r="AE827" s="76"/>
      <c r="AF827" s="76"/>
      <c r="AG827" s="76"/>
      <c r="AH827" s="76"/>
    </row>
    <row r="828" spans="1:34">
      <c r="A828" s="238" t="s">
        <v>150</v>
      </c>
      <c r="B828" s="182"/>
      <c r="C828" s="234">
        <f t="shared" si="131"/>
        <v>174144</v>
      </c>
      <c r="D828" s="252">
        <v>0.45</v>
      </c>
      <c r="E828" s="236"/>
      <c r="F828" s="164">
        <f>ROUND(D828*$C828,0)</f>
        <v>78365</v>
      </c>
      <c r="G828" s="252">
        <v>0.48</v>
      </c>
      <c r="H828" s="252"/>
      <c r="I828" s="164">
        <f>ROUND(G828*C828,0)</f>
        <v>83589</v>
      </c>
      <c r="J828" s="252">
        <f>ROUND(G828*(1+$Q$840),2)</f>
        <v>0.54</v>
      </c>
      <c r="K828" s="236"/>
      <c r="L828" s="164">
        <f>ROUND(J828*$C828,0)</f>
        <v>94038</v>
      </c>
      <c r="N828" s="76"/>
      <c r="O828" s="76"/>
      <c r="Q828" s="335">
        <f>(J828-G828)/G828</f>
        <v>0.12500000000000011</v>
      </c>
      <c r="R828" s="144"/>
      <c r="S828" s="76"/>
      <c r="T828" s="76"/>
      <c r="U828" s="76"/>
      <c r="V828" s="76"/>
      <c r="W828" s="76"/>
      <c r="X828" s="76"/>
      <c r="Y828" s="76"/>
      <c r="Z828" s="76"/>
      <c r="AA828" s="76"/>
      <c r="AB828" s="76"/>
      <c r="AC828" s="76"/>
      <c r="AD828" s="76"/>
      <c r="AE828" s="76"/>
      <c r="AF828" s="76"/>
      <c r="AG828" s="76"/>
      <c r="AH828" s="76"/>
    </row>
    <row r="829" spans="1:34">
      <c r="A829" s="280" t="s">
        <v>151</v>
      </c>
      <c r="B829" s="182"/>
      <c r="C829" s="234"/>
      <c r="D829" s="247">
        <v>-0.01</v>
      </c>
      <c r="E829" s="247"/>
      <c r="F829" s="164"/>
      <c r="G829" s="247">
        <v>0</v>
      </c>
      <c r="H829" s="247"/>
      <c r="I829" s="164"/>
      <c r="J829" s="247">
        <v>0</v>
      </c>
      <c r="K829" s="281"/>
      <c r="L829" s="164"/>
      <c r="N829" s="76"/>
      <c r="O829" s="76"/>
      <c r="Q829" s="144"/>
      <c r="R829" s="144"/>
      <c r="S829" s="76"/>
      <c r="T829" s="76"/>
      <c r="U829" s="76"/>
      <c r="V829" s="76"/>
      <c r="W829" s="76"/>
      <c r="X829" s="76"/>
      <c r="Y829" s="76"/>
      <c r="Z829" s="76"/>
      <c r="AA829" s="76"/>
      <c r="AB829" s="76"/>
      <c r="AC829" s="76"/>
      <c r="AD829" s="76"/>
      <c r="AE829" s="76"/>
      <c r="AF829" s="76"/>
      <c r="AG829" s="76"/>
      <c r="AH829" s="76"/>
    </row>
    <row r="830" spans="1:34">
      <c r="A830" s="238" t="s">
        <v>215</v>
      </c>
      <c r="B830" s="182"/>
      <c r="C830" s="234">
        <v>0</v>
      </c>
      <c r="D830" s="249">
        <f>D820</f>
        <v>1205</v>
      </c>
      <c r="E830" s="249"/>
      <c r="F830" s="236">
        <f>ROUND(D830*$C830*$D$803,0)</f>
        <v>0</v>
      </c>
      <c r="G830" s="249">
        <f>G820</f>
        <v>1215</v>
      </c>
      <c r="H830" s="249"/>
      <c r="I830" s="164">
        <f t="shared" ref="I830:I834" si="133">ROUND(G830*C830,0)</f>
        <v>0</v>
      </c>
      <c r="J830" s="249">
        <v>0</v>
      </c>
      <c r="K830" s="236"/>
      <c r="L830" s="236">
        <f>ROUND(J830*$C830*$D$803,0)</f>
        <v>0</v>
      </c>
      <c r="N830" s="76"/>
      <c r="O830" s="76"/>
      <c r="Q830" s="144"/>
      <c r="R830" s="144"/>
      <c r="S830" s="76" t="s">
        <v>0</v>
      </c>
      <c r="T830" s="76"/>
      <c r="U830" s="76"/>
      <c r="V830" s="76"/>
      <c r="W830" s="76"/>
      <c r="X830" s="76"/>
      <c r="Y830" s="76"/>
      <c r="Z830" s="76"/>
      <c r="AA830" s="76"/>
      <c r="AB830" s="76"/>
      <c r="AC830" s="76"/>
      <c r="AD830" s="76"/>
      <c r="AE830" s="76"/>
      <c r="AF830" s="76"/>
      <c r="AG830" s="76"/>
      <c r="AH830" s="76"/>
    </row>
    <row r="831" spans="1:34">
      <c r="A831" s="238" t="s">
        <v>216</v>
      </c>
      <c r="B831" s="182"/>
      <c r="C831" s="234">
        <v>0</v>
      </c>
      <c r="D831" s="249">
        <f>D821</f>
        <v>1450</v>
      </c>
      <c r="E831" s="249"/>
      <c r="F831" s="236">
        <f>ROUND(D831*$C831*$D$803,0)</f>
        <v>0</v>
      </c>
      <c r="G831" s="249">
        <f>G821</f>
        <v>1465</v>
      </c>
      <c r="H831" s="249"/>
      <c r="I831" s="164">
        <f t="shared" si="133"/>
        <v>0</v>
      </c>
      <c r="J831" s="249">
        <v>0</v>
      </c>
      <c r="K831" s="236"/>
      <c r="L831" s="236">
        <f>ROUND(J831*$C831*$D$803,0)</f>
        <v>0</v>
      </c>
      <c r="N831" s="76"/>
      <c r="O831" s="76"/>
      <c r="Q831" s="144"/>
      <c r="R831" s="144"/>
      <c r="S831" s="76"/>
      <c r="T831" s="76"/>
      <c r="U831" s="76"/>
      <c r="V831" s="76"/>
      <c r="W831" s="76"/>
      <c r="X831" s="76"/>
      <c r="Y831" s="76"/>
      <c r="Z831" s="76"/>
      <c r="AA831" s="76"/>
      <c r="AB831" s="76"/>
      <c r="AC831" s="76"/>
      <c r="AD831" s="76"/>
      <c r="AE831" s="76"/>
      <c r="AF831" s="76"/>
      <c r="AG831" s="76"/>
      <c r="AH831" s="76"/>
    </row>
    <row r="832" spans="1:34">
      <c r="A832" s="238" t="s">
        <v>217</v>
      </c>
      <c r="B832" s="182"/>
      <c r="C832" s="234">
        <v>0</v>
      </c>
      <c r="D832" s="249">
        <f>D823</f>
        <v>0.91</v>
      </c>
      <c r="E832" s="249"/>
      <c r="F832" s="236">
        <f>ROUND(D832*$C832*$D$803,0)</f>
        <v>0</v>
      </c>
      <c r="G832" s="249">
        <f>G823</f>
        <v>0.92</v>
      </c>
      <c r="H832" s="249"/>
      <c r="I832" s="164">
        <f t="shared" si="133"/>
        <v>0</v>
      </c>
      <c r="J832" s="249">
        <v>0</v>
      </c>
      <c r="K832" s="236"/>
      <c r="L832" s="236">
        <f>ROUND(J832*$C832*$D$803,0)</f>
        <v>0</v>
      </c>
      <c r="N832" s="76"/>
      <c r="O832" s="76"/>
      <c r="Q832" s="144"/>
      <c r="R832" s="144"/>
      <c r="S832" s="76"/>
      <c r="T832" s="76"/>
      <c r="U832" s="76"/>
      <c r="V832" s="76"/>
      <c r="W832" s="76"/>
      <c r="X832" s="76"/>
      <c r="Y832" s="76"/>
      <c r="Z832" s="76"/>
      <c r="AA832" s="76"/>
      <c r="AB832" s="76"/>
      <c r="AC832" s="76"/>
      <c r="AD832" s="76"/>
      <c r="AE832" s="76"/>
      <c r="AF832" s="76"/>
      <c r="AG832" s="76"/>
      <c r="AH832" s="76"/>
    </row>
    <row r="833" spans="1:34">
      <c r="A833" s="238" t="s">
        <v>218</v>
      </c>
      <c r="B833" s="182"/>
      <c r="C833" s="234">
        <v>0</v>
      </c>
      <c r="D833" s="249">
        <f>D824</f>
        <v>0.83</v>
      </c>
      <c r="E833" s="249"/>
      <c r="F833" s="236">
        <f>ROUND(D833*$C833*$D$803,0)</f>
        <v>0</v>
      </c>
      <c r="G833" s="249">
        <f>G824</f>
        <v>0.84</v>
      </c>
      <c r="H833" s="249"/>
      <c r="I833" s="164">
        <f t="shared" si="133"/>
        <v>0</v>
      </c>
      <c r="J833" s="249">
        <v>0</v>
      </c>
      <c r="K833" s="236"/>
      <c r="L833" s="236">
        <f>ROUND(J833*$C833*$D$803,0)</f>
        <v>0</v>
      </c>
      <c r="N833" s="76"/>
      <c r="O833" s="76"/>
      <c r="Q833" s="144"/>
      <c r="R833" s="144"/>
      <c r="S833" s="76"/>
      <c r="T833" s="76"/>
      <c r="U833" s="76"/>
      <c r="V833" s="76"/>
      <c r="W833" s="76"/>
      <c r="X833" s="76"/>
      <c r="Y833" s="76"/>
      <c r="Z833" s="76"/>
      <c r="AA833" s="76"/>
      <c r="AB833" s="76"/>
      <c r="AC833" s="76"/>
      <c r="AD833" s="76"/>
      <c r="AE833" s="76"/>
      <c r="AF833" s="76"/>
      <c r="AG833" s="76"/>
      <c r="AH833" s="76"/>
    </row>
    <row r="834" spans="1:34">
      <c r="A834" s="217" t="s">
        <v>153</v>
      </c>
      <c r="B834" s="304"/>
      <c r="C834" s="234">
        <v>0</v>
      </c>
      <c r="D834" s="249">
        <f>D825</f>
        <v>6.03</v>
      </c>
      <c r="E834" s="252"/>
      <c r="F834" s="236">
        <f>ROUND(D834*$C834*$D$803,0)</f>
        <v>0</v>
      </c>
      <c r="G834" s="249">
        <f>G825</f>
        <v>6.22</v>
      </c>
      <c r="H834" s="249"/>
      <c r="I834" s="164">
        <f t="shared" si="133"/>
        <v>0</v>
      </c>
      <c r="J834" s="249">
        <v>0</v>
      </c>
      <c r="K834" s="236"/>
      <c r="L834" s="236">
        <f>ROUND(J834*$C834*$D$803,0)</f>
        <v>0</v>
      </c>
      <c r="N834" s="76"/>
      <c r="O834" s="76"/>
      <c r="Q834" s="144"/>
      <c r="R834" s="144"/>
      <c r="S834" s="76"/>
      <c r="T834" s="76"/>
      <c r="U834" s="76"/>
      <c r="V834" s="76"/>
      <c r="W834" s="76"/>
      <c r="X834" s="76"/>
      <c r="Y834" s="76"/>
      <c r="Z834" s="76"/>
      <c r="AA834" s="76"/>
      <c r="AB834" s="76"/>
      <c r="AC834" s="76"/>
      <c r="AD834" s="76"/>
      <c r="AE834" s="76"/>
      <c r="AF834" s="76"/>
      <c r="AG834" s="76"/>
      <c r="AH834" s="76"/>
    </row>
    <row r="835" spans="1:34">
      <c r="A835" s="238" t="s">
        <v>208</v>
      </c>
      <c r="B835" s="182"/>
      <c r="C835" s="234">
        <v>0</v>
      </c>
      <c r="D835" s="250">
        <f>D827</f>
        <v>3.4990000000000001</v>
      </c>
      <c r="E835" s="236" t="s">
        <v>126</v>
      </c>
      <c r="F835" s="236">
        <f>ROUND(D835/100*$C835*$D$803,0)</f>
        <v>0</v>
      </c>
      <c r="G835" s="250">
        <f>G827</f>
        <v>3.718</v>
      </c>
      <c r="H835" s="250"/>
      <c r="I835" s="164">
        <f>ROUND(G835/100*C835,0)</f>
        <v>0</v>
      </c>
      <c r="J835" s="250">
        <v>0</v>
      </c>
      <c r="K835" s="236" t="s">
        <v>126</v>
      </c>
      <c r="L835" s="236">
        <f>ROUND(J835/100*$C835*$D$803,0)</f>
        <v>0</v>
      </c>
      <c r="N835" s="76"/>
      <c r="O835" s="76"/>
      <c r="Q835" s="144"/>
      <c r="R835" s="144"/>
      <c r="S835" s="76"/>
      <c r="T835" s="76"/>
      <c r="U835" s="76"/>
      <c r="V835" s="76"/>
      <c r="W835" s="76"/>
      <c r="X835" s="76"/>
      <c r="Y835" s="76"/>
      <c r="Z835" s="76"/>
      <c r="AA835" s="76"/>
      <c r="AB835" s="76"/>
      <c r="AC835" s="76"/>
      <c r="AD835" s="76"/>
      <c r="AE835" s="76"/>
      <c r="AF835" s="76"/>
      <c r="AG835" s="76"/>
      <c r="AH835" s="76"/>
    </row>
    <row r="836" spans="1:34">
      <c r="A836" s="238" t="s">
        <v>150</v>
      </c>
      <c r="B836" s="182"/>
      <c r="C836" s="234">
        <v>0</v>
      </c>
      <c r="D836" s="304">
        <f>D828</f>
        <v>0.45</v>
      </c>
      <c r="E836" s="236"/>
      <c r="F836" s="236">
        <f>ROUND(D836*$C836*$D$803,0)</f>
        <v>0</v>
      </c>
      <c r="G836" s="304">
        <f>G828</f>
        <v>0.48</v>
      </c>
      <c r="H836" s="304"/>
      <c r="I836" s="164">
        <f t="shared" ref="I836:I838" si="134">ROUND(G836*C836,0)</f>
        <v>0</v>
      </c>
      <c r="J836" s="304">
        <v>0</v>
      </c>
      <c r="K836" s="236"/>
      <c r="L836" s="236">
        <f>ROUND(J836*$C836*$D$803,0)</f>
        <v>0</v>
      </c>
      <c r="N836" s="76"/>
      <c r="O836" s="76"/>
      <c r="Q836" s="144"/>
      <c r="R836" s="144"/>
      <c r="S836" s="76"/>
      <c r="T836" s="76"/>
      <c r="U836" s="76"/>
      <c r="V836" s="76"/>
      <c r="W836" s="76"/>
      <c r="X836" s="76"/>
      <c r="Y836" s="76"/>
      <c r="Z836" s="76"/>
      <c r="AA836" s="76"/>
      <c r="AB836" s="76"/>
      <c r="AC836" s="76"/>
      <c r="AD836" s="76"/>
      <c r="AE836" s="76"/>
      <c r="AF836" s="76"/>
      <c r="AG836" s="76"/>
      <c r="AH836" s="76"/>
    </row>
    <row r="837" spans="1:34">
      <c r="A837" s="217" t="s">
        <v>219</v>
      </c>
      <c r="B837" s="182"/>
      <c r="C837" s="234">
        <v>0</v>
      </c>
      <c r="D837" s="252">
        <v>60</v>
      </c>
      <c r="E837" s="252"/>
      <c r="F837" s="236">
        <f>ROUND(D837*$C837,0)</f>
        <v>0</v>
      </c>
      <c r="G837" s="252">
        <f>$G$811</f>
        <v>0</v>
      </c>
      <c r="H837" s="252"/>
      <c r="I837" s="164">
        <f t="shared" si="134"/>
        <v>0</v>
      </c>
      <c r="J837" s="252">
        <f>$J$811</f>
        <v>0</v>
      </c>
      <c r="K837" s="236"/>
      <c r="L837" s="236">
        <f>ROUND(J837*$C837,0)</f>
        <v>0</v>
      </c>
      <c r="N837" s="76"/>
      <c r="O837" s="76"/>
      <c r="Q837" s="144"/>
      <c r="R837" s="144"/>
      <c r="S837" s="76"/>
      <c r="T837" s="76"/>
      <c r="U837" s="76"/>
      <c r="V837" s="76"/>
      <c r="W837" s="76"/>
      <c r="X837" s="76"/>
      <c r="Y837" s="76"/>
      <c r="Z837" s="76"/>
      <c r="AA837" s="76"/>
      <c r="AB837" s="76"/>
      <c r="AC837" s="76"/>
      <c r="AD837" s="76"/>
      <c r="AE837" s="76"/>
      <c r="AF837" s="76"/>
      <c r="AG837" s="76"/>
      <c r="AH837" s="76"/>
    </row>
    <row r="838" spans="1:34">
      <c r="A838" s="217" t="s">
        <v>188</v>
      </c>
      <c r="B838" s="182"/>
      <c r="C838" s="234">
        <v>0</v>
      </c>
      <c r="D838" s="252">
        <v>-0.75</v>
      </c>
      <c r="E838" s="236"/>
      <c r="F838" s="236">
        <f>ROUND(D838*$C838,0)</f>
        <v>0</v>
      </c>
      <c r="G838" s="252">
        <f>$G$812</f>
        <v>0</v>
      </c>
      <c r="H838" s="252"/>
      <c r="I838" s="164">
        <f t="shared" si="134"/>
        <v>0</v>
      </c>
      <c r="J838" s="252">
        <f>$J$812</f>
        <v>0</v>
      </c>
      <c r="K838" s="236"/>
      <c r="L838" s="236">
        <f>ROUND(J838*$C838,0)</f>
        <v>0</v>
      </c>
      <c r="N838" s="76"/>
      <c r="O838" s="76"/>
      <c r="Q838" s="144"/>
      <c r="R838" s="144"/>
      <c r="S838" s="76"/>
      <c r="T838" s="76"/>
      <c r="U838" s="76"/>
      <c r="V838" s="76"/>
      <c r="W838" s="76"/>
      <c r="X838" s="76"/>
      <c r="Y838" s="76"/>
      <c r="Z838" s="76"/>
      <c r="AA838" s="76"/>
      <c r="AB838" s="76"/>
      <c r="AC838" s="76"/>
      <c r="AD838" s="76"/>
      <c r="AE838" s="76"/>
      <c r="AF838" s="76"/>
      <c r="AG838" s="76"/>
      <c r="AH838" s="76"/>
    </row>
    <row r="839" spans="1:34">
      <c r="A839" s="182" t="s">
        <v>131</v>
      </c>
      <c r="B839" s="182"/>
      <c r="C839" s="234">
        <f>C827</f>
        <v>285392121</v>
      </c>
      <c r="D839" s="244"/>
      <c r="E839" s="164"/>
      <c r="F839" s="164">
        <f>SUM(F820:F838)</f>
        <v>15201113</v>
      </c>
      <c r="G839" s="244"/>
      <c r="H839" s="244"/>
      <c r="I839" s="164">
        <f>SUM(I820:I838)</f>
        <v>15964361</v>
      </c>
      <c r="J839" s="244"/>
      <c r="K839" s="182"/>
      <c r="L839" s="164">
        <f>SUM(L820:L838)</f>
        <v>17983527</v>
      </c>
      <c r="N839" s="76"/>
      <c r="O839" s="76"/>
      <c r="Q839" s="144"/>
      <c r="R839" s="144"/>
      <c r="S839" s="76"/>
      <c r="T839" s="76"/>
      <c r="U839" s="76"/>
      <c r="V839" s="76"/>
      <c r="W839" s="76"/>
      <c r="X839" s="76"/>
      <c r="Y839" s="76"/>
      <c r="Z839" s="76"/>
      <c r="AA839" s="76"/>
      <c r="AB839" s="76"/>
      <c r="AC839" s="76"/>
      <c r="AD839" s="76"/>
      <c r="AE839" s="76"/>
      <c r="AF839" s="76"/>
      <c r="AG839" s="76"/>
      <c r="AH839" s="76"/>
    </row>
    <row r="840" spans="1:34">
      <c r="A840" s="182" t="s">
        <v>114</v>
      </c>
      <c r="B840" s="182"/>
      <c r="C840" s="234">
        <f>C868+C895</f>
        <v>5584670.046072525</v>
      </c>
      <c r="D840" s="217"/>
      <c r="E840" s="217"/>
      <c r="F840" s="336">
        <f>F868+F895</f>
        <v>410883.51975827082</v>
      </c>
      <c r="G840" s="217"/>
      <c r="H840" s="217"/>
      <c r="I840" s="256">
        <f>F840</f>
        <v>410883.51975827082</v>
      </c>
      <c r="J840" s="217"/>
      <c r="K840" s="217"/>
      <c r="L840" s="256">
        <f>F840</f>
        <v>410883.51975827082</v>
      </c>
      <c r="N840" s="196"/>
      <c r="O840" s="196"/>
      <c r="Q840" s="335">
        <v>0.12625122944934994</v>
      </c>
      <c r="S840" s="76"/>
      <c r="T840" s="76"/>
      <c r="U840" s="76"/>
      <c r="V840" s="76"/>
      <c r="W840" s="76"/>
      <c r="X840" s="76"/>
      <c r="Y840" s="76"/>
      <c r="Z840" s="76"/>
      <c r="AA840" s="76"/>
      <c r="AB840" s="76"/>
      <c r="AC840" s="76"/>
      <c r="AD840" s="76"/>
      <c r="AE840" s="76"/>
      <c r="AF840" s="76"/>
      <c r="AG840" s="76"/>
      <c r="AH840" s="76"/>
    </row>
    <row r="841" spans="1:34" ht="16.5" thickBot="1">
      <c r="A841" s="182" t="s">
        <v>132</v>
      </c>
      <c r="B841" s="182"/>
      <c r="C841" s="323">
        <f>SUM(C839)+C840</f>
        <v>290976791.04607254</v>
      </c>
      <c r="D841" s="258"/>
      <c r="E841" s="259"/>
      <c r="F841" s="260">
        <f>F839+F840</f>
        <v>15611996.519758271</v>
      </c>
      <c r="G841" s="258"/>
      <c r="H841" s="258"/>
      <c r="I841" s="260">
        <f>I839+I840</f>
        <v>16375244.519758271</v>
      </c>
      <c r="J841" s="258"/>
      <c r="K841" s="262"/>
      <c r="L841" s="260">
        <f>L839+L840</f>
        <v>18394410.519758269</v>
      </c>
      <c r="N841" s="197"/>
      <c r="O841" s="197"/>
      <c r="Q841" s="335">
        <f>(L896-I896)/I896</f>
        <v>0.12296592789156206</v>
      </c>
      <c r="S841" s="298" t="s">
        <v>0</v>
      </c>
      <c r="T841" s="76"/>
      <c r="U841" s="76"/>
      <c r="V841" s="76"/>
      <c r="W841" s="76"/>
      <c r="X841" s="76"/>
      <c r="Y841" s="76"/>
      <c r="Z841" s="76"/>
      <c r="AA841" s="76"/>
      <c r="AB841" s="76"/>
      <c r="AC841" s="76"/>
      <c r="AD841" s="76"/>
      <c r="AE841" s="76"/>
      <c r="AF841" s="76"/>
      <c r="AG841" s="76"/>
      <c r="AH841" s="76"/>
    </row>
    <row r="842" spans="1:34" ht="16.5" hidden="1" thickTop="1">
      <c r="A842" s="182"/>
      <c r="B842" s="182"/>
      <c r="C842" s="200"/>
      <c r="D842" s="252"/>
      <c r="E842" s="164"/>
      <c r="F842" s="164"/>
      <c r="G842" s="252"/>
      <c r="H842" s="252"/>
      <c r="I842" s="164"/>
      <c r="J842" s="252"/>
      <c r="K842" s="182"/>
      <c r="L842" s="304"/>
      <c r="N842" s="76"/>
      <c r="O842" s="76"/>
      <c r="Q842" s="144"/>
      <c r="R842" s="144"/>
      <c r="S842" s="76"/>
      <c r="T842" s="76"/>
      <c r="U842" s="76"/>
      <c r="V842" s="76"/>
      <c r="W842" s="76"/>
      <c r="X842" s="76"/>
      <c r="Y842" s="76"/>
      <c r="Z842" s="76"/>
      <c r="AA842" s="76"/>
      <c r="AB842" s="76"/>
      <c r="AC842" s="76"/>
      <c r="AD842" s="76"/>
      <c r="AE842" s="76"/>
      <c r="AF842" s="76"/>
      <c r="AG842" s="76"/>
      <c r="AH842" s="76"/>
    </row>
    <row r="843" spans="1:34" ht="16.5" hidden="1" thickTop="1">
      <c r="A843" s="182"/>
      <c r="B843" s="182"/>
      <c r="C843" s="200"/>
      <c r="D843" s="252"/>
      <c r="E843" s="164"/>
      <c r="F843" s="164"/>
      <c r="G843" s="252"/>
      <c r="H843" s="252"/>
      <c r="I843" s="164"/>
      <c r="J843" s="252"/>
      <c r="K843" s="182"/>
      <c r="L843" s="304"/>
      <c r="N843" s="76"/>
      <c r="O843" s="76" t="s">
        <v>118</v>
      </c>
      <c r="Q843" s="144">
        <f>P815-L815-L760</f>
        <v>66.901417370740091</v>
      </c>
      <c r="R843" s="144"/>
      <c r="S843" s="76"/>
      <c r="T843" s="76"/>
      <c r="U843" s="76"/>
      <c r="V843" s="76"/>
      <c r="W843" s="76"/>
      <c r="X843" s="76"/>
      <c r="Y843" s="76"/>
      <c r="Z843" s="76"/>
      <c r="AA843" s="76"/>
      <c r="AB843" s="76"/>
      <c r="AC843" s="76"/>
      <c r="AD843" s="76"/>
      <c r="AE843" s="76"/>
      <c r="AF843" s="76"/>
      <c r="AG843" s="76"/>
      <c r="AH843" s="76"/>
    </row>
    <row r="844" spans="1:34" ht="16.5" hidden="1" thickTop="1">
      <c r="A844" s="199" t="s">
        <v>220</v>
      </c>
      <c r="B844" s="182"/>
      <c r="C844" s="182"/>
      <c r="D844" s="164"/>
      <c r="E844" s="164"/>
      <c r="F844" s="182"/>
      <c r="G844" s="164"/>
      <c r="H844" s="164"/>
      <c r="I844" s="182"/>
      <c r="J844" s="164"/>
      <c r="K844" s="182"/>
      <c r="L844" s="182"/>
      <c r="N844" s="76"/>
      <c r="O844" s="76"/>
      <c r="Q844" s="144"/>
      <c r="R844" s="144"/>
      <c r="S844" s="76"/>
      <c r="T844" s="76"/>
      <c r="U844" s="76"/>
      <c r="V844" s="76"/>
      <c r="W844" s="76"/>
      <c r="X844" s="76"/>
      <c r="Y844" s="76"/>
      <c r="Z844" s="76"/>
      <c r="AA844" s="76"/>
      <c r="AB844" s="76"/>
      <c r="AC844" s="76"/>
      <c r="AD844" s="76"/>
      <c r="AE844" s="76"/>
      <c r="AF844" s="76"/>
      <c r="AG844" s="76"/>
      <c r="AH844" s="76"/>
    </row>
    <row r="845" spans="1:34" ht="16.5" hidden="1" thickTop="1">
      <c r="A845" s="217" t="s">
        <v>224</v>
      </c>
      <c r="B845" s="182"/>
      <c r="C845" s="182"/>
      <c r="D845" s="164"/>
      <c r="E845" s="164"/>
      <c r="F845" s="182"/>
      <c r="G845" s="164"/>
      <c r="H845" s="164"/>
      <c r="I845" s="182"/>
      <c r="J845" s="164"/>
      <c r="K845" s="182"/>
      <c r="L845" s="182"/>
      <c r="N845" s="76"/>
      <c r="O845" s="76"/>
      <c r="Q845" s="144"/>
      <c r="R845" s="144"/>
      <c r="S845" s="76"/>
      <c r="T845" s="76"/>
      <c r="U845" s="76"/>
      <c r="V845" s="76"/>
      <c r="W845" s="76"/>
      <c r="X845" s="76"/>
      <c r="Y845" s="76"/>
      <c r="Z845" s="76"/>
      <c r="AA845" s="76"/>
      <c r="AB845" s="76"/>
      <c r="AC845" s="76"/>
      <c r="AD845" s="76"/>
      <c r="AE845" s="76"/>
      <c r="AF845" s="76"/>
      <c r="AG845" s="76"/>
      <c r="AH845" s="76"/>
    </row>
    <row r="846" spans="1:34" ht="16.5" hidden="1" thickTop="1">
      <c r="A846" s="238"/>
      <c r="B846" s="182"/>
      <c r="C846" s="182"/>
      <c r="D846" s="164"/>
      <c r="E846" s="164"/>
      <c r="F846" s="182"/>
      <c r="G846" s="164"/>
      <c r="H846" s="164"/>
      <c r="I846" s="182"/>
      <c r="J846" s="164"/>
      <c r="K846" s="182"/>
      <c r="L846" s="182"/>
      <c r="N846" s="76"/>
      <c r="O846" s="76"/>
      <c r="Q846" s="144"/>
      <c r="R846" s="144"/>
      <c r="S846" s="76"/>
      <c r="T846" s="76"/>
      <c r="U846" s="76"/>
      <c r="V846" s="76"/>
      <c r="W846" s="76"/>
      <c r="X846" s="76"/>
      <c r="Y846" s="76"/>
      <c r="Z846" s="76"/>
      <c r="AA846" s="76"/>
      <c r="AB846" s="76"/>
      <c r="AC846" s="76"/>
      <c r="AD846" s="76"/>
      <c r="AE846" s="76"/>
      <c r="AF846" s="76"/>
      <c r="AG846" s="76"/>
      <c r="AH846" s="76"/>
    </row>
    <row r="847" spans="1:34" ht="16.5" hidden="1" thickTop="1">
      <c r="A847" s="238" t="s">
        <v>144</v>
      </c>
      <c r="B847" s="182"/>
      <c r="C847" s="234"/>
      <c r="D847" s="164"/>
      <c r="E847" s="164"/>
      <c r="F847" s="182"/>
      <c r="G847" s="164"/>
      <c r="H847" s="164"/>
      <c r="I847" s="182"/>
      <c r="J847" s="164"/>
      <c r="K847" s="182"/>
      <c r="L847" s="182"/>
      <c r="N847" s="76"/>
      <c r="O847" s="76"/>
      <c r="Q847" s="144"/>
      <c r="R847" s="144"/>
      <c r="S847" s="76"/>
      <c r="T847" s="76"/>
      <c r="U847" s="76"/>
      <c r="V847" s="76"/>
      <c r="W847" s="76"/>
      <c r="X847" s="76"/>
      <c r="Y847" s="76"/>
      <c r="Z847" s="76"/>
      <c r="AA847" s="76"/>
      <c r="AB847" s="76"/>
      <c r="AC847" s="76"/>
      <c r="AD847" s="76"/>
      <c r="AE847" s="76"/>
      <c r="AF847" s="76"/>
      <c r="AG847" s="76"/>
      <c r="AH847" s="76"/>
    </row>
    <row r="848" spans="1:34" ht="16.5" hidden="1" thickTop="1">
      <c r="A848" s="238" t="s">
        <v>215</v>
      </c>
      <c r="B848" s="182"/>
      <c r="C848" s="234">
        <v>184</v>
      </c>
      <c r="D848" s="252">
        <f>D820</f>
        <v>1205</v>
      </c>
      <c r="E848" s="252"/>
      <c r="F848" s="164">
        <f>ROUND(D848*$C848,0)</f>
        <v>221720</v>
      </c>
      <c r="G848" s="252">
        <v>1215</v>
      </c>
      <c r="H848" s="252"/>
      <c r="I848" s="164">
        <f>ROUND(G848*C848,0)</f>
        <v>223560</v>
      </c>
      <c r="J848" s="252">
        <f>J820</f>
        <v>1365</v>
      </c>
      <c r="K848" s="236"/>
      <c r="L848" s="164">
        <f>ROUND(J848*$C848,0)</f>
        <v>251160</v>
      </c>
      <c r="N848" s="76"/>
      <c r="O848" s="76"/>
      <c r="Q848" s="144"/>
      <c r="R848" s="144"/>
      <c r="S848" s="76"/>
      <c r="T848" s="76"/>
      <c r="U848" s="76"/>
      <c r="V848" s="76"/>
      <c r="W848" s="76"/>
      <c r="X848" s="76"/>
      <c r="Y848" s="76"/>
      <c r="Z848" s="76"/>
      <c r="AA848" s="76"/>
      <c r="AB848" s="76"/>
      <c r="AC848" s="76"/>
      <c r="AD848" s="76"/>
      <c r="AE848" s="76"/>
      <c r="AF848" s="76"/>
      <c r="AG848" s="76"/>
      <c r="AH848" s="76"/>
    </row>
    <row r="849" spans="1:34" ht="16.5" hidden="1" thickTop="1">
      <c r="A849" s="238" t="s">
        <v>216</v>
      </c>
      <c r="B849" s="182"/>
      <c r="C849" s="234">
        <v>0</v>
      </c>
      <c r="D849" s="252">
        <f>D821</f>
        <v>1450</v>
      </c>
      <c r="E849" s="252"/>
      <c r="F849" s="164">
        <f>ROUND(D849*$C849,0)</f>
        <v>0</v>
      </c>
      <c r="G849" s="252">
        <v>1465</v>
      </c>
      <c r="H849" s="252"/>
      <c r="I849" s="164">
        <f>ROUND(G849*C849,0)</f>
        <v>0</v>
      </c>
      <c r="J849" s="252">
        <f>J821</f>
        <v>1650</v>
      </c>
      <c r="K849" s="239"/>
      <c r="L849" s="164">
        <f>ROUND(J849*$C849,0)</f>
        <v>0</v>
      </c>
      <c r="N849" s="76"/>
      <c r="O849" s="76"/>
      <c r="Q849" s="144"/>
      <c r="R849" s="144"/>
      <c r="S849" s="76"/>
      <c r="T849" s="76"/>
      <c r="U849" s="76"/>
      <c r="V849" s="76"/>
      <c r="W849" s="76"/>
      <c r="X849" s="76"/>
      <c r="Y849" s="76"/>
      <c r="Z849" s="76"/>
      <c r="AA849" s="76"/>
      <c r="AB849" s="76"/>
      <c r="AC849" s="76"/>
      <c r="AD849" s="76"/>
      <c r="AE849" s="76"/>
      <c r="AF849" s="76"/>
      <c r="AG849" s="76"/>
      <c r="AH849" s="76"/>
    </row>
    <row r="850" spans="1:34" ht="16.5" hidden="1" thickTop="1">
      <c r="A850" s="238" t="s">
        <v>145</v>
      </c>
      <c r="B850" s="182"/>
      <c r="C850" s="234">
        <f>SUM(C848:C849)</f>
        <v>184</v>
      </c>
      <c r="D850" s="252" t="s">
        <v>0</v>
      </c>
      <c r="E850" s="252"/>
      <c r="F850" s="164" t="s">
        <v>0</v>
      </c>
      <c r="G850" s="252" t="s">
        <v>0</v>
      </c>
      <c r="H850" s="252"/>
      <c r="I850" s="164" t="s">
        <v>0</v>
      </c>
      <c r="J850" s="252" t="s">
        <v>0</v>
      </c>
      <c r="K850" s="236"/>
      <c r="L850" s="164" t="s">
        <v>0</v>
      </c>
      <c r="N850" s="76"/>
      <c r="O850" s="76"/>
      <c r="Q850" s="144"/>
      <c r="R850" s="144"/>
      <c r="S850" s="76"/>
      <c r="T850" s="76"/>
      <c r="U850" s="76"/>
      <c r="V850" s="76"/>
      <c r="W850" s="76"/>
      <c r="X850" s="76"/>
      <c r="Y850" s="76"/>
      <c r="Z850" s="76"/>
      <c r="AA850" s="76"/>
      <c r="AB850" s="76"/>
      <c r="AC850" s="76"/>
      <c r="AD850" s="76"/>
      <c r="AE850" s="76"/>
      <c r="AF850" s="76"/>
      <c r="AG850" s="76"/>
      <c r="AH850" s="76"/>
    </row>
    <row r="851" spans="1:34" ht="16.5" hidden="1" thickTop="1">
      <c r="A851" s="238" t="s">
        <v>217</v>
      </c>
      <c r="B851" s="182"/>
      <c r="C851" s="234">
        <v>241976</v>
      </c>
      <c r="D851" s="252">
        <f t="shared" ref="D851:D853" si="135">D823</f>
        <v>0.91</v>
      </c>
      <c r="E851" s="252"/>
      <c r="F851" s="164">
        <f>ROUND(D851*$C851,0)</f>
        <v>220198</v>
      </c>
      <c r="G851" s="252">
        <v>0.92</v>
      </c>
      <c r="H851" s="252"/>
      <c r="I851" s="164">
        <f t="shared" ref="I851:I853" si="136">ROUND(G851*C851,0)</f>
        <v>222618</v>
      </c>
      <c r="J851" s="252">
        <f t="shared" ref="J851:J853" si="137">J823</f>
        <v>1.04</v>
      </c>
      <c r="K851" s="236"/>
      <c r="L851" s="164">
        <f>ROUND(J851*$C851,0)</f>
        <v>251655</v>
      </c>
      <c r="N851" s="76"/>
      <c r="O851" s="76"/>
      <c r="Q851" s="144"/>
      <c r="R851" s="144"/>
      <c r="S851" s="76"/>
      <c r="T851" s="76"/>
      <c r="U851" s="76"/>
      <c r="V851" s="76"/>
      <c r="W851" s="76"/>
      <c r="X851" s="76"/>
      <c r="Y851" s="76"/>
      <c r="Z851" s="76"/>
      <c r="AA851" s="76"/>
      <c r="AB851" s="76"/>
      <c r="AC851" s="76"/>
      <c r="AD851" s="76"/>
      <c r="AE851" s="76"/>
      <c r="AF851" s="76"/>
      <c r="AG851" s="76"/>
      <c r="AH851" s="76"/>
    </row>
    <row r="852" spans="1:34" ht="16.5" hidden="1" thickTop="1">
      <c r="A852" s="238" t="s">
        <v>218</v>
      </c>
      <c r="B852" s="182"/>
      <c r="C852" s="234">
        <v>0</v>
      </c>
      <c r="D852" s="252">
        <f t="shared" si="135"/>
        <v>0.83</v>
      </c>
      <c r="E852" s="252"/>
      <c r="F852" s="164">
        <f>ROUND(D852*$C852,0)</f>
        <v>0</v>
      </c>
      <c r="G852" s="252">
        <v>0.84</v>
      </c>
      <c r="H852" s="252"/>
      <c r="I852" s="164">
        <f t="shared" si="136"/>
        <v>0</v>
      </c>
      <c r="J852" s="252">
        <f t="shared" si="137"/>
        <v>0.95</v>
      </c>
      <c r="K852" s="236"/>
      <c r="L852" s="164">
        <f>ROUND(J852*$C852,0)</f>
        <v>0</v>
      </c>
      <c r="N852" s="76"/>
      <c r="O852" s="76"/>
      <c r="Q852" s="144"/>
      <c r="R852" s="144"/>
      <c r="S852" s="76"/>
      <c r="T852" s="76"/>
      <c r="U852" s="76"/>
      <c r="V852" s="76"/>
      <c r="W852" s="76"/>
      <c r="X852" s="76"/>
      <c r="Y852" s="76"/>
      <c r="Z852" s="76"/>
      <c r="AA852" s="76"/>
      <c r="AB852" s="76"/>
      <c r="AC852" s="76"/>
      <c r="AD852" s="76"/>
      <c r="AE852" s="76"/>
      <c r="AF852" s="76"/>
      <c r="AG852" s="76"/>
      <c r="AH852" s="76"/>
    </row>
    <row r="853" spans="1:34" ht="16.5" hidden="1" thickTop="1">
      <c r="A853" s="217" t="s">
        <v>153</v>
      </c>
      <c r="B853" s="182"/>
      <c r="C853" s="234">
        <v>165404</v>
      </c>
      <c r="D853" s="252">
        <f t="shared" si="135"/>
        <v>6.03</v>
      </c>
      <c r="E853" s="252"/>
      <c r="F853" s="164">
        <f>ROUND(D853*$C853,0)</f>
        <v>997386</v>
      </c>
      <c r="G853" s="252">
        <v>6.22</v>
      </c>
      <c r="H853" s="252"/>
      <c r="I853" s="164">
        <f t="shared" si="136"/>
        <v>1028813</v>
      </c>
      <c r="J853" s="252">
        <f t="shared" si="137"/>
        <v>7.02</v>
      </c>
      <c r="K853" s="236"/>
      <c r="L853" s="164">
        <f>ROUND(J853*$C853,0)</f>
        <v>1161136</v>
      </c>
      <c r="N853" s="76"/>
      <c r="O853" s="76"/>
      <c r="Q853" s="144"/>
      <c r="R853" s="144"/>
      <c r="S853" s="76"/>
      <c r="T853" s="76"/>
      <c r="U853" s="76"/>
      <c r="V853" s="76"/>
      <c r="W853" s="76"/>
      <c r="X853" s="76"/>
      <c r="Y853" s="76"/>
      <c r="Z853" s="76"/>
      <c r="AA853" s="76"/>
      <c r="AB853" s="76"/>
      <c r="AC853" s="76"/>
      <c r="AD853" s="76"/>
      <c r="AE853" s="76"/>
      <c r="AF853" s="76"/>
      <c r="AG853" s="76"/>
      <c r="AH853" s="76"/>
    </row>
    <row r="854" spans="1:34" ht="16.5" hidden="1" thickTop="1">
      <c r="A854" s="238" t="s">
        <v>174</v>
      </c>
      <c r="B854" s="182"/>
      <c r="C854" s="234"/>
      <c r="D854" s="252" t="s">
        <v>0</v>
      </c>
      <c r="E854" s="252"/>
      <c r="F854" s="164"/>
      <c r="G854" s="252" t="s">
        <v>0</v>
      </c>
      <c r="H854" s="252"/>
      <c r="I854" s="164"/>
      <c r="J854" s="252" t="s">
        <v>0</v>
      </c>
      <c r="K854" s="236"/>
      <c r="L854" s="164"/>
      <c r="N854" s="76"/>
      <c r="O854" s="76"/>
      <c r="Q854" s="144"/>
      <c r="R854" s="144"/>
      <c r="S854" s="76"/>
      <c r="T854" s="76"/>
      <c r="U854" s="76"/>
      <c r="V854" s="76"/>
      <c r="W854" s="76"/>
      <c r="X854" s="76"/>
      <c r="Y854" s="76"/>
      <c r="Z854" s="76"/>
      <c r="AA854" s="76"/>
      <c r="AB854" s="76"/>
      <c r="AC854" s="76"/>
      <c r="AD854" s="76"/>
      <c r="AE854" s="76"/>
      <c r="AF854" s="76"/>
      <c r="AG854" s="76"/>
      <c r="AH854" s="76"/>
    </row>
    <row r="855" spans="1:34" ht="16.5" hidden="1" thickTop="1">
      <c r="A855" s="238" t="s">
        <v>208</v>
      </c>
      <c r="B855" s="182"/>
      <c r="C855" s="234">
        <v>72469120</v>
      </c>
      <c r="D855" s="324">
        <f>D827</f>
        <v>3.4990000000000001</v>
      </c>
      <c r="E855" s="236" t="s">
        <v>126</v>
      </c>
      <c r="F855" s="164">
        <f>ROUND(D855/100*$C855,0)</f>
        <v>2535695</v>
      </c>
      <c r="G855" s="324">
        <v>3.718</v>
      </c>
      <c r="H855" s="324"/>
      <c r="I855" s="164">
        <f>ROUND(G855/100*C855,0)</f>
        <v>2694402</v>
      </c>
      <c r="J855" s="324">
        <f>J827</f>
        <v>4.1850000000000005</v>
      </c>
      <c r="K855" s="236" t="s">
        <v>126</v>
      </c>
      <c r="L855" s="164">
        <f>ROUND(J855/100*$C855,0)</f>
        <v>3032833</v>
      </c>
      <c r="N855" s="76"/>
      <c r="O855" s="76"/>
      <c r="Q855" s="144"/>
      <c r="R855" s="144"/>
      <c r="S855" s="76"/>
      <c r="T855" s="76"/>
      <c r="U855" s="76"/>
      <c r="V855" s="76"/>
      <c r="W855" s="76"/>
      <c r="X855" s="76"/>
      <c r="Y855" s="76"/>
      <c r="Z855" s="76"/>
      <c r="AA855" s="76"/>
      <c r="AB855" s="76"/>
      <c r="AC855" s="76"/>
      <c r="AD855" s="76"/>
      <c r="AE855" s="76"/>
      <c r="AF855" s="76"/>
      <c r="AG855" s="76"/>
      <c r="AH855" s="76"/>
    </row>
    <row r="856" spans="1:34" ht="16.5" hidden="1" thickTop="1">
      <c r="A856" s="238" t="s">
        <v>150</v>
      </c>
      <c r="B856" s="182"/>
      <c r="C856" s="234">
        <v>21383</v>
      </c>
      <c r="D856" s="252">
        <f>D828</f>
        <v>0.45</v>
      </c>
      <c r="E856" s="236"/>
      <c r="F856" s="164">
        <f>ROUND(D856*$C856,0)</f>
        <v>9622</v>
      </c>
      <c r="G856" s="252">
        <v>0.48</v>
      </c>
      <c r="H856" s="252"/>
      <c r="I856" s="164">
        <f>ROUND(G856*C856,0)</f>
        <v>10264</v>
      </c>
      <c r="J856" s="252">
        <f>J828</f>
        <v>0.54</v>
      </c>
      <c r="K856" s="236"/>
      <c r="L856" s="164">
        <f>ROUND(J856*$C856,0)</f>
        <v>11547</v>
      </c>
      <c r="N856" s="76"/>
      <c r="O856" s="76"/>
      <c r="Q856" s="144"/>
      <c r="R856" s="144"/>
      <c r="S856" s="76"/>
      <c r="T856" s="76"/>
      <c r="U856" s="76"/>
      <c r="V856" s="76"/>
      <c r="W856" s="76"/>
      <c r="X856" s="76"/>
      <c r="Y856" s="76"/>
      <c r="Z856" s="76"/>
      <c r="AA856" s="76"/>
      <c r="AB856" s="76"/>
      <c r="AC856" s="76"/>
      <c r="AD856" s="76"/>
      <c r="AE856" s="76"/>
      <c r="AF856" s="76"/>
      <c r="AG856" s="76"/>
      <c r="AH856" s="76"/>
    </row>
    <row r="857" spans="1:34" ht="16.5" hidden="1" thickTop="1">
      <c r="A857" s="280" t="s">
        <v>151</v>
      </c>
      <c r="B857" s="182"/>
      <c r="C857" s="234"/>
      <c r="D857" s="247">
        <f>D829</f>
        <v>-0.01</v>
      </c>
      <c r="E857" s="247"/>
      <c r="F857" s="164"/>
      <c r="G857" s="247">
        <v>0</v>
      </c>
      <c r="H857" s="247"/>
      <c r="I857" s="164"/>
      <c r="J857" s="247">
        <f>J829</f>
        <v>0</v>
      </c>
      <c r="K857" s="281"/>
      <c r="L857" s="164"/>
      <c r="N857" s="76"/>
      <c r="O857" s="76"/>
      <c r="Q857" s="144"/>
      <c r="R857" s="144"/>
      <c r="S857" s="76"/>
      <c r="T857" s="76"/>
      <c r="U857" s="76"/>
      <c r="V857" s="76"/>
      <c r="W857" s="76"/>
      <c r="X857" s="76"/>
      <c r="Y857" s="76"/>
      <c r="Z857" s="76"/>
      <c r="AA857" s="76"/>
      <c r="AB857" s="76"/>
      <c r="AC857" s="76"/>
      <c r="AD857" s="76"/>
      <c r="AE857" s="76"/>
      <c r="AF857" s="76"/>
      <c r="AG857" s="76"/>
      <c r="AH857" s="76"/>
    </row>
    <row r="858" spans="1:34" ht="16.5" hidden="1" thickTop="1">
      <c r="A858" s="238" t="s">
        <v>215</v>
      </c>
      <c r="B858" s="182"/>
      <c r="C858" s="234">
        <v>0</v>
      </c>
      <c r="D858" s="249">
        <f>D848</f>
        <v>1205</v>
      </c>
      <c r="E858" s="249"/>
      <c r="F858" s="236">
        <f>ROUND(D858*$C858*$D$803,0)</f>
        <v>0</v>
      </c>
      <c r="G858" s="249">
        <f>G848</f>
        <v>1215</v>
      </c>
      <c r="H858" s="249"/>
      <c r="I858" s="164">
        <f t="shared" ref="I858:I866" si="138">ROUND(G858*C858,0)</f>
        <v>0</v>
      </c>
      <c r="J858" s="249">
        <v>0</v>
      </c>
      <c r="K858" s="236"/>
      <c r="L858" s="236">
        <f>ROUND(J858*$C858*$D$803,0)</f>
        <v>0</v>
      </c>
      <c r="N858" s="76"/>
      <c r="O858" s="76"/>
      <c r="Q858" s="144"/>
      <c r="R858" s="144"/>
      <c r="S858" s="76"/>
      <c r="T858" s="76"/>
      <c r="U858" s="76"/>
      <c r="V858" s="76"/>
      <c r="W858" s="76"/>
      <c r="X858" s="76"/>
      <c r="Y858" s="76"/>
      <c r="Z858" s="76"/>
      <c r="AA858" s="76"/>
      <c r="AB858" s="76"/>
      <c r="AC858" s="76"/>
      <c r="AD858" s="76"/>
      <c r="AE858" s="76"/>
      <c r="AF858" s="76"/>
      <c r="AG858" s="76"/>
      <c r="AH858" s="76"/>
    </row>
    <row r="859" spans="1:34" ht="16.5" hidden="1" thickTop="1">
      <c r="A859" s="238" t="s">
        <v>216</v>
      </c>
      <c r="B859" s="182"/>
      <c r="C859" s="234">
        <v>0</v>
      </c>
      <c r="D859" s="249">
        <f>D849</f>
        <v>1450</v>
      </c>
      <c r="E859" s="249"/>
      <c r="F859" s="236">
        <f>ROUND(D859*$C859*$D$803,0)</f>
        <v>0</v>
      </c>
      <c r="G859" s="249">
        <f>G849</f>
        <v>1465</v>
      </c>
      <c r="H859" s="249"/>
      <c r="I859" s="164">
        <f t="shared" si="138"/>
        <v>0</v>
      </c>
      <c r="J859" s="249">
        <v>0</v>
      </c>
      <c r="K859" s="236"/>
      <c r="L859" s="236">
        <f>ROUND(J859*$C859*$D$803,0)</f>
        <v>0</v>
      </c>
      <c r="N859" s="76"/>
      <c r="O859" s="76"/>
      <c r="Q859" s="144"/>
      <c r="R859" s="144"/>
      <c r="S859" s="76"/>
      <c r="T859" s="76"/>
      <c r="U859" s="76"/>
      <c r="V859" s="76"/>
      <c r="W859" s="76"/>
      <c r="X859" s="76"/>
      <c r="Y859" s="76"/>
      <c r="Z859" s="76"/>
      <c r="AA859" s="76"/>
      <c r="AB859" s="76"/>
      <c r="AC859" s="76"/>
      <c r="AD859" s="76"/>
      <c r="AE859" s="76"/>
      <c r="AF859" s="76"/>
      <c r="AG859" s="76"/>
      <c r="AH859" s="76"/>
    </row>
    <row r="860" spans="1:34" ht="16.5" hidden="1" thickTop="1">
      <c r="A860" s="238" t="s">
        <v>217</v>
      </c>
      <c r="B860" s="182"/>
      <c r="C860" s="234">
        <v>0</v>
      </c>
      <c r="D860" s="249">
        <f>D851</f>
        <v>0.91</v>
      </c>
      <c r="E860" s="249"/>
      <c r="F860" s="236">
        <f>ROUND(D860*$C860*$D$803,0)</f>
        <v>0</v>
      </c>
      <c r="G860" s="249">
        <f>G851</f>
        <v>0.92</v>
      </c>
      <c r="H860" s="249"/>
      <c r="I860" s="164">
        <f t="shared" si="138"/>
        <v>0</v>
      </c>
      <c r="J860" s="249">
        <v>0</v>
      </c>
      <c r="K860" s="236"/>
      <c r="L860" s="236">
        <f>ROUND(J860*$C860*$D$803,0)</f>
        <v>0</v>
      </c>
      <c r="N860" s="76"/>
      <c r="O860" s="76"/>
      <c r="Q860" s="144"/>
      <c r="R860" s="144"/>
      <c r="S860" s="76"/>
      <c r="T860" s="76"/>
      <c r="U860" s="76"/>
      <c r="V860" s="76"/>
      <c r="W860" s="76"/>
      <c r="X860" s="76"/>
      <c r="Y860" s="76"/>
      <c r="Z860" s="76"/>
      <c r="AA860" s="76"/>
      <c r="AB860" s="76"/>
      <c r="AC860" s="76"/>
      <c r="AD860" s="76"/>
      <c r="AE860" s="76"/>
      <c r="AF860" s="76"/>
      <c r="AG860" s="76"/>
      <c r="AH860" s="76"/>
    </row>
    <row r="861" spans="1:34" ht="16.5" hidden="1" thickTop="1">
      <c r="A861" s="238" t="s">
        <v>218</v>
      </c>
      <c r="B861" s="182"/>
      <c r="C861" s="234">
        <v>0</v>
      </c>
      <c r="D861" s="249">
        <f>D852</f>
        <v>0.83</v>
      </c>
      <c r="E861" s="249"/>
      <c r="F861" s="236">
        <f>ROUND(D861*$C861*$D$803,0)</f>
        <v>0</v>
      </c>
      <c r="G861" s="249">
        <f>G852</f>
        <v>0.84</v>
      </c>
      <c r="H861" s="249"/>
      <c r="I861" s="164">
        <f t="shared" si="138"/>
        <v>0</v>
      </c>
      <c r="J861" s="249">
        <v>0</v>
      </c>
      <c r="K861" s="236"/>
      <c r="L861" s="236">
        <f>ROUND(J861*$C861*$D$803,0)</f>
        <v>0</v>
      </c>
      <c r="N861" s="76"/>
      <c r="O861" s="76"/>
      <c r="Q861" s="144"/>
      <c r="R861" s="144"/>
      <c r="S861" s="76"/>
      <c r="T861" s="76"/>
      <c r="U861" s="76"/>
      <c r="V861" s="76"/>
      <c r="W861" s="76"/>
      <c r="X861" s="76"/>
      <c r="Y861" s="76"/>
      <c r="Z861" s="76"/>
      <c r="AA861" s="76"/>
      <c r="AB861" s="76"/>
      <c r="AC861" s="76"/>
      <c r="AD861" s="76"/>
      <c r="AE861" s="76"/>
      <c r="AF861" s="76"/>
      <c r="AG861" s="76"/>
      <c r="AH861" s="76"/>
    </row>
    <row r="862" spans="1:34" ht="16.5" hidden="1" thickTop="1">
      <c r="A862" s="217" t="s">
        <v>153</v>
      </c>
      <c r="B862" s="304"/>
      <c r="C862" s="234">
        <v>0</v>
      </c>
      <c r="D862" s="249">
        <f>D853</f>
        <v>6.03</v>
      </c>
      <c r="E862" s="252"/>
      <c r="F862" s="236">
        <f>ROUND(D862*$C862*$D$803,0)</f>
        <v>0</v>
      </c>
      <c r="G862" s="249">
        <f>G853</f>
        <v>6.22</v>
      </c>
      <c r="H862" s="249"/>
      <c r="I862" s="164">
        <f t="shared" si="138"/>
        <v>0</v>
      </c>
      <c r="J862" s="249">
        <v>0</v>
      </c>
      <c r="K862" s="236"/>
      <c r="L862" s="236">
        <f>ROUND(J862*$C862*$D$803,0)</f>
        <v>0</v>
      </c>
      <c r="N862" s="76"/>
      <c r="O862" s="76"/>
      <c r="Q862" s="144"/>
      <c r="R862" s="144"/>
      <c r="S862" s="76"/>
      <c r="T862" s="76"/>
      <c r="U862" s="76"/>
      <c r="V862" s="76"/>
      <c r="W862" s="76"/>
      <c r="X862" s="76"/>
      <c r="Y862" s="76"/>
      <c r="Z862" s="76"/>
      <c r="AA862" s="76"/>
      <c r="AB862" s="76"/>
      <c r="AC862" s="76"/>
      <c r="AD862" s="76"/>
      <c r="AE862" s="76"/>
      <c r="AF862" s="76"/>
      <c r="AG862" s="76"/>
      <c r="AH862" s="76"/>
    </row>
    <row r="863" spans="1:34" ht="16.5" hidden="1" thickTop="1">
      <c r="A863" s="238" t="s">
        <v>208</v>
      </c>
      <c r="B863" s="182"/>
      <c r="C863" s="234">
        <v>0</v>
      </c>
      <c r="D863" s="250">
        <f>D855</f>
        <v>3.4990000000000001</v>
      </c>
      <c r="E863" s="236" t="s">
        <v>126</v>
      </c>
      <c r="F863" s="236">
        <f>ROUND(D863/100*$C863*$D$803,0)</f>
        <v>0</v>
      </c>
      <c r="G863" s="250">
        <f>G855</f>
        <v>3.718</v>
      </c>
      <c r="H863" s="250"/>
      <c r="I863" s="164">
        <f>ROUND(G863/100*C863,0)</f>
        <v>0</v>
      </c>
      <c r="J863" s="250">
        <v>0</v>
      </c>
      <c r="K863" s="236" t="s">
        <v>126</v>
      </c>
      <c r="L863" s="236">
        <f>ROUND(J863/100*$C863*$D$803,0)</f>
        <v>0</v>
      </c>
      <c r="N863" s="76"/>
      <c r="O863" s="76"/>
      <c r="Q863" s="144"/>
      <c r="R863" s="144"/>
      <c r="S863" s="76"/>
      <c r="T863" s="76"/>
      <c r="U863" s="76"/>
      <c r="V863" s="76"/>
      <c r="W863" s="76"/>
      <c r="X863" s="76"/>
      <c r="Y863" s="76"/>
      <c r="Z863" s="76"/>
      <c r="AA863" s="76"/>
      <c r="AB863" s="76"/>
      <c r="AC863" s="76"/>
      <c r="AD863" s="76"/>
      <c r="AE863" s="76"/>
      <c r="AF863" s="76"/>
      <c r="AG863" s="76"/>
      <c r="AH863" s="76"/>
    </row>
    <row r="864" spans="1:34" ht="16.5" hidden="1" thickTop="1">
      <c r="A864" s="238" t="s">
        <v>150</v>
      </c>
      <c r="B864" s="182"/>
      <c r="C864" s="234">
        <v>0</v>
      </c>
      <c r="D864" s="304">
        <f>D856</f>
        <v>0.45</v>
      </c>
      <c r="E864" s="236"/>
      <c r="F864" s="236">
        <f>ROUND(D864*$C864*$D$803,0)</f>
        <v>0</v>
      </c>
      <c r="G864" s="304">
        <f>G856</f>
        <v>0.48</v>
      </c>
      <c r="H864" s="304"/>
      <c r="I864" s="164">
        <f t="shared" si="138"/>
        <v>0</v>
      </c>
      <c r="J864" s="304">
        <v>0</v>
      </c>
      <c r="K864" s="236"/>
      <c r="L864" s="236">
        <f>ROUND(J864*$C864*$D$803,0)</f>
        <v>0</v>
      </c>
      <c r="N864" s="76"/>
      <c r="O864" s="76"/>
      <c r="Q864" s="144"/>
      <c r="R864" s="144"/>
      <c r="S864" s="76"/>
      <c r="T864" s="76"/>
      <c r="U864" s="76"/>
      <c r="V864" s="76"/>
      <c r="W864" s="76"/>
      <c r="X864" s="76"/>
      <c r="Y864" s="76"/>
      <c r="Z864" s="76"/>
      <c r="AA864" s="76"/>
      <c r="AB864" s="76"/>
      <c r="AC864" s="76"/>
      <c r="AD864" s="76"/>
      <c r="AE864" s="76"/>
      <c r="AF864" s="76"/>
      <c r="AG864" s="76"/>
      <c r="AH864" s="76"/>
    </row>
    <row r="865" spans="1:34" ht="16.5" hidden="1" thickTop="1">
      <c r="A865" s="217" t="s">
        <v>219</v>
      </c>
      <c r="B865" s="182"/>
      <c r="C865" s="234">
        <v>0</v>
      </c>
      <c r="D865" s="252">
        <f>D837</f>
        <v>60</v>
      </c>
      <c r="E865" s="252"/>
      <c r="F865" s="236">
        <f>ROUND(D865*$C865,0)</f>
        <v>0</v>
      </c>
      <c r="G865" s="252">
        <f>$G$811</f>
        <v>0</v>
      </c>
      <c r="H865" s="252"/>
      <c r="I865" s="164">
        <f t="shared" si="138"/>
        <v>0</v>
      </c>
      <c r="J865" s="252">
        <f>$J$811</f>
        <v>0</v>
      </c>
      <c r="K865" s="236"/>
      <c r="L865" s="236">
        <f>ROUND(J865*$C865,0)</f>
        <v>0</v>
      </c>
      <c r="N865" s="76"/>
      <c r="O865" s="76"/>
      <c r="Q865" s="144"/>
      <c r="R865" s="144"/>
      <c r="S865" s="76"/>
      <c r="T865" s="76"/>
      <c r="U865" s="76"/>
      <c r="V865" s="76"/>
      <c r="W865" s="76"/>
      <c r="X865" s="76"/>
      <c r="Y865" s="76"/>
      <c r="Z865" s="76"/>
      <c r="AA865" s="76"/>
      <c r="AB865" s="76"/>
      <c r="AC865" s="76"/>
      <c r="AD865" s="76"/>
      <c r="AE865" s="76"/>
      <c r="AF865" s="76"/>
      <c r="AG865" s="76"/>
      <c r="AH865" s="76"/>
    </row>
    <row r="866" spans="1:34" ht="16.5" hidden="1" thickTop="1">
      <c r="A866" s="217" t="s">
        <v>188</v>
      </c>
      <c r="B866" s="182"/>
      <c r="C866" s="234">
        <v>0</v>
      </c>
      <c r="D866" s="252">
        <f>D838</f>
        <v>-0.75</v>
      </c>
      <c r="E866" s="236"/>
      <c r="F866" s="236">
        <f>ROUND(D866*$C866,0)</f>
        <v>0</v>
      </c>
      <c r="G866" s="252">
        <f>$G$812</f>
        <v>0</v>
      </c>
      <c r="H866" s="252"/>
      <c r="I866" s="164">
        <f t="shared" si="138"/>
        <v>0</v>
      </c>
      <c r="J866" s="252">
        <f>$J$812</f>
        <v>0</v>
      </c>
      <c r="K866" s="236"/>
      <c r="L866" s="236">
        <f>ROUND(J866*$C866,0)</f>
        <v>0</v>
      </c>
      <c r="N866" s="76"/>
      <c r="O866" s="76"/>
      <c r="Q866" s="144"/>
      <c r="R866" s="144"/>
      <c r="S866" s="76"/>
      <c r="T866" s="76"/>
      <c r="U866" s="76"/>
      <c r="V866" s="76"/>
      <c r="W866" s="76"/>
      <c r="X866" s="76"/>
      <c r="Y866" s="76"/>
      <c r="Z866" s="76"/>
      <c r="AA866" s="76"/>
      <c r="AB866" s="76"/>
      <c r="AC866" s="76"/>
      <c r="AD866" s="76"/>
      <c r="AE866" s="76"/>
      <c r="AF866" s="76"/>
      <c r="AG866" s="76"/>
      <c r="AH866" s="76"/>
    </row>
    <row r="867" spans="1:34" ht="16.5" hidden="1" thickTop="1">
      <c r="A867" s="182" t="s">
        <v>131</v>
      </c>
      <c r="B867" s="182"/>
      <c r="C867" s="234">
        <f>C855</f>
        <v>72469120</v>
      </c>
      <c r="D867" s="244"/>
      <c r="E867" s="164"/>
      <c r="F867" s="164">
        <f>SUM(F848:F866)</f>
        <v>3984621</v>
      </c>
      <c r="G867" s="244"/>
      <c r="H867" s="244"/>
      <c r="I867" s="164">
        <f>SUM(I848:I866)</f>
        <v>4179657</v>
      </c>
      <c r="J867" s="244"/>
      <c r="K867" s="182"/>
      <c r="L867" s="164">
        <f>SUM(L848:L866)</f>
        <v>4708331</v>
      </c>
      <c r="N867" s="76"/>
      <c r="O867" s="76"/>
      <c r="Q867" s="144"/>
      <c r="R867" s="144"/>
      <c r="S867" s="76"/>
      <c r="T867" s="76"/>
      <c r="U867" s="76"/>
      <c r="V867" s="76"/>
      <c r="W867" s="76"/>
      <c r="X867" s="76"/>
      <c r="Y867" s="76"/>
      <c r="Z867" s="76"/>
      <c r="AA867" s="76"/>
      <c r="AB867" s="76"/>
      <c r="AC867" s="76"/>
      <c r="AD867" s="76"/>
      <c r="AE867" s="76"/>
      <c r="AF867" s="76"/>
      <c r="AG867" s="76"/>
      <c r="AH867" s="76"/>
    </row>
    <row r="868" spans="1:34" ht="16.5" hidden="1" thickTop="1">
      <c r="A868" s="182" t="s">
        <v>114</v>
      </c>
      <c r="B868" s="182"/>
      <c r="C868" s="234">
        <f>C867/($C$867+$C$950)*$C$1005</f>
        <v>1260580.7896968781</v>
      </c>
      <c r="D868" s="217"/>
      <c r="E868" s="217"/>
      <c r="F868" s="325">
        <f>F867/($F$867+$F$950)*$F$1005</f>
        <v>74400.573449074276</v>
      </c>
      <c r="G868" s="217"/>
      <c r="H868" s="217"/>
      <c r="I868" s="256">
        <f>F868</f>
        <v>74400.573449074276</v>
      </c>
      <c r="J868" s="217"/>
      <c r="K868" s="217"/>
      <c r="L868" s="256">
        <f>F868</f>
        <v>74400.573449074276</v>
      </c>
      <c r="N868" s="196"/>
      <c r="O868" s="196"/>
      <c r="Q868" s="194"/>
      <c r="R868" s="144"/>
      <c r="S868" s="76"/>
      <c r="T868" s="76"/>
      <c r="U868" s="76"/>
      <c r="V868" s="76"/>
      <c r="W868" s="76"/>
      <c r="X868" s="76"/>
      <c r="Y868" s="76"/>
      <c r="Z868" s="76"/>
      <c r="AA868" s="76"/>
      <c r="AB868" s="76"/>
      <c r="AC868" s="76"/>
      <c r="AD868" s="76"/>
      <c r="AE868" s="76"/>
      <c r="AF868" s="76"/>
      <c r="AG868" s="76"/>
      <c r="AH868" s="76"/>
    </row>
    <row r="869" spans="1:34" ht="17.25" hidden="1" thickTop="1" thickBot="1">
      <c r="A869" s="182" t="s">
        <v>132</v>
      </c>
      <c r="B869" s="182"/>
      <c r="C869" s="323">
        <f>SUM(C867)+C868</f>
        <v>73729700.789696872</v>
      </c>
      <c r="D869" s="258"/>
      <c r="E869" s="259"/>
      <c r="F869" s="260">
        <f>F867+F868</f>
        <v>4059021.5734490743</v>
      </c>
      <c r="G869" s="258"/>
      <c r="H869" s="258"/>
      <c r="I869" s="260">
        <f>I867+I868</f>
        <v>4254057.5734490743</v>
      </c>
      <c r="J869" s="258"/>
      <c r="K869" s="262"/>
      <c r="L869" s="260">
        <f>L867+L868</f>
        <v>4782731.5734490743</v>
      </c>
      <c r="N869" s="197"/>
      <c r="O869" s="197"/>
      <c r="Q869" s="198"/>
      <c r="R869" s="144"/>
      <c r="S869" s="298">
        <f>(L869-F869)/F869</f>
        <v>0.1782966626080387</v>
      </c>
      <c r="T869" s="76"/>
      <c r="U869" s="76"/>
      <c r="V869" s="76"/>
      <c r="W869" s="76"/>
      <c r="X869" s="76"/>
      <c r="Y869" s="76"/>
      <c r="Z869" s="76"/>
      <c r="AA869" s="76"/>
      <c r="AB869" s="76"/>
      <c r="AC869" s="76"/>
      <c r="AD869" s="76"/>
      <c r="AE869" s="76"/>
      <c r="AF869" s="76"/>
      <c r="AG869" s="76"/>
      <c r="AH869" s="76"/>
    </row>
    <row r="870" spans="1:34" ht="16.5" hidden="1" thickTop="1">
      <c r="A870" s="182"/>
      <c r="B870" s="182"/>
      <c r="C870" s="200"/>
      <c r="D870" s="252"/>
      <c r="E870" s="164"/>
      <c r="F870" s="164"/>
      <c r="G870" s="252"/>
      <c r="H870" s="252"/>
      <c r="I870" s="164"/>
      <c r="J870" s="252"/>
      <c r="K870" s="182"/>
      <c r="L870" s="304"/>
      <c r="N870" s="76"/>
      <c r="O870" s="76"/>
      <c r="Q870" s="144"/>
      <c r="R870" s="144"/>
      <c r="S870" s="76"/>
      <c r="T870" s="76"/>
      <c r="U870" s="76"/>
      <c r="V870" s="76"/>
      <c r="W870" s="76"/>
      <c r="X870" s="76"/>
      <c r="Y870" s="76"/>
      <c r="Z870" s="76"/>
      <c r="AA870" s="76"/>
      <c r="AB870" s="76"/>
      <c r="AC870" s="76"/>
      <c r="AD870" s="76"/>
      <c r="AE870" s="76"/>
      <c r="AF870" s="76"/>
      <c r="AG870" s="76"/>
      <c r="AH870" s="76"/>
    </row>
    <row r="871" spans="1:34" ht="16.5" hidden="1" thickTop="1">
      <c r="A871" s="199" t="s">
        <v>220</v>
      </c>
      <c r="B871" s="182"/>
      <c r="C871" s="182"/>
      <c r="D871" s="164"/>
      <c r="E871" s="164"/>
      <c r="F871" s="182"/>
      <c r="G871" s="164"/>
      <c r="H871" s="164"/>
      <c r="I871" s="182"/>
      <c r="J871" s="164"/>
      <c r="K871" s="182"/>
      <c r="L871" s="182"/>
      <c r="N871" s="76"/>
      <c r="O871" s="76"/>
      <c r="Q871" s="144"/>
      <c r="R871" s="144"/>
      <c r="S871" s="76"/>
      <c r="T871" s="76"/>
      <c r="U871" s="76"/>
      <c r="V871" s="76"/>
      <c r="W871" s="76"/>
      <c r="X871" s="76"/>
      <c r="Y871" s="76"/>
      <c r="Z871" s="76"/>
      <c r="AA871" s="76"/>
      <c r="AB871" s="76"/>
      <c r="AC871" s="76"/>
      <c r="AD871" s="76"/>
      <c r="AE871" s="76"/>
      <c r="AF871" s="76"/>
      <c r="AG871" s="76"/>
      <c r="AH871" s="76"/>
    </row>
    <row r="872" spans="1:34" ht="16.5" hidden="1" thickTop="1">
      <c r="A872" s="217" t="s">
        <v>225</v>
      </c>
      <c r="B872" s="182"/>
      <c r="C872" s="182"/>
      <c r="D872" s="164"/>
      <c r="E872" s="164"/>
      <c r="F872" s="182"/>
      <c r="G872" s="164"/>
      <c r="H872" s="164"/>
      <c r="I872" s="182"/>
      <c r="J872" s="164"/>
      <c r="K872" s="182"/>
      <c r="L872" s="182"/>
      <c r="N872" s="76"/>
      <c r="O872" s="76"/>
      <c r="Q872" s="144"/>
      <c r="R872" s="144"/>
      <c r="S872" s="76"/>
      <c r="T872" s="76"/>
      <c r="U872" s="76"/>
      <c r="V872" s="76"/>
      <c r="W872" s="76"/>
      <c r="X872" s="76"/>
      <c r="Y872" s="76"/>
      <c r="Z872" s="76"/>
      <c r="AA872" s="76"/>
      <c r="AB872" s="76"/>
      <c r="AC872" s="76"/>
      <c r="AD872" s="76"/>
      <c r="AE872" s="76"/>
      <c r="AF872" s="76"/>
      <c r="AG872" s="76"/>
      <c r="AH872" s="76"/>
    </row>
    <row r="873" spans="1:34" ht="16.5" hidden="1" thickTop="1">
      <c r="A873" s="238"/>
      <c r="B873" s="182"/>
      <c r="C873" s="182"/>
      <c r="D873" s="164"/>
      <c r="E873" s="164"/>
      <c r="F873" s="182"/>
      <c r="G873" s="164"/>
      <c r="H873" s="164"/>
      <c r="I873" s="182"/>
      <c r="J873" s="164"/>
      <c r="K873" s="182"/>
      <c r="L873" s="182"/>
      <c r="N873" s="76"/>
      <c r="O873" s="76"/>
      <c r="Q873" s="144"/>
      <c r="R873" s="144"/>
      <c r="S873" s="76"/>
      <c r="T873" s="76"/>
      <c r="U873" s="76"/>
      <c r="V873" s="76"/>
      <c r="W873" s="76"/>
      <c r="X873" s="76"/>
      <c r="Y873" s="76"/>
      <c r="Z873" s="76"/>
      <c r="AA873" s="76"/>
      <c r="AB873" s="76"/>
      <c r="AC873" s="76"/>
      <c r="AD873" s="76"/>
      <c r="AE873" s="76"/>
      <c r="AF873" s="76"/>
      <c r="AG873" s="76"/>
      <c r="AH873" s="76"/>
    </row>
    <row r="874" spans="1:34" ht="16.5" hidden="1" thickTop="1">
      <c r="A874" s="238" t="s">
        <v>144</v>
      </c>
      <c r="B874" s="182"/>
      <c r="C874" s="234"/>
      <c r="D874" s="164"/>
      <c r="E874" s="164"/>
      <c r="F874" s="182"/>
      <c r="G874" s="164"/>
      <c r="H874" s="164"/>
      <c r="I874" s="182"/>
      <c r="J874" s="164"/>
      <c r="K874" s="182"/>
      <c r="L874" s="182"/>
      <c r="N874" s="76"/>
      <c r="O874" s="76"/>
      <c r="Q874" s="144"/>
      <c r="R874" s="144"/>
      <c r="S874" s="76"/>
      <c r="T874" s="76"/>
      <c r="U874" s="76"/>
      <c r="V874" s="76"/>
      <c r="W874" s="76"/>
      <c r="X874" s="76"/>
      <c r="Y874" s="76"/>
      <c r="Z874" s="76"/>
      <c r="AA874" s="76"/>
      <c r="AB874" s="76"/>
      <c r="AC874" s="76"/>
      <c r="AD874" s="76"/>
      <c r="AE874" s="76"/>
      <c r="AF874" s="76"/>
      <c r="AG874" s="76"/>
      <c r="AH874" s="76"/>
    </row>
    <row r="875" spans="1:34" ht="16.5" hidden="1" thickTop="1">
      <c r="A875" s="238" t="s">
        <v>215</v>
      </c>
      <c r="B875" s="182"/>
      <c r="C875" s="234">
        <v>312</v>
      </c>
      <c r="D875" s="252">
        <f>D820</f>
        <v>1205</v>
      </c>
      <c r="E875" s="252"/>
      <c r="F875" s="164">
        <f>ROUND(D875*$C875,0)</f>
        <v>375960</v>
      </c>
      <c r="G875" s="252">
        <v>1215</v>
      </c>
      <c r="H875" s="252"/>
      <c r="I875" s="164">
        <f>ROUND(G875*C875,0)</f>
        <v>379080</v>
      </c>
      <c r="J875" s="252">
        <f>J820</f>
        <v>1365</v>
      </c>
      <c r="K875" s="236"/>
      <c r="L875" s="164">
        <f>ROUND(J875*$C875,0)</f>
        <v>425880</v>
      </c>
      <c r="N875" s="76"/>
      <c r="O875" s="76"/>
      <c r="Q875" s="144"/>
      <c r="R875" s="144"/>
      <c r="S875" s="76"/>
      <c r="T875" s="76"/>
      <c r="U875" s="76"/>
      <c r="V875" s="76"/>
      <c r="W875" s="76"/>
      <c r="X875" s="76"/>
      <c r="Y875" s="76"/>
      <c r="Z875" s="76"/>
      <c r="AA875" s="76"/>
      <c r="AB875" s="76"/>
      <c r="AC875" s="76"/>
      <c r="AD875" s="76"/>
      <c r="AE875" s="76"/>
      <c r="AF875" s="76"/>
      <c r="AG875" s="76"/>
      <c r="AH875" s="76"/>
    </row>
    <row r="876" spans="1:34" ht="16.5" hidden="1" thickTop="1">
      <c r="A876" s="238" t="s">
        <v>216</v>
      </c>
      <c r="B876" s="182"/>
      <c r="C876" s="234">
        <v>24</v>
      </c>
      <c r="D876" s="252">
        <f>D821</f>
        <v>1450</v>
      </c>
      <c r="E876" s="252"/>
      <c r="F876" s="164">
        <f>ROUND(D876*$C876,0)</f>
        <v>34800</v>
      </c>
      <c r="G876" s="252">
        <v>1465</v>
      </c>
      <c r="H876" s="252"/>
      <c r="I876" s="164">
        <f>ROUND(G876*C876,0)</f>
        <v>35160</v>
      </c>
      <c r="J876" s="252">
        <f>J821</f>
        <v>1650</v>
      </c>
      <c r="K876" s="239"/>
      <c r="L876" s="164">
        <f>ROUND(J876*$C876,0)</f>
        <v>39600</v>
      </c>
      <c r="N876" s="76"/>
      <c r="O876" s="76"/>
      <c r="Q876" s="144"/>
      <c r="R876" s="144"/>
      <c r="S876" s="76"/>
      <c r="T876" s="76"/>
      <c r="U876" s="76"/>
      <c r="V876" s="76"/>
      <c r="W876" s="76"/>
      <c r="X876" s="76"/>
      <c r="Y876" s="76"/>
      <c r="Z876" s="76"/>
      <c r="AA876" s="76"/>
      <c r="AB876" s="76"/>
      <c r="AC876" s="76"/>
      <c r="AD876" s="76"/>
      <c r="AE876" s="76"/>
      <c r="AF876" s="76"/>
      <c r="AG876" s="76"/>
      <c r="AH876" s="76"/>
    </row>
    <row r="877" spans="1:34" ht="16.5" hidden="1" thickTop="1">
      <c r="A877" s="238" t="s">
        <v>145</v>
      </c>
      <c r="B877" s="182"/>
      <c r="C877" s="234">
        <f>SUM(C875:C876)</f>
        <v>336</v>
      </c>
      <c r="D877" s="252" t="s">
        <v>0</v>
      </c>
      <c r="E877" s="252"/>
      <c r="F877" s="164" t="s">
        <v>0</v>
      </c>
      <c r="G877" s="252" t="s">
        <v>0</v>
      </c>
      <c r="H877" s="252"/>
      <c r="I877" s="164" t="s">
        <v>0</v>
      </c>
      <c r="J877" s="252" t="s">
        <v>0</v>
      </c>
      <c r="K877" s="236"/>
      <c r="L877" s="164" t="s">
        <v>0</v>
      </c>
      <c r="N877" s="76"/>
      <c r="O877" s="76"/>
      <c r="Q877" s="144"/>
      <c r="R877" s="144"/>
      <c r="S877" s="76"/>
      <c r="T877" s="76"/>
      <c r="U877" s="76"/>
      <c r="V877" s="76"/>
      <c r="W877" s="76"/>
      <c r="X877" s="76"/>
      <c r="Y877" s="76"/>
      <c r="Z877" s="76"/>
      <c r="AA877" s="76"/>
      <c r="AB877" s="76"/>
      <c r="AC877" s="76"/>
      <c r="AD877" s="76"/>
      <c r="AE877" s="76"/>
      <c r="AF877" s="76"/>
      <c r="AG877" s="76"/>
      <c r="AH877" s="76"/>
    </row>
    <row r="878" spans="1:34" ht="16.5" hidden="1" thickTop="1">
      <c r="A878" s="238" t="s">
        <v>217</v>
      </c>
      <c r="B878" s="182"/>
      <c r="C878" s="234">
        <v>429638</v>
      </c>
      <c r="D878" s="252">
        <f t="shared" ref="D878:D880" si="139">D823</f>
        <v>0.91</v>
      </c>
      <c r="E878" s="252"/>
      <c r="F878" s="164">
        <f>ROUND(D878*$C878,0)</f>
        <v>390971</v>
      </c>
      <c r="G878" s="252">
        <v>0.92</v>
      </c>
      <c r="H878" s="252"/>
      <c r="I878" s="164">
        <f t="shared" ref="I878:I880" si="140">ROUND(G878*C878,0)</f>
        <v>395267</v>
      </c>
      <c r="J878" s="252">
        <f t="shared" ref="J878:J880" si="141">J823</f>
        <v>1.04</v>
      </c>
      <c r="K878" s="236"/>
      <c r="L878" s="164">
        <f>ROUND(J878*$C878,0)</f>
        <v>446824</v>
      </c>
      <c r="N878" s="76"/>
      <c r="O878" s="76"/>
      <c r="Q878" s="144"/>
      <c r="R878" s="144"/>
      <c r="S878" s="76"/>
      <c r="T878" s="76"/>
      <c r="U878" s="76"/>
      <c r="V878" s="76"/>
      <c r="W878" s="76"/>
      <c r="X878" s="76"/>
      <c r="Y878" s="76"/>
      <c r="Z878" s="76"/>
      <c r="AA878" s="76"/>
      <c r="AB878" s="76"/>
      <c r="AC878" s="76"/>
      <c r="AD878" s="76"/>
      <c r="AE878" s="76"/>
      <c r="AF878" s="76"/>
      <c r="AG878" s="76"/>
      <c r="AH878" s="76"/>
    </row>
    <row r="879" spans="1:34" ht="16.5" hidden="1" thickTop="1">
      <c r="A879" s="238" t="s">
        <v>218</v>
      </c>
      <c r="B879" s="182"/>
      <c r="C879" s="234">
        <v>104881</v>
      </c>
      <c r="D879" s="252">
        <f t="shared" si="139"/>
        <v>0.83</v>
      </c>
      <c r="E879" s="252"/>
      <c r="F879" s="164">
        <f>ROUND(D879*$C879,0)</f>
        <v>87051</v>
      </c>
      <c r="G879" s="252">
        <v>0.84</v>
      </c>
      <c r="H879" s="252"/>
      <c r="I879" s="164">
        <f t="shared" si="140"/>
        <v>88100</v>
      </c>
      <c r="J879" s="252">
        <f t="shared" si="141"/>
        <v>0.95</v>
      </c>
      <c r="K879" s="236"/>
      <c r="L879" s="164">
        <f>ROUND(J879*$C879,0)</f>
        <v>99637</v>
      </c>
      <c r="N879" s="76"/>
      <c r="O879" s="76"/>
      <c r="Q879" s="144"/>
      <c r="R879" s="144"/>
      <c r="S879" s="76"/>
      <c r="T879" s="76"/>
      <c r="U879" s="76"/>
      <c r="V879" s="76"/>
      <c r="W879" s="76"/>
      <c r="X879" s="76"/>
      <c r="Y879" s="76"/>
      <c r="Z879" s="76"/>
      <c r="AA879" s="76"/>
      <c r="AB879" s="76"/>
      <c r="AC879" s="76"/>
      <c r="AD879" s="76"/>
      <c r="AE879" s="76"/>
      <c r="AF879" s="76"/>
      <c r="AG879" s="76"/>
      <c r="AH879" s="76"/>
    </row>
    <row r="880" spans="1:34" ht="16.5" hidden="1" thickTop="1">
      <c r="A880" s="217" t="s">
        <v>153</v>
      </c>
      <c r="B880" s="182"/>
      <c r="C880" s="234">
        <f>364794+101009</f>
        <v>465803</v>
      </c>
      <c r="D880" s="252">
        <f t="shared" si="139"/>
        <v>6.03</v>
      </c>
      <c r="E880" s="252"/>
      <c r="F880" s="164">
        <f>ROUND(D880*$C880,0)</f>
        <v>2808792</v>
      </c>
      <c r="G880" s="252">
        <v>6.22</v>
      </c>
      <c r="H880" s="252"/>
      <c r="I880" s="164">
        <f t="shared" si="140"/>
        <v>2897295</v>
      </c>
      <c r="J880" s="252">
        <f t="shared" si="141"/>
        <v>7.02</v>
      </c>
      <c r="K880" s="236"/>
      <c r="L880" s="164">
        <f>ROUND(J880*$C880,0)</f>
        <v>3269937</v>
      </c>
      <c r="N880" s="76"/>
      <c r="O880" s="76"/>
      <c r="Q880" s="144"/>
      <c r="R880" s="144"/>
      <c r="S880" s="76"/>
      <c r="T880" s="76"/>
      <c r="U880" s="76"/>
      <c r="V880" s="76"/>
      <c r="W880" s="76"/>
      <c r="X880" s="76"/>
      <c r="Y880" s="76"/>
      <c r="Z880" s="76"/>
      <c r="AA880" s="76"/>
      <c r="AB880" s="76"/>
      <c r="AC880" s="76"/>
      <c r="AD880" s="76"/>
      <c r="AE880" s="76"/>
      <c r="AF880" s="76"/>
      <c r="AG880" s="76"/>
      <c r="AH880" s="76"/>
    </row>
    <row r="881" spans="1:34" ht="16.5" hidden="1" thickTop="1">
      <c r="A881" s="238" t="s">
        <v>174</v>
      </c>
      <c r="B881" s="182"/>
      <c r="C881" s="234"/>
      <c r="D881" s="252" t="s">
        <v>0</v>
      </c>
      <c r="E881" s="252"/>
      <c r="F881" s="164"/>
      <c r="G881" s="252" t="s">
        <v>0</v>
      </c>
      <c r="H881" s="252"/>
      <c r="I881" s="164"/>
      <c r="J881" s="252" t="s">
        <v>0</v>
      </c>
      <c r="K881" s="236"/>
      <c r="L881" s="164"/>
      <c r="N881" s="76"/>
      <c r="O881" s="76"/>
      <c r="Q881" s="144"/>
      <c r="R881" s="144"/>
      <c r="S881" s="76"/>
      <c r="T881" s="76"/>
      <c r="U881" s="76"/>
      <c r="V881" s="76"/>
      <c r="W881" s="76"/>
      <c r="X881" s="76"/>
      <c r="Y881" s="76"/>
      <c r="Z881" s="76"/>
      <c r="AA881" s="76"/>
      <c r="AB881" s="76"/>
      <c r="AC881" s="76"/>
      <c r="AD881" s="76"/>
      <c r="AE881" s="76"/>
      <c r="AF881" s="76"/>
      <c r="AG881" s="76"/>
      <c r="AH881" s="76"/>
    </row>
    <row r="882" spans="1:34" ht="16.5" hidden="1" thickTop="1">
      <c r="A882" s="238" t="s">
        <v>208</v>
      </c>
      <c r="B882" s="182"/>
      <c r="C882" s="234">
        <f>159599501+53323500</f>
        <v>212923001</v>
      </c>
      <c r="D882" s="324">
        <f>D827</f>
        <v>3.4990000000000001</v>
      </c>
      <c r="E882" s="236" t="s">
        <v>126</v>
      </c>
      <c r="F882" s="164">
        <f>ROUND(D882/100*$C882,0)</f>
        <v>7450176</v>
      </c>
      <c r="G882" s="324">
        <v>3.718</v>
      </c>
      <c r="H882" s="324"/>
      <c r="I882" s="164">
        <f>ROUND(G882/100*C882,0)</f>
        <v>7916477</v>
      </c>
      <c r="J882" s="324">
        <f>J827</f>
        <v>4.1850000000000005</v>
      </c>
      <c r="K882" s="236" t="s">
        <v>126</v>
      </c>
      <c r="L882" s="164">
        <f>ROUND(J882/100*$C882,0)</f>
        <v>8910828</v>
      </c>
      <c r="N882" s="76"/>
      <c r="O882" s="76"/>
      <c r="Q882" s="144"/>
      <c r="R882" s="144"/>
      <c r="S882" s="76"/>
      <c r="T882" s="76"/>
      <c r="U882" s="76"/>
      <c r="V882" s="76"/>
      <c r="W882" s="76"/>
      <c r="X882" s="76"/>
      <c r="Y882" s="76"/>
      <c r="Z882" s="76"/>
      <c r="AA882" s="76"/>
      <c r="AB882" s="76"/>
      <c r="AC882" s="76"/>
      <c r="AD882" s="76"/>
      <c r="AE882" s="76"/>
      <c r="AF882" s="76"/>
      <c r="AG882" s="76"/>
      <c r="AH882" s="76"/>
    </row>
    <row r="883" spans="1:34" ht="16.5" hidden="1" thickTop="1">
      <c r="A883" s="238" t="s">
        <v>150</v>
      </c>
      <c r="B883" s="182"/>
      <c r="C883" s="234">
        <f>124923+27838</f>
        <v>152761</v>
      </c>
      <c r="D883" s="252">
        <f>D828</f>
        <v>0.45</v>
      </c>
      <c r="E883" s="236"/>
      <c r="F883" s="164">
        <f>ROUND(D883*$C883,0)</f>
        <v>68742</v>
      </c>
      <c r="G883" s="252">
        <v>0.48</v>
      </c>
      <c r="H883" s="252"/>
      <c r="I883" s="164">
        <f>ROUND(G883*C883,0)</f>
        <v>73325</v>
      </c>
      <c r="J883" s="252">
        <f>J828</f>
        <v>0.54</v>
      </c>
      <c r="K883" s="236"/>
      <c r="L883" s="164">
        <f>ROUND(J883*$C883,0)</f>
        <v>82491</v>
      </c>
      <c r="N883" s="76"/>
      <c r="O883" s="76"/>
      <c r="Q883" s="144"/>
      <c r="R883" s="144"/>
      <c r="S883" s="76"/>
      <c r="T883" s="76"/>
      <c r="U883" s="76"/>
      <c r="V883" s="76"/>
      <c r="W883" s="76"/>
      <c r="X883" s="76"/>
      <c r="Y883" s="76"/>
      <c r="Z883" s="76"/>
      <c r="AA883" s="76"/>
      <c r="AB883" s="76"/>
      <c r="AC883" s="76"/>
      <c r="AD883" s="76"/>
      <c r="AE883" s="76"/>
      <c r="AF883" s="76"/>
      <c r="AG883" s="76"/>
      <c r="AH883" s="76"/>
    </row>
    <row r="884" spans="1:34" ht="16.5" hidden="1" thickTop="1">
      <c r="A884" s="280" t="s">
        <v>151</v>
      </c>
      <c r="B884" s="182"/>
      <c r="C884" s="234"/>
      <c r="D884" s="247">
        <f>D829</f>
        <v>-0.01</v>
      </c>
      <c r="E884" s="247"/>
      <c r="F884" s="164"/>
      <c r="G884" s="247">
        <v>0</v>
      </c>
      <c r="H884" s="247"/>
      <c r="I884" s="164"/>
      <c r="J884" s="247">
        <f>J829</f>
        <v>0</v>
      </c>
      <c r="K884" s="281"/>
      <c r="L884" s="164"/>
      <c r="N884" s="76"/>
      <c r="O884" s="76"/>
      <c r="Q884" s="144"/>
      <c r="R884" s="144"/>
      <c r="S884" s="76"/>
      <c r="T884" s="76"/>
      <c r="U884" s="76"/>
      <c r="V884" s="76"/>
      <c r="W884" s="76"/>
      <c r="X884" s="76"/>
      <c r="Y884" s="76"/>
      <c r="Z884" s="76"/>
      <c r="AA884" s="76"/>
      <c r="AB884" s="76"/>
      <c r="AC884" s="76"/>
      <c r="AD884" s="76"/>
      <c r="AE884" s="76"/>
      <c r="AF884" s="76"/>
      <c r="AG884" s="76"/>
      <c r="AH884" s="76"/>
    </row>
    <row r="885" spans="1:34" ht="16.5" hidden="1" thickTop="1">
      <c r="A885" s="238" t="s">
        <v>215</v>
      </c>
      <c r="B885" s="182"/>
      <c r="C885" s="234">
        <v>0</v>
      </c>
      <c r="D885" s="249">
        <f>D875</f>
        <v>1205</v>
      </c>
      <c r="E885" s="249"/>
      <c r="F885" s="236">
        <f>ROUND(D885*$C885*$D$803,0)</f>
        <v>0</v>
      </c>
      <c r="G885" s="249">
        <f>G875</f>
        <v>1215</v>
      </c>
      <c r="H885" s="249"/>
      <c r="I885" s="164">
        <f t="shared" ref="I885:I889" si="142">ROUND(G885*C885,0)</f>
        <v>0</v>
      </c>
      <c r="J885" s="249">
        <v>0</v>
      </c>
      <c r="K885" s="236"/>
      <c r="L885" s="236">
        <f>ROUND(J885*$C885*$D$803,0)</f>
        <v>0</v>
      </c>
      <c r="N885" s="76"/>
      <c r="O885" s="76"/>
      <c r="Q885" s="144"/>
      <c r="R885" s="144"/>
      <c r="S885" s="76"/>
      <c r="T885" s="76"/>
      <c r="U885" s="76"/>
      <c r="V885" s="76"/>
      <c r="W885" s="76"/>
      <c r="X885" s="76"/>
      <c r="Y885" s="76"/>
      <c r="Z885" s="76"/>
      <c r="AA885" s="76"/>
      <c r="AB885" s="76"/>
      <c r="AC885" s="76"/>
      <c r="AD885" s="76"/>
      <c r="AE885" s="76"/>
      <c r="AF885" s="76"/>
      <c r="AG885" s="76"/>
      <c r="AH885" s="76"/>
    </row>
    <row r="886" spans="1:34" ht="16.5" hidden="1" thickTop="1">
      <c r="A886" s="238" t="s">
        <v>216</v>
      </c>
      <c r="B886" s="182"/>
      <c r="C886" s="234">
        <v>0</v>
      </c>
      <c r="D886" s="249">
        <f>D876</f>
        <v>1450</v>
      </c>
      <c r="E886" s="249"/>
      <c r="F886" s="236">
        <f>ROUND(D886*$C886*$D$803,0)</f>
        <v>0</v>
      </c>
      <c r="G886" s="249">
        <f>G876</f>
        <v>1465</v>
      </c>
      <c r="H886" s="249"/>
      <c r="I886" s="164">
        <f t="shared" si="142"/>
        <v>0</v>
      </c>
      <c r="J886" s="249">
        <v>0</v>
      </c>
      <c r="K886" s="236"/>
      <c r="L886" s="236">
        <f>ROUND(J886*$C886*$D$803,0)</f>
        <v>0</v>
      </c>
      <c r="N886" s="76"/>
      <c r="O886" s="76"/>
      <c r="Q886" s="144"/>
      <c r="R886" s="144"/>
      <c r="S886" s="76"/>
      <c r="T886" s="76"/>
      <c r="U886" s="76"/>
      <c r="V886" s="76"/>
      <c r="W886" s="76"/>
      <c r="X886" s="76"/>
      <c r="Y886" s="76"/>
      <c r="Z886" s="76"/>
      <c r="AA886" s="76"/>
      <c r="AB886" s="76"/>
      <c r="AC886" s="76"/>
      <c r="AD886" s="76"/>
      <c r="AE886" s="76"/>
      <c r="AF886" s="76"/>
      <c r="AG886" s="76"/>
      <c r="AH886" s="76"/>
    </row>
    <row r="887" spans="1:34" ht="16.5" hidden="1" thickTop="1">
      <c r="A887" s="238" t="s">
        <v>217</v>
      </c>
      <c r="B887" s="182"/>
      <c r="C887" s="234">
        <v>0</v>
      </c>
      <c r="D887" s="249">
        <f>D878</f>
        <v>0.91</v>
      </c>
      <c r="E887" s="249"/>
      <c r="F887" s="236">
        <f>ROUND(D887*$C887*$D$803,0)</f>
        <v>0</v>
      </c>
      <c r="G887" s="249">
        <f>G878</f>
        <v>0.92</v>
      </c>
      <c r="H887" s="249"/>
      <c r="I887" s="164">
        <f t="shared" si="142"/>
        <v>0</v>
      </c>
      <c r="J887" s="249">
        <v>0</v>
      </c>
      <c r="K887" s="236"/>
      <c r="L887" s="236">
        <f>ROUND(J887*$C887*$D$803,0)</f>
        <v>0</v>
      </c>
      <c r="N887" s="76"/>
      <c r="O887" s="76"/>
      <c r="Q887" s="144"/>
      <c r="R887" s="144"/>
      <c r="S887" s="76"/>
      <c r="T887" s="76"/>
      <c r="U887" s="76"/>
      <c r="V887" s="76"/>
      <c r="W887" s="76"/>
      <c r="X887" s="76"/>
      <c r="Y887" s="76"/>
      <c r="Z887" s="76"/>
      <c r="AA887" s="76"/>
      <c r="AB887" s="76"/>
      <c r="AC887" s="76"/>
      <c r="AD887" s="76"/>
      <c r="AE887" s="76"/>
      <c r="AF887" s="76"/>
      <c r="AG887" s="76"/>
      <c r="AH887" s="76"/>
    </row>
    <row r="888" spans="1:34" ht="16.5" hidden="1" thickTop="1">
      <c r="A888" s="238" t="s">
        <v>218</v>
      </c>
      <c r="B888" s="182"/>
      <c r="C888" s="234">
        <v>0</v>
      </c>
      <c r="D888" s="249">
        <f>D879</f>
        <v>0.83</v>
      </c>
      <c r="E888" s="249"/>
      <c r="F888" s="236">
        <f>ROUND(D888*$C888*$D$803,0)</f>
        <v>0</v>
      </c>
      <c r="G888" s="249">
        <f>G879</f>
        <v>0.84</v>
      </c>
      <c r="H888" s="249"/>
      <c r="I888" s="164">
        <f t="shared" si="142"/>
        <v>0</v>
      </c>
      <c r="J888" s="249">
        <v>0</v>
      </c>
      <c r="K888" s="236"/>
      <c r="L888" s="236">
        <f>ROUND(J888*$C888*$D$803,0)</f>
        <v>0</v>
      </c>
      <c r="N888" s="76"/>
      <c r="O888" s="76"/>
      <c r="Q888" s="144"/>
      <c r="R888" s="144"/>
      <c r="S888" s="76"/>
      <c r="T888" s="76"/>
      <c r="U888" s="76"/>
      <c r="V888" s="76"/>
      <c r="W888" s="76"/>
      <c r="X888" s="76"/>
      <c r="Y888" s="76"/>
      <c r="Z888" s="76"/>
      <c r="AA888" s="76"/>
      <c r="AB888" s="76"/>
      <c r="AC888" s="76"/>
      <c r="AD888" s="76"/>
      <c r="AE888" s="76"/>
      <c r="AF888" s="76"/>
      <c r="AG888" s="76"/>
      <c r="AH888" s="76"/>
    </row>
    <row r="889" spans="1:34" ht="16.5" hidden="1" thickTop="1">
      <c r="A889" s="217" t="s">
        <v>153</v>
      </c>
      <c r="B889" s="304"/>
      <c r="C889" s="234">
        <v>0</v>
      </c>
      <c r="D889" s="249">
        <f>D880</f>
        <v>6.03</v>
      </c>
      <c r="E889" s="252"/>
      <c r="F889" s="236">
        <f>ROUND(D889*$C889*$D$803,0)</f>
        <v>0</v>
      </c>
      <c r="G889" s="249">
        <f>G880</f>
        <v>6.22</v>
      </c>
      <c r="H889" s="249"/>
      <c r="I889" s="164">
        <f t="shared" si="142"/>
        <v>0</v>
      </c>
      <c r="J889" s="249">
        <v>0</v>
      </c>
      <c r="K889" s="236"/>
      <c r="L889" s="236">
        <f>ROUND(J889*$C889*$D$803,0)</f>
        <v>0</v>
      </c>
      <c r="N889" s="76"/>
      <c r="O889" s="76"/>
      <c r="Q889" s="144"/>
      <c r="R889" s="144"/>
      <c r="S889" s="76"/>
      <c r="T889" s="76"/>
      <c r="U889" s="76"/>
      <c r="V889" s="76"/>
      <c r="W889" s="76"/>
      <c r="X889" s="76"/>
      <c r="Y889" s="76"/>
      <c r="Z889" s="76"/>
      <c r="AA889" s="76"/>
      <c r="AB889" s="76"/>
      <c r="AC889" s="76"/>
      <c r="AD889" s="76"/>
      <c r="AE889" s="76"/>
      <c r="AF889" s="76"/>
      <c r="AG889" s="76"/>
      <c r="AH889" s="76"/>
    </row>
    <row r="890" spans="1:34" ht="16.5" hidden="1" thickTop="1">
      <c r="A890" s="238" t="s">
        <v>208</v>
      </c>
      <c r="B890" s="182"/>
      <c r="C890" s="234">
        <v>0</v>
      </c>
      <c r="D890" s="250">
        <f>D882</f>
        <v>3.4990000000000001</v>
      </c>
      <c r="E890" s="236" t="s">
        <v>126</v>
      </c>
      <c r="F890" s="236">
        <f>ROUND(D890/100*$C890*$D$803,0)</f>
        <v>0</v>
      </c>
      <c r="G890" s="250">
        <f>G882</f>
        <v>3.718</v>
      </c>
      <c r="H890" s="250"/>
      <c r="I890" s="164">
        <f>ROUND(G890/100*C890,0)</f>
        <v>0</v>
      </c>
      <c r="J890" s="250">
        <v>0</v>
      </c>
      <c r="K890" s="236" t="s">
        <v>126</v>
      </c>
      <c r="L890" s="236">
        <f>ROUND(J890/100*$C890*$D$803,0)</f>
        <v>0</v>
      </c>
      <c r="N890" s="76"/>
      <c r="O890" s="76"/>
      <c r="Q890" s="144"/>
      <c r="R890" s="144"/>
      <c r="S890" s="76"/>
      <c r="T890" s="76"/>
      <c r="U890" s="76"/>
      <c r="V890" s="76"/>
      <c r="W890" s="76"/>
      <c r="X890" s="76"/>
      <c r="Y890" s="76"/>
      <c r="Z890" s="76"/>
      <c r="AA890" s="76"/>
      <c r="AB890" s="76"/>
      <c r="AC890" s="76"/>
      <c r="AD890" s="76"/>
      <c r="AE890" s="76"/>
      <c r="AF890" s="76"/>
      <c r="AG890" s="76"/>
      <c r="AH890" s="76"/>
    </row>
    <row r="891" spans="1:34" ht="16.5" hidden="1" thickTop="1">
      <c r="A891" s="238" t="s">
        <v>150</v>
      </c>
      <c r="B891" s="182"/>
      <c r="C891" s="234">
        <v>0</v>
      </c>
      <c r="D891" s="304">
        <f>D883</f>
        <v>0.45</v>
      </c>
      <c r="E891" s="236"/>
      <c r="F891" s="236">
        <f>ROUND(D891*$C891*$D$803,0)</f>
        <v>0</v>
      </c>
      <c r="G891" s="304">
        <f>G883</f>
        <v>0.48</v>
      </c>
      <c r="H891" s="304"/>
      <c r="I891" s="164">
        <f t="shared" ref="I891:I893" si="143">ROUND(G891*C891,0)</f>
        <v>0</v>
      </c>
      <c r="J891" s="304">
        <v>0</v>
      </c>
      <c r="K891" s="236"/>
      <c r="L891" s="236">
        <f>ROUND(J891*$C891*$D$803,0)</f>
        <v>0</v>
      </c>
      <c r="N891" s="76"/>
      <c r="O891" s="76"/>
      <c r="Q891" s="144"/>
      <c r="R891" s="144"/>
      <c r="S891" s="76"/>
      <c r="T891" s="76"/>
      <c r="U891" s="76"/>
      <c r="V891" s="76"/>
      <c r="W891" s="76"/>
      <c r="X891" s="76"/>
      <c r="Y891" s="76"/>
      <c r="Z891" s="76"/>
      <c r="AA891" s="76"/>
      <c r="AB891" s="76"/>
      <c r="AC891" s="76"/>
      <c r="AD891" s="76"/>
      <c r="AE891" s="76"/>
      <c r="AF891" s="76"/>
      <c r="AG891" s="76"/>
      <c r="AH891" s="76"/>
    </row>
    <row r="892" spans="1:34" ht="16.5" hidden="1" thickTop="1">
      <c r="A892" s="217" t="s">
        <v>219</v>
      </c>
      <c r="B892" s="182"/>
      <c r="C892" s="234">
        <v>0</v>
      </c>
      <c r="D892" s="252">
        <f>D837</f>
        <v>60</v>
      </c>
      <c r="E892" s="252"/>
      <c r="F892" s="236">
        <f>ROUND(D892*$C892,0)</f>
        <v>0</v>
      </c>
      <c r="G892" s="252">
        <f>$G$811</f>
        <v>0</v>
      </c>
      <c r="H892" s="252"/>
      <c r="I892" s="164">
        <f t="shared" si="143"/>
        <v>0</v>
      </c>
      <c r="J892" s="252">
        <f>$J$811</f>
        <v>0</v>
      </c>
      <c r="K892" s="236"/>
      <c r="L892" s="236">
        <f>ROUND(J892*$C892,0)</f>
        <v>0</v>
      </c>
      <c r="N892" s="76"/>
      <c r="O892" s="76"/>
      <c r="Q892" s="144"/>
      <c r="R892" s="144"/>
      <c r="S892" s="76"/>
      <c r="T892" s="76"/>
      <c r="U892" s="76"/>
      <c r="V892" s="76"/>
      <c r="W892" s="76"/>
      <c r="X892" s="76"/>
      <c r="Y892" s="76"/>
      <c r="Z892" s="76"/>
      <c r="AA892" s="76"/>
      <c r="AB892" s="76"/>
      <c r="AC892" s="76"/>
      <c r="AD892" s="76"/>
      <c r="AE892" s="76"/>
      <c r="AF892" s="76"/>
      <c r="AG892" s="76"/>
      <c r="AH892" s="76"/>
    </row>
    <row r="893" spans="1:34" ht="16.5" hidden="1" thickTop="1">
      <c r="A893" s="217" t="s">
        <v>188</v>
      </c>
      <c r="B893" s="182"/>
      <c r="C893" s="234">
        <v>0</v>
      </c>
      <c r="D893" s="252">
        <f>$D$812</f>
        <v>0</v>
      </c>
      <c r="E893" s="236"/>
      <c r="F893" s="236">
        <f>ROUND(D893*$C893,0)</f>
        <v>0</v>
      </c>
      <c r="G893" s="252">
        <f>$G$812</f>
        <v>0</v>
      </c>
      <c r="H893" s="252"/>
      <c r="I893" s="164">
        <f t="shared" si="143"/>
        <v>0</v>
      </c>
      <c r="J893" s="252">
        <f>$J$812</f>
        <v>0</v>
      </c>
      <c r="K893" s="236"/>
      <c r="L893" s="236">
        <f>ROUND(J893*$C893,0)</f>
        <v>0</v>
      </c>
      <c r="N893" s="76"/>
      <c r="O893" s="76"/>
      <c r="Q893" s="144"/>
      <c r="R893" s="144"/>
      <c r="S893" s="76"/>
      <c r="T893" s="76"/>
      <c r="U893" s="76"/>
      <c r="V893" s="76"/>
      <c r="W893" s="76"/>
      <c r="X893" s="76"/>
      <c r="Y893" s="76"/>
      <c r="Z893" s="76"/>
      <c r="AA893" s="76"/>
      <c r="AB893" s="76"/>
      <c r="AC893" s="76"/>
      <c r="AD893" s="76"/>
      <c r="AE893" s="76"/>
      <c r="AF893" s="76"/>
      <c r="AG893" s="76"/>
      <c r="AH893" s="76"/>
    </row>
    <row r="894" spans="1:34" ht="16.5" hidden="1" thickTop="1">
      <c r="A894" s="182" t="s">
        <v>131</v>
      </c>
      <c r="B894" s="182"/>
      <c r="C894" s="234">
        <f>C882</f>
        <v>212923001</v>
      </c>
      <c r="D894" s="244"/>
      <c r="E894" s="164"/>
      <c r="F894" s="164">
        <f>SUM(F875:F893)</f>
        <v>11216492</v>
      </c>
      <c r="G894" s="244"/>
      <c r="H894" s="244"/>
      <c r="I894" s="164">
        <f>SUM(I875:I893)</f>
        <v>11784704</v>
      </c>
      <c r="J894" s="244"/>
      <c r="K894" s="182"/>
      <c r="L894" s="164">
        <f>SUM(L875:L893)</f>
        <v>13275197</v>
      </c>
      <c r="N894" s="76"/>
      <c r="O894" s="76"/>
      <c r="Q894" s="144"/>
      <c r="R894" s="144"/>
      <c r="S894" s="76"/>
      <c r="T894" s="76"/>
      <c r="U894" s="76"/>
      <c r="V894" s="76"/>
      <c r="W894" s="76"/>
      <c r="X894" s="76"/>
      <c r="Y894" s="76"/>
      <c r="Z894" s="76"/>
      <c r="AA894" s="76"/>
      <c r="AB894" s="76"/>
      <c r="AC894" s="76"/>
      <c r="AD894" s="76"/>
      <c r="AE894" s="76"/>
      <c r="AF894" s="76"/>
      <c r="AG894" s="76"/>
      <c r="AH894" s="76"/>
    </row>
    <row r="895" spans="1:34" ht="16.5" hidden="1" thickTop="1">
      <c r="A895" s="182" t="s">
        <v>114</v>
      </c>
      <c r="B895" s="182"/>
      <c r="C895" s="234">
        <f>C894/($C$894+$C$977)*$C$1033</f>
        <v>4324089.2563756471</v>
      </c>
      <c r="D895" s="217"/>
      <c r="E895" s="217"/>
      <c r="F895" s="325">
        <f>F894/($F$894+$F$977)*$F$1033</f>
        <v>336482.94630919653</v>
      </c>
      <c r="G895" s="217"/>
      <c r="H895" s="217"/>
      <c r="I895" s="256">
        <f>F895</f>
        <v>336482.94630919653</v>
      </c>
      <c r="J895" s="217"/>
      <c r="K895" s="217"/>
      <c r="L895" s="256">
        <f>F895</f>
        <v>336482.94630919653</v>
      </c>
      <c r="N895" s="196"/>
      <c r="O895" s="196"/>
      <c r="Q895" s="194"/>
      <c r="R895" s="144"/>
      <c r="S895" s="76"/>
      <c r="T895" s="76"/>
      <c r="U895" s="76"/>
      <c r="V895" s="76"/>
      <c r="W895" s="76"/>
      <c r="X895" s="76"/>
      <c r="Y895" s="76"/>
      <c r="Z895" s="76"/>
      <c r="AA895" s="76"/>
      <c r="AB895" s="76"/>
      <c r="AC895" s="76"/>
      <c r="AD895" s="76"/>
      <c r="AE895" s="76"/>
      <c r="AF895" s="76"/>
      <c r="AG895" s="76"/>
      <c r="AH895" s="76"/>
    </row>
    <row r="896" spans="1:34" ht="17.25" hidden="1" thickTop="1" thickBot="1">
      <c r="A896" s="182" t="s">
        <v>132</v>
      </c>
      <c r="B896" s="182"/>
      <c r="C896" s="323">
        <f>SUM(C894)+C895</f>
        <v>217247090.25637564</v>
      </c>
      <c r="D896" s="258"/>
      <c r="E896" s="259"/>
      <c r="F896" s="260">
        <f>F894+F895</f>
        <v>11552974.946309196</v>
      </c>
      <c r="G896" s="258"/>
      <c r="H896" s="258"/>
      <c r="I896" s="260">
        <f>I894+I895</f>
        <v>12121186.946309196</v>
      </c>
      <c r="J896" s="258"/>
      <c r="K896" s="262"/>
      <c r="L896" s="260">
        <f>L894+L895</f>
        <v>13611679.946309196</v>
      </c>
      <c r="N896" s="197"/>
      <c r="O896" s="197"/>
      <c r="Q896" s="198"/>
      <c r="R896" s="144"/>
      <c r="S896" s="298">
        <f>(L896-F896)/F896</f>
        <v>0.17819695875456651</v>
      </c>
      <c r="T896" s="76"/>
      <c r="U896" s="76"/>
      <c r="V896" s="76"/>
      <c r="W896" s="76"/>
      <c r="X896" s="76"/>
      <c r="Y896" s="76"/>
      <c r="Z896" s="76"/>
      <c r="AA896" s="76"/>
      <c r="AB896" s="76"/>
      <c r="AC896" s="76"/>
      <c r="AD896" s="76"/>
      <c r="AE896" s="76"/>
      <c r="AF896" s="76"/>
      <c r="AG896" s="76"/>
      <c r="AH896" s="76"/>
    </row>
    <row r="897" spans="1:34" ht="16.5" thickTop="1">
      <c r="A897" s="182"/>
      <c r="B897" s="182"/>
      <c r="C897" s="200"/>
      <c r="D897" s="252"/>
      <c r="E897" s="164"/>
      <c r="F897" s="164"/>
      <c r="G897" s="252"/>
      <c r="H897" s="252"/>
      <c r="I897" s="164"/>
      <c r="J897" s="252"/>
      <c r="K897" s="182"/>
      <c r="L897" s="304"/>
      <c r="N897" s="76"/>
      <c r="Q897" s="144"/>
      <c r="R897" s="175"/>
      <c r="S897" s="76"/>
      <c r="T897" s="76"/>
      <c r="U897" s="76"/>
      <c r="V897" s="76"/>
      <c r="W897" s="76"/>
      <c r="X897" s="76"/>
      <c r="Y897" s="76"/>
      <c r="Z897" s="76"/>
      <c r="AA897" s="76"/>
      <c r="AB897" s="76"/>
      <c r="AC897" s="76"/>
      <c r="AD897" s="76"/>
      <c r="AE897" s="76"/>
      <c r="AF897" s="76"/>
      <c r="AG897" s="76"/>
      <c r="AH897" s="76"/>
    </row>
    <row r="898" spans="1:34">
      <c r="A898" s="199" t="s">
        <v>220</v>
      </c>
      <c r="B898" s="182"/>
      <c r="C898" s="182"/>
      <c r="D898" s="164"/>
      <c r="E898" s="164"/>
      <c r="F898" s="182"/>
      <c r="G898" s="164"/>
      <c r="H898" s="164"/>
      <c r="I898" s="182"/>
      <c r="J898" s="164"/>
      <c r="K898" s="182"/>
      <c r="L898" s="182"/>
      <c r="N898" s="76"/>
      <c r="O898" s="76"/>
      <c r="Q898" s="144"/>
      <c r="R898" s="144"/>
      <c r="S898" s="76"/>
      <c r="T898" s="76"/>
      <c r="U898" s="76"/>
      <c r="V898" s="76"/>
      <c r="W898" s="76"/>
      <c r="X898" s="76"/>
      <c r="Y898" s="76"/>
      <c r="Z898" s="76"/>
      <c r="AA898" s="76"/>
      <c r="AB898" s="76"/>
      <c r="AC898" s="76"/>
      <c r="AD898" s="76"/>
      <c r="AE898" s="76"/>
      <c r="AF898" s="76"/>
      <c r="AG898" s="76"/>
      <c r="AH898" s="76"/>
    </row>
    <row r="899" spans="1:34">
      <c r="A899" s="217" t="s">
        <v>226</v>
      </c>
      <c r="B899" s="182"/>
      <c r="C899" s="182"/>
      <c r="D899" s="164"/>
      <c r="E899" s="164"/>
      <c r="F899" s="182"/>
      <c r="G899" s="164"/>
      <c r="H899" s="164"/>
      <c r="I899" s="182"/>
      <c r="J899" s="164"/>
      <c r="K899" s="182"/>
      <c r="L899" s="182"/>
      <c r="N899" s="76"/>
      <c r="O899" s="76"/>
      <c r="Q899" s="144"/>
      <c r="R899" s="144"/>
      <c r="S899" s="76"/>
      <c r="T899" s="76"/>
      <c r="U899" s="76"/>
      <c r="V899" s="76"/>
      <c r="W899" s="76"/>
      <c r="X899" s="76"/>
      <c r="Y899" s="76"/>
      <c r="Z899" s="76"/>
      <c r="AA899" s="76"/>
      <c r="AB899" s="76"/>
      <c r="AC899" s="76"/>
      <c r="AD899" s="76"/>
      <c r="AE899" s="76"/>
      <c r="AF899" s="76"/>
      <c r="AG899" s="76"/>
      <c r="AH899" s="76"/>
    </row>
    <row r="900" spans="1:34">
      <c r="A900" s="182" t="s">
        <v>0</v>
      </c>
      <c r="B900" s="182"/>
      <c r="C900" s="182"/>
      <c r="D900" s="164"/>
      <c r="E900" s="164"/>
      <c r="F900" s="182"/>
      <c r="G900" s="164"/>
      <c r="H900" s="164"/>
      <c r="I900" s="182"/>
      <c r="J900" s="164"/>
      <c r="K900" s="182"/>
      <c r="L900" s="182"/>
      <c r="N900" s="76"/>
      <c r="O900" s="76"/>
      <c r="Q900" s="144"/>
      <c r="R900" s="144"/>
      <c r="S900" s="76"/>
      <c r="T900" s="76"/>
      <c r="U900" s="76"/>
      <c r="V900" s="76"/>
      <c r="W900" s="76"/>
      <c r="X900" s="76"/>
      <c r="Y900" s="76"/>
      <c r="Z900" s="76"/>
      <c r="AA900" s="76"/>
      <c r="AB900" s="76"/>
      <c r="AC900" s="76"/>
      <c r="AD900" s="76"/>
      <c r="AE900" s="76"/>
      <c r="AF900" s="76"/>
      <c r="AG900" s="76"/>
      <c r="AH900" s="76"/>
    </row>
    <row r="901" spans="1:34">
      <c r="A901" s="238" t="s">
        <v>144</v>
      </c>
      <c r="B901" s="182"/>
      <c r="C901" s="234"/>
      <c r="D901" s="164"/>
      <c r="E901" s="164"/>
      <c r="F901" s="182"/>
      <c r="G901" s="164"/>
      <c r="H901" s="164"/>
      <c r="I901" s="182"/>
      <c r="J901" s="164"/>
      <c r="K901" s="182"/>
      <c r="L901" s="182"/>
      <c r="N901" s="76"/>
      <c r="Q901" s="144"/>
      <c r="R901" s="144"/>
      <c r="S901" s="76"/>
      <c r="T901" s="76"/>
      <c r="U901" s="76"/>
      <c r="V901" s="76"/>
      <c r="W901" s="76"/>
      <c r="X901" s="76"/>
      <c r="Y901" s="76"/>
      <c r="Z901" s="76"/>
      <c r="AA901" s="76"/>
      <c r="AB901" s="76"/>
      <c r="AC901" s="76"/>
      <c r="AD901" s="76"/>
      <c r="AE901" s="76"/>
      <c r="AF901" s="76"/>
      <c r="AG901" s="76"/>
      <c r="AH901" s="76"/>
    </row>
    <row r="902" spans="1:34">
      <c r="A902" s="238" t="s">
        <v>215</v>
      </c>
      <c r="B902" s="182"/>
      <c r="C902" s="234">
        <f>C931+C958</f>
        <v>120</v>
      </c>
      <c r="D902" s="252">
        <v>1205</v>
      </c>
      <c r="E902" s="252"/>
      <c r="F902" s="164">
        <f>ROUND(D902*$C902,0)</f>
        <v>144600</v>
      </c>
      <c r="G902" s="252">
        <v>1245</v>
      </c>
      <c r="H902" s="252"/>
      <c r="I902" s="164">
        <f>ROUND(G902*C902,0)</f>
        <v>149400</v>
      </c>
      <c r="J902" s="252">
        <f>ROUND(G902*(1+$Q$840),0)-2</f>
        <v>1400</v>
      </c>
      <c r="K902" s="236"/>
      <c r="L902" s="164">
        <f>ROUND(J902*$C902,0)</f>
        <v>168000</v>
      </c>
      <c r="N902" s="76"/>
      <c r="O902" s="76"/>
      <c r="Q902" s="335">
        <f>(J902-G902)/G902</f>
        <v>0.12449799196787148</v>
      </c>
      <c r="R902" s="144"/>
      <c r="S902" s="76"/>
      <c r="T902" s="76"/>
      <c r="U902" s="76"/>
      <c r="V902" s="76"/>
      <c r="W902" s="76"/>
      <c r="X902" s="76"/>
      <c r="Y902" s="76"/>
      <c r="Z902" s="76"/>
      <c r="AA902" s="76"/>
      <c r="AB902" s="76"/>
      <c r="AC902" s="76"/>
      <c r="AD902" s="76"/>
      <c r="AE902" s="76"/>
      <c r="AF902" s="76"/>
      <c r="AG902" s="76"/>
      <c r="AH902" s="76"/>
    </row>
    <row r="903" spans="1:34">
      <c r="A903" s="238" t="s">
        <v>216</v>
      </c>
      <c r="B903" s="182"/>
      <c r="C903" s="234">
        <f t="shared" ref="C903:C920" si="144">C932+C959</f>
        <v>24</v>
      </c>
      <c r="D903" s="252">
        <v>1450</v>
      </c>
      <c r="E903" s="252"/>
      <c r="F903" s="164">
        <f>ROUND(D903*$C903,0)</f>
        <v>34800</v>
      </c>
      <c r="G903" s="252">
        <v>1490</v>
      </c>
      <c r="H903" s="252"/>
      <c r="I903" s="164">
        <f>ROUND(G903*C903,0)</f>
        <v>35760</v>
      </c>
      <c r="J903" s="252">
        <f>ROUND(G903*(1+$Q$840),0)+2</f>
        <v>1680</v>
      </c>
      <c r="K903" s="239"/>
      <c r="L903" s="164">
        <f>ROUND(J903*$C903,0)</f>
        <v>40320</v>
      </c>
      <c r="N903" s="76"/>
      <c r="O903" s="76"/>
      <c r="Q903" s="335">
        <f>(J903-G903)/G903</f>
        <v>0.12751677852348994</v>
      </c>
      <c r="R903" s="144"/>
      <c r="S903" s="76"/>
      <c r="T903" s="76"/>
      <c r="U903" s="76"/>
      <c r="V903" s="76"/>
      <c r="W903" s="76"/>
      <c r="X903" s="76"/>
      <c r="Y903" s="76"/>
      <c r="Z903" s="76"/>
      <c r="AA903" s="76"/>
      <c r="AB903" s="76"/>
      <c r="AC903" s="76"/>
      <c r="AD903" s="76"/>
      <c r="AE903" s="76"/>
      <c r="AF903" s="76"/>
      <c r="AG903" s="76"/>
      <c r="AH903" s="76"/>
    </row>
    <row r="904" spans="1:34">
      <c r="A904" s="238" t="s">
        <v>145</v>
      </c>
      <c r="B904" s="182"/>
      <c r="C904" s="234">
        <f t="shared" si="144"/>
        <v>144</v>
      </c>
      <c r="D904" s="252" t="s">
        <v>0</v>
      </c>
      <c r="E904" s="252"/>
      <c r="F904" s="164" t="s">
        <v>0</v>
      </c>
      <c r="G904" s="252" t="s">
        <v>0</v>
      </c>
      <c r="H904" s="252"/>
      <c r="I904" s="164" t="s">
        <v>0</v>
      </c>
      <c r="J904" s="252" t="s">
        <v>0</v>
      </c>
      <c r="K904" s="236"/>
      <c r="L904" s="164" t="s">
        <v>0</v>
      </c>
      <c r="N904" s="76"/>
      <c r="O904" s="76"/>
      <c r="Q904" s="144"/>
      <c r="R904" s="144"/>
      <c r="S904" s="76"/>
      <c r="T904" s="76"/>
      <c r="U904" s="76"/>
      <c r="V904" s="76"/>
      <c r="W904" s="76"/>
      <c r="X904" s="76"/>
      <c r="Y904" s="76"/>
      <c r="Z904" s="76"/>
      <c r="AA904" s="76"/>
      <c r="AB904" s="76"/>
      <c r="AC904" s="76"/>
      <c r="AD904" s="76"/>
      <c r="AE904" s="76"/>
      <c r="AF904" s="76"/>
      <c r="AG904" s="76"/>
      <c r="AH904" s="76"/>
    </row>
    <row r="905" spans="1:34">
      <c r="A905" s="238" t="s">
        <v>217</v>
      </c>
      <c r="B905" s="182"/>
      <c r="C905" s="234">
        <f t="shared" si="144"/>
        <v>161734</v>
      </c>
      <c r="D905" s="252">
        <v>0.91</v>
      </c>
      <c r="E905" s="252"/>
      <c r="F905" s="164">
        <f>ROUND(D905*$C905,0)</f>
        <v>147178</v>
      </c>
      <c r="G905" s="252">
        <v>0.45</v>
      </c>
      <c r="H905" s="252"/>
      <c r="I905" s="164">
        <f t="shared" ref="I905:I907" si="145">ROUND(G905*C905,0)</f>
        <v>72780</v>
      </c>
      <c r="J905" s="252">
        <f>ROUND(G905*(1+$Q$840),2)+0.01</f>
        <v>0.52</v>
      </c>
      <c r="K905" s="236"/>
      <c r="L905" s="164">
        <f>ROUND(J905*$C905,0)</f>
        <v>84102</v>
      </c>
      <c r="N905" s="76"/>
      <c r="Q905" s="335">
        <f>(J905-G905)/G905</f>
        <v>0.15555555555555556</v>
      </c>
      <c r="R905" s="144" t="s">
        <v>0</v>
      </c>
      <c r="S905" s="76" t="s">
        <v>0</v>
      </c>
      <c r="T905" s="76"/>
      <c r="U905" s="76"/>
      <c r="V905" s="76"/>
      <c r="W905" s="76"/>
      <c r="X905" s="76"/>
      <c r="Y905" s="76"/>
      <c r="Z905" s="76"/>
      <c r="AA905" s="76"/>
      <c r="AB905" s="76"/>
      <c r="AC905" s="76"/>
      <c r="AD905" s="76"/>
      <c r="AE905" s="76"/>
      <c r="AF905" s="76"/>
      <c r="AG905" s="76"/>
      <c r="AH905" s="76"/>
    </row>
    <row r="906" spans="1:34">
      <c r="A906" s="238" t="s">
        <v>218</v>
      </c>
      <c r="B906" s="182"/>
      <c r="C906" s="234">
        <f t="shared" si="144"/>
        <v>104541</v>
      </c>
      <c r="D906" s="252">
        <v>0.83</v>
      </c>
      <c r="E906" s="252"/>
      <c r="F906" s="164">
        <f>ROUND(D906*$C906,0)</f>
        <v>86769</v>
      </c>
      <c r="G906" s="252">
        <v>0.38000000000000006</v>
      </c>
      <c r="H906" s="252"/>
      <c r="I906" s="164">
        <f t="shared" si="145"/>
        <v>39726</v>
      </c>
      <c r="J906" s="252">
        <f>ROUND(G906*(1+$Q$840),2)-0.01</f>
        <v>0.42</v>
      </c>
      <c r="K906" s="236"/>
      <c r="L906" s="164">
        <f>ROUND(J906*$C906,0)</f>
        <v>43907</v>
      </c>
      <c r="N906" s="76"/>
      <c r="O906" s="76"/>
      <c r="Q906" s="335">
        <f>(J906-G906)/G906</f>
        <v>0.10526315789473663</v>
      </c>
      <c r="R906" s="144"/>
      <c r="S906" s="76"/>
      <c r="T906" s="76"/>
      <c r="U906" s="76"/>
      <c r="V906" s="76"/>
      <c r="W906" s="76"/>
      <c r="X906" s="76"/>
      <c r="Y906" s="76"/>
      <c r="Z906" s="76"/>
      <c r="AA906" s="76"/>
      <c r="AB906" s="76"/>
      <c r="AC906" s="76"/>
      <c r="AD906" s="76"/>
      <c r="AE906" s="76"/>
      <c r="AF906" s="76"/>
      <c r="AG906" s="76"/>
      <c r="AH906" s="76"/>
    </row>
    <row r="907" spans="1:34">
      <c r="A907" s="217" t="s">
        <v>153</v>
      </c>
      <c r="B907" s="182"/>
      <c r="C907" s="234">
        <f t="shared" si="144"/>
        <v>194833</v>
      </c>
      <c r="D907" s="252">
        <v>6.03</v>
      </c>
      <c r="E907" s="252"/>
      <c r="F907" s="164">
        <f>ROUND(D907*$C907,0)</f>
        <v>1174843</v>
      </c>
      <c r="G907" s="252">
        <v>6.12</v>
      </c>
      <c r="H907" s="252"/>
      <c r="I907" s="164">
        <f t="shared" si="145"/>
        <v>1192378</v>
      </c>
      <c r="J907" s="252">
        <f>ROUND(G907*(1+$Q$840),2)</f>
        <v>6.89</v>
      </c>
      <c r="K907" s="236"/>
      <c r="L907" s="164">
        <f>ROUND(J907*$C907,0)</f>
        <v>1342399</v>
      </c>
      <c r="N907" s="76"/>
      <c r="O907" s="76"/>
      <c r="Q907" s="335">
        <f>(J907-G907)/G907</f>
        <v>0.12581699346405223</v>
      </c>
      <c r="R907" s="144"/>
      <c r="S907" s="76"/>
      <c r="T907" s="76"/>
      <c r="U907" s="76"/>
      <c r="V907" s="76"/>
      <c r="W907" s="76"/>
      <c r="X907" s="76"/>
      <c r="Y907" s="76"/>
      <c r="Z907" s="76"/>
      <c r="AA907" s="76"/>
      <c r="AB907" s="76"/>
      <c r="AC907" s="76"/>
      <c r="AD907" s="76"/>
      <c r="AE907" s="76"/>
      <c r="AF907" s="76"/>
      <c r="AG907" s="76"/>
      <c r="AH907" s="76"/>
    </row>
    <row r="908" spans="1:34">
      <c r="A908" s="238" t="s">
        <v>174</v>
      </c>
      <c r="B908" s="182"/>
      <c r="C908" s="234"/>
      <c r="D908" s="252" t="s">
        <v>0</v>
      </c>
      <c r="E908" s="252"/>
      <c r="F908" s="164"/>
      <c r="G908" s="252" t="s">
        <v>0</v>
      </c>
      <c r="H908" s="252"/>
      <c r="I908" s="164"/>
      <c r="J908" s="252" t="s">
        <v>0</v>
      </c>
      <c r="K908" s="236"/>
      <c r="L908" s="164"/>
      <c r="N908" s="76"/>
      <c r="O908" s="76"/>
      <c r="Q908" s="144"/>
      <c r="R908" s="144"/>
      <c r="S908" s="76"/>
      <c r="T908" s="76"/>
      <c r="U908" s="76"/>
      <c r="V908" s="76"/>
      <c r="W908" s="76"/>
      <c r="X908" s="76"/>
      <c r="Y908" s="76"/>
      <c r="Z908" s="76"/>
      <c r="AA908" s="76"/>
      <c r="AB908" s="76"/>
      <c r="AC908" s="76"/>
      <c r="AD908" s="76"/>
      <c r="AE908" s="76"/>
      <c r="AF908" s="76"/>
      <c r="AG908" s="76"/>
      <c r="AH908" s="76"/>
    </row>
    <row r="909" spans="1:34">
      <c r="A909" s="238" t="s">
        <v>208</v>
      </c>
      <c r="B909" s="182"/>
      <c r="C909" s="234">
        <f t="shared" si="144"/>
        <v>76475000</v>
      </c>
      <c r="D909" s="324">
        <v>3.4990000000000001</v>
      </c>
      <c r="E909" s="236" t="s">
        <v>126</v>
      </c>
      <c r="F909" s="164">
        <f>ROUND(D909/100*$C909,0)</f>
        <v>2675860</v>
      </c>
      <c r="G909" s="324">
        <v>3.6669999999999998</v>
      </c>
      <c r="H909" s="324"/>
      <c r="I909" s="164">
        <f>ROUND(G909/100*C909,0)</f>
        <v>2804338</v>
      </c>
      <c r="J909" s="324">
        <f>ROUND(G909*(1+$Q$840),3)</f>
        <v>4.13</v>
      </c>
      <c r="K909" s="236" t="s">
        <v>126</v>
      </c>
      <c r="L909" s="164">
        <f>ROUND(J909/100*$C909,0)</f>
        <v>3158418</v>
      </c>
      <c r="N909" s="76"/>
      <c r="O909" s="76"/>
      <c r="Q909" s="335">
        <f>(J909-G909)/G909</f>
        <v>0.12626124897736571</v>
      </c>
      <c r="R909" s="144"/>
      <c r="S909" s="76"/>
      <c r="T909" s="76"/>
      <c r="U909" s="76"/>
      <c r="V909" s="76"/>
      <c r="W909" s="76"/>
      <c r="X909" s="76"/>
      <c r="Y909" s="76"/>
      <c r="Z909" s="76"/>
      <c r="AA909" s="76"/>
      <c r="AB909" s="76"/>
      <c r="AC909" s="76"/>
      <c r="AD909" s="76"/>
      <c r="AE909" s="76"/>
      <c r="AF909" s="76"/>
      <c r="AG909" s="76"/>
      <c r="AH909" s="76"/>
    </row>
    <row r="910" spans="1:34">
      <c r="A910" s="238" t="s">
        <v>150</v>
      </c>
      <c r="B910" s="182"/>
      <c r="C910" s="234">
        <f t="shared" si="144"/>
        <v>24240</v>
      </c>
      <c r="D910" s="252">
        <v>0.45</v>
      </c>
      <c r="E910" s="236"/>
      <c r="F910" s="164">
        <f>ROUND(D910*$C910,0)</f>
        <v>10908</v>
      </c>
      <c r="G910" s="252">
        <v>0.47</v>
      </c>
      <c r="H910" s="252"/>
      <c r="I910" s="164">
        <f>ROUND(G910*C910,0)</f>
        <v>11393</v>
      </c>
      <c r="J910" s="252">
        <f>ROUND(G910*(1+$Q$840),2)</f>
        <v>0.53</v>
      </c>
      <c r="K910" s="236"/>
      <c r="L910" s="164">
        <f>ROUND(J910*$C910,0)</f>
        <v>12847</v>
      </c>
      <c r="N910" s="76"/>
      <c r="O910" s="76"/>
      <c r="Q910" s="335">
        <f>(J910-G910)/G910</f>
        <v>0.12765957446808524</v>
      </c>
      <c r="R910" s="144"/>
      <c r="S910" s="76"/>
      <c r="T910" s="76"/>
      <c r="U910" s="76"/>
      <c r="V910" s="76"/>
      <c r="W910" s="76"/>
      <c r="X910" s="76"/>
      <c r="Y910" s="76"/>
      <c r="Z910" s="76"/>
      <c r="AA910" s="76"/>
      <c r="AB910" s="76"/>
      <c r="AC910" s="76"/>
      <c r="AD910" s="76"/>
      <c r="AE910" s="76"/>
      <c r="AF910" s="76"/>
      <c r="AG910" s="76"/>
      <c r="AH910" s="76"/>
    </row>
    <row r="911" spans="1:34">
      <c r="A911" s="280" t="s">
        <v>151</v>
      </c>
      <c r="B911" s="182"/>
      <c r="C911" s="234"/>
      <c r="D911" s="247">
        <v>-0.01</v>
      </c>
      <c r="E911" s="247"/>
      <c r="F911" s="164"/>
      <c r="G911" s="247">
        <v>0</v>
      </c>
      <c r="H911" s="247"/>
      <c r="I911" s="164"/>
      <c r="J911" s="247"/>
      <c r="K911" s="281"/>
      <c r="L911" s="164"/>
      <c r="N911" s="76"/>
      <c r="O911" s="76"/>
      <c r="P911" s="144"/>
      <c r="Q911" s="144"/>
      <c r="R911" s="76"/>
      <c r="S911" s="76"/>
      <c r="T911" s="76"/>
      <c r="U911" s="76"/>
      <c r="V911" s="76"/>
      <c r="W911" s="76"/>
      <c r="X911" s="76"/>
      <c r="Y911" s="76"/>
      <c r="Z911" s="76"/>
      <c r="AA911" s="76"/>
      <c r="AB911" s="76"/>
      <c r="AC911" s="76"/>
      <c r="AD911" s="76"/>
      <c r="AE911" s="76"/>
      <c r="AF911" s="76"/>
      <c r="AG911" s="76"/>
      <c r="AH911" s="76"/>
    </row>
    <row r="912" spans="1:34">
      <c r="A912" s="238" t="s">
        <v>215</v>
      </c>
      <c r="B912" s="182"/>
      <c r="C912" s="234">
        <f t="shared" si="144"/>
        <v>120</v>
      </c>
      <c r="D912" s="249">
        <f>D902</f>
        <v>1205</v>
      </c>
      <c r="E912" s="249"/>
      <c r="F912" s="236">
        <f>ROUND(D912*$C912*$D$911,0)</f>
        <v>-1446</v>
      </c>
      <c r="G912" s="249">
        <f>G902</f>
        <v>1245</v>
      </c>
      <c r="H912" s="249"/>
      <c r="I912" s="236">
        <f>ROUND(C912*G912*$G$803,0)</f>
        <v>0</v>
      </c>
      <c r="J912" s="249"/>
      <c r="K912" s="236"/>
      <c r="L912" s="236">
        <f>ROUND(J912*$C912*$J$940,0)</f>
        <v>0</v>
      </c>
      <c r="N912" s="76"/>
      <c r="O912" s="76"/>
      <c r="P912" s="144"/>
      <c r="Q912" s="144"/>
      <c r="R912" s="76"/>
      <c r="S912" s="76"/>
      <c r="T912" s="76"/>
      <c r="U912" s="76"/>
      <c r="V912" s="76"/>
      <c r="W912" s="76"/>
      <c r="X912" s="76"/>
      <c r="Y912" s="76"/>
      <c r="Z912" s="76"/>
      <c r="AA912" s="76"/>
      <c r="AB912" s="76"/>
      <c r="AC912" s="76"/>
      <c r="AD912" s="76"/>
      <c r="AE912" s="76"/>
      <c r="AF912" s="76"/>
      <c r="AG912" s="76"/>
      <c r="AH912" s="76"/>
    </row>
    <row r="913" spans="1:34">
      <c r="A913" s="238" t="s">
        <v>216</v>
      </c>
      <c r="B913" s="182"/>
      <c r="C913" s="234">
        <f t="shared" si="144"/>
        <v>24</v>
      </c>
      <c r="D913" s="249">
        <f>D903</f>
        <v>1450</v>
      </c>
      <c r="E913" s="249"/>
      <c r="F913" s="236">
        <f>ROUND(D913*$C913*$D$911,0)</f>
        <v>-348</v>
      </c>
      <c r="G913" s="249">
        <f>G903</f>
        <v>1490</v>
      </c>
      <c r="H913" s="249"/>
      <c r="I913" s="236">
        <f t="shared" ref="I913:I916" si="146">ROUND(C913*G913*$G$803,0)</f>
        <v>0</v>
      </c>
      <c r="J913" s="249"/>
      <c r="K913" s="236"/>
      <c r="L913" s="236">
        <f>ROUND(J913*$C913*$J$940,0)</f>
        <v>0</v>
      </c>
      <c r="N913" s="76"/>
      <c r="O913" s="76"/>
      <c r="P913" s="144"/>
      <c r="Q913" s="144"/>
      <c r="R913" s="76"/>
      <c r="S913" s="76"/>
      <c r="T913" s="76"/>
      <c r="U913" s="76"/>
      <c r="V913" s="76"/>
      <c r="W913" s="76"/>
      <c r="X913" s="76"/>
      <c r="Y913" s="76"/>
      <c r="Z913" s="76"/>
      <c r="AA913" s="76"/>
      <c r="AB913" s="76"/>
      <c r="AC913" s="76"/>
      <c r="AD913" s="76"/>
      <c r="AE913" s="76"/>
      <c r="AF913" s="76"/>
      <c r="AG913" s="76"/>
      <c r="AH913" s="76"/>
    </row>
    <row r="914" spans="1:34">
      <c r="A914" s="238" t="s">
        <v>217</v>
      </c>
      <c r="B914" s="182"/>
      <c r="C914" s="234">
        <f t="shared" si="144"/>
        <v>161734</v>
      </c>
      <c r="D914" s="249">
        <f>D905</f>
        <v>0.91</v>
      </c>
      <c r="E914" s="249"/>
      <c r="F914" s="236">
        <f>ROUND(D914*$C914*$D$911,0)</f>
        <v>-1472</v>
      </c>
      <c r="G914" s="249">
        <f>G905</f>
        <v>0.45</v>
      </c>
      <c r="H914" s="249"/>
      <c r="I914" s="236">
        <f t="shared" si="146"/>
        <v>0</v>
      </c>
      <c r="J914" s="249"/>
      <c r="K914" s="236"/>
      <c r="L914" s="236">
        <f>ROUND(J914*$C914*$J$940,0)</f>
        <v>0</v>
      </c>
      <c r="N914" s="76"/>
      <c r="O914" s="76"/>
      <c r="P914" s="144"/>
      <c r="Q914" s="144"/>
      <c r="R914" s="76"/>
      <c r="S914" s="76"/>
      <c r="T914" s="76"/>
      <c r="U914" s="76"/>
      <c r="V914" s="76"/>
      <c r="W914" s="76"/>
      <c r="X914" s="76"/>
      <c r="Y914" s="76"/>
      <c r="Z914" s="76"/>
      <c r="AA914" s="76"/>
      <c r="AB914" s="76"/>
      <c r="AC914" s="76"/>
      <c r="AD914" s="76"/>
      <c r="AE914" s="76"/>
      <c r="AF914" s="76"/>
      <c r="AG914" s="76"/>
      <c r="AH914" s="76"/>
    </row>
    <row r="915" spans="1:34">
      <c r="A915" s="238" t="s">
        <v>218</v>
      </c>
      <c r="B915" s="182"/>
      <c r="C915" s="234">
        <f t="shared" si="144"/>
        <v>104541</v>
      </c>
      <c r="D915" s="249">
        <f>D906</f>
        <v>0.83</v>
      </c>
      <c r="E915" s="249"/>
      <c r="F915" s="236">
        <f>ROUND(D915*$C915*$D$911,0)</f>
        <v>-868</v>
      </c>
      <c r="G915" s="249">
        <f>G906</f>
        <v>0.38000000000000006</v>
      </c>
      <c r="H915" s="249"/>
      <c r="I915" s="236">
        <f t="shared" si="146"/>
        <v>0</v>
      </c>
      <c r="J915" s="249"/>
      <c r="K915" s="236"/>
      <c r="L915" s="236">
        <f>ROUND(J915*$C915*$J$940,0)</f>
        <v>0</v>
      </c>
      <c r="N915" s="76"/>
      <c r="O915" s="76"/>
      <c r="P915" s="144"/>
      <c r="Q915" s="144"/>
      <c r="R915" s="76"/>
      <c r="S915" s="76"/>
      <c r="T915" s="76"/>
      <c r="U915" s="76"/>
      <c r="V915" s="76"/>
      <c r="W915" s="76"/>
      <c r="X915" s="76"/>
      <c r="Y915" s="76"/>
      <c r="Z915" s="76"/>
      <c r="AA915" s="76"/>
      <c r="AB915" s="76"/>
      <c r="AC915" s="76"/>
      <c r="AD915" s="76"/>
      <c r="AE915" s="76"/>
      <c r="AF915" s="76"/>
      <c r="AG915" s="76"/>
      <c r="AH915" s="76"/>
    </row>
    <row r="916" spans="1:34">
      <c r="A916" s="217" t="s">
        <v>153</v>
      </c>
      <c r="B916" s="304"/>
      <c r="C916" s="234">
        <f t="shared" si="144"/>
        <v>194833</v>
      </c>
      <c r="D916" s="249">
        <f>D907</f>
        <v>6.03</v>
      </c>
      <c r="E916" s="252"/>
      <c r="F916" s="236">
        <f>ROUND(D916*$C916*$D$911,0)</f>
        <v>-11748</v>
      </c>
      <c r="G916" s="249">
        <f>G907</f>
        <v>6.12</v>
      </c>
      <c r="H916" s="249"/>
      <c r="I916" s="236">
        <f t="shared" si="146"/>
        <v>0</v>
      </c>
      <c r="J916" s="249"/>
      <c r="K916" s="236"/>
      <c r="L916" s="236">
        <f>ROUND(J916*$C916*$J$940,0)</f>
        <v>0</v>
      </c>
      <c r="N916" s="76"/>
      <c r="O916" s="76"/>
      <c r="P916" s="144"/>
      <c r="Q916" s="144"/>
      <c r="R916" s="76"/>
      <c r="S916" s="76"/>
      <c r="T916" s="76"/>
      <c r="U916" s="76"/>
      <c r="V916" s="76"/>
      <c r="W916" s="76"/>
      <c r="X916" s="76"/>
      <c r="Y916" s="76"/>
      <c r="Z916" s="76"/>
      <c r="AA916" s="76"/>
      <c r="AB916" s="76"/>
      <c r="AC916" s="76"/>
      <c r="AD916" s="76"/>
      <c r="AE916" s="76"/>
      <c r="AF916" s="76"/>
      <c r="AG916" s="76"/>
      <c r="AH916" s="76"/>
    </row>
    <row r="917" spans="1:34">
      <c r="A917" s="238" t="s">
        <v>208</v>
      </c>
      <c r="B917" s="182"/>
      <c r="C917" s="234">
        <f t="shared" si="144"/>
        <v>76475000</v>
      </c>
      <c r="D917" s="250">
        <f>D909</f>
        <v>3.4990000000000001</v>
      </c>
      <c r="E917" s="236" t="s">
        <v>126</v>
      </c>
      <c r="F917" s="236">
        <f>ROUND(D917/100*$C917*$D$911,0)</f>
        <v>-26759</v>
      </c>
      <c r="G917" s="250">
        <f>G909</f>
        <v>3.6669999999999998</v>
      </c>
      <c r="H917" s="250"/>
      <c r="I917" s="236">
        <f>ROUND(C917/100*G917*$G$803,0)</f>
        <v>0</v>
      </c>
      <c r="J917" s="250"/>
      <c r="K917" s="236"/>
      <c r="L917" s="236">
        <f>ROUND(J917/100*$C917*$J$940,0)</f>
        <v>0</v>
      </c>
      <c r="N917" s="76"/>
      <c r="O917" s="76"/>
      <c r="P917" s="144"/>
      <c r="Q917" s="144"/>
      <c r="R917" s="76"/>
      <c r="S917" s="76"/>
      <c r="T917" s="76"/>
      <c r="U917" s="76"/>
      <c r="V917" s="76"/>
      <c r="W917" s="76"/>
      <c r="X917" s="76"/>
      <c r="Y917" s="76"/>
      <c r="Z917" s="76"/>
      <c r="AA917" s="76"/>
      <c r="AB917" s="76"/>
      <c r="AC917" s="76"/>
      <c r="AD917" s="76"/>
      <c r="AE917" s="76"/>
      <c r="AF917" s="76"/>
      <c r="AG917" s="76"/>
      <c r="AH917" s="76"/>
    </row>
    <row r="918" spans="1:34">
      <c r="A918" s="238" t="s">
        <v>150</v>
      </c>
      <c r="B918" s="182"/>
      <c r="C918" s="234">
        <f t="shared" si="144"/>
        <v>24240</v>
      </c>
      <c r="D918" s="304">
        <f>D910</f>
        <v>0.45</v>
      </c>
      <c r="E918" s="236"/>
      <c r="F918" s="236">
        <f>ROUND(D918*$C918*$D$911,0)</f>
        <v>-109</v>
      </c>
      <c r="G918" s="304">
        <f>G910</f>
        <v>0.47</v>
      </c>
      <c r="H918" s="304"/>
      <c r="I918" s="236">
        <f t="shared" ref="I918:I920" si="147">ROUND(C918*G918*$G$803,0)</f>
        <v>0</v>
      </c>
      <c r="J918" s="304"/>
      <c r="K918" s="236"/>
      <c r="L918" s="236">
        <f>ROUND(J918*$C918*$J$940,0)</f>
        <v>0</v>
      </c>
      <c r="N918" s="76"/>
      <c r="O918" s="76"/>
      <c r="P918" s="144"/>
      <c r="Q918" s="144"/>
      <c r="R918" s="76"/>
      <c r="S918" s="76"/>
      <c r="T918" s="76"/>
      <c r="U918" s="76"/>
      <c r="V918" s="76"/>
      <c r="W918" s="76"/>
      <c r="X918" s="76"/>
      <c r="Y918" s="76"/>
      <c r="Z918" s="76"/>
      <c r="AA918" s="76"/>
      <c r="AB918" s="76"/>
      <c r="AC918" s="76"/>
      <c r="AD918" s="76"/>
      <c r="AE918" s="76"/>
      <c r="AF918" s="76"/>
      <c r="AG918" s="76"/>
      <c r="AH918" s="76"/>
    </row>
    <row r="919" spans="1:34">
      <c r="A919" s="217" t="s">
        <v>219</v>
      </c>
      <c r="B919" s="182"/>
      <c r="C919" s="234">
        <f t="shared" si="144"/>
        <v>132.12</v>
      </c>
      <c r="D919" s="252">
        <v>60</v>
      </c>
      <c r="E919" s="252"/>
      <c r="F919" s="236">
        <f>ROUND(D919*$C919,0)</f>
        <v>7927</v>
      </c>
      <c r="G919" s="252">
        <v>0</v>
      </c>
      <c r="H919" s="252"/>
      <c r="I919" s="236">
        <f t="shared" si="147"/>
        <v>0</v>
      </c>
      <c r="J919" s="252"/>
      <c r="K919" s="236"/>
      <c r="L919" s="236">
        <f>ROUND(J919*$C919,0)</f>
        <v>0</v>
      </c>
      <c r="N919" s="76"/>
      <c r="O919" s="76"/>
      <c r="P919" s="144"/>
      <c r="Q919" s="144"/>
      <c r="R919" s="76"/>
      <c r="S919" s="76"/>
      <c r="T919" s="76"/>
      <c r="U919" s="76"/>
      <c r="V919" s="76"/>
      <c r="W919" s="76"/>
      <c r="X919" s="76"/>
      <c r="Y919" s="76"/>
      <c r="Z919" s="76"/>
      <c r="AA919" s="76"/>
      <c r="AB919" s="76"/>
      <c r="AC919" s="76"/>
      <c r="AD919" s="76"/>
      <c r="AE919" s="76"/>
      <c r="AF919" s="76"/>
      <c r="AG919" s="76"/>
      <c r="AH919" s="76"/>
    </row>
    <row r="920" spans="1:34">
      <c r="A920" s="217" t="s">
        <v>188</v>
      </c>
      <c r="B920" s="182"/>
      <c r="C920" s="234">
        <f t="shared" si="144"/>
        <v>266275</v>
      </c>
      <c r="D920" s="252">
        <v>-0.75</v>
      </c>
      <c r="E920" s="236"/>
      <c r="F920" s="236">
        <f>ROUND(D920*$C920,0)</f>
        <v>-199706</v>
      </c>
      <c r="G920" s="252">
        <v>0</v>
      </c>
      <c r="H920" s="252"/>
      <c r="I920" s="236">
        <f t="shared" si="147"/>
        <v>0</v>
      </c>
      <c r="J920" s="252"/>
      <c r="K920" s="236"/>
      <c r="L920" s="236">
        <f>ROUND(J920*$C920,0)</f>
        <v>0</v>
      </c>
      <c r="N920" s="76"/>
      <c r="O920" s="76"/>
      <c r="P920" s="144"/>
      <c r="Q920" s="144"/>
      <c r="R920" s="76"/>
      <c r="S920" s="76"/>
      <c r="T920" s="76"/>
      <c r="U920" s="76"/>
      <c r="V920" s="76"/>
      <c r="W920" s="76"/>
      <c r="X920" s="76"/>
      <c r="Y920" s="76"/>
      <c r="Z920" s="76"/>
      <c r="AA920" s="76"/>
      <c r="AB920" s="76"/>
      <c r="AC920" s="76"/>
      <c r="AD920" s="76"/>
      <c r="AE920" s="76"/>
      <c r="AF920" s="76"/>
      <c r="AG920" s="76"/>
      <c r="AH920" s="76"/>
    </row>
    <row r="921" spans="1:34">
      <c r="A921" s="182" t="s">
        <v>131</v>
      </c>
      <c r="B921" s="182"/>
      <c r="C921" s="234">
        <f>C909</f>
        <v>76475000</v>
      </c>
      <c r="D921" s="244"/>
      <c r="E921" s="164"/>
      <c r="F921" s="164">
        <f>SUM(F902:F920)</f>
        <v>4040429</v>
      </c>
      <c r="G921" s="244"/>
      <c r="H921" s="244"/>
      <c r="I921" s="164">
        <f>SUM(I902:I920)</f>
        <v>4305775</v>
      </c>
      <c r="J921" s="244"/>
      <c r="K921" s="182"/>
      <c r="L921" s="164">
        <f>SUM(L902:L920)</f>
        <v>4849993</v>
      </c>
      <c r="N921" s="76"/>
      <c r="O921" s="76"/>
      <c r="P921" s="144"/>
      <c r="Q921" s="144"/>
      <c r="R921" s="76"/>
      <c r="S921" s="76"/>
      <c r="T921" s="76"/>
      <c r="U921" s="76"/>
      <c r="V921" s="76"/>
      <c r="W921" s="76"/>
      <c r="X921" s="76"/>
      <c r="Y921" s="76"/>
      <c r="Z921" s="76"/>
      <c r="AA921" s="76"/>
      <c r="AB921" s="76"/>
      <c r="AC921" s="76"/>
      <c r="AD921" s="76"/>
      <c r="AE921" s="76"/>
      <c r="AF921" s="76"/>
      <c r="AG921" s="76"/>
      <c r="AH921" s="76"/>
    </row>
    <row r="922" spans="1:34">
      <c r="A922" s="182" t="s">
        <v>114</v>
      </c>
      <c r="B922" s="182"/>
      <c r="C922" s="234">
        <f>C951+C978</f>
        <v>1368711.4471854509</v>
      </c>
      <c r="D922" s="217"/>
      <c r="E922" s="217"/>
      <c r="F922" s="336">
        <f>F951+F978</f>
        <v>84238.451164141021</v>
      </c>
      <c r="G922" s="217"/>
      <c r="H922" s="217"/>
      <c r="I922" s="256">
        <f>F922</f>
        <v>84238.451164141021</v>
      </c>
      <c r="J922" s="217"/>
      <c r="K922" s="217"/>
      <c r="L922" s="256">
        <f>F922</f>
        <v>84238.451164141021</v>
      </c>
      <c r="N922" s="196"/>
      <c r="O922" s="196"/>
      <c r="P922" s="194"/>
      <c r="Q922" s="144"/>
      <c r="R922" s="76"/>
      <c r="S922" s="76"/>
      <c r="T922" s="76"/>
      <c r="U922" s="76"/>
      <c r="V922" s="76"/>
      <c r="W922" s="76"/>
      <c r="X922" s="76"/>
      <c r="Y922" s="76"/>
      <c r="Z922" s="76"/>
      <c r="AA922" s="76"/>
      <c r="AB922" s="76"/>
      <c r="AC922" s="76"/>
      <c r="AD922" s="76"/>
      <c r="AE922" s="76"/>
      <c r="AF922" s="76"/>
      <c r="AG922" s="76"/>
      <c r="AH922" s="76"/>
    </row>
    <row r="923" spans="1:34" ht="16.5" thickBot="1">
      <c r="A923" s="182" t="s">
        <v>132</v>
      </c>
      <c r="B923" s="182"/>
      <c r="C923" s="323">
        <f>SUM(C921)+C922</f>
        <v>77843711.447185457</v>
      </c>
      <c r="D923" s="258"/>
      <c r="E923" s="259"/>
      <c r="F923" s="260">
        <f>F921+F922</f>
        <v>4124667.4511641408</v>
      </c>
      <c r="G923" s="258"/>
      <c r="H923" s="258"/>
      <c r="I923" s="260">
        <f>I921+I922</f>
        <v>4390013.4511641413</v>
      </c>
      <c r="J923" s="258"/>
      <c r="K923" s="262"/>
      <c r="L923" s="260">
        <f>L921+L922</f>
        <v>4934231.4511641413</v>
      </c>
      <c r="N923" s="197"/>
      <c r="O923" s="197" t="s">
        <v>0</v>
      </c>
      <c r="P923" s="198"/>
      <c r="Q923" s="335">
        <f>(L923-I923)/I923</f>
        <v>0.1239672739170502</v>
      </c>
      <c r="R923" s="298" t="s">
        <v>0</v>
      </c>
      <c r="S923" s="76"/>
      <c r="T923" s="76"/>
      <c r="U923" s="76"/>
      <c r="V923" s="76"/>
      <c r="W923" s="76"/>
      <c r="X923" s="76"/>
      <c r="Y923" s="76"/>
      <c r="Z923" s="76"/>
      <c r="AA923" s="76"/>
      <c r="AB923" s="76"/>
      <c r="AC923" s="76"/>
      <c r="AD923" s="76"/>
      <c r="AE923" s="76"/>
      <c r="AF923" s="76"/>
      <c r="AG923" s="76"/>
      <c r="AH923" s="76"/>
    </row>
    <row r="924" spans="1:34" ht="16.5" thickTop="1">
      <c r="A924" s="182"/>
      <c r="B924" s="182"/>
      <c r="C924" s="200"/>
      <c r="D924" s="252"/>
      <c r="E924" s="164"/>
      <c r="F924" s="164"/>
      <c r="G924" s="252"/>
      <c r="H924" s="252"/>
      <c r="I924" s="164"/>
      <c r="J924" s="275" t="s">
        <v>0</v>
      </c>
      <c r="K924" s="182"/>
      <c r="L924" s="164" t="s">
        <v>0</v>
      </c>
      <c r="N924" s="76"/>
      <c r="P924" s="144"/>
      <c r="R924" s="76"/>
      <c r="S924" s="76"/>
      <c r="T924" s="76"/>
      <c r="U924" s="76"/>
      <c r="V924" s="76"/>
      <c r="W924" s="76"/>
      <c r="X924" s="76"/>
      <c r="Y924" s="76"/>
      <c r="Z924" s="76"/>
      <c r="AA924" s="76"/>
      <c r="AB924" s="76"/>
      <c r="AC924" s="76"/>
      <c r="AD924" s="76"/>
      <c r="AE924" s="76"/>
      <c r="AF924" s="76"/>
      <c r="AG924" s="76"/>
      <c r="AH924" s="76"/>
    </row>
    <row r="925" spans="1:34" hidden="1">
      <c r="A925" s="182"/>
      <c r="B925" s="182"/>
      <c r="C925" s="200"/>
      <c r="D925" s="252"/>
      <c r="E925" s="164"/>
      <c r="F925" s="164"/>
      <c r="G925" s="252"/>
      <c r="H925" s="252"/>
      <c r="I925" s="164"/>
      <c r="J925" s="275" t="s">
        <v>0</v>
      </c>
      <c r="K925" s="182"/>
      <c r="L925" s="164" t="s">
        <v>0</v>
      </c>
      <c r="N925" s="76"/>
      <c r="O925" s="76"/>
      <c r="P925" s="144"/>
      <c r="Q925" s="144"/>
      <c r="R925" s="76"/>
      <c r="S925" s="76"/>
      <c r="T925" s="76"/>
      <c r="U925" s="76"/>
      <c r="V925" s="76"/>
      <c r="W925" s="76"/>
      <c r="X925" s="76"/>
      <c r="Y925" s="76"/>
      <c r="Z925" s="76"/>
      <c r="AA925" s="76"/>
      <c r="AB925" s="76"/>
      <c r="AC925" s="76"/>
      <c r="AD925" s="76"/>
      <c r="AE925" s="76"/>
      <c r="AF925" s="76"/>
      <c r="AG925" s="76"/>
      <c r="AH925" s="76"/>
    </row>
    <row r="926" spans="1:34" hidden="1">
      <c r="A926" s="182"/>
      <c r="B926" s="182"/>
      <c r="C926" s="200"/>
      <c r="D926" s="252"/>
      <c r="E926" s="164"/>
      <c r="F926" s="164"/>
      <c r="G926" s="252"/>
      <c r="H926" s="252"/>
      <c r="I926" s="164"/>
      <c r="J926" s="252"/>
      <c r="K926" s="182"/>
      <c r="L926" s="304"/>
      <c r="N926" s="76"/>
      <c r="O926" s="76"/>
      <c r="P926" s="144"/>
      <c r="Q926" s="144"/>
      <c r="R926" s="76"/>
      <c r="S926" s="76"/>
      <c r="T926" s="76"/>
      <c r="U926" s="76"/>
      <c r="V926" s="76"/>
      <c r="W926" s="76"/>
      <c r="X926" s="76"/>
      <c r="Y926" s="76"/>
      <c r="Z926" s="76"/>
      <c r="AA926" s="76"/>
      <c r="AB926" s="76"/>
      <c r="AC926" s="76"/>
      <c r="AD926" s="76"/>
      <c r="AE926" s="76"/>
      <c r="AF926" s="76"/>
      <c r="AG926" s="76"/>
      <c r="AH926" s="76"/>
    </row>
    <row r="927" spans="1:34" hidden="1">
      <c r="A927" s="199" t="s">
        <v>220</v>
      </c>
      <c r="B927" s="182"/>
      <c r="C927" s="182"/>
      <c r="D927" s="164"/>
      <c r="E927" s="164"/>
      <c r="F927" s="182"/>
      <c r="G927" s="164"/>
      <c r="H927" s="164"/>
      <c r="I927" s="182"/>
      <c r="J927" s="164"/>
      <c r="K927" s="182"/>
      <c r="L927" s="182"/>
      <c r="N927" s="76"/>
      <c r="O927" s="76"/>
      <c r="P927" s="144"/>
      <c r="Q927" s="144"/>
      <c r="R927" s="76"/>
      <c r="S927" s="76"/>
      <c r="T927" s="76"/>
      <c r="U927" s="76"/>
      <c r="V927" s="76"/>
      <c r="W927" s="76"/>
      <c r="X927" s="76"/>
      <c r="Y927" s="76"/>
      <c r="Z927" s="76"/>
      <c r="AA927" s="76"/>
      <c r="AB927" s="76"/>
      <c r="AC927" s="76"/>
      <c r="AD927" s="76"/>
      <c r="AE927" s="76"/>
      <c r="AF927" s="76"/>
      <c r="AG927" s="76"/>
      <c r="AH927" s="76"/>
    </row>
    <row r="928" spans="1:34" hidden="1">
      <c r="A928" s="217" t="s">
        <v>227</v>
      </c>
      <c r="B928" s="182"/>
      <c r="C928" s="182"/>
      <c r="D928" s="164"/>
      <c r="E928" s="164"/>
      <c r="F928" s="182"/>
      <c r="G928" s="164"/>
      <c r="H928" s="164"/>
      <c r="I928" s="182"/>
      <c r="J928" s="164"/>
      <c r="K928" s="182"/>
      <c r="L928" s="182"/>
      <c r="N928" s="76"/>
      <c r="O928" s="76"/>
      <c r="P928" s="144"/>
      <c r="Q928" s="144"/>
      <c r="R928" s="76"/>
      <c r="S928" s="76"/>
      <c r="T928" s="76"/>
      <c r="U928" s="76"/>
      <c r="V928" s="76"/>
      <c r="W928" s="76"/>
      <c r="X928" s="76"/>
      <c r="Y928" s="76"/>
      <c r="Z928" s="76"/>
      <c r="AA928" s="76"/>
      <c r="AB928" s="76"/>
      <c r="AC928" s="76"/>
      <c r="AD928" s="76"/>
      <c r="AE928" s="76"/>
      <c r="AF928" s="76"/>
      <c r="AG928" s="76"/>
      <c r="AH928" s="76"/>
    </row>
    <row r="929" spans="1:34" hidden="1">
      <c r="A929" s="182" t="s">
        <v>0</v>
      </c>
      <c r="B929" s="182"/>
      <c r="C929" s="182"/>
      <c r="D929" s="164"/>
      <c r="E929" s="164"/>
      <c r="F929" s="182"/>
      <c r="G929" s="164"/>
      <c r="H929" s="164"/>
      <c r="I929" s="182"/>
      <c r="J929" s="164"/>
      <c r="K929" s="182"/>
      <c r="L929" s="182"/>
      <c r="N929" s="76"/>
      <c r="O929" s="76"/>
      <c r="P929" s="144"/>
      <c r="Q929" s="144"/>
      <c r="R929" s="76"/>
      <c r="S929" s="76"/>
      <c r="T929" s="76"/>
      <c r="U929" s="76"/>
      <c r="V929" s="76"/>
      <c r="W929" s="76"/>
      <c r="X929" s="76"/>
      <c r="Y929" s="76"/>
      <c r="Z929" s="76"/>
      <c r="AA929" s="76"/>
      <c r="AB929" s="76"/>
      <c r="AC929" s="76"/>
      <c r="AD929" s="76"/>
      <c r="AE929" s="76"/>
      <c r="AF929" s="76"/>
      <c r="AG929" s="76"/>
      <c r="AH929" s="76"/>
    </row>
    <row r="930" spans="1:34" hidden="1">
      <c r="A930" s="238" t="s">
        <v>144</v>
      </c>
      <c r="B930" s="182"/>
      <c r="C930" s="234"/>
      <c r="D930" s="164"/>
      <c r="E930" s="164"/>
      <c r="F930" s="182"/>
      <c r="G930" s="164"/>
      <c r="H930" s="164"/>
      <c r="I930" s="182"/>
      <c r="J930" s="164"/>
      <c r="K930" s="182"/>
      <c r="L930" s="182"/>
      <c r="N930" s="76"/>
      <c r="P930" s="144"/>
      <c r="Q930" s="144"/>
      <c r="R930" s="76"/>
      <c r="S930" s="76"/>
      <c r="T930" s="76"/>
      <c r="U930" s="76"/>
      <c r="V930" s="76"/>
      <c r="W930" s="76"/>
      <c r="X930" s="76"/>
      <c r="Y930" s="76"/>
      <c r="Z930" s="76"/>
      <c r="AA930" s="76"/>
      <c r="AB930" s="76"/>
      <c r="AC930" s="76"/>
      <c r="AD930" s="76"/>
      <c r="AE930" s="76"/>
      <c r="AF930" s="76"/>
      <c r="AG930" s="76"/>
      <c r="AH930" s="76"/>
    </row>
    <row r="931" spans="1:34" hidden="1">
      <c r="A931" s="238" t="s">
        <v>215</v>
      </c>
      <c r="B931" s="182"/>
      <c r="C931" s="234">
        <f>96</f>
        <v>96</v>
      </c>
      <c r="D931" s="252">
        <f>D902</f>
        <v>1205</v>
      </c>
      <c r="E931" s="252"/>
      <c r="F931" s="164">
        <f>ROUND(D931*$C931,0)</f>
        <v>115680</v>
      </c>
      <c r="G931" s="252">
        <v>1245</v>
      </c>
      <c r="H931" s="252"/>
      <c r="I931" s="164">
        <f>ROUND(G931*C931,0)</f>
        <v>119520</v>
      </c>
      <c r="J931" s="252">
        <f>J902</f>
        <v>1400</v>
      </c>
      <c r="K931" s="236"/>
      <c r="L931" s="164">
        <f>ROUND(J931*$C931,0)</f>
        <v>134400</v>
      </c>
      <c r="N931" s="76"/>
      <c r="O931" s="76"/>
      <c r="P931" s="144"/>
      <c r="Q931" s="144"/>
      <c r="R931" s="76"/>
      <c r="S931" s="76"/>
      <c r="T931" s="76"/>
      <c r="U931" s="76"/>
      <c r="V931" s="76"/>
      <c r="W931" s="76"/>
      <c r="X931" s="76"/>
      <c r="Y931" s="76"/>
      <c r="Z931" s="76"/>
      <c r="AA931" s="76"/>
      <c r="AB931" s="76"/>
      <c r="AC931" s="76"/>
      <c r="AD931" s="76"/>
      <c r="AE931" s="76"/>
      <c r="AF931" s="76"/>
      <c r="AG931" s="76"/>
      <c r="AH931" s="76"/>
    </row>
    <row r="932" spans="1:34" hidden="1">
      <c r="A932" s="238" t="s">
        <v>216</v>
      </c>
      <c r="B932" s="182"/>
      <c r="C932" s="234">
        <f>12</f>
        <v>12</v>
      </c>
      <c r="D932" s="252">
        <f>D903</f>
        <v>1450</v>
      </c>
      <c r="E932" s="252"/>
      <c r="F932" s="164">
        <f>ROUND(D932*$C932,0)</f>
        <v>17400</v>
      </c>
      <c r="G932" s="252">
        <v>1490</v>
      </c>
      <c r="H932" s="252"/>
      <c r="I932" s="164">
        <f>ROUND(G932*C932,0)</f>
        <v>17880</v>
      </c>
      <c r="J932" s="252">
        <f>J903</f>
        <v>1680</v>
      </c>
      <c r="K932" s="239"/>
      <c r="L932" s="164">
        <f>ROUND(J932*$C932,0)</f>
        <v>20160</v>
      </c>
      <c r="N932" s="76"/>
      <c r="O932" s="76"/>
      <c r="P932" s="144"/>
      <c r="Q932" s="144"/>
      <c r="R932" s="76"/>
      <c r="S932" s="76"/>
      <c r="T932" s="76"/>
      <c r="U932" s="76"/>
      <c r="V932" s="76"/>
      <c r="W932" s="76"/>
      <c r="X932" s="76"/>
      <c r="Y932" s="76"/>
      <c r="Z932" s="76"/>
      <c r="AA932" s="76"/>
      <c r="AB932" s="76"/>
      <c r="AC932" s="76"/>
      <c r="AD932" s="76"/>
      <c r="AE932" s="76"/>
      <c r="AF932" s="76"/>
      <c r="AG932" s="76"/>
      <c r="AH932" s="76"/>
    </row>
    <row r="933" spans="1:34" hidden="1">
      <c r="A933" s="238" t="s">
        <v>145</v>
      </c>
      <c r="B933" s="182"/>
      <c r="C933" s="234">
        <f>SUM(C931:C932)</f>
        <v>108</v>
      </c>
      <c r="D933" s="252" t="s">
        <v>0</v>
      </c>
      <c r="E933" s="252"/>
      <c r="F933" s="164" t="s">
        <v>0</v>
      </c>
      <c r="G933" s="252" t="s">
        <v>0</v>
      </c>
      <c r="H933" s="252"/>
      <c r="I933" s="164" t="s">
        <v>0</v>
      </c>
      <c r="J933" s="252" t="s">
        <v>0</v>
      </c>
      <c r="K933" s="236"/>
      <c r="L933" s="164" t="s">
        <v>0</v>
      </c>
      <c r="N933" s="76"/>
      <c r="O933" s="76"/>
      <c r="P933" s="144"/>
      <c r="Q933" s="144"/>
      <c r="R933" s="76"/>
      <c r="S933" s="76"/>
      <c r="T933" s="76"/>
      <c r="U933" s="76"/>
      <c r="V933" s="76"/>
      <c r="W933" s="76"/>
      <c r="X933" s="76"/>
      <c r="Y933" s="76"/>
      <c r="Z933" s="76"/>
      <c r="AA933" s="76"/>
      <c r="AB933" s="76"/>
      <c r="AC933" s="76"/>
      <c r="AD933" s="76"/>
      <c r="AE933" s="76"/>
      <c r="AF933" s="76"/>
      <c r="AG933" s="76"/>
      <c r="AH933" s="76"/>
    </row>
    <row r="934" spans="1:34" hidden="1">
      <c r="A934" s="238" t="s">
        <v>217</v>
      </c>
      <c r="B934" s="182"/>
      <c r="C934" s="234">
        <f>132921</f>
        <v>132921</v>
      </c>
      <c r="D934" s="252">
        <f t="shared" ref="D934:D936" si="148">D905</f>
        <v>0.91</v>
      </c>
      <c r="E934" s="252"/>
      <c r="F934" s="164">
        <f>ROUND(D934*$C934,0)</f>
        <v>120958</v>
      </c>
      <c r="G934" s="252">
        <v>0.45</v>
      </c>
      <c r="H934" s="252"/>
      <c r="I934" s="164">
        <f t="shared" ref="I934:I936" si="149">ROUND(G934*C934,0)</f>
        <v>59814</v>
      </c>
      <c r="J934" s="252">
        <f>J905</f>
        <v>0.52</v>
      </c>
      <c r="K934" s="236"/>
      <c r="L934" s="164">
        <f>ROUND(J934*$C934,0)</f>
        <v>69119</v>
      </c>
      <c r="N934" s="76"/>
      <c r="O934" s="337" t="s">
        <v>0</v>
      </c>
      <c r="P934" s="144"/>
      <c r="Q934" s="144" t="s">
        <v>0</v>
      </c>
      <c r="R934" s="76"/>
      <c r="S934" s="76"/>
      <c r="T934" s="76"/>
      <c r="U934" s="76"/>
      <c r="V934" s="76"/>
      <c r="W934" s="76"/>
      <c r="X934" s="76"/>
      <c r="Y934" s="76"/>
      <c r="Z934" s="76"/>
      <c r="AA934" s="76"/>
      <c r="AB934" s="76"/>
      <c r="AC934" s="76"/>
      <c r="AD934" s="76"/>
      <c r="AE934" s="76"/>
      <c r="AF934" s="76"/>
      <c r="AG934" s="76"/>
      <c r="AH934" s="76"/>
    </row>
    <row r="935" spans="1:34" hidden="1">
      <c r="A935" s="238" t="s">
        <v>218</v>
      </c>
      <c r="B935" s="182"/>
      <c r="C935" s="234">
        <f>50814</f>
        <v>50814</v>
      </c>
      <c r="D935" s="252">
        <f t="shared" si="148"/>
        <v>0.83</v>
      </c>
      <c r="E935" s="252"/>
      <c r="F935" s="164">
        <f>ROUND(D935*$C935,0)</f>
        <v>42176</v>
      </c>
      <c r="G935" s="252">
        <v>0.38000000000000006</v>
      </c>
      <c r="H935" s="252"/>
      <c r="I935" s="164">
        <f t="shared" si="149"/>
        <v>19309</v>
      </c>
      <c r="J935" s="252">
        <f t="shared" ref="J935:J936" si="150">J906</f>
        <v>0.42</v>
      </c>
      <c r="K935" s="236"/>
      <c r="L935" s="164">
        <f>ROUND(J935*$C935,0)</f>
        <v>21342</v>
      </c>
      <c r="N935" s="76"/>
      <c r="O935" s="76"/>
      <c r="P935" s="144"/>
      <c r="Q935" s="144"/>
      <c r="R935" s="76"/>
      <c r="S935" s="76"/>
      <c r="T935" s="76"/>
      <c r="U935" s="76"/>
      <c r="V935" s="76"/>
      <c r="W935" s="76"/>
      <c r="X935" s="76"/>
      <c r="Y935" s="76"/>
      <c r="Z935" s="76"/>
      <c r="AA935" s="76"/>
      <c r="AB935" s="76"/>
      <c r="AC935" s="76"/>
      <c r="AD935" s="76"/>
      <c r="AE935" s="76"/>
      <c r="AF935" s="76"/>
      <c r="AG935" s="76"/>
      <c r="AH935" s="76"/>
    </row>
    <row r="936" spans="1:34" hidden="1">
      <c r="A936" s="217" t="s">
        <v>153</v>
      </c>
      <c r="B936" s="182"/>
      <c r="C936" s="234">
        <f>108763+42596</f>
        <v>151359</v>
      </c>
      <c r="D936" s="252">
        <f t="shared" si="148"/>
        <v>6.03</v>
      </c>
      <c r="E936" s="252"/>
      <c r="F936" s="164">
        <f>ROUND(D936*$C936,0)</f>
        <v>912695</v>
      </c>
      <c r="G936" s="252">
        <v>6.12</v>
      </c>
      <c r="H936" s="252"/>
      <c r="I936" s="164">
        <f t="shared" si="149"/>
        <v>926317</v>
      </c>
      <c r="J936" s="252">
        <f t="shared" si="150"/>
        <v>6.89</v>
      </c>
      <c r="K936" s="236"/>
      <c r="L936" s="164">
        <f>ROUND(J936*$C936,0)</f>
        <v>1042864</v>
      </c>
      <c r="N936" s="76"/>
      <c r="O936" s="76"/>
      <c r="P936" s="144"/>
      <c r="Q936" s="144"/>
      <c r="R936" s="76"/>
      <c r="S936" s="76"/>
      <c r="T936" s="76"/>
      <c r="U936" s="76"/>
      <c r="V936" s="76"/>
      <c r="W936" s="76"/>
      <c r="X936" s="76"/>
      <c r="Y936" s="76"/>
      <c r="Z936" s="76"/>
      <c r="AA936" s="76"/>
      <c r="AB936" s="76"/>
      <c r="AC936" s="76"/>
      <c r="AD936" s="76"/>
      <c r="AE936" s="76"/>
      <c r="AF936" s="76"/>
      <c r="AG936" s="76"/>
      <c r="AH936" s="76"/>
    </row>
    <row r="937" spans="1:34" hidden="1">
      <c r="A937" s="238" t="s">
        <v>174</v>
      </c>
      <c r="B937" s="182"/>
      <c r="C937" s="234"/>
      <c r="D937" s="252" t="s">
        <v>0</v>
      </c>
      <c r="E937" s="252"/>
      <c r="F937" s="164"/>
      <c r="G937" s="252" t="s">
        <v>0</v>
      </c>
      <c r="H937" s="252"/>
      <c r="I937" s="164"/>
      <c r="J937" s="252" t="s">
        <v>0</v>
      </c>
      <c r="K937" s="236"/>
      <c r="L937" s="164"/>
      <c r="N937" s="76"/>
      <c r="O937" s="76"/>
      <c r="P937" s="144"/>
      <c r="Q937" s="144"/>
      <c r="R937" s="76"/>
      <c r="S937" s="76"/>
      <c r="T937" s="76"/>
      <c r="U937" s="76"/>
      <c r="V937" s="76"/>
      <c r="W937" s="76"/>
      <c r="X937" s="76"/>
      <c r="Y937" s="76"/>
      <c r="Z937" s="76"/>
      <c r="AA937" s="76"/>
      <c r="AB937" s="76"/>
      <c r="AC937" s="76"/>
      <c r="AD937" s="76"/>
      <c r="AE937" s="76"/>
      <c r="AF937" s="76"/>
      <c r="AG937" s="76"/>
      <c r="AH937" s="76"/>
    </row>
    <row r="938" spans="1:34" hidden="1">
      <c r="A938" s="238" t="s">
        <v>208</v>
      </c>
      <c r="B938" s="182"/>
      <c r="C938" s="234">
        <f>40814000+22464000</f>
        <v>63278000</v>
      </c>
      <c r="D938" s="324">
        <f>D909</f>
        <v>3.4990000000000001</v>
      </c>
      <c r="E938" s="236" t="s">
        <v>126</v>
      </c>
      <c r="F938" s="164">
        <f>ROUND(D938/100*$C938,0)</f>
        <v>2214097</v>
      </c>
      <c r="G938" s="324">
        <v>3.6669999999999998</v>
      </c>
      <c r="H938" s="324"/>
      <c r="I938" s="164">
        <f>ROUND(G938/100*C938,0)</f>
        <v>2320404</v>
      </c>
      <c r="J938" s="324">
        <f>J909</f>
        <v>4.13</v>
      </c>
      <c r="K938" s="236" t="s">
        <v>126</v>
      </c>
      <c r="L938" s="164">
        <f>ROUND(J938/100*$C938,0)</f>
        <v>2613381</v>
      </c>
      <c r="N938" s="76"/>
      <c r="O938" s="76"/>
      <c r="P938" s="144"/>
      <c r="Q938" s="144"/>
      <c r="R938" s="76"/>
      <c r="S938" s="76"/>
      <c r="T938" s="76"/>
      <c r="U938" s="76"/>
      <c r="V938" s="76"/>
      <c r="W938" s="76"/>
      <c r="X938" s="76"/>
      <c r="Y938" s="76"/>
      <c r="Z938" s="76"/>
      <c r="AA938" s="76"/>
      <c r="AB938" s="76"/>
      <c r="AC938" s="76"/>
      <c r="AD938" s="76"/>
      <c r="AE938" s="76"/>
      <c r="AF938" s="76"/>
      <c r="AG938" s="76"/>
      <c r="AH938" s="76"/>
    </row>
    <row r="939" spans="1:34" hidden="1">
      <c r="A939" s="238" t="s">
        <v>150</v>
      </c>
      <c r="B939" s="182"/>
      <c r="C939" s="234">
        <f>8477+7577</f>
        <v>16054</v>
      </c>
      <c r="D939" s="252">
        <f>D910</f>
        <v>0.45</v>
      </c>
      <c r="E939" s="236"/>
      <c r="F939" s="164">
        <f>ROUND(D939*$C939,0)</f>
        <v>7224</v>
      </c>
      <c r="G939" s="252">
        <v>0.47</v>
      </c>
      <c r="H939" s="252"/>
      <c r="I939" s="164">
        <f>ROUND(G939*C939,0)</f>
        <v>7545</v>
      </c>
      <c r="J939" s="252">
        <f>J910</f>
        <v>0.53</v>
      </c>
      <c r="K939" s="236"/>
      <c r="L939" s="164">
        <f>ROUND(J939*$C939,0)</f>
        <v>8509</v>
      </c>
      <c r="N939" s="76"/>
      <c r="O939" s="76"/>
      <c r="P939" s="144"/>
      <c r="Q939" s="144"/>
      <c r="R939" s="76"/>
      <c r="S939" s="76"/>
      <c r="T939" s="76"/>
      <c r="U939" s="76"/>
      <c r="V939" s="76"/>
      <c r="W939" s="76"/>
      <c r="X939" s="76"/>
      <c r="Y939" s="76"/>
      <c r="Z939" s="76"/>
      <c r="AA939" s="76"/>
      <c r="AB939" s="76"/>
      <c r="AC939" s="76"/>
      <c r="AD939" s="76"/>
      <c r="AE939" s="76"/>
      <c r="AF939" s="76"/>
      <c r="AG939" s="76"/>
      <c r="AH939" s="76"/>
    </row>
    <row r="940" spans="1:34" hidden="1">
      <c r="A940" s="280" t="s">
        <v>151</v>
      </c>
      <c r="B940" s="182"/>
      <c r="C940" s="234"/>
      <c r="D940" s="247">
        <f>D911</f>
        <v>-0.01</v>
      </c>
      <c r="E940" s="247"/>
      <c r="F940" s="164"/>
      <c r="G940" s="247">
        <v>0</v>
      </c>
      <c r="H940" s="247"/>
      <c r="I940" s="164"/>
      <c r="J940" s="247"/>
      <c r="K940" s="281"/>
      <c r="L940" s="164"/>
      <c r="N940" s="76"/>
      <c r="O940" s="76"/>
      <c r="P940" s="144"/>
      <c r="Q940" s="144"/>
      <c r="R940" s="76"/>
      <c r="S940" s="76"/>
      <c r="T940" s="76"/>
      <c r="U940" s="76"/>
      <c r="V940" s="76"/>
      <c r="W940" s="76"/>
      <c r="X940" s="76"/>
      <c r="Y940" s="76"/>
      <c r="Z940" s="76"/>
      <c r="AA940" s="76"/>
      <c r="AB940" s="76"/>
      <c r="AC940" s="76"/>
      <c r="AD940" s="76"/>
      <c r="AE940" s="76"/>
      <c r="AF940" s="76"/>
      <c r="AG940" s="76"/>
      <c r="AH940" s="76"/>
    </row>
    <row r="941" spans="1:34" hidden="1">
      <c r="A941" s="238" t="s">
        <v>215</v>
      </c>
      <c r="B941" s="182"/>
      <c r="C941" s="234">
        <f>96</f>
        <v>96</v>
      </c>
      <c r="D941" s="249">
        <f>D931</f>
        <v>1205</v>
      </c>
      <c r="E941" s="249"/>
      <c r="F941" s="236">
        <f>ROUND(D941*$C941*$D$911,0)</f>
        <v>-1157</v>
      </c>
      <c r="G941" s="249">
        <f>G931</f>
        <v>1245</v>
      </c>
      <c r="H941" s="249"/>
      <c r="I941" s="236">
        <f>ROUND(C941*G941*$G$803,0)</f>
        <v>0</v>
      </c>
      <c r="J941" s="249"/>
      <c r="K941" s="236"/>
      <c r="L941" s="236">
        <f>ROUND(J941*$C941*$J$940,0)</f>
        <v>0</v>
      </c>
      <c r="N941" s="76"/>
      <c r="O941" s="76"/>
      <c r="P941" s="144"/>
      <c r="Q941" s="144"/>
      <c r="R941" s="76"/>
      <c r="S941" s="76"/>
      <c r="T941" s="76"/>
      <c r="U941" s="76"/>
      <c r="V941" s="76"/>
      <c r="W941" s="76"/>
      <c r="X941" s="76"/>
      <c r="Y941" s="76"/>
      <c r="Z941" s="76"/>
      <c r="AA941" s="76"/>
      <c r="AB941" s="76"/>
      <c r="AC941" s="76"/>
      <c r="AD941" s="76"/>
      <c r="AE941" s="76"/>
      <c r="AF941" s="76"/>
      <c r="AG941" s="76"/>
      <c r="AH941" s="76"/>
    </row>
    <row r="942" spans="1:34" hidden="1">
      <c r="A942" s="238" t="s">
        <v>216</v>
      </c>
      <c r="B942" s="182"/>
      <c r="C942" s="234">
        <f>12</f>
        <v>12</v>
      </c>
      <c r="D942" s="249">
        <f>D932</f>
        <v>1450</v>
      </c>
      <c r="E942" s="249"/>
      <c r="F942" s="236">
        <f>ROUND(D942*$C942*$D$911,0)</f>
        <v>-174</v>
      </c>
      <c r="G942" s="249">
        <f>G932</f>
        <v>1490</v>
      </c>
      <c r="H942" s="249"/>
      <c r="I942" s="236">
        <f t="shared" ref="I942:I949" si="151">ROUND(C942*G942*$G$803,0)</f>
        <v>0</v>
      </c>
      <c r="J942" s="249"/>
      <c r="K942" s="236"/>
      <c r="L942" s="236">
        <f>ROUND(J942*$C942*$J$940,0)</f>
        <v>0</v>
      </c>
      <c r="N942" s="76"/>
      <c r="O942" s="76"/>
      <c r="P942" s="144"/>
      <c r="Q942" s="144"/>
      <c r="R942" s="76"/>
      <c r="S942" s="76"/>
      <c r="T942" s="76"/>
      <c r="U942" s="76"/>
      <c r="V942" s="76"/>
      <c r="W942" s="76"/>
      <c r="X942" s="76"/>
      <c r="Y942" s="76"/>
      <c r="Z942" s="76"/>
      <c r="AA942" s="76"/>
      <c r="AB942" s="76"/>
      <c r="AC942" s="76"/>
      <c r="AD942" s="76"/>
      <c r="AE942" s="76"/>
      <c r="AF942" s="76"/>
      <c r="AG942" s="76"/>
      <c r="AH942" s="76"/>
    </row>
    <row r="943" spans="1:34" hidden="1">
      <c r="A943" s="238" t="s">
        <v>217</v>
      </c>
      <c r="B943" s="182"/>
      <c r="C943" s="234">
        <f>132921</f>
        <v>132921</v>
      </c>
      <c r="D943" s="249">
        <f>D934</f>
        <v>0.91</v>
      </c>
      <c r="E943" s="249"/>
      <c r="F943" s="236">
        <f>ROUND(D943*$C943*$D$911,0)</f>
        <v>-1210</v>
      </c>
      <c r="G943" s="249">
        <f>G934</f>
        <v>0.45</v>
      </c>
      <c r="H943" s="249"/>
      <c r="I943" s="236">
        <f t="shared" si="151"/>
        <v>0</v>
      </c>
      <c r="J943" s="249"/>
      <c r="K943" s="236"/>
      <c r="L943" s="236">
        <f>ROUND(J943*$C943*$J$940,0)</f>
        <v>0</v>
      </c>
      <c r="N943" s="76"/>
      <c r="O943" s="76"/>
      <c r="P943" s="144"/>
      <c r="Q943" s="144"/>
      <c r="R943" s="76"/>
      <c r="S943" s="76"/>
      <c r="T943" s="76"/>
      <c r="U943" s="76"/>
      <c r="V943" s="76"/>
      <c r="W943" s="76"/>
      <c r="X943" s="76"/>
      <c r="Y943" s="76"/>
      <c r="Z943" s="76"/>
      <c r="AA943" s="76"/>
      <c r="AB943" s="76"/>
      <c r="AC943" s="76"/>
      <c r="AD943" s="76"/>
      <c r="AE943" s="76"/>
      <c r="AF943" s="76"/>
      <c r="AG943" s="76"/>
      <c r="AH943" s="76"/>
    </row>
    <row r="944" spans="1:34" hidden="1">
      <c r="A944" s="238" t="s">
        <v>218</v>
      </c>
      <c r="B944" s="182"/>
      <c r="C944" s="234">
        <f>50814</f>
        <v>50814</v>
      </c>
      <c r="D944" s="249">
        <f>D935</f>
        <v>0.83</v>
      </c>
      <c r="E944" s="249"/>
      <c r="F944" s="236">
        <f>ROUND(D944*$C944*$D$911,0)</f>
        <v>-422</v>
      </c>
      <c r="G944" s="249">
        <f>G935</f>
        <v>0.38000000000000006</v>
      </c>
      <c r="H944" s="249"/>
      <c r="I944" s="236">
        <f t="shared" si="151"/>
        <v>0</v>
      </c>
      <c r="J944" s="249"/>
      <c r="K944" s="236"/>
      <c r="L944" s="236">
        <f>ROUND(J944*$C944*$J$940,0)</f>
        <v>0</v>
      </c>
      <c r="N944" s="76"/>
      <c r="O944" s="76"/>
      <c r="P944" s="144"/>
      <c r="Q944" s="144"/>
      <c r="R944" s="76"/>
      <c r="S944" s="76"/>
      <c r="T944" s="76"/>
      <c r="U944" s="76"/>
      <c r="V944" s="76"/>
      <c r="W944" s="76"/>
      <c r="X944" s="76"/>
      <c r="Y944" s="76"/>
      <c r="Z944" s="76"/>
      <c r="AA944" s="76"/>
      <c r="AB944" s="76"/>
      <c r="AC944" s="76"/>
      <c r="AD944" s="76"/>
      <c r="AE944" s="76"/>
      <c r="AF944" s="76"/>
      <c r="AG944" s="76"/>
      <c r="AH944" s="76"/>
    </row>
    <row r="945" spans="1:34" hidden="1">
      <c r="A945" s="217" t="s">
        <v>153</v>
      </c>
      <c r="B945" s="304"/>
      <c r="C945" s="234">
        <f>108763+42596</f>
        <v>151359</v>
      </c>
      <c r="D945" s="249">
        <f>D936</f>
        <v>6.03</v>
      </c>
      <c r="E945" s="252"/>
      <c r="F945" s="236">
        <f>ROUND(D945*$C945*$D$911,0)</f>
        <v>-9127</v>
      </c>
      <c r="G945" s="249">
        <f>G936</f>
        <v>6.12</v>
      </c>
      <c r="H945" s="249"/>
      <c r="I945" s="236">
        <f t="shared" si="151"/>
        <v>0</v>
      </c>
      <c r="J945" s="249"/>
      <c r="K945" s="236"/>
      <c r="L945" s="236">
        <f>ROUND(J945*$C945*$J$940,0)</f>
        <v>0</v>
      </c>
      <c r="N945" s="76"/>
      <c r="O945" s="76"/>
      <c r="P945" s="144"/>
      <c r="Q945" s="144"/>
      <c r="R945" s="76"/>
      <c r="S945" s="76"/>
      <c r="T945" s="76"/>
      <c r="U945" s="76"/>
      <c r="V945" s="76"/>
      <c r="W945" s="76"/>
      <c r="X945" s="76"/>
      <c r="Y945" s="76"/>
      <c r="Z945" s="76"/>
      <c r="AA945" s="76"/>
      <c r="AB945" s="76"/>
      <c r="AC945" s="76"/>
      <c r="AD945" s="76"/>
      <c r="AE945" s="76"/>
      <c r="AF945" s="76"/>
      <c r="AG945" s="76"/>
      <c r="AH945" s="76"/>
    </row>
    <row r="946" spans="1:34" hidden="1">
      <c r="A946" s="238" t="s">
        <v>208</v>
      </c>
      <c r="B946" s="182"/>
      <c r="C946" s="234">
        <f>40814000+22464000</f>
        <v>63278000</v>
      </c>
      <c r="D946" s="250">
        <f>D938</f>
        <v>3.4990000000000001</v>
      </c>
      <c r="E946" s="236" t="s">
        <v>126</v>
      </c>
      <c r="F946" s="236">
        <f>ROUND(D946/100*$C946*$D$911,0)</f>
        <v>-22141</v>
      </c>
      <c r="G946" s="250">
        <f>G938</f>
        <v>3.6669999999999998</v>
      </c>
      <c r="H946" s="250"/>
      <c r="I946" s="236">
        <f>ROUND(C946/100*G946*$G$803,0)</f>
        <v>0</v>
      </c>
      <c r="J946" s="250"/>
      <c r="K946" s="236"/>
      <c r="L946" s="236">
        <f>ROUND(J946/100*$C946*$J$940,0)</f>
        <v>0</v>
      </c>
      <c r="N946" s="76"/>
      <c r="O946" s="76"/>
      <c r="P946" s="144"/>
      <c r="Q946" s="144"/>
      <c r="R946" s="76"/>
      <c r="S946" s="76"/>
      <c r="T946" s="76"/>
      <c r="U946" s="76"/>
      <c r="V946" s="76"/>
      <c r="W946" s="76"/>
      <c r="X946" s="76"/>
      <c r="Y946" s="76"/>
      <c r="Z946" s="76"/>
      <c r="AA946" s="76"/>
      <c r="AB946" s="76"/>
      <c r="AC946" s="76"/>
      <c r="AD946" s="76"/>
      <c r="AE946" s="76"/>
      <c r="AF946" s="76"/>
      <c r="AG946" s="76"/>
      <c r="AH946" s="76"/>
    </row>
    <row r="947" spans="1:34" hidden="1">
      <c r="A947" s="238" t="s">
        <v>150</v>
      </c>
      <c r="B947" s="182"/>
      <c r="C947" s="234">
        <f>8477+7577</f>
        <v>16054</v>
      </c>
      <c r="D947" s="304">
        <f>D939</f>
        <v>0.45</v>
      </c>
      <c r="E947" s="236"/>
      <c r="F947" s="236">
        <f>ROUND(D947*$C947*$D$911,0)</f>
        <v>-72</v>
      </c>
      <c r="G947" s="304">
        <f>G939</f>
        <v>0.47</v>
      </c>
      <c r="H947" s="304"/>
      <c r="I947" s="236">
        <f t="shared" si="151"/>
        <v>0</v>
      </c>
      <c r="J947" s="304"/>
      <c r="K947" s="236"/>
      <c r="L947" s="236">
        <f>ROUND(J947*$C947*$J$940,0)</f>
        <v>0</v>
      </c>
      <c r="N947" s="76"/>
      <c r="O947" s="76"/>
      <c r="P947" s="144"/>
      <c r="Q947" s="144"/>
      <c r="R947" s="76"/>
      <c r="S947" s="76"/>
      <c r="T947" s="76"/>
      <c r="U947" s="76"/>
      <c r="V947" s="76"/>
      <c r="W947" s="76"/>
      <c r="X947" s="76"/>
      <c r="Y947" s="76"/>
      <c r="Z947" s="76"/>
      <c r="AA947" s="76"/>
      <c r="AB947" s="76"/>
      <c r="AC947" s="76"/>
      <c r="AD947" s="76"/>
      <c r="AE947" s="76"/>
      <c r="AF947" s="76"/>
      <c r="AG947" s="76"/>
      <c r="AH947" s="76"/>
    </row>
    <row r="948" spans="1:34" hidden="1">
      <c r="A948" s="217" t="s">
        <v>219</v>
      </c>
      <c r="B948" s="182"/>
      <c r="C948" s="234">
        <f>96.12</f>
        <v>96.12</v>
      </c>
      <c r="D948" s="252">
        <f>D919</f>
        <v>60</v>
      </c>
      <c r="E948" s="252"/>
      <c r="F948" s="236">
        <f>ROUND(D948*$C948,0)</f>
        <v>5767</v>
      </c>
      <c r="G948" s="252">
        <f>$G$811</f>
        <v>0</v>
      </c>
      <c r="H948" s="252"/>
      <c r="I948" s="236">
        <f t="shared" si="151"/>
        <v>0</v>
      </c>
      <c r="J948" s="252"/>
      <c r="K948" s="236"/>
      <c r="L948" s="236">
        <f>ROUND(J948*$C948,0)</f>
        <v>0</v>
      </c>
      <c r="N948" s="76"/>
      <c r="O948" s="76"/>
      <c r="P948" s="144"/>
      <c r="Q948" s="144"/>
      <c r="R948" s="76"/>
      <c r="S948" s="76"/>
      <c r="T948" s="76"/>
      <c r="U948" s="76"/>
      <c r="V948" s="76"/>
      <c r="W948" s="76"/>
      <c r="X948" s="76"/>
      <c r="Y948" s="76"/>
      <c r="Z948" s="76"/>
      <c r="AA948" s="76"/>
      <c r="AB948" s="76"/>
      <c r="AC948" s="76"/>
      <c r="AD948" s="76"/>
      <c r="AE948" s="76"/>
      <c r="AF948" s="76"/>
      <c r="AG948" s="76"/>
      <c r="AH948" s="76"/>
    </row>
    <row r="949" spans="1:34" hidden="1">
      <c r="A949" s="217" t="s">
        <v>188</v>
      </c>
      <c r="B949" s="182"/>
      <c r="C949" s="234">
        <f>132921+50814</f>
        <v>183735</v>
      </c>
      <c r="D949" s="252">
        <f>D920</f>
        <v>-0.75</v>
      </c>
      <c r="E949" s="236"/>
      <c r="F949" s="236">
        <f>ROUND(D949*$C949,0)</f>
        <v>-137801</v>
      </c>
      <c r="G949" s="252">
        <f>$G$812</f>
        <v>0</v>
      </c>
      <c r="H949" s="252"/>
      <c r="I949" s="236">
        <f t="shared" si="151"/>
        <v>0</v>
      </c>
      <c r="J949" s="252"/>
      <c r="K949" s="236"/>
      <c r="L949" s="236">
        <f>ROUND(J949*$C949,0)</f>
        <v>0</v>
      </c>
      <c r="N949" s="76"/>
      <c r="O949" s="76"/>
      <c r="P949" s="144"/>
      <c r="Q949" s="144"/>
      <c r="R949" s="76"/>
      <c r="S949" s="76"/>
      <c r="T949" s="76"/>
      <c r="U949" s="76"/>
      <c r="V949" s="76"/>
      <c r="W949" s="76"/>
      <c r="X949" s="76"/>
      <c r="Y949" s="76"/>
      <c r="Z949" s="76"/>
      <c r="AA949" s="76"/>
      <c r="AB949" s="76"/>
      <c r="AC949" s="76"/>
      <c r="AD949" s="76"/>
      <c r="AE949" s="76"/>
      <c r="AF949" s="76"/>
      <c r="AG949" s="76"/>
      <c r="AH949" s="76"/>
    </row>
    <row r="950" spans="1:34" hidden="1">
      <c r="A950" s="182" t="s">
        <v>131</v>
      </c>
      <c r="B950" s="182"/>
      <c r="C950" s="234">
        <f>C938</f>
        <v>63278000</v>
      </c>
      <c r="D950" s="244"/>
      <c r="E950" s="164"/>
      <c r="F950" s="164">
        <f>SUM(F931:F949)</f>
        <v>3263893</v>
      </c>
      <c r="G950" s="244"/>
      <c r="H950" s="244"/>
      <c r="I950" s="164">
        <f>SUM(I931:I949)</f>
        <v>3470789</v>
      </c>
      <c r="J950" s="244"/>
      <c r="K950" s="182"/>
      <c r="L950" s="164">
        <f>SUM(L931:L949)</f>
        <v>3909775</v>
      </c>
      <c r="N950" s="76"/>
      <c r="O950" s="76"/>
      <c r="P950" s="144"/>
      <c r="Q950" s="144"/>
      <c r="R950" s="76"/>
      <c r="S950" s="76"/>
      <c r="T950" s="76"/>
      <c r="U950" s="76"/>
      <c r="V950" s="76"/>
      <c r="W950" s="76"/>
      <c r="X950" s="76"/>
      <c r="Y950" s="76"/>
      <c r="Z950" s="76"/>
      <c r="AA950" s="76"/>
      <c r="AB950" s="76"/>
      <c r="AC950" s="76"/>
      <c r="AD950" s="76"/>
      <c r="AE950" s="76"/>
      <c r="AF950" s="76"/>
      <c r="AG950" s="76"/>
      <c r="AH950" s="76"/>
    </row>
    <row r="951" spans="1:34" hidden="1">
      <c r="A951" s="182" t="s">
        <v>114</v>
      </c>
      <c r="B951" s="182"/>
      <c r="C951" s="234">
        <f>C950/($C$867+$C$950)*$C$1005</f>
        <v>1100703.7371288496</v>
      </c>
      <c r="D951" s="217"/>
      <c r="E951" s="217"/>
      <c r="F951" s="325">
        <f>F950/($F$867+$F$950)*$F$1005</f>
        <v>60943.189045186336</v>
      </c>
      <c r="G951" s="217"/>
      <c r="H951" s="217"/>
      <c r="I951" s="256">
        <f>F951</f>
        <v>60943.189045186336</v>
      </c>
      <c r="J951" s="217"/>
      <c r="K951" s="217"/>
      <c r="L951" s="256">
        <f>F951</f>
        <v>60943.189045186336</v>
      </c>
      <c r="N951" s="196"/>
      <c r="O951" s="196"/>
      <c r="P951" s="194"/>
      <c r="Q951" s="144"/>
      <c r="R951" s="76"/>
      <c r="S951" s="76"/>
      <c r="T951" s="76"/>
      <c r="U951" s="76"/>
      <c r="V951" s="76"/>
      <c r="W951" s="76"/>
      <c r="X951" s="76"/>
      <c r="Y951" s="76"/>
      <c r="Z951" s="76"/>
      <c r="AA951" s="76"/>
      <c r="AB951" s="76"/>
      <c r="AC951" s="76"/>
      <c r="AD951" s="76"/>
      <c r="AE951" s="76"/>
      <c r="AF951" s="76"/>
      <c r="AG951" s="76"/>
      <c r="AH951" s="76"/>
    </row>
    <row r="952" spans="1:34" ht="16.5" hidden="1" thickBot="1">
      <c r="A952" s="182" t="s">
        <v>132</v>
      </c>
      <c r="B952" s="182"/>
      <c r="C952" s="323">
        <f>SUM(C950)+C951</f>
        <v>64378703.737128846</v>
      </c>
      <c r="D952" s="258"/>
      <c r="E952" s="259"/>
      <c r="F952" s="260">
        <f>F950+F951</f>
        <v>3324836.1890451862</v>
      </c>
      <c r="G952" s="258"/>
      <c r="H952" s="258"/>
      <c r="I952" s="260">
        <f>I950+I951</f>
        <v>3531732.1890451862</v>
      </c>
      <c r="J952" s="258"/>
      <c r="K952" s="262"/>
      <c r="L952" s="260">
        <f>L950+L951</f>
        <v>3970718.1890451862</v>
      </c>
      <c r="N952" s="197"/>
      <c r="O952" s="197">
        <v>25112996.724992789</v>
      </c>
      <c r="P952" s="198"/>
      <c r="Q952" s="144"/>
      <c r="R952" s="298"/>
      <c r="S952" s="76"/>
      <c r="T952" s="76"/>
      <c r="U952" s="76"/>
      <c r="V952" s="76"/>
      <c r="W952" s="76"/>
      <c r="X952" s="76"/>
      <c r="Y952" s="76"/>
      <c r="Z952" s="76"/>
      <c r="AA952" s="76"/>
      <c r="AB952" s="76"/>
      <c r="AC952" s="76"/>
      <c r="AD952" s="76"/>
      <c r="AE952" s="76"/>
      <c r="AF952" s="76"/>
      <c r="AG952" s="76"/>
      <c r="AH952" s="76"/>
    </row>
    <row r="953" spans="1:34" hidden="1">
      <c r="A953" s="182"/>
      <c r="B953" s="182"/>
      <c r="C953" s="200"/>
      <c r="D953" s="252"/>
      <c r="E953" s="164"/>
      <c r="F953" s="164"/>
      <c r="G953" s="252"/>
      <c r="H953" s="252"/>
      <c r="I953" s="164"/>
      <c r="J953" s="275" t="s">
        <v>0</v>
      </c>
      <c r="K953" s="182"/>
      <c r="L953" s="164" t="s">
        <v>0</v>
      </c>
      <c r="N953" s="76"/>
      <c r="O953" s="76"/>
      <c r="P953" s="144"/>
      <c r="Q953" s="144"/>
      <c r="R953" s="76"/>
      <c r="S953" s="76"/>
      <c r="T953" s="76"/>
      <c r="U953" s="76"/>
      <c r="V953" s="76"/>
      <c r="W953" s="76"/>
      <c r="X953" s="76"/>
      <c r="Y953" s="76"/>
      <c r="Z953" s="76"/>
      <c r="AA953" s="76"/>
      <c r="AB953" s="76"/>
      <c r="AC953" s="76"/>
      <c r="AD953" s="76"/>
      <c r="AE953" s="76"/>
      <c r="AF953" s="76"/>
      <c r="AG953" s="76"/>
      <c r="AH953" s="76"/>
    </row>
    <row r="954" spans="1:34" hidden="1">
      <c r="A954" s="199" t="s">
        <v>220</v>
      </c>
      <c r="B954" s="182"/>
      <c r="C954" s="182"/>
      <c r="D954" s="164"/>
      <c r="E954" s="164"/>
      <c r="F954" s="182"/>
      <c r="G954" s="164"/>
      <c r="H954" s="164"/>
      <c r="I954" s="182"/>
      <c r="J954" s="164"/>
      <c r="K954" s="182"/>
      <c r="L954" s="182"/>
      <c r="N954" s="76"/>
      <c r="O954" s="76"/>
      <c r="P954" s="144"/>
      <c r="Q954" s="144"/>
      <c r="R954" s="76"/>
      <c r="S954" s="76"/>
      <c r="T954" s="76"/>
      <c r="U954" s="76"/>
      <c r="V954" s="76"/>
      <c r="W954" s="76"/>
      <c r="X954" s="76"/>
      <c r="Y954" s="76"/>
      <c r="Z954" s="76"/>
      <c r="AA954" s="76"/>
      <c r="AB954" s="76"/>
      <c r="AC954" s="76"/>
      <c r="AD954" s="76"/>
      <c r="AE954" s="76"/>
      <c r="AF954" s="76"/>
      <c r="AG954" s="76"/>
      <c r="AH954" s="76"/>
    </row>
    <row r="955" spans="1:34" hidden="1">
      <c r="A955" s="217" t="s">
        <v>228</v>
      </c>
      <c r="B955" s="182"/>
      <c r="C955" s="182"/>
      <c r="D955" s="164"/>
      <c r="E955" s="164"/>
      <c r="F955" s="182"/>
      <c r="G955" s="164"/>
      <c r="H955" s="164"/>
      <c r="I955" s="182"/>
      <c r="J955" s="164"/>
      <c r="K955" s="182"/>
      <c r="L955" s="182"/>
      <c r="N955" s="76"/>
      <c r="O955" s="76"/>
      <c r="P955" s="144"/>
      <c r="Q955" s="144"/>
      <c r="R955" s="76"/>
      <c r="S955" s="76"/>
      <c r="T955" s="76"/>
      <c r="U955" s="76"/>
      <c r="V955" s="76"/>
      <c r="W955" s="76"/>
      <c r="X955" s="76"/>
      <c r="Y955" s="76"/>
      <c r="Z955" s="76"/>
      <c r="AA955" s="76"/>
      <c r="AB955" s="76"/>
      <c r="AC955" s="76"/>
      <c r="AD955" s="76"/>
      <c r="AE955" s="76"/>
      <c r="AF955" s="76"/>
      <c r="AG955" s="76"/>
      <c r="AH955" s="76"/>
    </row>
    <row r="956" spans="1:34" hidden="1">
      <c r="A956" s="182" t="s">
        <v>0</v>
      </c>
      <c r="B956" s="182"/>
      <c r="C956" s="182"/>
      <c r="D956" s="164"/>
      <c r="E956" s="164"/>
      <c r="F956" s="182"/>
      <c r="G956" s="164"/>
      <c r="H956" s="164"/>
      <c r="I956" s="182"/>
      <c r="J956" s="164"/>
      <c r="K956" s="182"/>
      <c r="L956" s="182"/>
      <c r="N956" s="76"/>
      <c r="O956" s="76"/>
      <c r="P956" s="144"/>
      <c r="Q956" s="144"/>
      <c r="R956" s="76"/>
      <c r="S956" s="76"/>
      <c r="T956" s="76"/>
      <c r="U956" s="76"/>
      <c r="V956" s="76"/>
      <c r="W956" s="76"/>
      <c r="X956" s="76"/>
      <c r="Y956" s="76"/>
      <c r="Z956" s="76"/>
      <c r="AA956" s="76"/>
      <c r="AB956" s="76"/>
      <c r="AC956" s="76"/>
      <c r="AD956" s="76"/>
      <c r="AE956" s="76"/>
      <c r="AF956" s="76"/>
      <c r="AG956" s="76"/>
      <c r="AH956" s="76"/>
    </row>
    <row r="957" spans="1:34" hidden="1">
      <c r="A957" s="238" t="s">
        <v>144</v>
      </c>
      <c r="B957" s="182"/>
      <c r="C957" s="234"/>
      <c r="D957" s="164"/>
      <c r="E957" s="164"/>
      <c r="F957" s="182"/>
      <c r="G957" s="164"/>
      <c r="H957" s="164"/>
      <c r="I957" s="182"/>
      <c r="J957" s="164"/>
      <c r="K957" s="182"/>
      <c r="L957" s="182"/>
      <c r="N957" s="76"/>
      <c r="P957" s="144"/>
      <c r="Q957" s="144"/>
      <c r="R957" s="76"/>
      <c r="S957" s="76"/>
      <c r="T957" s="76"/>
      <c r="U957" s="76"/>
      <c r="V957" s="76"/>
      <c r="W957" s="76"/>
      <c r="X957" s="76"/>
      <c r="Y957" s="76"/>
      <c r="Z957" s="76"/>
      <c r="AA957" s="76"/>
      <c r="AB957" s="76"/>
      <c r="AC957" s="76"/>
      <c r="AD957" s="76"/>
      <c r="AE957" s="76"/>
      <c r="AF957" s="76"/>
      <c r="AG957" s="76"/>
      <c r="AH957" s="76"/>
    </row>
    <row r="958" spans="1:34" hidden="1">
      <c r="A958" s="238" t="s">
        <v>215</v>
      </c>
      <c r="B958" s="182"/>
      <c r="C958" s="234">
        <f>24</f>
        <v>24</v>
      </c>
      <c r="D958" s="252">
        <f>D902</f>
        <v>1205</v>
      </c>
      <c r="E958" s="252"/>
      <c r="F958" s="164">
        <f>ROUND(D958*$C958,0)</f>
        <v>28920</v>
      </c>
      <c r="G958" s="252">
        <v>1245</v>
      </c>
      <c r="H958" s="252"/>
      <c r="I958" s="164">
        <f>ROUND(G958*C958,0)</f>
        <v>29880</v>
      </c>
      <c r="J958" s="252">
        <f>J902</f>
        <v>1400</v>
      </c>
      <c r="K958" s="236"/>
      <c r="L958" s="164">
        <f>ROUND(J958*$C958,0)</f>
        <v>33600</v>
      </c>
      <c r="N958" s="76"/>
      <c r="O958" s="76"/>
      <c r="P958" s="144"/>
      <c r="Q958" s="144"/>
      <c r="R958" s="76"/>
      <c r="S958" s="76"/>
      <c r="T958" s="76"/>
      <c r="U958" s="76"/>
      <c r="V958" s="76"/>
      <c r="W958" s="76"/>
      <c r="X958" s="76"/>
      <c r="Y958" s="76"/>
      <c r="Z958" s="76"/>
      <c r="AA958" s="76"/>
      <c r="AB958" s="76"/>
      <c r="AC958" s="76"/>
      <c r="AD958" s="76"/>
      <c r="AE958" s="76"/>
      <c r="AF958" s="76"/>
      <c r="AG958" s="76"/>
      <c r="AH958" s="76"/>
    </row>
    <row r="959" spans="1:34" hidden="1">
      <c r="A959" s="238" t="s">
        <v>216</v>
      </c>
      <c r="B959" s="182"/>
      <c r="C959" s="234">
        <v>12</v>
      </c>
      <c r="D959" s="252">
        <f>D903</f>
        <v>1450</v>
      </c>
      <c r="E959" s="252"/>
      <c r="F959" s="164">
        <f>ROUND(D959*$C959,0)</f>
        <v>17400</v>
      </c>
      <c r="G959" s="252">
        <v>1490</v>
      </c>
      <c r="H959" s="252"/>
      <c r="I959" s="164">
        <f>ROUND(G959*C959,0)</f>
        <v>17880</v>
      </c>
      <c r="J959" s="252">
        <f>J903</f>
        <v>1680</v>
      </c>
      <c r="K959" s="239"/>
      <c r="L959" s="164">
        <f>ROUND(J959*$C959,0)</f>
        <v>20160</v>
      </c>
      <c r="N959" s="76"/>
      <c r="O959" s="76"/>
      <c r="P959" s="144"/>
      <c r="Q959" s="144"/>
      <c r="R959" s="76"/>
      <c r="S959" s="76"/>
      <c r="T959" s="76"/>
      <c r="U959" s="76"/>
      <c r="V959" s="76"/>
      <c r="W959" s="76"/>
      <c r="X959" s="76"/>
      <c r="Y959" s="76"/>
      <c r="Z959" s="76"/>
      <c r="AA959" s="76"/>
      <c r="AB959" s="76"/>
      <c r="AC959" s="76"/>
      <c r="AD959" s="76"/>
      <c r="AE959" s="76"/>
      <c r="AF959" s="76"/>
      <c r="AG959" s="76"/>
      <c r="AH959" s="76"/>
    </row>
    <row r="960" spans="1:34" hidden="1">
      <c r="A960" s="238" t="s">
        <v>145</v>
      </c>
      <c r="B960" s="182"/>
      <c r="C960" s="234">
        <f>SUM(C958:C959)</f>
        <v>36</v>
      </c>
      <c r="D960" s="252" t="s">
        <v>0</v>
      </c>
      <c r="E960" s="252"/>
      <c r="F960" s="164" t="s">
        <v>0</v>
      </c>
      <c r="G960" s="252" t="s">
        <v>0</v>
      </c>
      <c r="H960" s="252"/>
      <c r="I960" s="164" t="s">
        <v>0</v>
      </c>
      <c r="J960" s="252" t="s">
        <v>0</v>
      </c>
      <c r="K960" s="236"/>
      <c r="L960" s="164" t="s">
        <v>0</v>
      </c>
      <c r="N960" s="76"/>
      <c r="O960" s="76"/>
      <c r="P960" s="144"/>
      <c r="Q960" s="144"/>
      <c r="R960" s="76"/>
      <c r="S960" s="76"/>
      <c r="T960" s="76"/>
      <c r="U960" s="76"/>
      <c r="V960" s="76"/>
      <c r="W960" s="76"/>
      <c r="X960" s="76"/>
      <c r="Y960" s="76"/>
      <c r="Z960" s="76"/>
      <c r="AA960" s="76"/>
      <c r="AB960" s="76"/>
      <c r="AC960" s="76"/>
      <c r="AD960" s="76"/>
      <c r="AE960" s="76"/>
      <c r="AF960" s="76"/>
      <c r="AG960" s="76"/>
      <c r="AH960" s="76"/>
    </row>
    <row r="961" spans="1:34" hidden="1">
      <c r="A961" s="238" t="s">
        <v>217</v>
      </c>
      <c r="B961" s="182"/>
      <c r="C961" s="234">
        <f>28813</f>
        <v>28813</v>
      </c>
      <c r="D961" s="252">
        <f t="shared" ref="D961:D963" si="152">D905</f>
        <v>0.91</v>
      </c>
      <c r="E961" s="252"/>
      <c r="F961" s="164">
        <f>ROUND(D961*$C961,0)</f>
        <v>26220</v>
      </c>
      <c r="G961" s="252">
        <v>0.45</v>
      </c>
      <c r="H961" s="252"/>
      <c r="I961" s="164">
        <f t="shared" ref="I961:I963" si="153">ROUND(G961*C961,0)</f>
        <v>12966</v>
      </c>
      <c r="J961" s="252">
        <f t="shared" ref="J961:J963" si="154">J905</f>
        <v>0.52</v>
      </c>
      <c r="K961" s="236"/>
      <c r="L961" s="164">
        <f>ROUND(J961*$C961,0)</f>
        <v>14983</v>
      </c>
      <c r="N961" s="76"/>
      <c r="O961" s="337" t="s">
        <v>0</v>
      </c>
      <c r="P961" s="144"/>
      <c r="Q961" s="144" t="s">
        <v>0</v>
      </c>
      <c r="R961" s="76"/>
      <c r="S961" s="76"/>
      <c r="T961" s="76"/>
      <c r="U961" s="76"/>
      <c r="V961" s="76"/>
      <c r="W961" s="76"/>
      <c r="X961" s="76"/>
      <c r="Y961" s="76"/>
      <c r="Z961" s="76"/>
      <c r="AA961" s="76"/>
      <c r="AB961" s="76"/>
      <c r="AC961" s="76"/>
      <c r="AD961" s="76"/>
      <c r="AE961" s="76"/>
      <c r="AF961" s="76"/>
      <c r="AG961" s="76"/>
      <c r="AH961" s="76"/>
    </row>
    <row r="962" spans="1:34" hidden="1">
      <c r="A962" s="238" t="s">
        <v>218</v>
      </c>
      <c r="B962" s="182"/>
      <c r="C962" s="234">
        <v>53727</v>
      </c>
      <c r="D962" s="252">
        <f t="shared" si="152"/>
        <v>0.83</v>
      </c>
      <c r="E962" s="252"/>
      <c r="F962" s="164">
        <f>ROUND(D962*$C962,0)</f>
        <v>44593</v>
      </c>
      <c r="G962" s="252">
        <v>0.38000000000000006</v>
      </c>
      <c r="H962" s="252"/>
      <c r="I962" s="164">
        <f t="shared" si="153"/>
        <v>20416</v>
      </c>
      <c r="J962" s="252">
        <f t="shared" si="154"/>
        <v>0.42</v>
      </c>
      <c r="K962" s="236"/>
      <c r="L962" s="164">
        <f>ROUND(J962*$C962,0)</f>
        <v>22565</v>
      </c>
      <c r="N962" s="76"/>
      <c r="O962" s="76"/>
      <c r="P962" s="144"/>
      <c r="Q962" s="144"/>
      <c r="R962" s="76"/>
      <c r="S962" s="76"/>
      <c r="T962" s="76"/>
      <c r="U962" s="76"/>
      <c r="V962" s="76"/>
      <c r="W962" s="76"/>
      <c r="X962" s="76"/>
      <c r="Y962" s="76"/>
      <c r="Z962" s="76"/>
      <c r="AA962" s="76"/>
      <c r="AB962" s="76"/>
      <c r="AC962" s="76"/>
      <c r="AD962" s="76"/>
      <c r="AE962" s="76"/>
      <c r="AF962" s="76"/>
      <c r="AG962" s="76"/>
      <c r="AH962" s="76"/>
    </row>
    <row r="963" spans="1:34" hidden="1">
      <c r="A963" s="217" t="s">
        <v>153</v>
      </c>
      <c r="B963" s="182"/>
      <c r="C963" s="234">
        <v>43474</v>
      </c>
      <c r="D963" s="252">
        <f t="shared" si="152"/>
        <v>6.03</v>
      </c>
      <c r="E963" s="252"/>
      <c r="F963" s="164">
        <f>ROUND(D963*$C963,0)</f>
        <v>262148</v>
      </c>
      <c r="G963" s="252">
        <v>6.12</v>
      </c>
      <c r="H963" s="252"/>
      <c r="I963" s="164">
        <f t="shared" si="153"/>
        <v>266061</v>
      </c>
      <c r="J963" s="252">
        <f t="shared" si="154"/>
        <v>6.89</v>
      </c>
      <c r="K963" s="236"/>
      <c r="L963" s="164">
        <f>ROUND(J963*$C963,0)</f>
        <v>299536</v>
      </c>
      <c r="N963" s="76"/>
      <c r="O963" s="76"/>
      <c r="P963" s="144"/>
      <c r="Q963" s="144"/>
      <c r="R963" s="76"/>
      <c r="S963" s="76"/>
      <c r="T963" s="76"/>
      <c r="U963" s="76"/>
      <c r="V963" s="76"/>
      <c r="W963" s="76"/>
      <c r="X963" s="76"/>
      <c r="Y963" s="76"/>
      <c r="Z963" s="76"/>
      <c r="AA963" s="76"/>
      <c r="AB963" s="76"/>
      <c r="AC963" s="76"/>
      <c r="AD963" s="76"/>
      <c r="AE963" s="76"/>
      <c r="AF963" s="76"/>
      <c r="AG963" s="76"/>
      <c r="AH963" s="76"/>
    </row>
    <row r="964" spans="1:34" hidden="1">
      <c r="A964" s="238" t="s">
        <v>174</v>
      </c>
      <c r="B964" s="182"/>
      <c r="C964" s="234"/>
      <c r="D964" s="252" t="s">
        <v>0</v>
      </c>
      <c r="E964" s="252"/>
      <c r="F964" s="164"/>
      <c r="G964" s="252" t="s">
        <v>0</v>
      </c>
      <c r="H964" s="252"/>
      <c r="I964" s="164"/>
      <c r="J964" s="252" t="s">
        <v>0</v>
      </c>
      <c r="K964" s="236"/>
      <c r="L964" s="164"/>
      <c r="N964" s="76"/>
      <c r="O964" s="76"/>
      <c r="P964" s="144"/>
      <c r="Q964" s="144"/>
      <c r="R964" s="76"/>
      <c r="S964" s="76"/>
      <c r="T964" s="76"/>
      <c r="U964" s="76"/>
      <c r="V964" s="76"/>
      <c r="W964" s="76"/>
      <c r="X964" s="76"/>
      <c r="Y964" s="76"/>
      <c r="Z964" s="76"/>
      <c r="AA964" s="76"/>
      <c r="AB964" s="76"/>
      <c r="AC964" s="76"/>
      <c r="AD964" s="76"/>
      <c r="AE964" s="76"/>
      <c r="AF964" s="76"/>
      <c r="AG964" s="76"/>
      <c r="AH964" s="76"/>
    </row>
    <row r="965" spans="1:34" hidden="1">
      <c r="A965" s="238" t="s">
        <v>208</v>
      </c>
      <c r="B965" s="182"/>
      <c r="C965" s="234">
        <v>13197000</v>
      </c>
      <c r="D965" s="324">
        <f>D909</f>
        <v>3.4990000000000001</v>
      </c>
      <c r="E965" s="236" t="s">
        <v>126</v>
      </c>
      <c r="F965" s="164">
        <f>ROUND(D965/100*$C965,0)</f>
        <v>461763</v>
      </c>
      <c r="G965" s="324">
        <v>3.6669999999999998</v>
      </c>
      <c r="H965" s="324"/>
      <c r="I965" s="164">
        <f>ROUND(G965/100*C965,0)</f>
        <v>483934</v>
      </c>
      <c r="J965" s="324">
        <f>J909</f>
        <v>4.13</v>
      </c>
      <c r="K965" s="236" t="s">
        <v>126</v>
      </c>
      <c r="L965" s="164">
        <f>ROUND(J965/100*$C965,0)</f>
        <v>545036</v>
      </c>
      <c r="N965" s="76"/>
      <c r="O965" s="76"/>
      <c r="P965" s="144"/>
      <c r="Q965" s="144"/>
      <c r="R965" s="76"/>
      <c r="S965" s="76"/>
      <c r="T965" s="76"/>
      <c r="U965" s="76"/>
      <c r="V965" s="76"/>
      <c r="W965" s="76"/>
      <c r="X965" s="76"/>
      <c r="Y965" s="76"/>
      <c r="Z965" s="76"/>
      <c r="AA965" s="76"/>
      <c r="AB965" s="76"/>
      <c r="AC965" s="76"/>
      <c r="AD965" s="76"/>
      <c r="AE965" s="76"/>
      <c r="AF965" s="76"/>
      <c r="AG965" s="76"/>
      <c r="AH965" s="76"/>
    </row>
    <row r="966" spans="1:34" hidden="1">
      <c r="A966" s="238" t="s">
        <v>150</v>
      </c>
      <c r="B966" s="182"/>
      <c r="C966" s="234">
        <v>8186</v>
      </c>
      <c r="D966" s="252">
        <f>D910</f>
        <v>0.45</v>
      </c>
      <c r="E966" s="236"/>
      <c r="F966" s="164">
        <f>ROUND(D966*$C966,0)</f>
        <v>3684</v>
      </c>
      <c r="G966" s="252">
        <v>0.47</v>
      </c>
      <c r="H966" s="252"/>
      <c r="I966" s="164">
        <f>ROUND(G966*C966,0)</f>
        <v>3847</v>
      </c>
      <c r="J966" s="252">
        <f>J910</f>
        <v>0.53</v>
      </c>
      <c r="K966" s="236"/>
      <c r="L966" s="164">
        <f>ROUND(J966*$C966,0)</f>
        <v>4339</v>
      </c>
      <c r="N966" s="76"/>
      <c r="O966" s="76"/>
      <c r="P966" s="144"/>
      <c r="Q966" s="144"/>
      <c r="R966" s="76"/>
      <c r="S966" s="76"/>
      <c r="T966" s="76"/>
      <c r="U966" s="76"/>
      <c r="V966" s="76"/>
      <c r="W966" s="76"/>
      <c r="X966" s="76"/>
      <c r="Y966" s="76"/>
      <c r="Z966" s="76"/>
      <c r="AA966" s="76"/>
      <c r="AB966" s="76"/>
      <c r="AC966" s="76"/>
      <c r="AD966" s="76"/>
      <c r="AE966" s="76"/>
      <c r="AF966" s="76"/>
      <c r="AG966" s="76"/>
      <c r="AH966" s="76"/>
    </row>
    <row r="967" spans="1:34" hidden="1">
      <c r="A967" s="280" t="s">
        <v>151</v>
      </c>
      <c r="B967" s="182"/>
      <c r="C967" s="234"/>
      <c r="D967" s="247">
        <f>D911</f>
        <v>-0.01</v>
      </c>
      <c r="E967" s="247"/>
      <c r="F967" s="164"/>
      <c r="G967" s="247">
        <v>0</v>
      </c>
      <c r="H967" s="247"/>
      <c r="I967" s="164"/>
      <c r="J967" s="247"/>
      <c r="K967" s="281"/>
      <c r="L967" s="164"/>
      <c r="N967" s="76"/>
      <c r="O967" s="76"/>
      <c r="P967" s="144"/>
      <c r="Q967" s="144"/>
      <c r="R967" s="76"/>
      <c r="S967" s="76"/>
      <c r="T967" s="76"/>
      <c r="U967" s="76"/>
      <c r="V967" s="76"/>
      <c r="W967" s="76"/>
      <c r="X967" s="76"/>
      <c r="Y967" s="76"/>
      <c r="Z967" s="76"/>
      <c r="AA967" s="76"/>
      <c r="AB967" s="76"/>
      <c r="AC967" s="76"/>
      <c r="AD967" s="76"/>
      <c r="AE967" s="76"/>
      <c r="AF967" s="76"/>
      <c r="AG967" s="76"/>
      <c r="AH967" s="76"/>
    </row>
    <row r="968" spans="1:34" hidden="1">
      <c r="A968" s="238" t="s">
        <v>215</v>
      </c>
      <c r="B968" s="182"/>
      <c r="C968" s="234">
        <f>24</f>
        <v>24</v>
      </c>
      <c r="D968" s="249">
        <f>D958</f>
        <v>1205</v>
      </c>
      <c r="E968" s="249"/>
      <c r="F968" s="236">
        <f>ROUND(D968*$C968*$D$911,0)</f>
        <v>-289</v>
      </c>
      <c r="G968" s="249">
        <f>G958</f>
        <v>1245</v>
      </c>
      <c r="H968" s="249"/>
      <c r="I968" s="236">
        <f>ROUND(C968*G968*$G$803,0)</f>
        <v>0</v>
      </c>
      <c r="J968" s="249"/>
      <c r="K968" s="236"/>
      <c r="L968" s="236">
        <f>ROUND(J968*$C968*$J$940,0)</f>
        <v>0</v>
      </c>
      <c r="N968" s="76"/>
      <c r="O968" s="76"/>
      <c r="P968" s="144"/>
      <c r="Q968" s="144"/>
      <c r="R968" s="76"/>
      <c r="S968" s="76"/>
      <c r="T968" s="76"/>
      <c r="U968" s="76"/>
      <c r="V968" s="76"/>
      <c r="W968" s="76"/>
      <c r="X968" s="76"/>
      <c r="Y968" s="76"/>
      <c r="Z968" s="76"/>
      <c r="AA968" s="76"/>
      <c r="AB968" s="76"/>
      <c r="AC968" s="76"/>
      <c r="AD968" s="76"/>
      <c r="AE968" s="76"/>
      <c r="AF968" s="76"/>
      <c r="AG968" s="76"/>
      <c r="AH968" s="76"/>
    </row>
    <row r="969" spans="1:34" hidden="1">
      <c r="A969" s="238" t="s">
        <v>216</v>
      </c>
      <c r="B969" s="182"/>
      <c r="C969" s="234">
        <v>12</v>
      </c>
      <c r="D969" s="249">
        <f>D959</f>
        <v>1450</v>
      </c>
      <c r="E969" s="249"/>
      <c r="F969" s="236">
        <f>ROUND(D969*$C969*$D$911,0)</f>
        <v>-174</v>
      </c>
      <c r="G969" s="249">
        <f>G959</f>
        <v>1490</v>
      </c>
      <c r="H969" s="249"/>
      <c r="I969" s="236">
        <f t="shared" ref="I969:I972" si="155">ROUND(C969*G969*$G$803,0)</f>
        <v>0</v>
      </c>
      <c r="J969" s="249"/>
      <c r="K969" s="236"/>
      <c r="L969" s="236">
        <f>ROUND(J969*$C969*$J$940,0)</f>
        <v>0</v>
      </c>
      <c r="N969" s="76"/>
      <c r="O969" s="76"/>
      <c r="P969" s="144"/>
      <c r="Q969" s="144"/>
      <c r="R969" s="76"/>
      <c r="S969" s="76"/>
      <c r="T969" s="76"/>
      <c r="U969" s="76"/>
      <c r="V969" s="76"/>
      <c r="W969" s="76"/>
      <c r="X969" s="76"/>
      <c r="Y969" s="76"/>
      <c r="Z969" s="76"/>
      <c r="AA969" s="76"/>
      <c r="AB969" s="76"/>
      <c r="AC969" s="76"/>
      <c r="AD969" s="76"/>
      <c r="AE969" s="76"/>
      <c r="AF969" s="76"/>
      <c r="AG969" s="76"/>
      <c r="AH969" s="76"/>
    </row>
    <row r="970" spans="1:34" hidden="1">
      <c r="A970" s="238" t="s">
        <v>217</v>
      </c>
      <c r="B970" s="182"/>
      <c r="C970" s="234">
        <f t="shared" ref="C970:D972" si="156">C961</f>
        <v>28813</v>
      </c>
      <c r="D970" s="249">
        <f t="shared" si="156"/>
        <v>0.91</v>
      </c>
      <c r="E970" s="249"/>
      <c r="F970" s="236">
        <f>ROUND(D970*$C970*$D$911,0)</f>
        <v>-262</v>
      </c>
      <c r="G970" s="249">
        <f>G961</f>
        <v>0.45</v>
      </c>
      <c r="H970" s="249"/>
      <c r="I970" s="236">
        <f t="shared" si="155"/>
        <v>0</v>
      </c>
      <c r="J970" s="249"/>
      <c r="K970" s="236"/>
      <c r="L970" s="236">
        <f>ROUND(J970*$C970*$J$940,0)</f>
        <v>0</v>
      </c>
      <c r="N970" s="76"/>
      <c r="O970" s="76"/>
      <c r="P970" s="144"/>
      <c r="Q970" s="144"/>
      <c r="R970" s="76"/>
      <c r="S970" s="76"/>
      <c r="T970" s="76"/>
      <c r="U970" s="76"/>
      <c r="V970" s="76"/>
      <c r="W970" s="76"/>
      <c r="X970" s="76"/>
      <c r="Y970" s="76"/>
      <c r="Z970" s="76"/>
      <c r="AA970" s="76"/>
      <c r="AB970" s="76"/>
      <c r="AC970" s="76"/>
      <c r="AD970" s="76"/>
      <c r="AE970" s="76"/>
      <c r="AF970" s="76"/>
      <c r="AG970" s="76"/>
      <c r="AH970" s="76"/>
    </row>
    <row r="971" spans="1:34" hidden="1">
      <c r="A971" s="238" t="s">
        <v>218</v>
      </c>
      <c r="B971" s="182"/>
      <c r="C971" s="234">
        <f t="shared" si="156"/>
        <v>53727</v>
      </c>
      <c r="D971" s="249">
        <f t="shared" si="156"/>
        <v>0.83</v>
      </c>
      <c r="E971" s="249"/>
      <c r="F971" s="236">
        <f>ROUND(D971*$C971*$D$911,0)</f>
        <v>-446</v>
      </c>
      <c r="G971" s="249">
        <f>G962</f>
        <v>0.38000000000000006</v>
      </c>
      <c r="H971" s="249"/>
      <c r="I971" s="236">
        <f t="shared" si="155"/>
        <v>0</v>
      </c>
      <c r="J971" s="249"/>
      <c r="K971" s="236"/>
      <c r="L971" s="236">
        <f>ROUND(J971*$C971*$J$940,0)</f>
        <v>0</v>
      </c>
      <c r="N971" s="76"/>
      <c r="O971" s="76"/>
      <c r="P971" s="144"/>
      <c r="Q971" s="144"/>
      <c r="R971" s="76"/>
      <c r="S971" s="76"/>
      <c r="T971" s="76"/>
      <c r="U971" s="76"/>
      <c r="V971" s="76"/>
      <c r="W971" s="76"/>
      <c r="X971" s="76"/>
      <c r="Y971" s="76"/>
      <c r="Z971" s="76"/>
      <c r="AA971" s="76"/>
      <c r="AB971" s="76"/>
      <c r="AC971" s="76"/>
      <c r="AD971" s="76"/>
      <c r="AE971" s="76"/>
      <c r="AF971" s="76"/>
      <c r="AG971" s="76"/>
      <c r="AH971" s="76"/>
    </row>
    <row r="972" spans="1:34" hidden="1">
      <c r="A972" s="217" t="s">
        <v>153</v>
      </c>
      <c r="B972" s="304"/>
      <c r="C972" s="234">
        <f t="shared" si="156"/>
        <v>43474</v>
      </c>
      <c r="D972" s="249">
        <f t="shared" si="156"/>
        <v>6.03</v>
      </c>
      <c r="E972" s="252"/>
      <c r="F972" s="236">
        <f>ROUND(D972*$C972*$D$911,0)</f>
        <v>-2621</v>
      </c>
      <c r="G972" s="249">
        <f>G963</f>
        <v>6.12</v>
      </c>
      <c r="H972" s="249"/>
      <c r="I972" s="236">
        <f t="shared" si="155"/>
        <v>0</v>
      </c>
      <c r="J972" s="249"/>
      <c r="K972" s="236"/>
      <c r="L972" s="236">
        <f>ROUND(J972*$C972*$J$940,0)</f>
        <v>0</v>
      </c>
      <c r="N972" s="76"/>
      <c r="O972" s="76"/>
      <c r="P972" s="144"/>
      <c r="Q972" s="144"/>
      <c r="R972" s="76"/>
      <c r="S972" s="76"/>
      <c r="T972" s="76"/>
      <c r="U972" s="76"/>
      <c r="V972" s="76"/>
      <c r="W972" s="76"/>
      <c r="X972" s="76"/>
      <c r="Y972" s="76"/>
      <c r="Z972" s="76"/>
      <c r="AA972" s="76"/>
      <c r="AB972" s="76"/>
      <c r="AC972" s="76"/>
      <c r="AD972" s="76"/>
      <c r="AE972" s="76"/>
      <c r="AF972" s="76"/>
      <c r="AG972" s="76"/>
      <c r="AH972" s="76"/>
    </row>
    <row r="973" spans="1:34" hidden="1">
      <c r="A973" s="238" t="s">
        <v>208</v>
      </c>
      <c r="B973" s="182"/>
      <c r="C973" s="234">
        <f>C965</f>
        <v>13197000</v>
      </c>
      <c r="D973" s="250">
        <f>D965</f>
        <v>3.4990000000000001</v>
      </c>
      <c r="E973" s="236" t="s">
        <v>126</v>
      </c>
      <c r="F973" s="236">
        <f>ROUND(D973/100*$C973*$D$911,0)</f>
        <v>-4618</v>
      </c>
      <c r="G973" s="250">
        <f>G965</f>
        <v>3.6669999999999998</v>
      </c>
      <c r="H973" s="250"/>
      <c r="I973" s="236">
        <f>ROUND(C973/100*G973*$G$803,0)</f>
        <v>0</v>
      </c>
      <c r="J973" s="250"/>
      <c r="K973" s="236"/>
      <c r="L973" s="236">
        <f>ROUND(J973/100*$C973*$J$940,0)</f>
        <v>0</v>
      </c>
      <c r="N973" s="76"/>
      <c r="O973" s="76"/>
      <c r="P973" s="144"/>
      <c r="Q973" s="144"/>
      <c r="R973" s="76"/>
      <c r="S973" s="76"/>
      <c r="T973" s="76"/>
      <c r="U973" s="76"/>
      <c r="V973" s="76"/>
      <c r="W973" s="76"/>
      <c r="X973" s="76"/>
      <c r="Y973" s="76"/>
      <c r="Z973" s="76"/>
      <c r="AA973" s="76"/>
      <c r="AB973" s="76"/>
      <c r="AC973" s="76"/>
      <c r="AD973" s="76"/>
      <c r="AE973" s="76"/>
      <c r="AF973" s="76"/>
      <c r="AG973" s="76"/>
      <c r="AH973" s="76"/>
    </row>
    <row r="974" spans="1:34" hidden="1">
      <c r="A974" s="238" t="s">
        <v>150</v>
      </c>
      <c r="B974" s="182"/>
      <c r="C974" s="234">
        <f>C966</f>
        <v>8186</v>
      </c>
      <c r="D974" s="304">
        <f>D966</f>
        <v>0.45</v>
      </c>
      <c r="E974" s="236"/>
      <c r="F974" s="236">
        <f>ROUND(D974*$C974*$D$911,0)</f>
        <v>-37</v>
      </c>
      <c r="G974" s="304">
        <f>G966</f>
        <v>0.47</v>
      </c>
      <c r="H974" s="304"/>
      <c r="I974" s="236">
        <f t="shared" ref="I974:I976" si="157">ROUND(C974*G974*$G$803,0)</f>
        <v>0</v>
      </c>
      <c r="J974" s="304"/>
      <c r="K974" s="236"/>
      <c r="L974" s="236">
        <f>ROUND(J974*$C974*$J$940,0)</f>
        <v>0</v>
      </c>
      <c r="N974" s="76"/>
      <c r="O974" s="76"/>
      <c r="P974" s="144"/>
      <c r="Q974" s="144"/>
      <c r="R974" s="76"/>
      <c r="S974" s="76"/>
      <c r="T974" s="76"/>
      <c r="U974" s="76"/>
      <c r="V974" s="76"/>
      <c r="W974" s="76"/>
      <c r="X974" s="76"/>
      <c r="Y974" s="76"/>
      <c r="Z974" s="76"/>
      <c r="AA974" s="76"/>
      <c r="AB974" s="76"/>
      <c r="AC974" s="76"/>
      <c r="AD974" s="76"/>
      <c r="AE974" s="76"/>
      <c r="AF974" s="76"/>
      <c r="AG974" s="76"/>
      <c r="AH974" s="76"/>
    </row>
    <row r="975" spans="1:34" hidden="1">
      <c r="A975" s="217" t="s">
        <v>219</v>
      </c>
      <c r="B975" s="182"/>
      <c r="C975" s="234">
        <f>C968+C969</f>
        <v>36</v>
      </c>
      <c r="D975" s="252">
        <f t="shared" ref="D975:D976" si="158">D919</f>
        <v>60</v>
      </c>
      <c r="E975" s="252"/>
      <c r="F975" s="236">
        <f>ROUND(D975*$C975,0)</f>
        <v>2160</v>
      </c>
      <c r="G975" s="252">
        <f>$G$811</f>
        <v>0</v>
      </c>
      <c r="H975" s="252"/>
      <c r="I975" s="236">
        <f t="shared" si="157"/>
        <v>0</v>
      </c>
      <c r="J975" s="252"/>
      <c r="K975" s="236"/>
      <c r="L975" s="236">
        <f>ROUND(J975*$C975,0)</f>
        <v>0</v>
      </c>
      <c r="N975" s="76"/>
      <c r="O975" s="76"/>
      <c r="P975" s="144"/>
      <c r="Q975" s="144"/>
      <c r="R975" s="76"/>
      <c r="S975" s="76"/>
      <c r="T975" s="76"/>
      <c r="U975" s="76"/>
      <c r="V975" s="76"/>
      <c r="W975" s="76"/>
      <c r="X975" s="76"/>
      <c r="Y975" s="76"/>
      <c r="Z975" s="76"/>
      <c r="AA975" s="76"/>
      <c r="AB975" s="76"/>
      <c r="AC975" s="76"/>
      <c r="AD975" s="76"/>
      <c r="AE975" s="76"/>
      <c r="AF975" s="76"/>
      <c r="AG975" s="76"/>
      <c r="AH975" s="76"/>
    </row>
    <row r="976" spans="1:34" hidden="1">
      <c r="A976" s="217" t="s">
        <v>188</v>
      </c>
      <c r="B976" s="182"/>
      <c r="C976" s="234">
        <f>C961+C962</f>
        <v>82540</v>
      </c>
      <c r="D976" s="252">
        <f t="shared" si="158"/>
        <v>-0.75</v>
      </c>
      <c r="E976" s="236"/>
      <c r="F976" s="236">
        <f>ROUND(D976*$C976,0)</f>
        <v>-61905</v>
      </c>
      <c r="G976" s="252">
        <f>$G$812</f>
        <v>0</v>
      </c>
      <c r="H976" s="252"/>
      <c r="I976" s="236">
        <f t="shared" si="157"/>
        <v>0</v>
      </c>
      <c r="J976" s="252"/>
      <c r="K976" s="236"/>
      <c r="L976" s="236">
        <f>ROUND(J976*$C976,0)</f>
        <v>0</v>
      </c>
      <c r="N976" s="76"/>
      <c r="O976" s="76"/>
      <c r="P976" s="144"/>
      <c r="Q976" s="144"/>
      <c r="R976" s="76"/>
      <c r="S976" s="76"/>
      <c r="T976" s="76"/>
      <c r="U976" s="76"/>
      <c r="V976" s="76"/>
      <c r="W976" s="76"/>
      <c r="X976" s="76"/>
      <c r="Y976" s="76"/>
      <c r="Z976" s="76"/>
      <c r="AA976" s="76"/>
      <c r="AB976" s="76"/>
      <c r="AC976" s="76"/>
      <c r="AD976" s="76"/>
      <c r="AE976" s="76"/>
      <c r="AF976" s="76"/>
      <c r="AG976" s="76"/>
      <c r="AH976" s="76"/>
    </row>
    <row r="977" spans="1:34" hidden="1">
      <c r="A977" s="182" t="s">
        <v>131</v>
      </c>
      <c r="B977" s="182"/>
      <c r="C977" s="234">
        <f>C965</f>
        <v>13197000</v>
      </c>
      <c r="D977" s="244"/>
      <c r="E977" s="164"/>
      <c r="F977" s="164">
        <f>SUM(F958:F976)</f>
        <v>776536</v>
      </c>
      <c r="G977" s="244"/>
      <c r="H977" s="244"/>
      <c r="I977" s="164">
        <f>SUM(I958:I976)</f>
        <v>834984</v>
      </c>
      <c r="J977" s="244"/>
      <c r="K977" s="182"/>
      <c r="L977" s="164">
        <f>SUM(L958:L976)</f>
        <v>940219</v>
      </c>
      <c r="N977" s="76"/>
      <c r="O977" s="76"/>
      <c r="P977" s="144"/>
      <c r="Q977" s="144"/>
      <c r="R977" s="76"/>
      <c r="S977" s="76"/>
      <c r="T977" s="76"/>
      <c r="U977" s="76"/>
      <c r="V977" s="76"/>
      <c r="W977" s="76"/>
      <c r="X977" s="76"/>
      <c r="Y977" s="76"/>
      <c r="Z977" s="76"/>
      <c r="AA977" s="76"/>
      <c r="AB977" s="76"/>
      <c r="AC977" s="76"/>
      <c r="AD977" s="76"/>
      <c r="AE977" s="76"/>
      <c r="AF977" s="76"/>
      <c r="AG977" s="76"/>
      <c r="AH977" s="76"/>
    </row>
    <row r="978" spans="1:34" hidden="1">
      <c r="A978" s="182" t="s">
        <v>114</v>
      </c>
      <c r="B978" s="182"/>
      <c r="C978" s="234">
        <f>C977/($C$894+$C$977)*$C$1033</f>
        <v>268007.71005660127</v>
      </c>
      <c r="D978" s="217"/>
      <c r="E978" s="217"/>
      <c r="F978" s="325">
        <f>F977/($F$894+$F$977)*$F$1033</f>
        <v>23295.262118954684</v>
      </c>
      <c r="G978" s="217"/>
      <c r="H978" s="217"/>
      <c r="I978" s="256">
        <f>F978</f>
        <v>23295.262118954684</v>
      </c>
      <c r="J978" s="217"/>
      <c r="K978" s="217"/>
      <c r="L978" s="256">
        <f>F978</f>
        <v>23295.262118954684</v>
      </c>
      <c r="N978" s="196"/>
      <c r="O978" s="196"/>
      <c r="P978" s="194"/>
      <c r="Q978" s="144"/>
      <c r="R978" s="76"/>
      <c r="S978" s="76"/>
      <c r="T978" s="76"/>
      <c r="U978" s="76"/>
      <c r="V978" s="76"/>
      <c r="W978" s="76"/>
      <c r="X978" s="76"/>
      <c r="Y978" s="76"/>
      <c r="Z978" s="76"/>
      <c r="AA978" s="76"/>
      <c r="AB978" s="76"/>
      <c r="AC978" s="76"/>
      <c r="AD978" s="76"/>
      <c r="AE978" s="76"/>
      <c r="AF978" s="76"/>
      <c r="AG978" s="76"/>
      <c r="AH978" s="76"/>
    </row>
    <row r="979" spans="1:34" ht="16.5" hidden="1" thickBot="1">
      <c r="A979" s="182" t="s">
        <v>132</v>
      </c>
      <c r="B979" s="182"/>
      <c r="C979" s="323">
        <f>SUM(C977)+C978</f>
        <v>13465007.710056601</v>
      </c>
      <c r="D979" s="258"/>
      <c r="E979" s="259"/>
      <c r="F979" s="260">
        <f>F977+F978</f>
        <v>799831.26211895468</v>
      </c>
      <c r="G979" s="258"/>
      <c r="H979" s="258"/>
      <c r="I979" s="260">
        <f>I977+I978</f>
        <v>858279.26211895468</v>
      </c>
      <c r="J979" s="258"/>
      <c r="K979" s="262"/>
      <c r="L979" s="260">
        <f>L977+L978</f>
        <v>963514.26211895468</v>
      </c>
      <c r="N979" s="197"/>
      <c r="O979" s="197">
        <v>0</v>
      </c>
      <c r="P979" s="198"/>
      <c r="Q979" s="144"/>
      <c r="R979" s="298"/>
      <c r="S979" s="76"/>
      <c r="T979" s="76"/>
      <c r="U979" s="76"/>
      <c r="V979" s="76"/>
      <c r="W979" s="76"/>
      <c r="X979" s="76"/>
      <c r="Y979" s="76"/>
      <c r="Z979" s="76"/>
      <c r="AA979" s="76"/>
      <c r="AB979" s="76"/>
      <c r="AC979" s="76"/>
      <c r="AD979" s="76"/>
      <c r="AE979" s="76"/>
      <c r="AF979" s="76"/>
      <c r="AG979" s="76"/>
      <c r="AH979" s="76"/>
    </row>
    <row r="980" spans="1:34" hidden="1">
      <c r="A980" s="182"/>
      <c r="B980" s="182"/>
      <c r="C980" s="200"/>
      <c r="D980" s="252"/>
      <c r="E980" s="164"/>
      <c r="F980" s="164"/>
      <c r="G980" s="252"/>
      <c r="H980" s="252"/>
      <c r="I980" s="164"/>
      <c r="J980" s="275" t="s">
        <v>0</v>
      </c>
      <c r="K980" s="182"/>
      <c r="L980" s="164" t="s">
        <v>0</v>
      </c>
      <c r="N980" s="76"/>
      <c r="O980" s="76"/>
      <c r="P980" s="144"/>
      <c r="Q980" s="144"/>
      <c r="R980" s="76"/>
      <c r="S980" s="76"/>
      <c r="T980" s="76"/>
      <c r="U980" s="76"/>
      <c r="V980" s="76"/>
      <c r="W980" s="76"/>
      <c r="X980" s="76"/>
      <c r="Y980" s="76"/>
      <c r="Z980" s="76"/>
      <c r="AA980" s="76"/>
      <c r="AB980" s="76"/>
      <c r="AC980" s="76"/>
      <c r="AD980" s="76"/>
      <c r="AE980" s="76"/>
      <c r="AF980" s="76"/>
      <c r="AG980" s="76"/>
      <c r="AH980" s="76"/>
    </row>
    <row r="981" spans="1:34" hidden="1">
      <c r="A981" s="199" t="s">
        <v>220</v>
      </c>
      <c r="B981" s="182"/>
      <c r="C981" s="182"/>
      <c r="D981" s="164"/>
      <c r="E981" s="164"/>
      <c r="F981" s="182"/>
      <c r="G981" s="164"/>
      <c r="H981" s="164"/>
      <c r="I981" s="182"/>
      <c r="J981" s="164"/>
      <c r="K981" s="182"/>
      <c r="L981" s="182"/>
      <c r="N981" s="76"/>
      <c r="O981" s="76"/>
      <c r="P981" s="144"/>
      <c r="Q981" s="144"/>
      <c r="R981" s="76"/>
      <c r="S981" s="76"/>
      <c r="T981" s="76"/>
      <c r="U981" s="76"/>
      <c r="V981" s="76"/>
      <c r="W981" s="76"/>
      <c r="X981" s="76"/>
      <c r="Y981" s="76"/>
      <c r="Z981" s="76"/>
      <c r="AA981" s="76"/>
      <c r="AB981" s="76"/>
      <c r="AC981" s="76"/>
      <c r="AD981" s="76"/>
      <c r="AE981" s="76"/>
      <c r="AF981" s="76"/>
      <c r="AG981" s="76"/>
      <c r="AH981" s="76"/>
    </row>
    <row r="982" spans="1:34" hidden="1">
      <c r="A982" s="217" t="s">
        <v>229</v>
      </c>
      <c r="B982" s="182"/>
      <c r="C982" s="182"/>
      <c r="D982" s="164"/>
      <c r="E982" s="164"/>
      <c r="F982" s="182"/>
      <c r="G982" s="164"/>
      <c r="H982" s="164"/>
      <c r="I982" s="182"/>
      <c r="J982" s="164"/>
      <c r="K982" s="182"/>
      <c r="L982" s="182"/>
      <c r="N982" s="76"/>
      <c r="O982" s="76"/>
      <c r="P982" s="144"/>
      <c r="Q982" s="144"/>
      <c r="R982" s="76"/>
      <c r="S982" s="76"/>
      <c r="T982" s="76"/>
      <c r="U982" s="76"/>
      <c r="V982" s="76"/>
      <c r="W982" s="76"/>
      <c r="X982" s="76"/>
      <c r="Y982" s="76"/>
      <c r="Z982" s="76"/>
      <c r="AA982" s="76"/>
      <c r="AB982" s="76"/>
      <c r="AC982" s="76"/>
      <c r="AD982" s="76"/>
      <c r="AE982" s="76"/>
      <c r="AF982" s="76"/>
      <c r="AG982" s="76"/>
      <c r="AH982" s="76"/>
    </row>
    <row r="983" spans="1:34" hidden="1">
      <c r="A983" s="238"/>
      <c r="B983" s="182"/>
      <c r="C983" s="182"/>
      <c r="D983" s="164"/>
      <c r="E983" s="164"/>
      <c r="F983" s="182"/>
      <c r="G983" s="164"/>
      <c r="H983" s="164"/>
      <c r="I983" s="182"/>
      <c r="J983" s="164"/>
      <c r="K983" s="182"/>
      <c r="L983" s="182"/>
      <c r="N983" s="76"/>
      <c r="O983" s="76"/>
      <c r="P983" s="144"/>
      <c r="Q983" s="144"/>
      <c r="R983" s="76"/>
      <c r="S983" s="76"/>
      <c r="T983" s="76"/>
      <c r="U983" s="76"/>
      <c r="V983" s="76"/>
      <c r="W983" s="76"/>
      <c r="X983" s="76"/>
      <c r="Y983" s="76"/>
      <c r="Z983" s="76"/>
      <c r="AA983" s="76"/>
      <c r="AB983" s="76"/>
      <c r="AC983" s="76"/>
      <c r="AD983" s="76"/>
      <c r="AE983" s="76"/>
      <c r="AF983" s="76"/>
      <c r="AG983" s="76"/>
      <c r="AH983" s="76"/>
    </row>
    <row r="984" spans="1:34" hidden="1">
      <c r="A984" s="238" t="s">
        <v>144</v>
      </c>
      <c r="B984" s="182"/>
      <c r="C984" s="234"/>
      <c r="D984" s="164"/>
      <c r="E984" s="164"/>
      <c r="F984" s="182"/>
      <c r="G984" s="164"/>
      <c r="H984" s="164"/>
      <c r="I984" s="182"/>
      <c r="J984" s="164"/>
      <c r="K984" s="182"/>
      <c r="L984" s="182"/>
      <c r="N984" s="76"/>
      <c r="O984" s="76"/>
      <c r="P984" s="144"/>
      <c r="Q984" s="144"/>
      <c r="R984" s="76"/>
      <c r="S984" s="76"/>
      <c r="T984" s="76"/>
      <c r="U984" s="76"/>
      <c r="V984" s="76"/>
      <c r="W984" s="76"/>
      <c r="X984" s="76"/>
      <c r="Y984" s="76"/>
      <c r="Z984" s="76"/>
      <c r="AA984" s="76"/>
      <c r="AB984" s="76"/>
      <c r="AC984" s="76"/>
      <c r="AD984" s="76"/>
      <c r="AE984" s="76"/>
      <c r="AF984" s="76"/>
      <c r="AG984" s="76"/>
      <c r="AH984" s="76"/>
    </row>
    <row r="985" spans="1:34" hidden="1">
      <c r="A985" s="238" t="s">
        <v>215</v>
      </c>
      <c r="B985" s="182"/>
      <c r="C985" s="234">
        <f>C931+C848</f>
        <v>280</v>
      </c>
      <c r="D985" s="252"/>
      <c r="E985" s="252"/>
      <c r="F985" s="164">
        <f>F931+F848</f>
        <v>337400</v>
      </c>
      <c r="G985" s="252"/>
      <c r="H985" s="252"/>
      <c r="I985" s="164">
        <f>I931+I848</f>
        <v>343080</v>
      </c>
      <c r="J985" s="252"/>
      <c r="K985" s="236"/>
      <c r="L985" s="164">
        <f>L931+L848</f>
        <v>385560</v>
      </c>
      <c r="N985" s="76"/>
      <c r="O985" s="76"/>
      <c r="P985" s="144"/>
      <c r="Q985" s="144"/>
      <c r="R985" s="76"/>
      <c r="S985" s="76"/>
      <c r="T985" s="76"/>
      <c r="U985" s="76"/>
      <c r="V985" s="76"/>
      <c r="W985" s="76"/>
      <c r="X985" s="76"/>
      <c r="Y985" s="76"/>
      <c r="Z985" s="76"/>
      <c r="AA985" s="76"/>
      <c r="AB985" s="76"/>
      <c r="AC985" s="76"/>
      <c r="AD985" s="76"/>
      <c r="AE985" s="76"/>
      <c r="AF985" s="76"/>
      <c r="AG985" s="76"/>
      <c r="AH985" s="76"/>
    </row>
    <row r="986" spans="1:34" hidden="1">
      <c r="A986" s="238" t="s">
        <v>216</v>
      </c>
      <c r="B986" s="182"/>
      <c r="C986" s="234">
        <f t="shared" ref="C986:C1004" si="159">C932+C849</f>
        <v>12</v>
      </c>
      <c r="D986" s="252"/>
      <c r="E986" s="252"/>
      <c r="F986" s="164">
        <f>F932+F849</f>
        <v>17400</v>
      </c>
      <c r="G986" s="252"/>
      <c r="H986" s="252"/>
      <c r="I986" s="164">
        <f>I932+I849</f>
        <v>17880</v>
      </c>
      <c r="J986" s="252"/>
      <c r="K986" s="239"/>
      <c r="L986" s="164">
        <f>L932+L849</f>
        <v>20160</v>
      </c>
      <c r="N986" s="76"/>
      <c r="O986" s="76"/>
      <c r="P986" s="144"/>
      <c r="Q986" s="144"/>
      <c r="R986" s="76"/>
      <c r="S986" s="76"/>
      <c r="T986" s="76"/>
      <c r="U986" s="76"/>
      <c r="V986" s="76"/>
      <c r="W986" s="76"/>
      <c r="X986" s="76"/>
      <c r="Y986" s="76"/>
      <c r="Z986" s="76"/>
      <c r="AA986" s="76"/>
      <c r="AB986" s="76"/>
      <c r="AC986" s="76"/>
      <c r="AD986" s="76"/>
      <c r="AE986" s="76"/>
      <c r="AF986" s="76"/>
      <c r="AG986" s="76"/>
      <c r="AH986" s="76"/>
    </row>
    <row r="987" spans="1:34" hidden="1">
      <c r="A987" s="238" t="s">
        <v>145</v>
      </c>
      <c r="B987" s="182"/>
      <c r="C987" s="234">
        <f t="shared" si="159"/>
        <v>292</v>
      </c>
      <c r="D987" s="252"/>
      <c r="E987" s="252"/>
      <c r="F987" s="164" t="s">
        <v>0</v>
      </c>
      <c r="G987" s="252"/>
      <c r="H987" s="252"/>
      <c r="I987" s="164" t="s">
        <v>0</v>
      </c>
      <c r="J987" s="252"/>
      <c r="K987" s="236"/>
      <c r="L987" s="164" t="s">
        <v>0</v>
      </c>
      <c r="N987" s="76"/>
      <c r="O987" s="76"/>
      <c r="P987" s="144"/>
      <c r="Q987" s="144"/>
      <c r="R987" s="76"/>
      <c r="S987" s="76"/>
      <c r="T987" s="76"/>
      <c r="U987" s="76"/>
      <c r="V987" s="76"/>
      <c r="W987" s="76"/>
      <c r="X987" s="76"/>
      <c r="Y987" s="76"/>
      <c r="Z987" s="76"/>
      <c r="AA987" s="76"/>
      <c r="AB987" s="76"/>
      <c r="AC987" s="76"/>
      <c r="AD987" s="76"/>
      <c r="AE987" s="76"/>
      <c r="AF987" s="76"/>
      <c r="AG987" s="76"/>
      <c r="AH987" s="76"/>
    </row>
    <row r="988" spans="1:34" hidden="1">
      <c r="A988" s="238" t="s">
        <v>217</v>
      </c>
      <c r="B988" s="182"/>
      <c r="C988" s="234">
        <f t="shared" si="159"/>
        <v>374897</v>
      </c>
      <c r="D988" s="252"/>
      <c r="E988" s="252"/>
      <c r="F988" s="164">
        <f t="shared" ref="F988:I990" si="160">F934+F851</f>
        <v>341156</v>
      </c>
      <c r="G988" s="252"/>
      <c r="H988" s="252"/>
      <c r="I988" s="164">
        <f t="shared" si="160"/>
        <v>282432</v>
      </c>
      <c r="J988" s="252"/>
      <c r="K988" s="236"/>
      <c r="L988" s="164">
        <f t="shared" ref="L988:L990" si="161">L934+L851</f>
        <v>320774</v>
      </c>
      <c r="N988" s="76"/>
      <c r="O988" s="76"/>
      <c r="P988" s="144"/>
      <c r="Q988" s="144"/>
      <c r="R988" s="76"/>
      <c r="S988" s="76"/>
      <c r="T988" s="76"/>
      <c r="U988" s="76"/>
      <c r="V988" s="76"/>
      <c r="W988" s="76"/>
      <c r="X988" s="76"/>
      <c r="Y988" s="76"/>
      <c r="Z988" s="76"/>
      <c r="AA988" s="76"/>
      <c r="AB988" s="76"/>
      <c r="AC988" s="76"/>
      <c r="AD988" s="76"/>
      <c r="AE988" s="76"/>
      <c r="AF988" s="76"/>
      <c r="AG988" s="76"/>
      <c r="AH988" s="76"/>
    </row>
    <row r="989" spans="1:34" hidden="1">
      <c r="A989" s="238" t="s">
        <v>218</v>
      </c>
      <c r="B989" s="182"/>
      <c r="C989" s="234">
        <f t="shared" si="159"/>
        <v>50814</v>
      </c>
      <c r="D989" s="252"/>
      <c r="E989" s="252"/>
      <c r="F989" s="164">
        <f t="shared" si="160"/>
        <v>42176</v>
      </c>
      <c r="G989" s="252"/>
      <c r="H989" s="252"/>
      <c r="I989" s="164">
        <f t="shared" si="160"/>
        <v>19309</v>
      </c>
      <c r="J989" s="252"/>
      <c r="K989" s="236"/>
      <c r="L989" s="164">
        <f t="shared" si="161"/>
        <v>21342</v>
      </c>
      <c r="N989" s="76"/>
      <c r="O989" s="76"/>
      <c r="P989" s="144"/>
      <c r="Q989" s="144"/>
      <c r="R989" s="76"/>
      <c r="S989" s="76"/>
      <c r="T989" s="76"/>
      <c r="U989" s="76"/>
      <c r="V989" s="76"/>
      <c r="W989" s="76"/>
      <c r="X989" s="76"/>
      <c r="Y989" s="76"/>
      <c r="Z989" s="76"/>
      <c r="AA989" s="76"/>
      <c r="AB989" s="76"/>
      <c r="AC989" s="76"/>
      <c r="AD989" s="76"/>
      <c r="AE989" s="76"/>
      <c r="AF989" s="76"/>
      <c r="AG989" s="76"/>
      <c r="AH989" s="76"/>
    </row>
    <row r="990" spans="1:34" hidden="1">
      <c r="A990" s="217" t="s">
        <v>153</v>
      </c>
      <c r="B990" s="182"/>
      <c r="C990" s="234">
        <f t="shared" si="159"/>
        <v>316763</v>
      </c>
      <c r="D990" s="252"/>
      <c r="E990" s="252"/>
      <c r="F990" s="164">
        <f t="shared" si="160"/>
        <v>1910081</v>
      </c>
      <c r="G990" s="252"/>
      <c r="H990" s="252"/>
      <c r="I990" s="164">
        <f t="shared" si="160"/>
        <v>1955130</v>
      </c>
      <c r="J990" s="252"/>
      <c r="K990" s="236"/>
      <c r="L990" s="164">
        <f t="shared" si="161"/>
        <v>2204000</v>
      </c>
      <c r="N990" s="76"/>
      <c r="O990" s="76"/>
      <c r="P990" s="144"/>
      <c r="Q990" s="144"/>
      <c r="R990" s="76"/>
      <c r="S990" s="76"/>
      <c r="T990" s="76"/>
      <c r="U990" s="76"/>
      <c r="V990" s="76"/>
      <c r="W990" s="76"/>
      <c r="X990" s="76"/>
      <c r="Y990" s="76"/>
      <c r="Z990" s="76"/>
      <c r="AA990" s="76"/>
      <c r="AB990" s="76"/>
      <c r="AC990" s="76"/>
      <c r="AD990" s="76"/>
      <c r="AE990" s="76"/>
      <c r="AF990" s="76"/>
      <c r="AG990" s="76"/>
      <c r="AH990" s="76"/>
    </row>
    <row r="991" spans="1:34" hidden="1">
      <c r="A991" s="238" t="s">
        <v>174</v>
      </c>
      <c r="B991" s="182"/>
      <c r="C991" s="234"/>
      <c r="D991" s="252"/>
      <c r="E991" s="252"/>
      <c r="F991" s="164"/>
      <c r="G991" s="252"/>
      <c r="H991" s="252"/>
      <c r="I991" s="164"/>
      <c r="J991" s="252"/>
      <c r="K991" s="236"/>
      <c r="L991" s="164"/>
      <c r="N991" s="76"/>
      <c r="O991" s="76"/>
      <c r="P991" s="144"/>
      <c r="Q991" s="144"/>
      <c r="R991" s="76"/>
      <c r="S991" s="76"/>
      <c r="T991" s="76"/>
      <c r="U991" s="76"/>
      <c r="V991" s="76"/>
      <c r="W991" s="76"/>
      <c r="X991" s="76"/>
      <c r="Y991" s="76"/>
      <c r="Z991" s="76"/>
      <c r="AA991" s="76"/>
      <c r="AB991" s="76"/>
      <c r="AC991" s="76"/>
      <c r="AD991" s="76"/>
      <c r="AE991" s="76"/>
      <c r="AF991" s="76"/>
      <c r="AG991" s="76"/>
      <c r="AH991" s="76"/>
    </row>
    <row r="992" spans="1:34" hidden="1">
      <c r="A992" s="238" t="s">
        <v>208</v>
      </c>
      <c r="B992" s="182"/>
      <c r="C992" s="234">
        <f t="shared" si="159"/>
        <v>135747120</v>
      </c>
      <c r="D992" s="324"/>
      <c r="E992" s="161" t="s">
        <v>0</v>
      </c>
      <c r="F992" s="164">
        <f t="shared" ref="F992:I993" si="162">F938+F855</f>
        <v>4749792</v>
      </c>
      <c r="G992" s="324"/>
      <c r="H992" s="324"/>
      <c r="I992" s="164">
        <f t="shared" si="162"/>
        <v>5014806</v>
      </c>
      <c r="J992" s="324"/>
      <c r="K992" s="236"/>
      <c r="L992" s="164">
        <f t="shared" ref="L992:L993" si="163">L938+L855</f>
        <v>5646214</v>
      </c>
      <c r="N992" s="76"/>
      <c r="O992" s="76"/>
      <c r="P992" s="144"/>
      <c r="Q992" s="144"/>
      <c r="R992" s="76"/>
      <c r="S992" s="76"/>
      <c r="T992" s="76"/>
      <c r="U992" s="76"/>
      <c r="V992" s="76"/>
      <c r="W992" s="76"/>
      <c r="X992" s="76"/>
      <c r="Y992" s="76"/>
      <c r="Z992" s="76"/>
      <c r="AA992" s="76"/>
      <c r="AB992" s="76"/>
      <c r="AC992" s="76"/>
      <c r="AD992" s="76"/>
      <c r="AE992" s="76"/>
      <c r="AF992" s="76"/>
      <c r="AG992" s="76"/>
      <c r="AH992" s="76"/>
    </row>
    <row r="993" spans="1:34" hidden="1">
      <c r="A993" s="238" t="s">
        <v>150</v>
      </c>
      <c r="B993" s="182"/>
      <c r="C993" s="234">
        <f t="shared" si="159"/>
        <v>37437</v>
      </c>
      <c r="D993" s="252"/>
      <c r="E993" s="236"/>
      <c r="F993" s="164">
        <f t="shared" si="162"/>
        <v>16846</v>
      </c>
      <c r="G993" s="252"/>
      <c r="H993" s="252"/>
      <c r="I993" s="164">
        <f t="shared" si="162"/>
        <v>17809</v>
      </c>
      <c r="J993" s="252"/>
      <c r="K993" s="236"/>
      <c r="L993" s="164">
        <f t="shared" si="163"/>
        <v>20056</v>
      </c>
      <c r="N993" s="76"/>
      <c r="O993" s="76"/>
      <c r="P993" s="144"/>
      <c r="Q993" s="144"/>
      <c r="R993" s="76"/>
      <c r="S993" s="76"/>
      <c r="T993" s="76"/>
      <c r="U993" s="76"/>
      <c r="V993" s="76"/>
      <c r="W993" s="76"/>
      <c r="X993" s="76"/>
      <c r="Y993" s="76"/>
      <c r="Z993" s="76"/>
      <c r="AA993" s="76"/>
      <c r="AB993" s="76"/>
      <c r="AC993" s="76"/>
      <c r="AD993" s="76"/>
      <c r="AE993" s="76"/>
      <c r="AF993" s="76"/>
      <c r="AG993" s="76"/>
      <c r="AH993" s="76"/>
    </row>
    <row r="994" spans="1:34" hidden="1">
      <c r="A994" s="280" t="s">
        <v>151</v>
      </c>
      <c r="B994" s="182"/>
      <c r="C994" s="234"/>
      <c r="D994" s="247"/>
      <c r="E994" s="247"/>
      <c r="F994" s="164"/>
      <c r="G994" s="247"/>
      <c r="H994" s="247"/>
      <c r="I994" s="164"/>
      <c r="J994" s="247"/>
      <c r="K994" s="281"/>
      <c r="L994" s="164"/>
      <c r="N994" s="76"/>
      <c r="O994" s="76"/>
      <c r="P994" s="144"/>
      <c r="Q994" s="144"/>
      <c r="R994" s="76"/>
      <c r="S994" s="76"/>
      <c r="T994" s="76"/>
      <c r="U994" s="76"/>
      <c r="V994" s="76"/>
      <c r="W994" s="76"/>
      <c r="X994" s="76"/>
      <c r="Y994" s="76"/>
      <c r="Z994" s="76"/>
      <c r="AA994" s="76"/>
      <c r="AB994" s="76"/>
      <c r="AC994" s="76"/>
      <c r="AD994" s="76"/>
      <c r="AE994" s="76"/>
      <c r="AF994" s="76"/>
      <c r="AG994" s="76"/>
      <c r="AH994" s="76"/>
    </row>
    <row r="995" spans="1:34" hidden="1">
      <c r="A995" s="238" t="s">
        <v>215</v>
      </c>
      <c r="B995" s="182"/>
      <c r="C995" s="234">
        <f t="shared" si="159"/>
        <v>96</v>
      </c>
      <c r="D995" s="249"/>
      <c r="E995" s="249"/>
      <c r="F995" s="164">
        <f t="shared" ref="F995:I1004" si="164">F941+F858</f>
        <v>-1157</v>
      </c>
      <c r="G995" s="249"/>
      <c r="H995" s="249"/>
      <c r="I995" s="164">
        <f t="shared" si="164"/>
        <v>0</v>
      </c>
      <c r="J995" s="249"/>
      <c r="K995" s="236"/>
      <c r="L995" s="164">
        <f t="shared" ref="L995:L1004" si="165">L941+L858</f>
        <v>0</v>
      </c>
      <c r="N995" s="76"/>
      <c r="O995" s="76"/>
      <c r="P995" s="144"/>
      <c r="Q995" s="144"/>
      <c r="R995" s="76"/>
      <c r="S995" s="76"/>
      <c r="T995" s="76"/>
      <c r="U995" s="76"/>
      <c r="V995" s="76"/>
      <c r="W995" s="76"/>
      <c r="X995" s="76"/>
      <c r="Y995" s="76"/>
      <c r="Z995" s="76"/>
      <c r="AA995" s="76"/>
      <c r="AB995" s="76"/>
      <c r="AC995" s="76"/>
      <c r="AD995" s="76"/>
      <c r="AE995" s="76"/>
      <c r="AF995" s="76"/>
      <c r="AG995" s="76"/>
      <c r="AH995" s="76"/>
    </row>
    <row r="996" spans="1:34" hidden="1">
      <c r="A996" s="238" t="s">
        <v>216</v>
      </c>
      <c r="B996" s="182"/>
      <c r="C996" s="234">
        <f t="shared" si="159"/>
        <v>12</v>
      </c>
      <c r="D996" s="249"/>
      <c r="E996" s="249"/>
      <c r="F996" s="164">
        <f t="shared" si="164"/>
        <v>-174</v>
      </c>
      <c r="G996" s="249"/>
      <c r="H996" s="249"/>
      <c r="I996" s="164">
        <f t="shared" si="164"/>
        <v>0</v>
      </c>
      <c r="J996" s="249"/>
      <c r="K996" s="236"/>
      <c r="L996" s="164">
        <f t="shared" si="165"/>
        <v>0</v>
      </c>
      <c r="N996" s="76"/>
      <c r="O996" s="76"/>
      <c r="P996" s="144"/>
      <c r="Q996" s="144"/>
      <c r="R996" s="76"/>
      <c r="S996" s="76"/>
      <c r="T996" s="76"/>
      <c r="U996" s="76"/>
      <c r="V996" s="76"/>
      <c r="W996" s="76"/>
      <c r="X996" s="76"/>
      <c r="Y996" s="76"/>
      <c r="Z996" s="76"/>
      <c r="AA996" s="76"/>
      <c r="AB996" s="76"/>
      <c r="AC996" s="76"/>
      <c r="AD996" s="76"/>
      <c r="AE996" s="76"/>
      <c r="AF996" s="76"/>
      <c r="AG996" s="76"/>
      <c r="AH996" s="76"/>
    </row>
    <row r="997" spans="1:34" hidden="1">
      <c r="A997" s="238" t="s">
        <v>217</v>
      </c>
      <c r="B997" s="182"/>
      <c r="C997" s="234">
        <f t="shared" si="159"/>
        <v>132921</v>
      </c>
      <c r="D997" s="249"/>
      <c r="E997" s="249"/>
      <c r="F997" s="164">
        <f t="shared" si="164"/>
        <v>-1210</v>
      </c>
      <c r="G997" s="249"/>
      <c r="H997" s="249"/>
      <c r="I997" s="164">
        <f t="shared" si="164"/>
        <v>0</v>
      </c>
      <c r="J997" s="249"/>
      <c r="K997" s="236"/>
      <c r="L997" s="164">
        <f t="shared" si="165"/>
        <v>0</v>
      </c>
      <c r="N997" s="76"/>
      <c r="O997" s="76"/>
      <c r="P997" s="144"/>
      <c r="Q997" s="144"/>
      <c r="R997" s="76"/>
      <c r="S997" s="76"/>
      <c r="T997" s="76"/>
      <c r="U997" s="76"/>
      <c r="V997" s="76"/>
      <c r="W997" s="76"/>
      <c r="X997" s="76"/>
      <c r="Y997" s="76"/>
      <c r="Z997" s="76"/>
      <c r="AA997" s="76"/>
      <c r="AB997" s="76"/>
      <c r="AC997" s="76"/>
      <c r="AD997" s="76"/>
      <c r="AE997" s="76"/>
      <c r="AF997" s="76"/>
      <c r="AG997" s="76"/>
      <c r="AH997" s="76"/>
    </row>
    <row r="998" spans="1:34" hidden="1">
      <c r="A998" s="238" t="s">
        <v>218</v>
      </c>
      <c r="B998" s="182"/>
      <c r="C998" s="234">
        <f t="shared" si="159"/>
        <v>50814</v>
      </c>
      <c r="D998" s="249"/>
      <c r="E998" s="249"/>
      <c r="F998" s="164">
        <f t="shared" si="164"/>
        <v>-422</v>
      </c>
      <c r="G998" s="249"/>
      <c r="H998" s="249"/>
      <c r="I998" s="164">
        <f t="shared" si="164"/>
        <v>0</v>
      </c>
      <c r="J998" s="249"/>
      <c r="K998" s="236"/>
      <c r="L998" s="164">
        <f t="shared" si="165"/>
        <v>0</v>
      </c>
      <c r="N998" s="76"/>
      <c r="O998" s="76"/>
      <c r="P998" s="144"/>
      <c r="Q998" s="144"/>
      <c r="R998" s="76"/>
      <c r="S998" s="76"/>
      <c r="T998" s="76"/>
      <c r="U998" s="76"/>
      <c r="V998" s="76"/>
      <c r="W998" s="76"/>
      <c r="X998" s="76"/>
      <c r="Y998" s="76"/>
      <c r="Z998" s="76"/>
      <c r="AA998" s="76"/>
      <c r="AB998" s="76"/>
      <c r="AC998" s="76"/>
      <c r="AD998" s="76"/>
      <c r="AE998" s="76"/>
      <c r="AF998" s="76"/>
      <c r="AG998" s="76"/>
      <c r="AH998" s="76"/>
    </row>
    <row r="999" spans="1:34" hidden="1">
      <c r="A999" s="217" t="s">
        <v>153</v>
      </c>
      <c r="B999" s="304"/>
      <c r="C999" s="234">
        <f t="shared" si="159"/>
        <v>151359</v>
      </c>
      <c r="D999" s="249"/>
      <c r="E999" s="252"/>
      <c r="F999" s="164">
        <f t="shared" si="164"/>
        <v>-9127</v>
      </c>
      <c r="G999" s="249"/>
      <c r="H999" s="249"/>
      <c r="I999" s="164">
        <f t="shared" si="164"/>
        <v>0</v>
      </c>
      <c r="J999" s="249"/>
      <c r="K999" s="236"/>
      <c r="L999" s="164">
        <f t="shared" si="165"/>
        <v>0</v>
      </c>
      <c r="N999" s="76"/>
      <c r="O999" s="76"/>
      <c r="P999" s="144"/>
      <c r="Q999" s="144"/>
      <c r="R999" s="76"/>
      <c r="S999" s="76"/>
      <c r="T999" s="76"/>
      <c r="U999" s="76"/>
      <c r="V999" s="76"/>
      <c r="W999" s="76"/>
      <c r="X999" s="76"/>
      <c r="Y999" s="76"/>
      <c r="Z999" s="76"/>
      <c r="AA999" s="76"/>
      <c r="AB999" s="76"/>
      <c r="AC999" s="76"/>
      <c r="AD999" s="76"/>
      <c r="AE999" s="76"/>
      <c r="AF999" s="76"/>
      <c r="AG999" s="76"/>
      <c r="AH999" s="76"/>
    </row>
    <row r="1000" spans="1:34" hidden="1">
      <c r="A1000" s="238" t="s">
        <v>208</v>
      </c>
      <c r="B1000" s="182"/>
      <c r="C1000" s="234">
        <f t="shared" si="159"/>
        <v>63278000</v>
      </c>
      <c r="D1000" s="250"/>
      <c r="E1000" s="161" t="s">
        <v>0</v>
      </c>
      <c r="F1000" s="164">
        <f t="shared" si="164"/>
        <v>-22141</v>
      </c>
      <c r="G1000" s="250"/>
      <c r="H1000" s="250"/>
      <c r="I1000" s="164">
        <f t="shared" si="164"/>
        <v>0</v>
      </c>
      <c r="J1000" s="250"/>
      <c r="K1000" s="236"/>
      <c r="L1000" s="164">
        <f t="shared" si="165"/>
        <v>0</v>
      </c>
      <c r="N1000" s="76"/>
      <c r="O1000" s="76"/>
      <c r="P1000" s="144"/>
      <c r="Q1000" s="144"/>
      <c r="R1000" s="76"/>
      <c r="S1000" s="76"/>
      <c r="T1000" s="76"/>
      <c r="U1000" s="76"/>
      <c r="V1000" s="76"/>
      <c r="W1000" s="76"/>
      <c r="X1000" s="76"/>
      <c r="Y1000" s="76"/>
      <c r="Z1000" s="76"/>
      <c r="AA1000" s="76"/>
      <c r="AB1000" s="76"/>
      <c r="AC1000" s="76"/>
      <c r="AD1000" s="76"/>
      <c r="AE1000" s="76"/>
      <c r="AF1000" s="76"/>
      <c r="AG1000" s="76"/>
      <c r="AH1000" s="76"/>
    </row>
    <row r="1001" spans="1:34" hidden="1">
      <c r="A1001" s="238" t="s">
        <v>150</v>
      </c>
      <c r="B1001" s="182"/>
      <c r="C1001" s="234">
        <f t="shared" si="159"/>
        <v>16054</v>
      </c>
      <c r="D1001" s="304"/>
      <c r="E1001" s="236"/>
      <c r="F1001" s="164">
        <f t="shared" si="164"/>
        <v>-72</v>
      </c>
      <c r="G1001" s="304"/>
      <c r="H1001" s="304"/>
      <c r="I1001" s="164">
        <f t="shared" si="164"/>
        <v>0</v>
      </c>
      <c r="J1001" s="304"/>
      <c r="K1001" s="236"/>
      <c r="L1001" s="164">
        <f t="shared" si="165"/>
        <v>0</v>
      </c>
      <c r="N1001" s="76"/>
      <c r="O1001" s="76"/>
      <c r="P1001" s="144"/>
      <c r="Q1001" s="144"/>
      <c r="R1001" s="76"/>
      <c r="S1001" s="76"/>
      <c r="T1001" s="76"/>
      <c r="U1001" s="76"/>
      <c r="V1001" s="76"/>
      <c r="W1001" s="76"/>
      <c r="X1001" s="76"/>
      <c r="Y1001" s="76"/>
      <c r="Z1001" s="76"/>
      <c r="AA1001" s="76"/>
      <c r="AB1001" s="76"/>
      <c r="AC1001" s="76"/>
      <c r="AD1001" s="76"/>
      <c r="AE1001" s="76"/>
      <c r="AF1001" s="76"/>
      <c r="AG1001" s="76"/>
      <c r="AH1001" s="76"/>
    </row>
    <row r="1002" spans="1:34" hidden="1">
      <c r="A1002" s="217" t="s">
        <v>219</v>
      </c>
      <c r="B1002" s="182"/>
      <c r="C1002" s="234">
        <f t="shared" si="159"/>
        <v>96.12</v>
      </c>
      <c r="D1002" s="252"/>
      <c r="E1002" s="252"/>
      <c r="F1002" s="164">
        <f t="shared" si="164"/>
        <v>5767</v>
      </c>
      <c r="G1002" s="252"/>
      <c r="H1002" s="252"/>
      <c r="I1002" s="164">
        <f t="shared" si="164"/>
        <v>0</v>
      </c>
      <c r="J1002" s="252"/>
      <c r="K1002" s="236"/>
      <c r="L1002" s="164">
        <f t="shared" si="165"/>
        <v>0</v>
      </c>
      <c r="N1002" s="76"/>
      <c r="O1002" s="76"/>
      <c r="P1002" s="144"/>
      <c r="Q1002" s="144"/>
      <c r="R1002" s="76"/>
      <c r="S1002" s="76"/>
      <c r="T1002" s="76"/>
      <c r="U1002" s="76"/>
      <c r="V1002" s="76"/>
      <c r="W1002" s="76"/>
      <c r="X1002" s="76"/>
      <c r="Y1002" s="76"/>
      <c r="Z1002" s="76"/>
      <c r="AA1002" s="76"/>
      <c r="AB1002" s="76"/>
      <c r="AC1002" s="76"/>
      <c r="AD1002" s="76"/>
      <c r="AE1002" s="76"/>
      <c r="AF1002" s="76"/>
      <c r="AG1002" s="76"/>
      <c r="AH1002" s="76"/>
    </row>
    <row r="1003" spans="1:34" hidden="1">
      <c r="A1003" s="217" t="s">
        <v>188</v>
      </c>
      <c r="B1003" s="182"/>
      <c r="C1003" s="234">
        <f t="shared" si="159"/>
        <v>183735</v>
      </c>
      <c r="D1003" s="252"/>
      <c r="E1003" s="236"/>
      <c r="F1003" s="164">
        <f t="shared" si="164"/>
        <v>-137801</v>
      </c>
      <c r="G1003" s="252"/>
      <c r="H1003" s="252"/>
      <c r="I1003" s="164">
        <f t="shared" si="164"/>
        <v>0</v>
      </c>
      <c r="J1003" s="252"/>
      <c r="K1003" s="236"/>
      <c r="L1003" s="164">
        <f t="shared" si="165"/>
        <v>0</v>
      </c>
      <c r="N1003" s="76"/>
      <c r="O1003" s="76"/>
      <c r="P1003" s="144"/>
      <c r="Q1003" s="144"/>
      <c r="R1003" s="76"/>
      <c r="S1003" s="76"/>
      <c r="T1003" s="76"/>
      <c r="U1003" s="76"/>
      <c r="V1003" s="76"/>
      <c r="W1003" s="76"/>
      <c r="X1003" s="76"/>
      <c r="Y1003" s="76"/>
      <c r="Z1003" s="76"/>
      <c r="AA1003" s="76"/>
      <c r="AB1003" s="76"/>
      <c r="AC1003" s="76"/>
      <c r="AD1003" s="76"/>
      <c r="AE1003" s="76"/>
      <c r="AF1003" s="76"/>
      <c r="AG1003" s="76"/>
      <c r="AH1003" s="76"/>
    </row>
    <row r="1004" spans="1:34" hidden="1">
      <c r="A1004" s="182" t="s">
        <v>131</v>
      </c>
      <c r="B1004" s="182"/>
      <c r="C1004" s="234">
        <f t="shared" si="159"/>
        <v>135747120</v>
      </c>
      <c r="D1004" s="244"/>
      <c r="E1004" s="164"/>
      <c r="F1004" s="164">
        <f t="shared" si="164"/>
        <v>7248514</v>
      </c>
      <c r="G1004" s="244"/>
      <c r="H1004" s="244"/>
      <c r="I1004" s="164">
        <f t="shared" si="164"/>
        <v>7650446</v>
      </c>
      <c r="J1004" s="244"/>
      <c r="K1004" s="182"/>
      <c r="L1004" s="164">
        <f t="shared" si="165"/>
        <v>8618106</v>
      </c>
      <c r="N1004" s="76"/>
      <c r="O1004" s="76"/>
      <c r="P1004" s="144"/>
      <c r="Q1004" s="144"/>
      <c r="R1004" s="76"/>
      <c r="S1004" s="76"/>
      <c r="T1004" s="76"/>
      <c r="U1004" s="76"/>
      <c r="V1004" s="76"/>
      <c r="W1004" s="76"/>
      <c r="X1004" s="76"/>
      <c r="Y1004" s="76"/>
      <c r="Z1004" s="76"/>
      <c r="AA1004" s="76"/>
      <c r="AB1004" s="76"/>
      <c r="AC1004" s="76"/>
      <c r="AD1004" s="76"/>
      <c r="AE1004" s="76"/>
      <c r="AF1004" s="76"/>
      <c r="AG1004" s="76"/>
      <c r="AH1004" s="76"/>
    </row>
    <row r="1005" spans="1:34" hidden="1">
      <c r="A1005" s="182" t="s">
        <v>114</v>
      </c>
      <c r="B1005" s="182"/>
      <c r="C1005" s="255">
        <v>2361284.5268257279</v>
      </c>
      <c r="D1005" s="217"/>
      <c r="E1005" s="217"/>
      <c r="F1005" s="325">
        <v>135343.76249426062</v>
      </c>
      <c r="G1005" s="217"/>
      <c r="H1005" s="217"/>
      <c r="I1005" s="325">
        <f>F1005</f>
        <v>135343.76249426062</v>
      </c>
      <c r="J1005" s="217"/>
      <c r="K1005" s="217"/>
      <c r="L1005" s="325">
        <f>I1005</f>
        <v>135343.76249426062</v>
      </c>
      <c r="N1005" s="196"/>
      <c r="O1005" s="196"/>
      <c r="P1005" s="194"/>
      <c r="Q1005" s="144"/>
      <c r="R1005" s="76"/>
      <c r="S1005" s="76"/>
      <c r="T1005" s="76"/>
      <c r="U1005" s="76"/>
      <c r="V1005" s="76"/>
      <c r="W1005" s="76"/>
      <c r="X1005" s="76"/>
      <c r="Y1005" s="76"/>
      <c r="Z1005" s="76"/>
      <c r="AA1005" s="76"/>
      <c r="AB1005" s="76"/>
      <c r="AC1005" s="76"/>
      <c r="AD1005" s="76"/>
      <c r="AE1005" s="76"/>
      <c r="AF1005" s="76"/>
      <c r="AG1005" s="76"/>
      <c r="AH1005" s="76"/>
    </row>
    <row r="1006" spans="1:34" ht="16.5" hidden="1" thickBot="1">
      <c r="A1006" s="182" t="s">
        <v>132</v>
      </c>
      <c r="B1006" s="182"/>
      <c r="C1006" s="332">
        <f>C1004+C1005</f>
        <v>138108404.52682573</v>
      </c>
      <c r="D1006" s="258"/>
      <c r="E1006" s="259"/>
      <c r="F1006" s="333">
        <f>F1004+F1005</f>
        <v>7383857.7624942604</v>
      </c>
      <c r="G1006" s="258"/>
      <c r="H1006" s="272"/>
      <c r="I1006" s="333">
        <f>I1004+I1005</f>
        <v>7785789.7624942604</v>
      </c>
      <c r="J1006" s="258"/>
      <c r="K1006" s="262"/>
      <c r="L1006" s="333">
        <f>L1004+L1005</f>
        <v>8753449.7624942604</v>
      </c>
      <c r="N1006" s="197"/>
      <c r="O1006" s="197"/>
      <c r="P1006" s="198"/>
      <c r="Q1006" s="144"/>
      <c r="R1006" s="76"/>
      <c r="S1006" s="76"/>
      <c r="T1006" s="76"/>
      <c r="U1006" s="76"/>
      <c r="V1006" s="76"/>
      <c r="W1006" s="76"/>
      <c r="X1006" s="76"/>
      <c r="Y1006" s="76"/>
      <c r="Z1006" s="76"/>
      <c r="AA1006" s="76"/>
      <c r="AB1006" s="76"/>
      <c r="AC1006" s="76"/>
      <c r="AD1006" s="76"/>
      <c r="AE1006" s="76"/>
      <c r="AF1006" s="76"/>
      <c r="AG1006" s="76"/>
      <c r="AH1006" s="76"/>
    </row>
    <row r="1007" spans="1:34" hidden="1">
      <c r="A1007" s="182"/>
      <c r="B1007" s="182"/>
      <c r="C1007" s="200"/>
      <c r="D1007" s="252"/>
      <c r="E1007" s="164"/>
      <c r="F1007" s="164"/>
      <c r="G1007" s="252"/>
      <c r="H1007" s="252"/>
      <c r="I1007" s="164"/>
      <c r="J1007" s="275" t="s">
        <v>0</v>
      </c>
      <c r="K1007" s="182"/>
      <c r="L1007" s="164" t="s">
        <v>0</v>
      </c>
      <c r="N1007" s="76"/>
      <c r="O1007" s="76"/>
      <c r="P1007" s="144"/>
      <c r="Q1007" s="144"/>
      <c r="R1007" s="76"/>
      <c r="S1007" s="76"/>
      <c r="T1007" s="76"/>
      <c r="U1007" s="76"/>
      <c r="V1007" s="76"/>
      <c r="W1007" s="76"/>
      <c r="X1007" s="76"/>
      <c r="Y1007" s="76"/>
      <c r="Z1007" s="76"/>
      <c r="AA1007" s="76"/>
      <c r="AB1007" s="76"/>
      <c r="AC1007" s="76"/>
      <c r="AD1007" s="76"/>
      <c r="AE1007" s="76"/>
      <c r="AF1007" s="76"/>
      <c r="AG1007" s="76"/>
      <c r="AH1007" s="76"/>
    </row>
    <row r="1008" spans="1:34" hidden="1">
      <c r="A1008" s="182"/>
      <c r="B1008" s="182"/>
      <c r="C1008" s="200"/>
      <c r="D1008" s="252"/>
      <c r="E1008" s="164"/>
      <c r="F1008" s="164"/>
      <c r="G1008" s="252"/>
      <c r="H1008" s="252"/>
      <c r="I1008" s="164"/>
      <c r="J1008" s="252"/>
      <c r="K1008" s="182"/>
      <c r="L1008" s="304"/>
      <c r="N1008" s="76"/>
      <c r="O1008" s="76"/>
      <c r="P1008" s="144"/>
      <c r="Q1008" s="144"/>
      <c r="R1008" s="76"/>
      <c r="S1008" s="76"/>
      <c r="T1008" s="76"/>
      <c r="U1008" s="76"/>
      <c r="V1008" s="76"/>
      <c r="W1008" s="76"/>
      <c r="X1008" s="76"/>
      <c r="Y1008" s="76"/>
      <c r="Z1008" s="76"/>
      <c r="AA1008" s="76"/>
      <c r="AB1008" s="76"/>
      <c r="AC1008" s="76"/>
      <c r="AD1008" s="76"/>
      <c r="AE1008" s="76"/>
      <c r="AF1008" s="76"/>
      <c r="AG1008" s="76"/>
      <c r="AH1008" s="76"/>
    </row>
    <row r="1009" spans="1:34" hidden="1">
      <c r="A1009" s="199" t="s">
        <v>220</v>
      </c>
      <c r="B1009" s="182"/>
      <c r="C1009" s="182"/>
      <c r="D1009" s="164"/>
      <c r="E1009" s="164"/>
      <c r="F1009" s="182"/>
      <c r="G1009" s="164"/>
      <c r="H1009" s="164"/>
      <c r="I1009" s="182"/>
      <c r="J1009" s="164"/>
      <c r="K1009" s="182"/>
      <c r="L1009" s="182"/>
      <c r="N1009" s="76"/>
      <c r="O1009" s="76"/>
      <c r="P1009" s="144"/>
      <c r="Q1009" s="144"/>
      <c r="R1009" s="76"/>
      <c r="S1009" s="76"/>
      <c r="T1009" s="76"/>
      <c r="U1009" s="76"/>
      <c r="V1009" s="76"/>
      <c r="W1009" s="76"/>
      <c r="X1009" s="76"/>
      <c r="Y1009" s="76"/>
      <c r="Z1009" s="76"/>
      <c r="AA1009" s="76"/>
      <c r="AB1009" s="76"/>
      <c r="AC1009" s="76"/>
      <c r="AD1009" s="76"/>
      <c r="AE1009" s="76"/>
      <c r="AF1009" s="76"/>
      <c r="AG1009" s="76"/>
      <c r="AH1009" s="76"/>
    </row>
    <row r="1010" spans="1:34" hidden="1">
      <c r="A1010" s="217" t="s">
        <v>230</v>
      </c>
      <c r="B1010" s="182"/>
      <c r="C1010" s="182"/>
      <c r="D1010" s="164"/>
      <c r="E1010" s="164"/>
      <c r="F1010" s="182"/>
      <c r="G1010" s="164"/>
      <c r="H1010" s="164"/>
      <c r="I1010" s="182"/>
      <c r="J1010" s="164"/>
      <c r="K1010" s="182"/>
      <c r="L1010" s="182"/>
      <c r="N1010" s="76"/>
      <c r="O1010" s="76"/>
      <c r="P1010" s="144"/>
      <c r="Q1010" s="144"/>
      <c r="R1010" s="76"/>
      <c r="S1010" s="76"/>
      <c r="T1010" s="76"/>
      <c r="U1010" s="76"/>
      <c r="V1010" s="76"/>
      <c r="W1010" s="76"/>
      <c r="X1010" s="76"/>
      <c r="Y1010" s="76"/>
      <c r="Z1010" s="76"/>
      <c r="AA1010" s="76"/>
      <c r="AB1010" s="76"/>
      <c r="AC1010" s="76"/>
      <c r="AD1010" s="76"/>
      <c r="AE1010" s="76"/>
      <c r="AF1010" s="76"/>
      <c r="AG1010" s="76"/>
      <c r="AH1010" s="76"/>
    </row>
    <row r="1011" spans="1:34" hidden="1">
      <c r="A1011" s="238"/>
      <c r="B1011" s="182"/>
      <c r="C1011" s="182"/>
      <c r="D1011" s="164"/>
      <c r="E1011" s="164"/>
      <c r="F1011" s="182"/>
      <c r="G1011" s="164"/>
      <c r="H1011" s="164"/>
      <c r="I1011" s="182"/>
      <c r="J1011" s="164"/>
      <c r="K1011" s="182"/>
      <c r="L1011" s="182"/>
      <c r="N1011" s="76"/>
      <c r="O1011" s="76"/>
      <c r="P1011" s="144"/>
      <c r="Q1011" s="144"/>
      <c r="R1011" s="76"/>
      <c r="S1011" s="76"/>
      <c r="T1011" s="76"/>
      <c r="U1011" s="76"/>
      <c r="V1011" s="76"/>
      <c r="W1011" s="76"/>
      <c r="X1011" s="76"/>
      <c r="Y1011" s="76"/>
      <c r="Z1011" s="76"/>
      <c r="AA1011" s="76"/>
      <c r="AB1011" s="76"/>
      <c r="AC1011" s="76"/>
      <c r="AD1011" s="76"/>
      <c r="AE1011" s="76"/>
      <c r="AF1011" s="76"/>
      <c r="AG1011" s="76"/>
      <c r="AH1011" s="76"/>
    </row>
    <row r="1012" spans="1:34" hidden="1">
      <c r="A1012" s="238" t="s">
        <v>144</v>
      </c>
      <c r="B1012" s="182"/>
      <c r="C1012" s="234"/>
      <c r="D1012" s="164"/>
      <c r="E1012" s="164"/>
      <c r="F1012" s="182"/>
      <c r="G1012" s="164"/>
      <c r="H1012" s="164"/>
      <c r="I1012" s="182"/>
      <c r="J1012" s="164"/>
      <c r="K1012" s="182"/>
      <c r="L1012" s="182"/>
      <c r="N1012" s="76"/>
      <c r="O1012" s="76"/>
      <c r="P1012" s="144"/>
      <c r="Q1012" s="144"/>
      <c r="R1012" s="76"/>
      <c r="S1012" s="76"/>
      <c r="T1012" s="76"/>
      <c r="U1012" s="76"/>
      <c r="V1012" s="76"/>
      <c r="W1012" s="76"/>
      <c r="X1012" s="76"/>
      <c r="Y1012" s="76"/>
      <c r="Z1012" s="76"/>
      <c r="AA1012" s="76"/>
      <c r="AB1012" s="76"/>
      <c r="AC1012" s="76"/>
      <c r="AD1012" s="76"/>
      <c r="AE1012" s="76"/>
      <c r="AF1012" s="76"/>
      <c r="AG1012" s="76"/>
      <c r="AH1012" s="76"/>
    </row>
    <row r="1013" spans="1:34" hidden="1">
      <c r="A1013" s="238" t="s">
        <v>215</v>
      </c>
      <c r="B1013" s="182"/>
      <c r="C1013" s="234">
        <f>C958+C875</f>
        <v>336</v>
      </c>
      <c r="D1013" s="252"/>
      <c r="E1013" s="252"/>
      <c r="F1013" s="164">
        <f>F958+F875</f>
        <v>404880</v>
      </c>
      <c r="G1013" s="252"/>
      <c r="H1013" s="252"/>
      <c r="I1013" s="164">
        <f>I958+I875</f>
        <v>408960</v>
      </c>
      <c r="J1013" s="252"/>
      <c r="K1013" s="236"/>
      <c r="L1013" s="164">
        <f>L958+L875</f>
        <v>459480</v>
      </c>
      <c r="N1013" s="76"/>
      <c r="O1013" s="76"/>
      <c r="P1013" s="144"/>
      <c r="Q1013" s="144"/>
      <c r="R1013" s="76"/>
      <c r="S1013" s="76"/>
      <c r="T1013" s="76"/>
      <c r="U1013" s="76"/>
      <c r="V1013" s="76"/>
      <c r="W1013" s="76"/>
      <c r="X1013" s="76"/>
      <c r="Y1013" s="76"/>
      <c r="Z1013" s="76"/>
      <c r="AA1013" s="76"/>
      <c r="AB1013" s="76"/>
      <c r="AC1013" s="76"/>
      <c r="AD1013" s="76"/>
      <c r="AE1013" s="76"/>
      <c r="AF1013" s="76"/>
      <c r="AG1013" s="76"/>
      <c r="AH1013" s="76"/>
    </row>
    <row r="1014" spans="1:34" hidden="1">
      <c r="A1014" s="238" t="s">
        <v>216</v>
      </c>
      <c r="B1014" s="182"/>
      <c r="C1014" s="234">
        <f t="shared" ref="C1014:C1032" si="166">C959+C876</f>
        <v>36</v>
      </c>
      <c r="D1014" s="252"/>
      <c r="E1014" s="252"/>
      <c r="F1014" s="164">
        <f>F959+F876</f>
        <v>52200</v>
      </c>
      <c r="G1014" s="252"/>
      <c r="H1014" s="252"/>
      <c r="I1014" s="164">
        <f>I959+I876</f>
        <v>53040</v>
      </c>
      <c r="J1014" s="252"/>
      <c r="K1014" s="239"/>
      <c r="L1014" s="164">
        <f>L959+L876</f>
        <v>59760</v>
      </c>
      <c r="N1014" s="76"/>
      <c r="O1014" s="76"/>
      <c r="P1014" s="144"/>
      <c r="Q1014" s="144"/>
      <c r="R1014" s="76"/>
      <c r="S1014" s="76"/>
      <c r="T1014" s="76"/>
      <c r="U1014" s="76"/>
      <c r="V1014" s="76"/>
      <c r="W1014" s="76"/>
      <c r="X1014" s="76"/>
      <c r="Y1014" s="76"/>
      <c r="Z1014" s="76"/>
      <c r="AA1014" s="76"/>
      <c r="AB1014" s="76"/>
      <c r="AC1014" s="76"/>
      <c r="AD1014" s="76"/>
      <c r="AE1014" s="76"/>
      <c r="AF1014" s="76"/>
      <c r="AG1014" s="76"/>
      <c r="AH1014" s="76"/>
    </row>
    <row r="1015" spans="1:34" hidden="1">
      <c r="A1015" s="238" t="s">
        <v>145</v>
      </c>
      <c r="B1015" s="182"/>
      <c r="C1015" s="234">
        <f t="shared" si="166"/>
        <v>372</v>
      </c>
      <c r="D1015" s="252"/>
      <c r="E1015" s="252"/>
      <c r="F1015" s="164" t="s">
        <v>0</v>
      </c>
      <c r="G1015" s="252"/>
      <c r="H1015" s="252"/>
      <c r="I1015" s="164" t="s">
        <v>0</v>
      </c>
      <c r="J1015" s="252"/>
      <c r="K1015" s="236"/>
      <c r="L1015" s="164" t="s">
        <v>0</v>
      </c>
      <c r="N1015" s="76"/>
      <c r="O1015" s="76"/>
      <c r="P1015" s="144"/>
      <c r="Q1015" s="144"/>
      <c r="R1015" s="76"/>
      <c r="S1015" s="76"/>
      <c r="T1015" s="76"/>
      <c r="U1015" s="76"/>
      <c r="V1015" s="76"/>
      <c r="W1015" s="76"/>
      <c r="X1015" s="76"/>
      <c r="Y1015" s="76"/>
      <c r="Z1015" s="76"/>
      <c r="AA1015" s="76"/>
      <c r="AB1015" s="76"/>
      <c r="AC1015" s="76"/>
      <c r="AD1015" s="76"/>
      <c r="AE1015" s="76"/>
      <c r="AF1015" s="76"/>
      <c r="AG1015" s="76"/>
      <c r="AH1015" s="76"/>
    </row>
    <row r="1016" spans="1:34" hidden="1">
      <c r="A1016" s="238" t="s">
        <v>217</v>
      </c>
      <c r="B1016" s="182"/>
      <c r="C1016" s="234">
        <f t="shared" si="166"/>
        <v>458451</v>
      </c>
      <c r="D1016" s="252"/>
      <c r="E1016" s="252"/>
      <c r="F1016" s="164">
        <f t="shared" ref="F1016:I1018" si="167">F961+F878</f>
        <v>417191</v>
      </c>
      <c r="G1016" s="252"/>
      <c r="H1016" s="252"/>
      <c r="I1016" s="164">
        <f t="shared" si="167"/>
        <v>408233</v>
      </c>
      <c r="J1016" s="252"/>
      <c r="K1016" s="236"/>
      <c r="L1016" s="164">
        <f t="shared" ref="L1016:L1018" si="168">L961+L878</f>
        <v>461807</v>
      </c>
      <c r="N1016" s="76"/>
      <c r="O1016" s="76"/>
      <c r="P1016" s="144"/>
      <c r="Q1016" s="144"/>
      <c r="R1016" s="76"/>
      <c r="S1016" s="76"/>
      <c r="T1016" s="76"/>
      <c r="U1016" s="76"/>
      <c r="V1016" s="76"/>
      <c r="W1016" s="76"/>
      <c r="X1016" s="76"/>
      <c r="Y1016" s="76"/>
      <c r="Z1016" s="76"/>
      <c r="AA1016" s="76"/>
      <c r="AB1016" s="76"/>
      <c r="AC1016" s="76"/>
      <c r="AD1016" s="76"/>
      <c r="AE1016" s="76"/>
      <c r="AF1016" s="76"/>
      <c r="AG1016" s="76"/>
      <c r="AH1016" s="76"/>
    </row>
    <row r="1017" spans="1:34" hidden="1">
      <c r="A1017" s="238" t="s">
        <v>218</v>
      </c>
      <c r="B1017" s="182"/>
      <c r="C1017" s="234">
        <f t="shared" si="166"/>
        <v>158608</v>
      </c>
      <c r="D1017" s="252"/>
      <c r="E1017" s="252"/>
      <c r="F1017" s="164">
        <f t="shared" si="167"/>
        <v>131644</v>
      </c>
      <c r="G1017" s="252"/>
      <c r="H1017" s="252"/>
      <c r="I1017" s="164">
        <f t="shared" si="167"/>
        <v>108516</v>
      </c>
      <c r="J1017" s="252"/>
      <c r="K1017" s="236"/>
      <c r="L1017" s="164">
        <f t="shared" si="168"/>
        <v>122202</v>
      </c>
      <c r="N1017" s="76"/>
      <c r="O1017" s="76"/>
      <c r="P1017" s="144"/>
      <c r="Q1017" s="144"/>
      <c r="R1017" s="76"/>
      <c r="S1017" s="76"/>
      <c r="T1017" s="76"/>
      <c r="U1017" s="76"/>
      <c r="V1017" s="76"/>
      <c r="W1017" s="76"/>
      <c r="X1017" s="76"/>
      <c r="Y1017" s="76"/>
      <c r="Z1017" s="76"/>
      <c r="AA1017" s="76"/>
      <c r="AB1017" s="76"/>
      <c r="AC1017" s="76"/>
      <c r="AD1017" s="76"/>
      <c r="AE1017" s="76"/>
      <c r="AF1017" s="76"/>
      <c r="AG1017" s="76"/>
      <c r="AH1017" s="76"/>
    </row>
    <row r="1018" spans="1:34" hidden="1">
      <c r="A1018" s="217" t="s">
        <v>153</v>
      </c>
      <c r="B1018" s="182"/>
      <c r="C1018" s="234">
        <f t="shared" si="166"/>
        <v>509277</v>
      </c>
      <c r="D1018" s="252"/>
      <c r="E1018" s="252"/>
      <c r="F1018" s="164">
        <f t="shared" si="167"/>
        <v>3070940</v>
      </c>
      <c r="G1018" s="252"/>
      <c r="H1018" s="252"/>
      <c r="I1018" s="164">
        <f t="shared" si="167"/>
        <v>3163356</v>
      </c>
      <c r="J1018" s="252"/>
      <c r="K1018" s="236"/>
      <c r="L1018" s="164">
        <f t="shared" si="168"/>
        <v>3569473</v>
      </c>
      <c r="N1018" s="76"/>
      <c r="O1018" s="76"/>
      <c r="P1018" s="144"/>
      <c r="Q1018" s="144"/>
      <c r="R1018" s="76"/>
      <c r="S1018" s="76"/>
      <c r="T1018" s="76"/>
      <c r="U1018" s="76"/>
      <c r="V1018" s="76"/>
      <c r="W1018" s="76"/>
      <c r="X1018" s="76"/>
      <c r="Y1018" s="76"/>
      <c r="Z1018" s="76"/>
      <c r="AA1018" s="76"/>
      <c r="AB1018" s="76"/>
      <c r="AC1018" s="76"/>
      <c r="AD1018" s="76"/>
      <c r="AE1018" s="76"/>
      <c r="AF1018" s="76"/>
      <c r="AG1018" s="76"/>
      <c r="AH1018" s="76"/>
    </row>
    <row r="1019" spans="1:34" hidden="1">
      <c r="A1019" s="238" t="s">
        <v>174</v>
      </c>
      <c r="B1019" s="182"/>
      <c r="C1019" s="234"/>
      <c r="D1019" s="252"/>
      <c r="E1019" s="252"/>
      <c r="F1019" s="164"/>
      <c r="G1019" s="252"/>
      <c r="H1019" s="252"/>
      <c r="I1019" s="164"/>
      <c r="J1019" s="252"/>
      <c r="K1019" s="236"/>
      <c r="L1019" s="164"/>
      <c r="N1019" s="76"/>
      <c r="O1019" s="76"/>
      <c r="P1019" s="144"/>
      <c r="Q1019" s="144"/>
      <c r="R1019" s="76"/>
      <c r="S1019" s="76"/>
      <c r="T1019" s="76"/>
      <c r="U1019" s="76"/>
      <c r="V1019" s="76"/>
      <c r="W1019" s="76"/>
      <c r="X1019" s="76"/>
      <c r="Y1019" s="76"/>
      <c r="Z1019" s="76"/>
      <c r="AA1019" s="76"/>
      <c r="AB1019" s="76"/>
      <c r="AC1019" s="76"/>
      <c r="AD1019" s="76"/>
      <c r="AE1019" s="76"/>
      <c r="AF1019" s="76"/>
      <c r="AG1019" s="76"/>
      <c r="AH1019" s="76"/>
    </row>
    <row r="1020" spans="1:34" hidden="1">
      <c r="A1020" s="238" t="s">
        <v>208</v>
      </c>
      <c r="B1020" s="182"/>
      <c r="C1020" s="234">
        <f t="shared" si="166"/>
        <v>226120001</v>
      </c>
      <c r="D1020" s="324"/>
      <c r="E1020" s="236"/>
      <c r="F1020" s="164">
        <f t="shared" ref="F1020:I1021" si="169">F965+F882</f>
        <v>7911939</v>
      </c>
      <c r="G1020" s="324"/>
      <c r="H1020" s="324"/>
      <c r="I1020" s="164">
        <f t="shared" si="169"/>
        <v>8400411</v>
      </c>
      <c r="J1020" s="324"/>
      <c r="K1020" s="236"/>
      <c r="L1020" s="164">
        <f t="shared" ref="L1020:L1021" si="170">L965+L882</f>
        <v>9455864</v>
      </c>
      <c r="N1020" s="76"/>
      <c r="O1020" s="76"/>
      <c r="P1020" s="144"/>
      <c r="Q1020" s="144"/>
      <c r="R1020" s="76"/>
      <c r="S1020" s="76"/>
      <c r="T1020" s="76"/>
      <c r="U1020" s="76"/>
      <c r="V1020" s="76"/>
      <c r="W1020" s="76"/>
      <c r="X1020" s="76"/>
      <c r="Y1020" s="76"/>
      <c r="Z1020" s="76"/>
      <c r="AA1020" s="76"/>
      <c r="AB1020" s="76"/>
      <c r="AC1020" s="76"/>
      <c r="AD1020" s="76"/>
      <c r="AE1020" s="76"/>
      <c r="AF1020" s="76"/>
      <c r="AG1020" s="76"/>
      <c r="AH1020" s="76"/>
    </row>
    <row r="1021" spans="1:34" hidden="1">
      <c r="A1021" s="238" t="s">
        <v>150</v>
      </c>
      <c r="B1021" s="182"/>
      <c r="C1021" s="234">
        <f t="shared" si="166"/>
        <v>160947</v>
      </c>
      <c r="D1021" s="252"/>
      <c r="E1021" s="236"/>
      <c r="F1021" s="164">
        <f t="shared" si="169"/>
        <v>72426</v>
      </c>
      <c r="G1021" s="252"/>
      <c r="H1021" s="252"/>
      <c r="I1021" s="164">
        <f t="shared" si="169"/>
        <v>77172</v>
      </c>
      <c r="J1021" s="252"/>
      <c r="K1021" s="236"/>
      <c r="L1021" s="164">
        <f t="shared" si="170"/>
        <v>86830</v>
      </c>
      <c r="N1021" s="76"/>
      <c r="O1021" s="76"/>
      <c r="P1021" s="144"/>
      <c r="Q1021" s="144"/>
      <c r="R1021" s="76"/>
      <c r="S1021" s="76"/>
      <c r="T1021" s="76"/>
      <c r="U1021" s="76"/>
      <c r="V1021" s="76"/>
      <c r="W1021" s="76"/>
      <c r="X1021" s="76"/>
      <c r="Y1021" s="76"/>
      <c r="Z1021" s="76"/>
      <c r="AA1021" s="76"/>
      <c r="AB1021" s="76"/>
      <c r="AC1021" s="76"/>
      <c r="AD1021" s="76"/>
      <c r="AE1021" s="76"/>
      <c r="AF1021" s="76"/>
      <c r="AG1021" s="76"/>
      <c r="AH1021" s="76"/>
    </row>
    <row r="1022" spans="1:34" hidden="1">
      <c r="A1022" s="280" t="s">
        <v>151</v>
      </c>
      <c r="B1022" s="182"/>
      <c r="C1022" s="234"/>
      <c r="D1022" s="247"/>
      <c r="E1022" s="247"/>
      <c r="F1022" s="164"/>
      <c r="G1022" s="247"/>
      <c r="H1022" s="247"/>
      <c r="I1022" s="164"/>
      <c r="J1022" s="247"/>
      <c r="K1022" s="281"/>
      <c r="L1022" s="164"/>
      <c r="N1022" s="76"/>
      <c r="O1022" s="76"/>
      <c r="P1022" s="144"/>
      <c r="Q1022" s="144"/>
      <c r="R1022" s="76"/>
      <c r="S1022" s="76"/>
      <c r="T1022" s="76"/>
      <c r="U1022" s="76"/>
      <c r="V1022" s="76"/>
      <c r="W1022" s="76"/>
      <c r="X1022" s="76"/>
      <c r="Y1022" s="76"/>
      <c r="Z1022" s="76"/>
      <c r="AA1022" s="76"/>
      <c r="AB1022" s="76"/>
      <c r="AC1022" s="76"/>
      <c r="AD1022" s="76"/>
      <c r="AE1022" s="76"/>
      <c r="AF1022" s="76"/>
      <c r="AG1022" s="76"/>
      <c r="AH1022" s="76"/>
    </row>
    <row r="1023" spans="1:34" hidden="1">
      <c r="A1023" s="238" t="s">
        <v>215</v>
      </c>
      <c r="B1023" s="182"/>
      <c r="C1023" s="234">
        <f t="shared" si="166"/>
        <v>24</v>
      </c>
      <c r="D1023" s="249"/>
      <c r="E1023" s="249"/>
      <c r="F1023" s="164">
        <f t="shared" ref="F1023:I1032" si="171">F968+F885</f>
        <v>-289</v>
      </c>
      <c r="G1023" s="249"/>
      <c r="H1023" s="249"/>
      <c r="I1023" s="164">
        <f t="shared" si="171"/>
        <v>0</v>
      </c>
      <c r="J1023" s="249"/>
      <c r="K1023" s="236"/>
      <c r="L1023" s="164">
        <f t="shared" ref="L1023:L1032" si="172">L968+L885</f>
        <v>0</v>
      </c>
      <c r="N1023" s="76"/>
      <c r="O1023" s="76"/>
      <c r="P1023" s="144"/>
      <c r="Q1023" s="144"/>
      <c r="R1023" s="76"/>
      <c r="S1023" s="76"/>
      <c r="T1023" s="76"/>
      <c r="U1023" s="76"/>
      <c r="V1023" s="76"/>
      <c r="W1023" s="76"/>
      <c r="X1023" s="76"/>
      <c r="Y1023" s="76"/>
      <c r="Z1023" s="76"/>
      <c r="AA1023" s="76"/>
      <c r="AB1023" s="76"/>
      <c r="AC1023" s="76"/>
      <c r="AD1023" s="76"/>
      <c r="AE1023" s="76"/>
      <c r="AF1023" s="76"/>
      <c r="AG1023" s="76"/>
      <c r="AH1023" s="76"/>
    </row>
    <row r="1024" spans="1:34" hidden="1">
      <c r="A1024" s="238" t="s">
        <v>216</v>
      </c>
      <c r="B1024" s="182"/>
      <c r="C1024" s="234">
        <f t="shared" si="166"/>
        <v>12</v>
      </c>
      <c r="D1024" s="249"/>
      <c r="E1024" s="249"/>
      <c r="F1024" s="164">
        <f t="shared" si="171"/>
        <v>-174</v>
      </c>
      <c r="G1024" s="249"/>
      <c r="H1024" s="249"/>
      <c r="I1024" s="164">
        <f t="shared" si="171"/>
        <v>0</v>
      </c>
      <c r="J1024" s="249"/>
      <c r="K1024" s="236"/>
      <c r="L1024" s="164">
        <f t="shared" si="172"/>
        <v>0</v>
      </c>
      <c r="N1024" s="76"/>
      <c r="O1024" s="76"/>
      <c r="P1024" s="144"/>
      <c r="Q1024" s="144"/>
      <c r="R1024" s="76"/>
      <c r="S1024" s="76"/>
      <c r="T1024" s="76"/>
      <c r="U1024" s="76"/>
      <c r="V1024" s="76"/>
      <c r="W1024" s="76"/>
      <c r="X1024" s="76"/>
      <c r="Y1024" s="76"/>
      <c r="Z1024" s="76"/>
      <c r="AA1024" s="76"/>
      <c r="AB1024" s="76"/>
      <c r="AC1024" s="76"/>
      <c r="AD1024" s="76"/>
      <c r="AE1024" s="76"/>
      <c r="AF1024" s="76"/>
      <c r="AG1024" s="76"/>
      <c r="AH1024" s="76"/>
    </row>
    <row r="1025" spans="1:34" hidden="1">
      <c r="A1025" s="238" t="s">
        <v>217</v>
      </c>
      <c r="B1025" s="182"/>
      <c r="C1025" s="234">
        <f t="shared" si="166"/>
        <v>28813</v>
      </c>
      <c r="D1025" s="249"/>
      <c r="E1025" s="249"/>
      <c r="F1025" s="164">
        <f t="shared" si="171"/>
        <v>-262</v>
      </c>
      <c r="G1025" s="249"/>
      <c r="H1025" s="249"/>
      <c r="I1025" s="164">
        <f t="shared" si="171"/>
        <v>0</v>
      </c>
      <c r="J1025" s="249"/>
      <c r="K1025" s="236"/>
      <c r="L1025" s="164">
        <f t="shared" si="172"/>
        <v>0</v>
      </c>
      <c r="N1025" s="76"/>
      <c r="O1025" s="76"/>
      <c r="P1025" s="144"/>
      <c r="Q1025" s="144"/>
      <c r="R1025" s="76"/>
      <c r="S1025" s="76"/>
      <c r="T1025" s="76"/>
      <c r="U1025" s="76"/>
      <c r="V1025" s="76"/>
      <c r="W1025" s="76"/>
      <c r="X1025" s="76"/>
      <c r="Y1025" s="76"/>
      <c r="Z1025" s="76"/>
      <c r="AA1025" s="76"/>
      <c r="AB1025" s="76"/>
      <c r="AC1025" s="76"/>
      <c r="AD1025" s="76"/>
      <c r="AE1025" s="76"/>
      <c r="AF1025" s="76"/>
      <c r="AG1025" s="76"/>
      <c r="AH1025" s="76"/>
    </row>
    <row r="1026" spans="1:34" hidden="1">
      <c r="A1026" s="238" t="s">
        <v>218</v>
      </c>
      <c r="B1026" s="182"/>
      <c r="C1026" s="234">
        <f t="shared" si="166"/>
        <v>53727</v>
      </c>
      <c r="D1026" s="249"/>
      <c r="E1026" s="249"/>
      <c r="F1026" s="164">
        <f t="shared" si="171"/>
        <v>-446</v>
      </c>
      <c r="G1026" s="249"/>
      <c r="H1026" s="249"/>
      <c r="I1026" s="164">
        <f t="shared" si="171"/>
        <v>0</v>
      </c>
      <c r="J1026" s="249"/>
      <c r="K1026" s="236"/>
      <c r="L1026" s="164">
        <f t="shared" si="172"/>
        <v>0</v>
      </c>
      <c r="N1026" s="76"/>
      <c r="O1026" s="76"/>
      <c r="P1026" s="144"/>
      <c r="Q1026" s="144"/>
      <c r="R1026" s="76"/>
      <c r="S1026" s="76"/>
      <c r="T1026" s="76"/>
      <c r="U1026" s="76"/>
      <c r="V1026" s="76"/>
      <c r="W1026" s="76"/>
      <c r="X1026" s="76"/>
      <c r="Y1026" s="76"/>
      <c r="Z1026" s="76"/>
      <c r="AA1026" s="76"/>
      <c r="AB1026" s="76"/>
      <c r="AC1026" s="76"/>
      <c r="AD1026" s="76"/>
      <c r="AE1026" s="76"/>
      <c r="AF1026" s="76"/>
      <c r="AG1026" s="76"/>
      <c r="AH1026" s="76"/>
    </row>
    <row r="1027" spans="1:34" hidden="1">
      <c r="A1027" s="217" t="s">
        <v>153</v>
      </c>
      <c r="B1027" s="304"/>
      <c r="C1027" s="234">
        <f t="shared" si="166"/>
        <v>43474</v>
      </c>
      <c r="D1027" s="249"/>
      <c r="E1027" s="252"/>
      <c r="F1027" s="164">
        <f t="shared" si="171"/>
        <v>-2621</v>
      </c>
      <c r="G1027" s="249"/>
      <c r="H1027" s="249"/>
      <c r="I1027" s="164">
        <f t="shared" si="171"/>
        <v>0</v>
      </c>
      <c r="J1027" s="249"/>
      <c r="K1027" s="236"/>
      <c r="L1027" s="164">
        <f t="shared" si="172"/>
        <v>0</v>
      </c>
      <c r="N1027" s="76"/>
      <c r="O1027" s="76"/>
      <c r="P1027" s="144"/>
      <c r="Q1027" s="144"/>
      <c r="R1027" s="76"/>
      <c r="S1027" s="76"/>
      <c r="T1027" s="76"/>
      <c r="U1027" s="76"/>
      <c r="V1027" s="76"/>
      <c r="W1027" s="76"/>
      <c r="X1027" s="76"/>
      <c r="Y1027" s="76"/>
      <c r="Z1027" s="76"/>
      <c r="AA1027" s="76"/>
      <c r="AB1027" s="76"/>
      <c r="AC1027" s="76"/>
      <c r="AD1027" s="76"/>
      <c r="AE1027" s="76"/>
      <c r="AF1027" s="76"/>
      <c r="AG1027" s="76"/>
      <c r="AH1027" s="76"/>
    </row>
    <row r="1028" spans="1:34" hidden="1">
      <c r="A1028" s="238" t="s">
        <v>208</v>
      </c>
      <c r="B1028" s="182"/>
      <c r="C1028" s="234">
        <f t="shared" si="166"/>
        <v>13197000</v>
      </c>
      <c r="D1028" s="250"/>
      <c r="E1028" s="236"/>
      <c r="F1028" s="164">
        <f t="shared" si="171"/>
        <v>-4618</v>
      </c>
      <c r="G1028" s="250"/>
      <c r="H1028" s="250"/>
      <c r="I1028" s="164">
        <f t="shared" si="171"/>
        <v>0</v>
      </c>
      <c r="J1028" s="250"/>
      <c r="K1028" s="236"/>
      <c r="L1028" s="164">
        <f t="shared" si="172"/>
        <v>0</v>
      </c>
      <c r="N1028" s="76"/>
      <c r="O1028" s="76"/>
      <c r="P1028" s="144"/>
      <c r="Q1028" s="144"/>
      <c r="R1028" s="76"/>
      <c r="S1028" s="76"/>
      <c r="T1028" s="76"/>
      <c r="U1028" s="76"/>
      <c r="V1028" s="76"/>
      <c r="W1028" s="76"/>
      <c r="X1028" s="76"/>
      <c r="Y1028" s="76"/>
      <c r="Z1028" s="76"/>
      <c r="AA1028" s="76"/>
      <c r="AB1028" s="76"/>
      <c r="AC1028" s="76"/>
      <c r="AD1028" s="76"/>
      <c r="AE1028" s="76"/>
      <c r="AF1028" s="76"/>
      <c r="AG1028" s="76"/>
      <c r="AH1028" s="76"/>
    </row>
    <row r="1029" spans="1:34" hidden="1">
      <c r="A1029" s="238" t="s">
        <v>150</v>
      </c>
      <c r="B1029" s="182"/>
      <c r="C1029" s="234">
        <f t="shared" si="166"/>
        <v>8186</v>
      </c>
      <c r="D1029" s="304"/>
      <c r="E1029" s="236"/>
      <c r="F1029" s="164">
        <f t="shared" si="171"/>
        <v>-37</v>
      </c>
      <c r="G1029" s="304"/>
      <c r="H1029" s="304"/>
      <c r="I1029" s="164">
        <f t="shared" si="171"/>
        <v>0</v>
      </c>
      <c r="J1029" s="304"/>
      <c r="K1029" s="236"/>
      <c r="L1029" s="164">
        <f t="shared" si="172"/>
        <v>0</v>
      </c>
      <c r="N1029" s="76"/>
      <c r="O1029" s="76"/>
      <c r="P1029" s="144" t="s">
        <v>0</v>
      </c>
      <c r="Q1029" s="144"/>
      <c r="R1029" s="76"/>
      <c r="S1029" s="76"/>
      <c r="T1029" s="76"/>
      <c r="U1029" s="76"/>
      <c r="V1029" s="76"/>
      <c r="W1029" s="76"/>
      <c r="X1029" s="76"/>
      <c r="Y1029" s="76"/>
      <c r="Z1029" s="76"/>
      <c r="AA1029" s="76"/>
      <c r="AB1029" s="76"/>
      <c r="AC1029" s="76"/>
      <c r="AD1029" s="76"/>
      <c r="AE1029" s="76"/>
      <c r="AF1029" s="76"/>
      <c r="AG1029" s="76"/>
      <c r="AH1029" s="76"/>
    </row>
    <row r="1030" spans="1:34" hidden="1">
      <c r="A1030" s="217" t="s">
        <v>219</v>
      </c>
      <c r="B1030" s="182"/>
      <c r="C1030" s="234">
        <f t="shared" si="166"/>
        <v>36</v>
      </c>
      <c r="D1030" s="252"/>
      <c r="E1030" s="252"/>
      <c r="F1030" s="164">
        <f t="shared" si="171"/>
        <v>2160</v>
      </c>
      <c r="G1030" s="252"/>
      <c r="H1030" s="252"/>
      <c r="I1030" s="164">
        <f t="shared" si="171"/>
        <v>0</v>
      </c>
      <c r="J1030" s="252"/>
      <c r="K1030" s="236"/>
      <c r="L1030" s="164">
        <f t="shared" si="172"/>
        <v>0</v>
      </c>
      <c r="N1030" s="76"/>
      <c r="O1030" s="76"/>
      <c r="P1030" s="144"/>
      <c r="Q1030" s="144"/>
      <c r="R1030" s="76"/>
      <c r="S1030" s="76"/>
      <c r="T1030" s="76"/>
      <c r="U1030" s="76"/>
      <c r="V1030" s="76"/>
      <c r="W1030" s="76"/>
      <c r="X1030" s="76"/>
      <c r="Y1030" s="76"/>
      <c r="Z1030" s="76"/>
      <c r="AA1030" s="76"/>
      <c r="AB1030" s="76"/>
      <c r="AC1030" s="76"/>
      <c r="AD1030" s="76"/>
      <c r="AE1030" s="76"/>
      <c r="AF1030" s="76"/>
      <c r="AG1030" s="76"/>
      <c r="AH1030" s="76"/>
    </row>
    <row r="1031" spans="1:34" hidden="1">
      <c r="A1031" s="217" t="s">
        <v>188</v>
      </c>
      <c r="B1031" s="182"/>
      <c r="C1031" s="234">
        <f t="shared" si="166"/>
        <v>82540</v>
      </c>
      <c r="D1031" s="252"/>
      <c r="E1031" s="236"/>
      <c r="F1031" s="164">
        <f t="shared" si="171"/>
        <v>-61905</v>
      </c>
      <c r="G1031" s="252"/>
      <c r="H1031" s="252"/>
      <c r="I1031" s="164">
        <f t="shared" si="171"/>
        <v>0</v>
      </c>
      <c r="J1031" s="252"/>
      <c r="K1031" s="236"/>
      <c r="L1031" s="164">
        <f t="shared" si="172"/>
        <v>0</v>
      </c>
      <c r="N1031" s="76"/>
      <c r="O1031" s="76"/>
      <c r="P1031" s="144"/>
      <c r="Q1031" s="144"/>
      <c r="R1031" s="76"/>
      <c r="S1031" s="76"/>
      <c r="T1031" s="76"/>
      <c r="U1031" s="76"/>
      <c r="V1031" s="76"/>
      <c r="W1031" s="76"/>
      <c r="X1031" s="76"/>
      <c r="Y1031" s="76"/>
      <c r="Z1031" s="76"/>
      <c r="AA1031" s="76"/>
      <c r="AB1031" s="76"/>
      <c r="AC1031" s="76"/>
      <c r="AD1031" s="76"/>
      <c r="AE1031" s="76"/>
      <c r="AF1031" s="76"/>
      <c r="AG1031" s="76"/>
      <c r="AH1031" s="76"/>
    </row>
    <row r="1032" spans="1:34" hidden="1">
      <c r="A1032" s="182" t="s">
        <v>131</v>
      </c>
      <c r="B1032" s="182"/>
      <c r="C1032" s="271">
        <f t="shared" si="166"/>
        <v>226120001</v>
      </c>
      <c r="D1032" s="244"/>
      <c r="E1032" s="164"/>
      <c r="F1032" s="225">
        <f t="shared" si="171"/>
        <v>11993028</v>
      </c>
      <c r="G1032" s="244"/>
      <c r="H1032" s="244"/>
      <c r="I1032" s="225">
        <f t="shared" si="171"/>
        <v>12619688</v>
      </c>
      <c r="J1032" s="244"/>
      <c r="K1032" s="182"/>
      <c r="L1032" s="225">
        <f t="shared" si="172"/>
        <v>14215416</v>
      </c>
      <c r="N1032" s="76"/>
      <c r="O1032" s="76"/>
      <c r="P1032" s="144"/>
      <c r="Q1032" s="144"/>
      <c r="R1032" s="76"/>
      <c r="S1032" s="76"/>
      <c r="T1032" s="76"/>
      <c r="U1032" s="76"/>
      <c r="V1032" s="76"/>
      <c r="W1032" s="76"/>
      <c r="X1032" s="76"/>
      <c r="Y1032" s="76"/>
      <c r="Z1032" s="76"/>
      <c r="AA1032" s="76"/>
      <c r="AB1032" s="76"/>
      <c r="AC1032" s="76"/>
      <c r="AD1032" s="76"/>
      <c r="AE1032" s="76"/>
      <c r="AF1032" s="76"/>
      <c r="AG1032" s="76"/>
      <c r="AH1032" s="76"/>
    </row>
    <row r="1033" spans="1:34" hidden="1">
      <c r="A1033" s="182" t="s">
        <v>114</v>
      </c>
      <c r="B1033" s="182"/>
      <c r="C1033" s="234">
        <v>4592096.9664322482</v>
      </c>
      <c r="D1033" s="217"/>
      <c r="E1033" s="217"/>
      <c r="F1033" s="325">
        <v>359778.20842815121</v>
      </c>
      <c r="G1033" s="217"/>
      <c r="H1033" s="217"/>
      <c r="I1033" s="325">
        <f>F1033</f>
        <v>359778.20842815121</v>
      </c>
      <c r="J1033" s="217"/>
      <c r="K1033" s="217"/>
      <c r="L1033" s="325">
        <f>I1033</f>
        <v>359778.20842815121</v>
      </c>
      <c r="N1033" s="196"/>
      <c r="O1033" s="196"/>
      <c r="P1033" s="194"/>
      <c r="Q1033" s="144"/>
      <c r="R1033" s="76"/>
      <c r="S1033" s="76"/>
      <c r="T1033" s="76"/>
      <c r="U1033" s="76"/>
      <c r="V1033" s="76"/>
      <c r="W1033" s="76"/>
      <c r="X1033" s="76"/>
      <c r="Y1033" s="76"/>
      <c r="Z1033" s="76"/>
      <c r="AA1033" s="76"/>
      <c r="AB1033" s="76"/>
      <c r="AC1033" s="76"/>
      <c r="AD1033" s="76"/>
      <c r="AE1033" s="76"/>
      <c r="AF1033" s="76"/>
      <c r="AG1033" s="76"/>
      <c r="AH1033" s="76"/>
    </row>
    <row r="1034" spans="1:34" ht="16.5" hidden="1" thickBot="1">
      <c r="A1034" s="182" t="s">
        <v>132</v>
      </c>
      <c r="B1034" s="182"/>
      <c r="C1034" s="332">
        <f>C1032+C1033</f>
        <v>230712097.96643224</v>
      </c>
      <c r="D1034" s="258"/>
      <c r="E1034" s="259"/>
      <c r="F1034" s="327">
        <f>F1032+F1033</f>
        <v>12352806.208428152</v>
      </c>
      <c r="G1034" s="258"/>
      <c r="H1034" s="272"/>
      <c r="I1034" s="327">
        <f>I1032+I1033</f>
        <v>12979466.208428152</v>
      </c>
      <c r="J1034" s="258"/>
      <c r="K1034" s="262"/>
      <c r="L1034" s="327">
        <f>L1032+L1033</f>
        <v>14575194.208428152</v>
      </c>
      <c r="N1034" s="197"/>
      <c r="O1034" s="197"/>
      <c r="P1034" s="198"/>
      <c r="Q1034" s="144"/>
      <c r="R1034" s="76"/>
      <c r="S1034" s="76"/>
      <c r="T1034" s="76"/>
      <c r="U1034" s="76"/>
      <c r="V1034" s="76"/>
      <c r="W1034" s="76"/>
      <c r="X1034" s="76"/>
      <c r="Y1034" s="76"/>
      <c r="Z1034" s="76"/>
      <c r="AA1034" s="76"/>
      <c r="AB1034" s="76"/>
      <c r="AC1034" s="76"/>
      <c r="AD1034" s="76"/>
      <c r="AE1034" s="76"/>
      <c r="AF1034" s="76"/>
      <c r="AG1034" s="76"/>
      <c r="AH1034" s="76"/>
    </row>
    <row r="1035" spans="1:34" hidden="1">
      <c r="A1035" s="182"/>
      <c r="B1035" s="182"/>
      <c r="C1035" s="200"/>
      <c r="D1035" s="252"/>
      <c r="E1035" s="164"/>
      <c r="F1035" s="164"/>
      <c r="G1035" s="252"/>
      <c r="H1035" s="252"/>
      <c r="I1035" s="164"/>
      <c r="J1035" s="275" t="s">
        <v>0</v>
      </c>
      <c r="K1035" s="182"/>
      <c r="L1035" s="164" t="s">
        <v>0</v>
      </c>
      <c r="N1035" s="76"/>
      <c r="O1035" s="76"/>
      <c r="P1035" s="144"/>
      <c r="Q1035" s="144"/>
      <c r="R1035" s="76"/>
      <c r="S1035" s="76"/>
      <c r="T1035" s="76"/>
      <c r="U1035" s="76"/>
      <c r="V1035" s="76"/>
      <c r="W1035" s="76"/>
      <c r="X1035" s="76"/>
      <c r="Y1035" s="76"/>
      <c r="Z1035" s="76"/>
      <c r="AA1035" s="76"/>
      <c r="AB1035" s="76"/>
      <c r="AC1035" s="76"/>
      <c r="AD1035" s="76"/>
      <c r="AE1035" s="76"/>
      <c r="AF1035" s="76"/>
      <c r="AG1035" s="76"/>
      <c r="AH1035" s="76"/>
    </row>
    <row r="1036" spans="1:34">
      <c r="A1036" s="199" t="s">
        <v>220</v>
      </c>
      <c r="B1036" s="182"/>
      <c r="C1036" s="182"/>
      <c r="D1036" s="164"/>
      <c r="E1036" s="164"/>
      <c r="F1036" s="182"/>
      <c r="G1036" s="164"/>
      <c r="H1036" s="164"/>
      <c r="I1036" s="182"/>
      <c r="J1036" s="164"/>
      <c r="K1036" s="182"/>
      <c r="L1036" s="182"/>
      <c r="N1036" s="76"/>
      <c r="O1036" s="76"/>
      <c r="P1036" s="144"/>
      <c r="Q1036" s="144"/>
      <c r="R1036" s="76"/>
      <c r="S1036" s="76"/>
      <c r="T1036" s="76"/>
      <c r="U1036" s="76"/>
      <c r="V1036" s="76"/>
      <c r="W1036" s="76"/>
      <c r="X1036" s="76"/>
      <c r="Y1036" s="76"/>
      <c r="Z1036" s="76"/>
      <c r="AA1036" s="76"/>
      <c r="AB1036" s="76"/>
      <c r="AC1036" s="76"/>
      <c r="AD1036" s="76"/>
      <c r="AE1036" s="76"/>
      <c r="AF1036" s="76"/>
      <c r="AG1036" s="76"/>
      <c r="AH1036" s="76"/>
    </row>
    <row r="1037" spans="1:34">
      <c r="A1037" s="217" t="s">
        <v>231</v>
      </c>
      <c r="B1037" s="182"/>
      <c r="C1037" s="182"/>
      <c r="D1037" s="164"/>
      <c r="E1037" s="164"/>
      <c r="F1037" s="182"/>
      <c r="G1037" s="164"/>
      <c r="H1037" s="164"/>
      <c r="I1037" s="182"/>
      <c r="J1037" s="164"/>
      <c r="K1037" s="182"/>
      <c r="L1037" s="182"/>
      <c r="N1037" s="76"/>
      <c r="O1037" s="76"/>
      <c r="P1037" s="144"/>
      <c r="Q1037" s="144"/>
      <c r="R1037" s="76"/>
      <c r="S1037" s="76"/>
      <c r="T1037" s="76"/>
      <c r="U1037" s="76"/>
      <c r="V1037" s="76"/>
      <c r="W1037" s="76"/>
      <c r="X1037" s="76"/>
      <c r="Y1037" s="76"/>
      <c r="Z1037" s="76"/>
      <c r="AA1037" s="76"/>
      <c r="AB1037" s="76"/>
      <c r="AC1037" s="76"/>
      <c r="AD1037" s="76"/>
      <c r="AE1037" s="76"/>
      <c r="AF1037" s="76"/>
      <c r="AG1037" s="76"/>
      <c r="AH1037" s="76"/>
    </row>
    <row r="1038" spans="1:34">
      <c r="A1038" s="238"/>
      <c r="B1038" s="182"/>
      <c r="C1038" s="182"/>
      <c r="D1038" s="164"/>
      <c r="E1038" s="164"/>
      <c r="F1038" s="182"/>
      <c r="G1038" s="164"/>
      <c r="H1038" s="164"/>
      <c r="I1038" s="182"/>
      <c r="J1038" s="164"/>
      <c r="K1038" s="182"/>
      <c r="L1038" s="182"/>
      <c r="N1038" s="76"/>
      <c r="O1038" s="76"/>
      <c r="P1038" s="144"/>
      <c r="Q1038" s="144"/>
      <c r="R1038" s="76"/>
      <c r="S1038" s="76"/>
      <c r="T1038" s="76"/>
      <c r="U1038" s="76"/>
      <c r="V1038" s="76"/>
      <c r="W1038" s="76"/>
      <c r="X1038" s="76"/>
      <c r="Y1038" s="76"/>
      <c r="Z1038" s="76"/>
      <c r="AA1038" s="76"/>
      <c r="AB1038" s="76"/>
      <c r="AC1038" s="76"/>
      <c r="AD1038" s="76"/>
      <c r="AE1038" s="76"/>
      <c r="AF1038" s="76"/>
      <c r="AG1038" s="76"/>
      <c r="AH1038" s="76"/>
    </row>
    <row r="1039" spans="1:34">
      <c r="A1039" s="238" t="s">
        <v>144</v>
      </c>
      <c r="B1039" s="182"/>
      <c r="C1039" s="234"/>
      <c r="D1039" s="164"/>
      <c r="E1039" s="164"/>
      <c r="F1039" s="182"/>
      <c r="G1039" s="164"/>
      <c r="H1039" s="164"/>
      <c r="I1039" s="182"/>
      <c r="J1039" s="164"/>
      <c r="K1039" s="182"/>
      <c r="L1039" s="182"/>
      <c r="N1039" s="76"/>
      <c r="O1039" s="76"/>
      <c r="R1039" s="175"/>
      <c r="AA1039" s="76"/>
      <c r="AB1039" s="76"/>
      <c r="AC1039" s="76"/>
      <c r="AD1039" s="76"/>
      <c r="AE1039" s="76"/>
      <c r="AF1039" s="76"/>
      <c r="AG1039" s="76"/>
      <c r="AH1039" s="76"/>
    </row>
    <row r="1040" spans="1:34">
      <c r="A1040" s="217" t="s">
        <v>232</v>
      </c>
      <c r="B1040" s="182"/>
      <c r="C1040" s="234">
        <v>0</v>
      </c>
      <c r="D1040" s="252">
        <v>1205</v>
      </c>
      <c r="E1040" s="252"/>
      <c r="F1040" s="164">
        <f>ROUND(D1040*$C1040,0)</f>
        <v>0</v>
      </c>
      <c r="G1040" s="252" t="s">
        <v>0</v>
      </c>
      <c r="H1040" s="252"/>
      <c r="I1040" s="164">
        <f>ROUND(C1040*G1040,0)</f>
        <v>0</v>
      </c>
      <c r="J1040" s="252" t="s">
        <v>0</v>
      </c>
      <c r="K1040" s="236"/>
      <c r="L1040" s="164">
        <f>ROUND(J1040*$C1040,0)</f>
        <v>0</v>
      </c>
      <c r="N1040" s="76"/>
      <c r="O1040" s="76"/>
      <c r="R1040" s="338"/>
      <c r="T1040" s="210"/>
      <c r="U1040" s="205"/>
      <c r="V1040" s="210"/>
      <c r="W1040" s="205"/>
      <c r="X1040" s="210"/>
      <c r="Y1040" s="210"/>
      <c r="Z1040" s="205"/>
      <c r="AA1040" s="76"/>
      <c r="AB1040" s="76"/>
      <c r="AC1040" s="76"/>
      <c r="AD1040" s="76"/>
      <c r="AE1040" s="76"/>
      <c r="AF1040" s="76"/>
      <c r="AG1040" s="76"/>
      <c r="AH1040" s="76"/>
    </row>
    <row r="1041" spans="1:34">
      <c r="A1041" s="217" t="s">
        <v>233</v>
      </c>
      <c r="B1041" s="182"/>
      <c r="C1041" s="234">
        <v>12</v>
      </c>
      <c r="D1041" s="252">
        <v>1450</v>
      </c>
      <c r="E1041" s="252"/>
      <c r="F1041" s="164">
        <f>ROUND(D1041*$C1041,0)</f>
        <v>17400</v>
      </c>
      <c r="G1041" s="252">
        <v>2100</v>
      </c>
      <c r="H1041" s="252"/>
      <c r="I1041" s="164">
        <f>ROUND(C1041*G1041,0)</f>
        <v>25200</v>
      </c>
      <c r="J1041" s="252">
        <f>ROUND(G1041*(1+$Q$1060),0)+146</f>
        <v>2512</v>
      </c>
      <c r="K1041" s="239"/>
      <c r="L1041" s="164">
        <f>ROUND(J1041*$C1041,0)</f>
        <v>30144</v>
      </c>
      <c r="N1041" s="76"/>
      <c r="O1041" s="76"/>
      <c r="Q1041" s="298">
        <f>(J1041-G1041)/G1041</f>
        <v>0.19619047619047619</v>
      </c>
      <c r="R1041" s="88"/>
      <c r="T1041" s="210"/>
      <c r="U1041" s="205"/>
      <c r="V1041" s="210"/>
      <c r="W1041" s="205"/>
      <c r="X1041" s="210"/>
      <c r="Y1041" s="210"/>
      <c r="Z1041" s="205"/>
      <c r="AA1041" s="76"/>
      <c r="AB1041" s="76"/>
      <c r="AC1041" s="76"/>
      <c r="AD1041" s="76"/>
      <c r="AE1041" s="76"/>
      <c r="AF1041" s="76"/>
      <c r="AG1041" s="76"/>
      <c r="AH1041" s="76"/>
    </row>
    <row r="1042" spans="1:34">
      <c r="A1042" s="238" t="s">
        <v>145</v>
      </c>
      <c r="B1042" s="182"/>
      <c r="C1042" s="234">
        <f>SUM(C1040:C1041)</f>
        <v>12</v>
      </c>
      <c r="D1042" s="252" t="s">
        <v>0</v>
      </c>
      <c r="E1042" s="252"/>
      <c r="F1042" s="164" t="s">
        <v>0</v>
      </c>
      <c r="G1042" s="252" t="s">
        <v>0</v>
      </c>
      <c r="H1042" s="252"/>
      <c r="I1042" s="164" t="s">
        <v>0</v>
      </c>
      <c r="J1042" s="252" t="s">
        <v>0</v>
      </c>
      <c r="K1042" s="236"/>
      <c r="L1042" s="164" t="s">
        <v>0</v>
      </c>
      <c r="N1042" s="76"/>
      <c r="O1042" s="76"/>
      <c r="R1042" s="235"/>
      <c r="T1042" s="210"/>
      <c r="U1042" s="205"/>
      <c r="V1042" s="210"/>
      <c r="W1042" s="205"/>
      <c r="X1042" s="210"/>
      <c r="Y1042" s="210"/>
      <c r="Z1042" s="205"/>
      <c r="AA1042" s="76"/>
      <c r="AB1042" s="76"/>
      <c r="AC1042" s="76"/>
      <c r="AD1042" s="76"/>
      <c r="AE1042" s="76"/>
      <c r="AF1042" s="76"/>
      <c r="AG1042" s="76"/>
      <c r="AH1042" s="76"/>
    </row>
    <row r="1043" spans="1:34">
      <c r="A1043" s="238" t="s">
        <v>217</v>
      </c>
      <c r="B1043" s="182"/>
      <c r="C1043" s="234">
        <v>0</v>
      </c>
      <c r="D1043" s="252">
        <v>0.91</v>
      </c>
      <c r="E1043" s="252"/>
      <c r="F1043" s="164">
        <f>ROUND(D1043*$C1043,0)</f>
        <v>0</v>
      </c>
      <c r="G1043" s="252" t="s">
        <v>0</v>
      </c>
      <c r="H1043" s="252"/>
      <c r="I1043" s="164">
        <f t="shared" ref="I1043:I1045" si="173">ROUND(C1043*G1043,0)</f>
        <v>0</v>
      </c>
      <c r="J1043" s="252" t="s">
        <v>0</v>
      </c>
      <c r="K1043" s="236"/>
      <c r="L1043" s="164">
        <f>ROUND(J1043*$C1043,0)</f>
        <v>0</v>
      </c>
      <c r="N1043" s="76"/>
      <c r="O1043" s="76"/>
      <c r="R1043" s="338"/>
      <c r="T1043" s="210"/>
      <c r="U1043" s="205"/>
      <c r="V1043" s="210"/>
      <c r="W1043" s="205"/>
      <c r="X1043" s="210"/>
      <c r="Y1043" s="210"/>
      <c r="Z1043" s="205"/>
      <c r="AA1043" s="76"/>
      <c r="AB1043" s="76"/>
      <c r="AC1043" s="76"/>
      <c r="AD1043" s="76"/>
      <c r="AE1043" s="76"/>
      <c r="AF1043" s="76"/>
      <c r="AG1043" s="76"/>
      <c r="AH1043" s="76"/>
    </row>
    <row r="1044" spans="1:34">
      <c r="A1044" s="217" t="s">
        <v>234</v>
      </c>
      <c r="B1044" s="182"/>
      <c r="C1044" s="234">
        <v>675081</v>
      </c>
      <c r="D1044" s="252">
        <v>0.83</v>
      </c>
      <c r="E1044" s="252"/>
      <c r="F1044" s="164">
        <f>ROUND(D1044*$C1044,0)</f>
        <v>560317</v>
      </c>
      <c r="G1044" s="252">
        <v>0.2</v>
      </c>
      <c r="H1044" s="252"/>
      <c r="I1044" s="164">
        <f t="shared" si="173"/>
        <v>135016</v>
      </c>
      <c r="J1044" s="252">
        <f>ROUND(G1044*(1+$Q$1060),2)</f>
        <v>0.23</v>
      </c>
      <c r="K1044" s="236"/>
      <c r="L1044" s="164">
        <f>ROUND(J1044*$C1044,0)</f>
        <v>155269</v>
      </c>
      <c r="N1044" s="76"/>
      <c r="O1044" s="76"/>
      <c r="Q1044" s="298">
        <f>(J1044-G1044)/G1044</f>
        <v>0.15</v>
      </c>
      <c r="R1044" s="88"/>
      <c r="T1044" s="210"/>
      <c r="U1044" s="205"/>
      <c r="V1044" s="210"/>
      <c r="W1044" s="205"/>
      <c r="X1044" s="210"/>
      <c r="Y1044" s="210"/>
      <c r="Z1044" s="205"/>
      <c r="AA1044" s="76"/>
      <c r="AB1044" s="76"/>
      <c r="AC1044" s="76"/>
      <c r="AD1044" s="76"/>
      <c r="AE1044" s="76"/>
      <c r="AF1044" s="76"/>
      <c r="AG1044" s="76"/>
      <c r="AH1044" s="76"/>
    </row>
    <row r="1045" spans="1:34">
      <c r="A1045" s="217" t="s">
        <v>153</v>
      </c>
      <c r="B1045" s="182"/>
      <c r="C1045" s="234">
        <v>658584</v>
      </c>
      <c r="D1045" s="252">
        <v>6.03</v>
      </c>
      <c r="E1045" s="252"/>
      <c r="F1045" s="164">
        <f>ROUND(D1045*$C1045,0)</f>
        <v>3971262</v>
      </c>
      <c r="G1045" s="252">
        <v>6.09</v>
      </c>
      <c r="H1045" s="252"/>
      <c r="I1045" s="164">
        <f t="shared" si="173"/>
        <v>4010777</v>
      </c>
      <c r="J1045" s="252">
        <f>ROUND(G1045*(1+$Q$1060),2)</f>
        <v>6.86</v>
      </c>
      <c r="K1045" s="236"/>
      <c r="L1045" s="164">
        <f>ROUND(J1045*$C1045,0)</f>
        <v>4517886</v>
      </c>
      <c r="N1045" s="76"/>
      <c r="O1045" s="76"/>
      <c r="Q1045" s="298">
        <f>(J1045-G1045)/G1045</f>
        <v>0.12643678160919547</v>
      </c>
      <c r="R1045" s="88"/>
      <c r="S1045" s="144"/>
      <c r="T1045" s="331"/>
      <c r="U1045" s="205"/>
      <c r="V1045" s="331"/>
      <c r="W1045" s="205"/>
      <c r="X1045" s="331"/>
      <c r="Y1045" s="144"/>
      <c r="Z1045" s="205"/>
      <c r="AA1045" s="76"/>
      <c r="AB1045" s="76"/>
      <c r="AC1045" s="76"/>
      <c r="AD1045" s="76"/>
      <c r="AE1045" s="76"/>
      <c r="AF1045" s="76"/>
      <c r="AG1045" s="76"/>
      <c r="AH1045" s="76"/>
    </row>
    <row r="1046" spans="1:34">
      <c r="A1046" s="238" t="s">
        <v>174</v>
      </c>
      <c r="B1046" s="182"/>
      <c r="C1046" s="181" t="s">
        <v>0</v>
      </c>
      <c r="D1046" s="252" t="s">
        <v>0</v>
      </c>
      <c r="E1046" s="252"/>
      <c r="F1046" s="164"/>
      <c r="G1046" s="252" t="s">
        <v>0</v>
      </c>
      <c r="H1046" s="252"/>
      <c r="I1046" s="164"/>
      <c r="J1046" s="252" t="s">
        <v>0</v>
      </c>
      <c r="K1046" s="236"/>
      <c r="L1046" s="164"/>
      <c r="N1046" s="76"/>
      <c r="O1046" s="76"/>
      <c r="R1046" s="235"/>
      <c r="S1046" s="144"/>
      <c r="T1046" s="76"/>
      <c r="U1046" s="76"/>
      <c r="V1046" s="76"/>
      <c r="W1046" s="76"/>
      <c r="X1046" s="76"/>
      <c r="Y1046" s="76"/>
      <c r="Z1046" s="76"/>
      <c r="AA1046" s="76"/>
      <c r="AB1046" s="76"/>
      <c r="AC1046" s="76"/>
      <c r="AD1046" s="76"/>
      <c r="AE1046" s="76"/>
      <c r="AF1046" s="76"/>
      <c r="AG1046" s="76"/>
      <c r="AH1046" s="76"/>
    </row>
    <row r="1047" spans="1:34">
      <c r="A1047" s="238" t="s">
        <v>208</v>
      </c>
      <c r="B1047" s="182"/>
      <c r="C1047" s="234">
        <v>435959095</v>
      </c>
      <c r="D1047" s="324">
        <v>3.4990000000000001</v>
      </c>
      <c r="E1047" s="236" t="s">
        <v>126</v>
      </c>
      <c r="F1047" s="164">
        <f>ROUND(D1047/100*$C1047,0)</f>
        <v>15254209</v>
      </c>
      <c r="G1047" s="324">
        <v>3.66</v>
      </c>
      <c r="H1047" s="324"/>
      <c r="I1047" s="164">
        <f>ROUND(C1047/100*G1047,0)</f>
        <v>15956103</v>
      </c>
      <c r="J1047" s="324">
        <f>ROUND(G1047*(1+$Q$1060),3)</f>
        <v>4.1239999999999997</v>
      </c>
      <c r="K1047" s="236" t="s">
        <v>126</v>
      </c>
      <c r="L1047" s="164">
        <f>ROUND(J1047/100*$C1047,0)</f>
        <v>17978953</v>
      </c>
      <c r="N1047" s="76"/>
      <c r="O1047" s="76"/>
      <c r="Q1047" s="298">
        <f>(J1047-G1047)/G1047</f>
        <v>0.12677595628415286</v>
      </c>
      <c r="R1047" s="88"/>
      <c r="S1047" s="144"/>
      <c r="T1047" s="76"/>
      <c r="U1047" s="76"/>
      <c r="V1047" s="76"/>
      <c r="W1047" s="76"/>
      <c r="X1047" s="76"/>
      <c r="Y1047" s="76"/>
      <c r="Z1047" s="76"/>
      <c r="AA1047" s="76"/>
      <c r="AB1047" s="76"/>
      <c r="AC1047" s="76"/>
      <c r="AD1047" s="76"/>
      <c r="AE1047" s="76"/>
      <c r="AF1047" s="76"/>
      <c r="AG1047" s="76"/>
      <c r="AH1047" s="76"/>
    </row>
    <row r="1048" spans="1:34">
      <c r="A1048" s="238" t="s">
        <v>150</v>
      </c>
      <c r="B1048" s="182"/>
      <c r="C1048" s="234">
        <v>178392</v>
      </c>
      <c r="D1048" s="252">
        <v>0.45</v>
      </c>
      <c r="E1048" s="236"/>
      <c r="F1048" s="164">
        <f>ROUND(D1048*$C1048,0)</f>
        <v>80276</v>
      </c>
      <c r="G1048" s="252">
        <v>0.46</v>
      </c>
      <c r="H1048" s="252"/>
      <c r="I1048" s="164">
        <f>ROUND(C1048*G1048,0)</f>
        <v>82060</v>
      </c>
      <c r="J1048" s="252">
        <f>ROUND(G1048*(1+$Q$1060),2)</f>
        <v>0.52</v>
      </c>
      <c r="K1048" s="236"/>
      <c r="L1048" s="164">
        <f>ROUND(J1048*$C1048,0)</f>
        <v>92764</v>
      </c>
      <c r="N1048" s="76"/>
      <c r="O1048" s="76"/>
      <c r="Q1048" s="298">
        <f>(J1048-G1048)/G1048</f>
        <v>0.13043478260869565</v>
      </c>
      <c r="R1048" s="88"/>
      <c r="S1048" s="144"/>
      <c r="T1048" s="76"/>
      <c r="U1048" s="76"/>
      <c r="V1048" s="76"/>
      <c r="W1048" s="76"/>
      <c r="X1048" s="76"/>
      <c r="Y1048" s="76"/>
      <c r="Z1048" s="76"/>
      <c r="AA1048" s="76"/>
      <c r="AB1048" s="76"/>
      <c r="AC1048" s="76"/>
      <c r="AD1048" s="76"/>
      <c r="AE1048" s="76"/>
      <c r="AF1048" s="76"/>
      <c r="AG1048" s="76"/>
      <c r="AH1048" s="76"/>
    </row>
    <row r="1049" spans="1:34">
      <c r="A1049" s="280" t="s">
        <v>151</v>
      </c>
      <c r="B1049" s="182"/>
      <c r="C1049" s="234"/>
      <c r="D1049" s="247">
        <v>-0.01</v>
      </c>
      <c r="E1049" s="247"/>
      <c r="F1049" s="164"/>
      <c r="G1049" s="247">
        <v>0</v>
      </c>
      <c r="H1049" s="247"/>
      <c r="I1049" s="164"/>
      <c r="J1049" s="247"/>
      <c r="K1049" s="281"/>
      <c r="L1049" s="164"/>
      <c r="N1049" s="76"/>
      <c r="O1049" s="76"/>
      <c r="P1049" s="144"/>
      <c r="Q1049" s="144"/>
      <c r="R1049" s="76"/>
      <c r="S1049" s="76"/>
      <c r="T1049" s="76"/>
      <c r="U1049" s="76"/>
      <c r="V1049" s="76"/>
      <c r="W1049" s="76"/>
      <c r="X1049" s="76"/>
      <c r="Y1049" s="76"/>
      <c r="Z1049" s="76"/>
      <c r="AA1049" s="76"/>
      <c r="AB1049" s="76"/>
      <c r="AC1049" s="76"/>
      <c r="AD1049" s="76"/>
      <c r="AE1049" s="76"/>
      <c r="AF1049" s="76"/>
      <c r="AG1049" s="76"/>
      <c r="AH1049" s="76"/>
    </row>
    <row r="1050" spans="1:34">
      <c r="A1050" s="238" t="s">
        <v>215</v>
      </c>
      <c r="B1050" s="182"/>
      <c r="C1050" s="234">
        <v>0</v>
      </c>
      <c r="D1050" s="249">
        <f>D1040</f>
        <v>1205</v>
      </c>
      <c r="E1050" s="249"/>
      <c r="F1050" s="236">
        <f>ROUND(D1050*$C1050*$D$1049,0)</f>
        <v>0</v>
      </c>
      <c r="G1050" s="249" t="str">
        <f>G1040</f>
        <v xml:space="preserve"> </v>
      </c>
      <c r="H1050" s="249"/>
      <c r="I1050" s="236">
        <f>ROUND(C1050*G1050*$G$1049,0)</f>
        <v>0</v>
      </c>
      <c r="J1050" s="249"/>
      <c r="K1050" s="236"/>
      <c r="L1050" s="236">
        <f>ROUND(J1050*$C1050*$D$803,0)</f>
        <v>0</v>
      </c>
      <c r="N1050" s="76"/>
      <c r="O1050" s="76"/>
      <c r="P1050" s="144"/>
      <c r="Q1050" s="144"/>
      <c r="R1050" s="76"/>
      <c r="S1050" s="76"/>
      <c r="T1050" s="76"/>
      <c r="U1050" s="76"/>
      <c r="V1050" s="76"/>
      <c r="W1050" s="76"/>
      <c r="X1050" s="76" t="s">
        <v>0</v>
      </c>
      <c r="Y1050" s="76"/>
      <c r="Z1050" s="76"/>
      <c r="AA1050" s="76"/>
      <c r="AB1050" s="76"/>
      <c r="AC1050" s="76"/>
      <c r="AD1050" s="76"/>
      <c r="AE1050" s="76"/>
      <c r="AF1050" s="76"/>
      <c r="AG1050" s="76"/>
      <c r="AH1050" s="76"/>
    </row>
    <row r="1051" spans="1:34">
      <c r="A1051" s="238" t="s">
        <v>216</v>
      </c>
      <c r="B1051" s="182"/>
      <c r="C1051" s="234">
        <v>12</v>
      </c>
      <c r="D1051" s="249">
        <f>D1041</f>
        <v>1450</v>
      </c>
      <c r="E1051" s="249"/>
      <c r="F1051" s="236">
        <f>ROUND(D1051*$C1051*$D$1049,0)</f>
        <v>-174</v>
      </c>
      <c r="G1051" s="249">
        <f>G1041</f>
        <v>2100</v>
      </c>
      <c r="H1051" s="249"/>
      <c r="I1051" s="236">
        <f>ROUND(C1051*G1051*$G$1049,0)</f>
        <v>0</v>
      </c>
      <c r="J1051" s="249"/>
      <c r="K1051" s="236"/>
      <c r="L1051" s="236">
        <f>ROUND(J1051*$C1051*$D$803,0)</f>
        <v>0</v>
      </c>
      <c r="N1051" s="76"/>
      <c r="O1051" s="76"/>
      <c r="P1051" s="175" t="s">
        <v>0</v>
      </c>
      <c r="Q1051" s="144"/>
      <c r="R1051" s="76"/>
      <c r="S1051" s="76"/>
      <c r="T1051" s="76"/>
      <c r="U1051" s="76"/>
      <c r="V1051" s="76"/>
      <c r="W1051" s="76" t="s">
        <v>0</v>
      </c>
      <c r="X1051" s="76"/>
      <c r="Y1051" s="76"/>
      <c r="Z1051" s="76"/>
      <c r="AA1051" s="76"/>
      <c r="AB1051" s="76"/>
      <c r="AC1051" s="76"/>
      <c r="AD1051" s="76"/>
      <c r="AE1051" s="76"/>
      <c r="AF1051" s="76"/>
      <c r="AG1051" s="76"/>
      <c r="AH1051" s="76"/>
    </row>
    <row r="1052" spans="1:34">
      <c r="A1052" s="238" t="s">
        <v>217</v>
      </c>
      <c r="B1052" s="182"/>
      <c r="C1052" s="234">
        <v>0</v>
      </c>
      <c r="D1052" s="249">
        <f>D1043</f>
        <v>0.91</v>
      </c>
      <c r="E1052" s="249"/>
      <c r="F1052" s="236">
        <f>ROUND(D1052*$C1052*$D$1049,0)</f>
        <v>0</v>
      </c>
      <c r="G1052" s="249" t="str">
        <f>G1043</f>
        <v xml:space="preserve"> </v>
      </c>
      <c r="H1052" s="249"/>
      <c r="I1052" s="236">
        <f>ROUND(C1052*G1052*$G$1049,0)</f>
        <v>0</v>
      </c>
      <c r="J1052" s="249"/>
      <c r="K1052" s="236"/>
      <c r="L1052" s="236">
        <f>ROUND(J1052*$C1052*$D$803,0)</f>
        <v>0</v>
      </c>
      <c r="N1052" s="76"/>
      <c r="O1052" s="76"/>
      <c r="P1052" s="144"/>
      <c r="Q1052" s="144"/>
      <c r="R1052" s="76"/>
      <c r="S1052" s="76"/>
      <c r="T1052" s="76"/>
      <c r="U1052" s="76"/>
      <c r="V1052" s="76"/>
      <c r="W1052" s="76"/>
      <c r="X1052" s="76"/>
      <c r="Y1052" s="76"/>
      <c r="Z1052" s="76"/>
      <c r="AA1052" s="76"/>
      <c r="AB1052" s="76"/>
      <c r="AC1052" s="76"/>
      <c r="AD1052" s="76"/>
      <c r="AE1052" s="76"/>
      <c r="AF1052" s="76"/>
      <c r="AG1052" s="76"/>
      <c r="AH1052" s="76"/>
    </row>
    <row r="1053" spans="1:34">
      <c r="A1053" s="238" t="s">
        <v>218</v>
      </c>
      <c r="B1053" s="182"/>
      <c r="C1053" s="234">
        <f>C1044</f>
        <v>675081</v>
      </c>
      <c r="D1053" s="249">
        <f>D1044</f>
        <v>0.83</v>
      </c>
      <c r="E1053" s="249"/>
      <c r="F1053" s="236">
        <f>ROUND(D1053*$C1053*$D$1049,0)</f>
        <v>-5603</v>
      </c>
      <c r="G1053" s="249">
        <f>G1044</f>
        <v>0.2</v>
      </c>
      <c r="H1053" s="249"/>
      <c r="I1053" s="236">
        <f>ROUND(C1053*G1053*$G$1049,0)</f>
        <v>0</v>
      </c>
      <c r="J1053" s="249"/>
      <c r="K1053" s="236"/>
      <c r="L1053" s="236">
        <f>ROUND(J1053*$C1053*$D$803,0)</f>
        <v>0</v>
      </c>
      <c r="N1053" s="76"/>
      <c r="O1053" s="76"/>
      <c r="P1053" s="144"/>
      <c r="Q1053" s="144"/>
      <c r="R1053" s="76"/>
      <c r="S1053" s="76"/>
      <c r="T1053" s="76"/>
      <c r="U1053" s="76"/>
      <c r="V1053" s="76"/>
      <c r="W1053" s="76"/>
      <c r="X1053" s="76"/>
      <c r="Y1053" s="76"/>
      <c r="Z1053" s="76"/>
      <c r="AA1053" s="76"/>
      <c r="AB1053" s="76"/>
      <c r="AC1053" s="76"/>
      <c r="AD1053" s="76"/>
      <c r="AE1053" s="76"/>
      <c r="AF1053" s="76"/>
      <c r="AG1053" s="76"/>
      <c r="AH1053" s="76"/>
    </row>
    <row r="1054" spans="1:34">
      <c r="A1054" s="217" t="s">
        <v>153</v>
      </c>
      <c r="B1054" s="304"/>
      <c r="C1054" s="234">
        <f>C1045</f>
        <v>658584</v>
      </c>
      <c r="D1054" s="249">
        <f>D1045</f>
        <v>6.03</v>
      </c>
      <c r="E1054" s="252"/>
      <c r="F1054" s="236">
        <f>ROUND(D1054*$C1054*$D$1049,0)</f>
        <v>-39713</v>
      </c>
      <c r="G1054" s="249">
        <f>G1045</f>
        <v>6.09</v>
      </c>
      <c r="H1054" s="249"/>
      <c r="I1054" s="236">
        <f>ROUND(C1054*G1054*$G$1049,0)</f>
        <v>0</v>
      </c>
      <c r="J1054" s="249"/>
      <c r="K1054" s="236"/>
      <c r="L1054" s="236">
        <f>ROUND(J1054*$C1054*$D$803,0)</f>
        <v>0</v>
      </c>
      <c r="N1054" s="76"/>
      <c r="O1054" s="76"/>
      <c r="P1054" s="144"/>
      <c r="Q1054" s="144"/>
      <c r="R1054" s="76"/>
      <c r="S1054" s="76"/>
      <c r="T1054" s="76"/>
      <c r="U1054" s="76"/>
      <c r="V1054" s="76"/>
      <c r="W1054" s="76"/>
      <c r="X1054" s="76"/>
      <c r="Y1054" s="76"/>
      <c r="Z1054" s="76"/>
      <c r="AA1054" s="76"/>
      <c r="AB1054" s="76"/>
      <c r="AC1054" s="76"/>
      <c r="AD1054" s="76"/>
      <c r="AE1054" s="76"/>
      <c r="AF1054" s="76"/>
      <c r="AG1054" s="76"/>
      <c r="AH1054" s="76"/>
    </row>
    <row r="1055" spans="1:34">
      <c r="A1055" s="238" t="s">
        <v>208</v>
      </c>
      <c r="B1055" s="182"/>
      <c r="C1055" s="234">
        <f>C1047</f>
        <v>435959095</v>
      </c>
      <c r="D1055" s="250">
        <f>D1047</f>
        <v>3.4990000000000001</v>
      </c>
      <c r="E1055" s="236" t="s">
        <v>126</v>
      </c>
      <c r="F1055" s="236">
        <f>ROUND(D1055/100*$C1055*$D$1049,0)</f>
        <v>-152542</v>
      </c>
      <c r="G1055" s="250">
        <f>G1047</f>
        <v>3.66</v>
      </c>
      <c r="H1055" s="250"/>
      <c r="I1055" s="236">
        <f>ROUND(C1055/100*G1055*$G$1049,0)</f>
        <v>0</v>
      </c>
      <c r="J1055" s="250"/>
      <c r="K1055" s="236"/>
      <c r="L1055" s="236">
        <f>ROUND(J1055/100*$C1055*$D$803,0)</f>
        <v>0</v>
      </c>
      <c r="N1055" s="76"/>
      <c r="O1055" s="76"/>
      <c r="P1055" s="144"/>
      <c r="Q1055" s="144"/>
      <c r="R1055" s="76"/>
      <c r="S1055" s="76"/>
      <c r="T1055" s="76"/>
      <c r="U1055" s="76"/>
      <c r="V1055" s="76"/>
      <c r="W1055" s="76"/>
      <c r="X1055" s="76"/>
      <c r="Y1055" s="76"/>
      <c r="Z1055" s="76"/>
      <c r="AA1055" s="76"/>
      <c r="AB1055" s="76"/>
      <c r="AC1055" s="76"/>
      <c r="AD1055" s="76"/>
      <c r="AE1055" s="76"/>
      <c r="AF1055" s="76"/>
      <c r="AG1055" s="76"/>
      <c r="AH1055" s="76"/>
    </row>
    <row r="1056" spans="1:34">
      <c r="A1056" s="238" t="s">
        <v>150</v>
      </c>
      <c r="B1056" s="182"/>
      <c r="C1056" s="234">
        <f>C1048</f>
        <v>178392</v>
      </c>
      <c r="D1056" s="304">
        <f>D1048</f>
        <v>0.45</v>
      </c>
      <c r="E1056" s="236"/>
      <c r="F1056" s="236">
        <f>ROUND(D1056*$C1056*$D$1049,0)</f>
        <v>-803</v>
      </c>
      <c r="G1056" s="304">
        <f>G1048</f>
        <v>0.46</v>
      </c>
      <c r="H1056" s="304"/>
      <c r="I1056" s="236">
        <f>ROUND(C1056*G1056*$G$1049,0)</f>
        <v>0</v>
      </c>
      <c r="J1056" s="304"/>
      <c r="K1056" s="236"/>
      <c r="L1056" s="236">
        <f>ROUND(J1056*$C1056*$D$803,0)</f>
        <v>0</v>
      </c>
      <c r="N1056" s="76"/>
      <c r="O1056" s="76"/>
      <c r="P1056" s="144"/>
      <c r="Q1056" s="144"/>
      <c r="R1056" s="76"/>
      <c r="S1056" s="76"/>
      <c r="T1056" s="76"/>
      <c r="U1056" s="76"/>
      <c r="V1056" s="76"/>
      <c r="W1056" s="76"/>
      <c r="X1056" s="76"/>
      <c r="Y1056" s="76"/>
      <c r="Z1056" s="76"/>
      <c r="AA1056" s="76"/>
      <c r="AB1056" s="76"/>
      <c r="AC1056" s="76"/>
      <c r="AD1056" s="76"/>
      <c r="AE1056" s="76"/>
      <c r="AF1056" s="76"/>
      <c r="AG1056" s="76"/>
      <c r="AH1056" s="76"/>
    </row>
    <row r="1057" spans="1:34">
      <c r="A1057" s="217" t="s">
        <v>219</v>
      </c>
      <c r="B1057" s="182"/>
      <c r="C1057" s="234">
        <v>12</v>
      </c>
      <c r="D1057" s="252">
        <v>60</v>
      </c>
      <c r="E1057" s="252"/>
      <c r="F1057" s="236">
        <f>ROUND(D1057*$C1057,0)</f>
        <v>720</v>
      </c>
      <c r="G1057" s="252">
        <f>$G$783</f>
        <v>0</v>
      </c>
      <c r="H1057" s="252"/>
      <c r="I1057" s="236">
        <f>ROUND(C1057*G1057*$G$1049,0)</f>
        <v>0</v>
      </c>
      <c r="J1057" s="252"/>
      <c r="K1057" s="236"/>
      <c r="L1057" s="236">
        <f>ROUND(J1057*$C1057,0)</f>
        <v>0</v>
      </c>
      <c r="N1057" s="76"/>
      <c r="O1057" s="76"/>
      <c r="P1057" s="144"/>
      <c r="Q1057" s="144"/>
      <c r="R1057" s="76"/>
      <c r="S1057" s="76"/>
      <c r="T1057" s="76"/>
      <c r="U1057" s="76"/>
      <c r="V1057" s="76"/>
      <c r="W1057" s="76"/>
      <c r="X1057" s="76"/>
      <c r="Y1057" s="76"/>
      <c r="Z1057" s="76"/>
      <c r="AA1057" s="76"/>
      <c r="AB1057" s="76"/>
      <c r="AC1057" s="76"/>
      <c r="AD1057" s="76"/>
      <c r="AE1057" s="76"/>
      <c r="AF1057" s="76"/>
      <c r="AG1057" s="76"/>
      <c r="AH1057" s="76"/>
    </row>
    <row r="1058" spans="1:34">
      <c r="A1058" s="217" t="s">
        <v>188</v>
      </c>
      <c r="B1058" s="182"/>
      <c r="C1058" s="234">
        <f>C1044</f>
        <v>675081</v>
      </c>
      <c r="D1058" s="252">
        <v>-0.75</v>
      </c>
      <c r="E1058" s="236"/>
      <c r="F1058" s="236">
        <f>ROUND(D1058*$C1058,0)</f>
        <v>-506311</v>
      </c>
      <c r="G1058" s="252">
        <f>$G$784</f>
        <v>0</v>
      </c>
      <c r="H1058" s="252"/>
      <c r="I1058" s="236">
        <f>ROUND(C1058*G1058*$G$1049,0)</f>
        <v>0</v>
      </c>
      <c r="J1058" s="252"/>
      <c r="K1058" s="236"/>
      <c r="L1058" s="236">
        <f>ROUND(J1058*$C1058,0)</f>
        <v>0</v>
      </c>
      <c r="N1058" s="76"/>
      <c r="O1058" s="76"/>
      <c r="P1058" s="144"/>
      <c r="Q1058" s="144"/>
      <c r="R1058" s="76"/>
      <c r="S1058" s="76"/>
      <c r="T1058" s="76"/>
      <c r="U1058" s="76"/>
      <c r="V1058" s="76"/>
      <c r="W1058" s="76"/>
      <c r="X1058" s="76"/>
      <c r="Y1058" s="76"/>
      <c r="Z1058" s="76"/>
      <c r="AA1058" s="76"/>
      <c r="AB1058" s="76"/>
      <c r="AC1058" s="76"/>
      <c r="AD1058" s="76"/>
      <c r="AE1058" s="76"/>
      <c r="AF1058" s="76"/>
      <c r="AG1058" s="76"/>
      <c r="AH1058" s="76"/>
    </row>
    <row r="1059" spans="1:34">
      <c r="A1059" s="182" t="s">
        <v>131</v>
      </c>
      <c r="B1059" s="182"/>
      <c r="C1059" s="234">
        <f>C1047</f>
        <v>435959095</v>
      </c>
      <c r="D1059" s="244"/>
      <c r="E1059" s="164"/>
      <c r="F1059" s="164">
        <f>SUM(F1040:F1058)</f>
        <v>19179038</v>
      </c>
      <c r="G1059" s="244"/>
      <c r="H1059" s="244"/>
      <c r="I1059" s="164">
        <f>SUM(I1040:I1058)</f>
        <v>20209156</v>
      </c>
      <c r="J1059" s="244"/>
      <c r="K1059" s="182"/>
      <c r="L1059" s="164">
        <f>SUM(L1040:L1058)</f>
        <v>22775016</v>
      </c>
      <c r="N1059" s="76"/>
      <c r="O1059" s="76"/>
      <c r="P1059" s="144"/>
      <c r="Q1059" s="144"/>
      <c r="R1059" s="76"/>
      <c r="S1059" s="76"/>
      <c r="T1059" s="76"/>
      <c r="U1059" s="76"/>
      <c r="V1059" s="76"/>
      <c r="W1059" s="76"/>
      <c r="X1059" s="76"/>
      <c r="Y1059" s="76"/>
      <c r="Z1059" s="76"/>
      <c r="AA1059" s="76"/>
      <c r="AB1059" s="76"/>
      <c r="AC1059" s="76"/>
      <c r="AD1059" s="76"/>
      <c r="AE1059" s="76"/>
      <c r="AF1059" s="76"/>
      <c r="AG1059" s="76"/>
      <c r="AH1059" s="76"/>
    </row>
    <row r="1060" spans="1:34">
      <c r="A1060" s="182" t="s">
        <v>114</v>
      </c>
      <c r="B1060" s="182"/>
      <c r="C1060" s="234">
        <v>8853557.5304461848</v>
      </c>
      <c r="D1060" s="217"/>
      <c r="E1060" s="217"/>
      <c r="F1060" s="256">
        <v>575118.38460182748</v>
      </c>
      <c r="G1060" s="217"/>
      <c r="H1060" s="217"/>
      <c r="I1060" s="256">
        <f>F1060</f>
        <v>575118.38460182748</v>
      </c>
      <c r="J1060" s="217"/>
      <c r="K1060" s="217"/>
      <c r="L1060" s="256">
        <f>F1060</f>
        <v>575118.38460182748</v>
      </c>
      <c r="N1060" s="196"/>
      <c r="O1060" s="196"/>
      <c r="P1060" s="194"/>
      <c r="Q1060" s="335">
        <v>0.12685122944934993</v>
      </c>
      <c r="R1060" s="76"/>
      <c r="S1060" s="76"/>
      <c r="T1060" s="76"/>
      <c r="U1060" s="76"/>
      <c r="V1060" s="76"/>
      <c r="W1060" s="76"/>
      <c r="X1060" s="76"/>
      <c r="Y1060" s="76"/>
      <c r="Z1060" s="76"/>
      <c r="AA1060" s="76"/>
      <c r="AB1060" s="76"/>
      <c r="AC1060" s="76"/>
      <c r="AD1060" s="76"/>
      <c r="AE1060" s="76"/>
      <c r="AF1060" s="76"/>
      <c r="AG1060" s="76"/>
      <c r="AH1060" s="76"/>
    </row>
    <row r="1061" spans="1:34" ht="16.5" thickBot="1">
      <c r="A1061" s="182" t="s">
        <v>132</v>
      </c>
      <c r="B1061" s="182"/>
      <c r="C1061" s="323">
        <f>SUM(C1059)+C1060</f>
        <v>444812652.53044617</v>
      </c>
      <c r="D1061" s="258"/>
      <c r="E1061" s="259"/>
      <c r="F1061" s="260">
        <f>F1059+F1060</f>
        <v>19754156.384601828</v>
      </c>
      <c r="G1061" s="258"/>
      <c r="H1061" s="258"/>
      <c r="I1061" s="260">
        <f>I1059+I1060</f>
        <v>20784274.384601828</v>
      </c>
      <c r="J1061" s="258"/>
      <c r="K1061" s="262"/>
      <c r="L1061" s="260">
        <f>L1059+L1060</f>
        <v>23350134.384601828</v>
      </c>
      <c r="N1061" s="197"/>
      <c r="O1061" s="179" t="s">
        <v>116</v>
      </c>
      <c r="P1061" s="180">
        <v>23350118.610593557</v>
      </c>
      <c r="Q1061" s="176">
        <f>(L1061-I1061)/I1061</f>
        <v>0.12345198838892038</v>
      </c>
      <c r="R1061" s="88" t="s">
        <v>117</v>
      </c>
      <c r="S1061" s="76"/>
      <c r="T1061" s="76"/>
      <c r="U1061" s="76"/>
      <c r="V1061" s="76"/>
      <c r="W1061" s="76"/>
      <c r="X1061" s="76"/>
      <c r="Y1061" s="76"/>
      <c r="Z1061" s="76"/>
      <c r="AA1061" s="76"/>
      <c r="AB1061" s="76"/>
      <c r="AC1061" s="76"/>
      <c r="AD1061" s="76"/>
      <c r="AE1061" s="76"/>
      <c r="AF1061" s="76"/>
      <c r="AG1061" s="76"/>
      <c r="AH1061" s="76"/>
    </row>
    <row r="1062" spans="1:34" ht="16.5" thickTop="1">
      <c r="A1062" s="182"/>
      <c r="B1062" s="182"/>
      <c r="C1062" s="200"/>
      <c r="D1062" s="252"/>
      <c r="E1062" s="164"/>
      <c r="F1062" s="304" t="s">
        <v>0</v>
      </c>
      <c r="G1062" s="252"/>
      <c r="H1062" s="252"/>
      <c r="I1062" s="164"/>
      <c r="J1062" s="275" t="s">
        <v>0</v>
      </c>
      <c r="K1062" s="182"/>
      <c r="L1062" s="164" t="s">
        <v>0</v>
      </c>
      <c r="N1062" s="76"/>
      <c r="O1062" s="183" t="s">
        <v>118</v>
      </c>
      <c r="P1062" s="222">
        <f>P1061-L1061</f>
        <v>-15.774008270353079</v>
      </c>
      <c r="Q1062" s="144"/>
      <c r="R1062" s="76"/>
      <c r="S1062" s="76"/>
      <c r="T1062" s="76"/>
      <c r="U1062" s="76"/>
      <c r="V1062" s="76"/>
      <c r="W1062" s="76"/>
      <c r="X1062" s="76"/>
      <c r="Y1062" s="76"/>
      <c r="Z1062" s="76"/>
      <c r="AA1062" s="76"/>
      <c r="AB1062" s="76"/>
      <c r="AC1062" s="76"/>
      <c r="AD1062" s="76"/>
      <c r="AE1062" s="76"/>
      <c r="AF1062" s="76"/>
      <c r="AG1062" s="76"/>
      <c r="AH1062" s="76"/>
    </row>
    <row r="1063" spans="1:34">
      <c r="A1063" s="199" t="s">
        <v>235</v>
      </c>
      <c r="B1063" s="182"/>
      <c r="C1063" s="182"/>
      <c r="D1063" s="182"/>
      <c r="E1063" s="182"/>
      <c r="F1063" s="164"/>
      <c r="G1063" s="182"/>
      <c r="H1063" s="182"/>
      <c r="I1063" s="164"/>
      <c r="J1063" s="182"/>
      <c r="K1063" s="182"/>
      <c r="L1063" s="182"/>
      <c r="N1063" s="76"/>
      <c r="O1063" s="76"/>
      <c r="P1063" s="144"/>
      <c r="Q1063" s="144"/>
      <c r="R1063" s="76"/>
      <c r="S1063" s="76"/>
      <c r="T1063" s="76"/>
      <c r="U1063" s="76"/>
      <c r="V1063" s="76"/>
      <c r="W1063" s="76"/>
      <c r="X1063" s="76"/>
      <c r="Y1063" s="76"/>
      <c r="Z1063" s="76"/>
      <c r="AA1063" s="76"/>
      <c r="AB1063" s="76"/>
      <c r="AC1063" s="76"/>
      <c r="AD1063" s="76"/>
      <c r="AE1063" s="76"/>
      <c r="AF1063" s="76"/>
      <c r="AG1063" s="76"/>
      <c r="AH1063" s="76"/>
    </row>
    <row r="1064" spans="1:34">
      <c r="A1064" s="182" t="s">
        <v>236</v>
      </c>
      <c r="B1064" s="182"/>
      <c r="C1064" s="182"/>
      <c r="D1064" s="182"/>
      <c r="E1064" s="182"/>
      <c r="F1064" s="164"/>
      <c r="G1064" s="182"/>
      <c r="H1064" s="182"/>
      <c r="I1064" s="164"/>
      <c r="J1064" s="182"/>
      <c r="K1064" s="182"/>
      <c r="L1064" s="182"/>
      <c r="N1064" s="186"/>
      <c r="O1064" s="186"/>
      <c r="P1064" s="186"/>
      <c r="Q1064" s="186"/>
      <c r="R1064" s="186"/>
      <c r="S1064" s="186"/>
      <c r="T1064" s="186"/>
      <c r="U1064" s="186"/>
      <c r="V1064" s="186"/>
      <c r="W1064" s="186"/>
      <c r="X1064" s="186"/>
      <c r="Y1064" s="186"/>
      <c r="Z1064" s="186"/>
      <c r="AA1064" s="186"/>
      <c r="AB1064" s="186"/>
      <c r="AC1064" s="186"/>
      <c r="AD1064" s="76"/>
      <c r="AE1064" s="76"/>
      <c r="AF1064" s="76"/>
      <c r="AG1064" s="76"/>
      <c r="AH1064" s="76"/>
    </row>
    <row r="1065" spans="1:34">
      <c r="A1065" s="182" t="s">
        <v>237</v>
      </c>
      <c r="B1065" s="182"/>
      <c r="C1065" s="182"/>
      <c r="D1065" s="182"/>
      <c r="E1065" s="182"/>
      <c r="F1065" s="164"/>
      <c r="G1065" s="182"/>
      <c r="H1065" s="182"/>
      <c r="I1065" s="164"/>
      <c r="J1065" s="182"/>
      <c r="K1065" s="182"/>
      <c r="L1065" s="182"/>
      <c r="N1065" s="186"/>
      <c r="O1065" s="186"/>
      <c r="P1065" s="186"/>
      <c r="Q1065" s="186"/>
      <c r="R1065" s="186"/>
      <c r="S1065" s="186"/>
      <c r="T1065" s="186"/>
      <c r="U1065" s="186"/>
      <c r="V1065" s="186"/>
      <c r="W1065" s="186"/>
      <c r="X1065" s="186"/>
      <c r="Y1065" s="186"/>
      <c r="Z1065" s="186"/>
      <c r="AA1065" s="186"/>
      <c r="AB1065" s="186"/>
      <c r="AC1065" s="186"/>
      <c r="AD1065" s="76"/>
      <c r="AE1065" s="76"/>
      <c r="AF1065" s="76"/>
      <c r="AG1065" s="76"/>
      <c r="AH1065" s="76"/>
    </row>
    <row r="1066" spans="1:34">
      <c r="A1066" s="182" t="s">
        <v>238</v>
      </c>
      <c r="B1066" s="182"/>
      <c r="C1066" s="182"/>
      <c r="D1066" s="182"/>
      <c r="E1066" s="182"/>
      <c r="F1066" s="164"/>
      <c r="G1066" s="182"/>
      <c r="H1066" s="182"/>
      <c r="I1066" s="164"/>
      <c r="J1066" s="182"/>
      <c r="K1066" s="182"/>
      <c r="L1066" s="182"/>
      <c r="N1066" s="186"/>
      <c r="O1066" s="186"/>
      <c r="P1066" s="186"/>
      <c r="Q1066" s="144"/>
      <c r="R1066" s="187"/>
      <c r="S1066" s="187"/>
      <c r="T1066" s="188"/>
      <c r="U1066" s="188"/>
      <c r="V1066" s="188"/>
      <c r="W1066" s="188"/>
      <c r="X1066" s="189"/>
      <c r="Y1066" s="190"/>
      <c r="Z1066" s="186"/>
      <c r="AA1066" s="186"/>
      <c r="AB1066" s="186"/>
      <c r="AC1066" s="186"/>
      <c r="AD1066" s="76"/>
      <c r="AE1066" s="76"/>
      <c r="AF1066" s="76"/>
      <c r="AG1066" s="76"/>
      <c r="AH1066" s="76"/>
    </row>
    <row r="1067" spans="1:34">
      <c r="A1067" s="143" t="s">
        <v>107</v>
      </c>
      <c r="C1067" s="162">
        <v>14784</v>
      </c>
      <c r="D1067" s="163">
        <v>7.61</v>
      </c>
      <c r="F1067" s="164">
        <f t="shared" ref="F1067:F1076" si="174">ROUND(D1067*$C1067,0)</f>
        <v>112506</v>
      </c>
      <c r="G1067" s="163">
        <v>8.0299999999999994</v>
      </c>
      <c r="H1067" s="163"/>
      <c r="I1067" s="164">
        <f>ROUND(C1067*G1067,0)</f>
        <v>118716</v>
      </c>
      <c r="J1067" s="163">
        <f t="shared" ref="J1067:J1076" si="175">ROUND(G1067+(G1067*$Q$1087),2)</f>
        <v>8.4600000000000009</v>
      </c>
      <c r="L1067" s="164">
        <f>ROUND(J1067*$C1067,0)</f>
        <v>125073</v>
      </c>
      <c r="N1067" s="165" t="e">
        <f>J1067*#REF!</f>
        <v>#REF!</v>
      </c>
      <c r="Q1067" s="189"/>
      <c r="R1067" s="144"/>
      <c r="S1067" s="339"/>
      <c r="T1067" s="339"/>
      <c r="U1067" s="191"/>
      <c r="V1067" s="191"/>
      <c r="W1067" s="191"/>
      <c r="X1067" s="192"/>
      <c r="Y1067" s="186"/>
      <c r="Z1067" s="189"/>
      <c r="AA1067" s="189"/>
      <c r="AB1067" s="193"/>
      <c r="AC1067" s="189"/>
      <c r="AD1067" s="76"/>
      <c r="AE1067" s="76"/>
      <c r="AF1067" s="76"/>
      <c r="AG1067" s="76"/>
      <c r="AH1067" s="76"/>
    </row>
    <row r="1068" spans="1:34">
      <c r="A1068" s="143" t="s">
        <v>239</v>
      </c>
      <c r="C1068" s="162">
        <v>16071</v>
      </c>
      <c r="D1068" s="163">
        <v>9.1300000000000008</v>
      </c>
      <c r="F1068" s="164">
        <f t="shared" si="174"/>
        <v>146728</v>
      </c>
      <c r="G1068" s="163">
        <v>9.6300000000000008</v>
      </c>
      <c r="H1068" s="163"/>
      <c r="I1068" s="164">
        <f t="shared" ref="I1068:I1084" si="176">ROUND(C1068*G1068,0)</f>
        <v>154764</v>
      </c>
      <c r="J1068" s="163">
        <f t="shared" si="175"/>
        <v>10.15</v>
      </c>
      <c r="L1068" s="164">
        <f t="shared" ref="L1068:L1081" si="177">ROUND(J1068*$C1068,0)</f>
        <v>163121</v>
      </c>
      <c r="N1068" s="165" t="e">
        <f>J1068*#REF!</f>
        <v>#REF!</v>
      </c>
      <c r="Q1068" s="189"/>
      <c r="R1068" s="144"/>
      <c r="S1068" s="339"/>
      <c r="T1068" s="339"/>
      <c r="U1068" s="191"/>
      <c r="V1068" s="191"/>
      <c r="W1068" s="191"/>
      <c r="X1068" s="186"/>
      <c r="Y1068" s="186"/>
      <c r="Z1068" s="189"/>
      <c r="AA1068" s="189"/>
      <c r="AB1068" s="193"/>
      <c r="AC1068" s="189"/>
      <c r="AD1068" s="76"/>
      <c r="AE1068" s="76"/>
      <c r="AF1068" s="76"/>
      <c r="AG1068" s="76"/>
      <c r="AH1068" s="76"/>
    </row>
    <row r="1069" spans="1:34">
      <c r="A1069" s="143" t="s">
        <v>240</v>
      </c>
      <c r="C1069" s="162">
        <v>0</v>
      </c>
      <c r="D1069" s="163">
        <v>29.01</v>
      </c>
      <c r="F1069" s="164">
        <f t="shared" si="174"/>
        <v>0</v>
      </c>
      <c r="G1069" s="163">
        <v>30.59</v>
      </c>
      <c r="H1069" s="163"/>
      <c r="I1069" s="164">
        <f t="shared" si="176"/>
        <v>0</v>
      </c>
      <c r="J1069" s="163">
        <f t="shared" si="175"/>
        <v>32.24</v>
      </c>
      <c r="L1069" s="164">
        <f t="shared" si="177"/>
        <v>0</v>
      </c>
      <c r="N1069" s="165" t="e">
        <f>J1069*#REF!</f>
        <v>#REF!</v>
      </c>
      <c r="Q1069" s="189"/>
      <c r="R1069" s="144"/>
      <c r="S1069" s="339"/>
      <c r="T1069" s="339"/>
      <c r="U1069" s="191"/>
      <c r="V1069" s="191"/>
      <c r="W1069" s="191"/>
      <c r="X1069" s="186"/>
      <c r="Y1069" s="186"/>
      <c r="Z1069" s="189"/>
      <c r="AA1069" s="189"/>
      <c r="AB1069" s="193"/>
      <c r="AC1069" s="189"/>
      <c r="AD1069" s="76"/>
      <c r="AE1069" s="76"/>
      <c r="AF1069" s="76"/>
      <c r="AG1069" s="76"/>
      <c r="AH1069" s="76"/>
    </row>
    <row r="1070" spans="1:34">
      <c r="A1070" s="143" t="s">
        <v>241</v>
      </c>
      <c r="C1070" s="162">
        <v>0</v>
      </c>
      <c r="D1070" s="163">
        <v>22.56</v>
      </c>
      <c r="F1070" s="164">
        <f t="shared" si="174"/>
        <v>0</v>
      </c>
      <c r="G1070" s="163">
        <v>23.79</v>
      </c>
      <c r="H1070" s="163"/>
      <c r="I1070" s="164">
        <f t="shared" si="176"/>
        <v>0</v>
      </c>
      <c r="J1070" s="163">
        <f t="shared" si="175"/>
        <v>25.07</v>
      </c>
      <c r="L1070" s="164">
        <f t="shared" si="177"/>
        <v>0</v>
      </c>
      <c r="N1070" s="165" t="e">
        <f>J1070*#REF!</f>
        <v>#REF!</v>
      </c>
      <c r="Q1070" s="189"/>
      <c r="R1070" s="144"/>
      <c r="S1070" s="339"/>
      <c r="T1070" s="339"/>
      <c r="U1070" s="191"/>
      <c r="V1070" s="191"/>
      <c r="W1070" s="191"/>
      <c r="X1070" s="186"/>
      <c r="Y1070" s="186"/>
      <c r="Z1070" s="189"/>
      <c r="AA1070" s="189"/>
      <c r="AB1070" s="193"/>
      <c r="AC1070" s="189"/>
      <c r="AD1070" s="76"/>
      <c r="AE1070" s="76"/>
      <c r="AF1070" s="76"/>
      <c r="AG1070" s="76"/>
      <c r="AH1070" s="76"/>
    </row>
    <row r="1071" spans="1:34">
      <c r="A1071" s="143" t="s">
        <v>242</v>
      </c>
      <c r="C1071" s="162">
        <v>145</v>
      </c>
      <c r="D1071" s="163">
        <v>11.68</v>
      </c>
      <c r="F1071" s="164">
        <f t="shared" si="174"/>
        <v>1694</v>
      </c>
      <c r="G1071" s="163">
        <v>12.31</v>
      </c>
      <c r="H1071" s="163"/>
      <c r="I1071" s="164">
        <f t="shared" si="176"/>
        <v>1785</v>
      </c>
      <c r="J1071" s="163">
        <f t="shared" si="175"/>
        <v>12.97</v>
      </c>
      <c r="L1071" s="164">
        <f t="shared" si="177"/>
        <v>1881</v>
      </c>
      <c r="N1071" s="165" t="e">
        <f>J1071*#REF!</f>
        <v>#REF!</v>
      </c>
      <c r="Q1071" s="189"/>
      <c r="R1071" s="144"/>
      <c r="S1071" s="339"/>
      <c r="T1071" s="339"/>
      <c r="U1071" s="191"/>
      <c r="V1071" s="191"/>
      <c r="W1071" s="191"/>
      <c r="X1071" s="186"/>
      <c r="Y1071" s="186"/>
      <c r="Z1071" s="189"/>
      <c r="AA1071" s="189"/>
      <c r="AB1071" s="193"/>
      <c r="AC1071" s="189"/>
      <c r="AD1071" s="76"/>
      <c r="AE1071" s="76"/>
      <c r="AF1071" s="76"/>
      <c r="AG1071" s="76"/>
      <c r="AH1071" s="76"/>
    </row>
    <row r="1072" spans="1:34">
      <c r="A1072" s="143" t="s">
        <v>243</v>
      </c>
      <c r="C1072" s="162">
        <v>0</v>
      </c>
      <c r="D1072" s="163">
        <v>30.06</v>
      </c>
      <c r="F1072" s="164">
        <f t="shared" si="174"/>
        <v>0</v>
      </c>
      <c r="G1072" s="163">
        <v>31.69</v>
      </c>
      <c r="H1072" s="163"/>
      <c r="I1072" s="164">
        <f t="shared" si="176"/>
        <v>0</v>
      </c>
      <c r="J1072" s="163">
        <f t="shared" si="175"/>
        <v>33.4</v>
      </c>
      <c r="L1072" s="164">
        <f t="shared" si="177"/>
        <v>0</v>
      </c>
      <c r="N1072" s="165" t="e">
        <f>J1072*#REF!</f>
        <v>#REF!</v>
      </c>
      <c r="Q1072" s="189"/>
      <c r="R1072" s="144"/>
      <c r="S1072" s="339"/>
      <c r="T1072" s="339"/>
      <c r="U1072" s="191"/>
      <c r="V1072" s="191"/>
      <c r="W1072" s="191"/>
      <c r="X1072" s="186"/>
      <c r="Y1072" s="186"/>
      <c r="Z1072" s="189"/>
      <c r="AA1072" s="189"/>
      <c r="AB1072" s="193"/>
      <c r="AC1072" s="189"/>
      <c r="AD1072" s="76"/>
      <c r="AE1072" s="76"/>
      <c r="AF1072" s="76"/>
      <c r="AG1072" s="76"/>
      <c r="AH1072" s="76"/>
    </row>
    <row r="1073" spans="1:34">
      <c r="A1073" s="143" t="s">
        <v>244</v>
      </c>
      <c r="C1073" s="162">
        <v>0</v>
      </c>
      <c r="D1073" s="163">
        <v>23.65</v>
      </c>
      <c r="F1073" s="164">
        <f t="shared" si="174"/>
        <v>0</v>
      </c>
      <c r="G1073" s="163">
        <v>24.93</v>
      </c>
      <c r="H1073" s="163"/>
      <c r="I1073" s="164">
        <f t="shared" si="176"/>
        <v>0</v>
      </c>
      <c r="J1073" s="163">
        <f t="shared" si="175"/>
        <v>26.27</v>
      </c>
      <c r="L1073" s="164">
        <f t="shared" si="177"/>
        <v>0</v>
      </c>
      <c r="N1073" s="165" t="e">
        <f>J1073*#REF!</f>
        <v>#REF!</v>
      </c>
      <c r="Q1073" s="189"/>
      <c r="R1073" s="144"/>
      <c r="S1073" s="339"/>
      <c r="T1073" s="339"/>
      <c r="U1073" s="191"/>
      <c r="V1073" s="191"/>
      <c r="W1073" s="191"/>
      <c r="X1073" s="186"/>
      <c r="Y1073" s="186"/>
      <c r="Z1073" s="189"/>
      <c r="AA1073" s="189"/>
      <c r="AB1073" s="193"/>
      <c r="AC1073" s="189"/>
      <c r="AD1073" s="76"/>
      <c r="AE1073" s="76"/>
      <c r="AF1073" s="76"/>
      <c r="AG1073" s="76"/>
      <c r="AH1073" s="76"/>
    </row>
    <row r="1074" spans="1:34">
      <c r="A1074" s="143" t="s">
        <v>108</v>
      </c>
      <c r="C1074" s="162">
        <v>18326</v>
      </c>
      <c r="D1074" s="163">
        <v>13.33</v>
      </c>
      <c r="F1074" s="164">
        <f t="shared" si="174"/>
        <v>244286</v>
      </c>
      <c r="G1074" s="163">
        <v>14.05</v>
      </c>
      <c r="H1074" s="163"/>
      <c r="I1074" s="164">
        <f t="shared" si="176"/>
        <v>257480</v>
      </c>
      <c r="J1074" s="163">
        <f t="shared" si="175"/>
        <v>14.81</v>
      </c>
      <c r="L1074" s="164">
        <f t="shared" si="177"/>
        <v>271408</v>
      </c>
      <c r="N1074" s="165" t="e">
        <f>J1074*#REF!</f>
        <v>#REF!</v>
      </c>
      <c r="Q1074" s="189"/>
      <c r="R1074" s="144"/>
      <c r="S1074" s="339"/>
      <c r="T1074" s="339"/>
      <c r="U1074" s="191"/>
      <c r="V1074" s="191"/>
      <c r="W1074" s="191"/>
      <c r="X1074" s="186"/>
      <c r="Y1074" s="186"/>
      <c r="Z1074" s="189"/>
      <c r="AA1074" s="189"/>
      <c r="AB1074" s="193"/>
      <c r="AC1074" s="189"/>
      <c r="AD1074" s="76"/>
      <c r="AE1074" s="76"/>
      <c r="AF1074" s="76"/>
      <c r="AG1074" s="76"/>
      <c r="AH1074" s="76"/>
    </row>
    <row r="1075" spans="1:34">
      <c r="A1075" s="143" t="s">
        <v>245</v>
      </c>
      <c r="C1075" s="162">
        <v>278</v>
      </c>
      <c r="D1075" s="163">
        <v>16.91</v>
      </c>
      <c r="F1075" s="164">
        <f t="shared" si="174"/>
        <v>4701</v>
      </c>
      <c r="G1075" s="163">
        <v>17.829999999999998</v>
      </c>
      <c r="H1075" s="163"/>
      <c r="I1075" s="164">
        <f t="shared" si="176"/>
        <v>4957</v>
      </c>
      <c r="J1075" s="163">
        <f t="shared" si="175"/>
        <v>18.79</v>
      </c>
      <c r="L1075" s="164">
        <f t="shared" si="177"/>
        <v>5224</v>
      </c>
      <c r="N1075" s="165" t="e">
        <f>J1075*#REF!</f>
        <v>#REF!</v>
      </c>
      <c r="Q1075" s="189"/>
      <c r="R1075" s="144"/>
      <c r="S1075" s="339"/>
      <c r="T1075" s="339"/>
      <c r="U1075" s="191"/>
      <c r="V1075" s="191"/>
      <c r="W1075" s="191"/>
      <c r="X1075" s="186"/>
      <c r="Y1075" s="186"/>
      <c r="Z1075" s="189"/>
      <c r="AA1075" s="189"/>
      <c r="AB1075" s="193"/>
      <c r="AC1075" s="189"/>
      <c r="AD1075" s="76"/>
      <c r="AE1075" s="76"/>
      <c r="AF1075" s="76"/>
      <c r="AG1075" s="76"/>
      <c r="AH1075" s="76"/>
    </row>
    <row r="1076" spans="1:34">
      <c r="A1076" s="143" t="s">
        <v>109</v>
      </c>
      <c r="C1076" s="162">
        <v>1780</v>
      </c>
      <c r="D1076" s="163">
        <v>22.32</v>
      </c>
      <c r="F1076" s="164">
        <f t="shared" si="174"/>
        <v>39730</v>
      </c>
      <c r="G1076" s="163">
        <v>23.53</v>
      </c>
      <c r="H1076" s="163"/>
      <c r="I1076" s="164">
        <f t="shared" si="176"/>
        <v>41883</v>
      </c>
      <c r="J1076" s="163">
        <f t="shared" si="175"/>
        <v>24.8</v>
      </c>
      <c r="L1076" s="164">
        <f>ROUND(J1076*$C1076,0)</f>
        <v>44144</v>
      </c>
      <c r="N1076" s="165" t="e">
        <f>J1076*#REF!</f>
        <v>#REF!</v>
      </c>
      <c r="Q1076" s="189"/>
      <c r="R1076" s="144"/>
      <c r="S1076" s="339"/>
      <c r="T1076" s="339"/>
      <c r="U1076" s="191"/>
      <c r="V1076" s="191"/>
      <c r="W1076" s="191"/>
      <c r="X1076" s="186"/>
      <c r="Y1076" s="186"/>
      <c r="Z1076" s="189"/>
      <c r="AA1076" s="189"/>
      <c r="AB1076" s="193"/>
      <c r="AC1076" s="189"/>
      <c r="AD1076" s="76"/>
      <c r="AE1076" s="76"/>
      <c r="AF1076" s="76"/>
      <c r="AG1076" s="76"/>
      <c r="AH1076" s="76"/>
    </row>
    <row r="1077" spans="1:34" hidden="1">
      <c r="A1077" s="143" t="s">
        <v>246</v>
      </c>
      <c r="C1077" s="162"/>
      <c r="D1077" s="163"/>
      <c r="F1077" s="164"/>
      <c r="G1077" s="163"/>
      <c r="H1077" s="163"/>
      <c r="I1077" s="164"/>
      <c r="J1077" s="163"/>
      <c r="L1077" s="164"/>
      <c r="N1077" s="165"/>
      <c r="Q1077" s="189"/>
      <c r="R1077" s="144"/>
      <c r="S1077" s="339"/>
      <c r="T1077" s="339"/>
      <c r="U1077" s="191"/>
      <c r="V1077" s="191"/>
      <c r="W1077" s="191"/>
      <c r="X1077" s="186"/>
      <c r="Y1077" s="186"/>
      <c r="Z1077" s="189"/>
      <c r="AA1077" s="189"/>
      <c r="AB1077" s="193"/>
      <c r="AC1077" s="189"/>
      <c r="AD1077" s="76"/>
      <c r="AE1077" s="76"/>
      <c r="AF1077" s="76"/>
      <c r="AG1077" s="76"/>
      <c r="AH1077" s="76"/>
    </row>
    <row r="1078" spans="1:34" hidden="1">
      <c r="A1078" s="143" t="s">
        <v>247</v>
      </c>
      <c r="C1078" s="162">
        <v>0</v>
      </c>
      <c r="D1078" s="163">
        <v>29.33</v>
      </c>
      <c r="F1078" s="164">
        <f t="shared" ref="F1078:F1084" si="178">ROUND(D1078*$C1078,0)</f>
        <v>0</v>
      </c>
      <c r="G1078" s="163">
        <v>30.92</v>
      </c>
      <c r="H1078" s="163"/>
      <c r="I1078" s="164">
        <f t="shared" si="176"/>
        <v>0</v>
      </c>
      <c r="J1078" s="163">
        <f t="shared" ref="J1078:J1084" si="179">ROUND(G1078+(G1078*$Q$1087),2)</f>
        <v>32.590000000000003</v>
      </c>
      <c r="L1078" s="164">
        <f>ROUND(J1078*$C1078,0)</f>
        <v>0</v>
      </c>
      <c r="N1078" s="165" t="e">
        <f>J1078*#REF!</f>
        <v>#REF!</v>
      </c>
      <c r="Q1078" s="189"/>
      <c r="R1078" s="144"/>
      <c r="S1078" s="339"/>
      <c r="T1078" s="339"/>
      <c r="U1078" s="191"/>
      <c r="V1078" s="191"/>
      <c r="W1078" s="191"/>
      <c r="X1078" s="186"/>
      <c r="Y1078" s="186"/>
      <c r="Z1078" s="189"/>
      <c r="AA1078" s="189"/>
      <c r="AB1078" s="193"/>
      <c r="AC1078" s="189"/>
      <c r="AD1078" s="76"/>
      <c r="AE1078" s="76"/>
      <c r="AF1078" s="76"/>
      <c r="AG1078" s="76"/>
      <c r="AH1078" s="76"/>
    </row>
    <row r="1079" spans="1:34" hidden="1">
      <c r="A1079" s="143" t="s">
        <v>248</v>
      </c>
      <c r="C1079" s="162">
        <v>0</v>
      </c>
      <c r="D1079" s="163">
        <v>24.46</v>
      </c>
      <c r="F1079" s="164">
        <f t="shared" si="178"/>
        <v>0</v>
      </c>
      <c r="G1079" s="163">
        <v>25.79</v>
      </c>
      <c r="H1079" s="163"/>
      <c r="I1079" s="164">
        <f t="shared" si="176"/>
        <v>0</v>
      </c>
      <c r="J1079" s="163">
        <f t="shared" si="179"/>
        <v>27.18</v>
      </c>
      <c r="L1079" s="164">
        <f t="shared" si="177"/>
        <v>0</v>
      </c>
      <c r="N1079" s="165" t="e">
        <f>J1079*#REF!</f>
        <v>#REF!</v>
      </c>
      <c r="Q1079" s="189"/>
      <c r="R1079" s="144"/>
      <c r="S1079" s="339"/>
      <c r="T1079" s="339"/>
      <c r="U1079" s="191"/>
      <c r="V1079" s="191"/>
      <c r="W1079" s="191"/>
      <c r="X1079" s="186"/>
      <c r="Y1079" s="186"/>
      <c r="Z1079" s="189"/>
      <c r="AA1079" s="189"/>
      <c r="AB1079" s="193"/>
      <c r="AC1079" s="189"/>
      <c r="AD1079" s="76"/>
      <c r="AE1079" s="76"/>
      <c r="AF1079" s="76"/>
      <c r="AG1079" s="76"/>
      <c r="AH1079" s="76"/>
    </row>
    <row r="1080" spans="1:34" hidden="1">
      <c r="A1080" s="143" t="s">
        <v>249</v>
      </c>
      <c r="C1080" s="162">
        <v>0</v>
      </c>
      <c r="D1080" s="163">
        <v>22.55</v>
      </c>
      <c r="F1080" s="164">
        <f t="shared" si="178"/>
        <v>0</v>
      </c>
      <c r="G1080" s="163">
        <v>23.77</v>
      </c>
      <c r="H1080" s="163"/>
      <c r="I1080" s="164">
        <f t="shared" si="176"/>
        <v>0</v>
      </c>
      <c r="J1080" s="163">
        <f t="shared" si="179"/>
        <v>25.05</v>
      </c>
      <c r="L1080" s="164">
        <f>ROUND(J1080*$C1080,0)</f>
        <v>0</v>
      </c>
      <c r="N1080" s="165" t="e">
        <f>J1080*#REF!</f>
        <v>#REF!</v>
      </c>
      <c r="Q1080" s="189"/>
      <c r="R1080" s="144"/>
      <c r="S1080" s="339"/>
      <c r="T1080" s="339"/>
      <c r="U1080" s="191"/>
      <c r="V1080" s="191"/>
      <c r="W1080" s="191"/>
      <c r="X1080" s="186"/>
      <c r="Y1080" s="186"/>
      <c r="Z1080" s="189"/>
      <c r="AA1080" s="189"/>
      <c r="AB1080" s="193"/>
      <c r="AC1080" s="189"/>
      <c r="AD1080" s="76"/>
      <c r="AE1080" s="76"/>
      <c r="AF1080" s="76"/>
      <c r="AG1080" s="76"/>
      <c r="AH1080" s="76"/>
    </row>
    <row r="1081" spans="1:34" hidden="1">
      <c r="A1081" s="143" t="s">
        <v>250</v>
      </c>
      <c r="C1081" s="162">
        <v>0</v>
      </c>
      <c r="D1081" s="163">
        <v>32.950000000000003</v>
      </c>
      <c r="F1081" s="164">
        <f t="shared" si="178"/>
        <v>0</v>
      </c>
      <c r="G1081" s="163">
        <v>34.74</v>
      </c>
      <c r="H1081" s="163"/>
      <c r="I1081" s="164">
        <f t="shared" si="176"/>
        <v>0</v>
      </c>
      <c r="J1081" s="163">
        <f t="shared" si="179"/>
        <v>36.61</v>
      </c>
      <c r="L1081" s="164">
        <f t="shared" si="177"/>
        <v>0</v>
      </c>
      <c r="N1081" s="165" t="e">
        <f>J1081*#REF!</f>
        <v>#REF!</v>
      </c>
      <c r="Q1081" s="189"/>
      <c r="R1081" s="144"/>
      <c r="S1081" s="339"/>
      <c r="T1081" s="339"/>
      <c r="U1081" s="191"/>
      <c r="V1081" s="191"/>
      <c r="W1081" s="191"/>
      <c r="X1081" s="186"/>
      <c r="Y1081" s="186"/>
      <c r="Z1081" s="189"/>
      <c r="AA1081" s="189"/>
      <c r="AB1081" s="193"/>
      <c r="AC1081" s="189"/>
      <c r="AD1081" s="76"/>
      <c r="AE1081" s="76"/>
      <c r="AF1081" s="76"/>
      <c r="AG1081" s="76"/>
      <c r="AH1081" s="76"/>
    </row>
    <row r="1082" spans="1:34" hidden="1">
      <c r="A1082" s="143" t="s">
        <v>251</v>
      </c>
      <c r="C1082" s="162">
        <v>0</v>
      </c>
      <c r="D1082" s="163">
        <v>26.53</v>
      </c>
      <c r="F1082" s="164">
        <f t="shared" si="178"/>
        <v>0</v>
      </c>
      <c r="G1082" s="163">
        <v>27.97</v>
      </c>
      <c r="H1082" s="163"/>
      <c r="I1082" s="164">
        <f t="shared" si="176"/>
        <v>0</v>
      </c>
      <c r="J1082" s="163">
        <f t="shared" si="179"/>
        <v>29.48</v>
      </c>
      <c r="L1082" s="164">
        <f>ROUND(J1082*$C1082,0)</f>
        <v>0</v>
      </c>
      <c r="N1082" s="165" t="e">
        <f>J1082*#REF!</f>
        <v>#REF!</v>
      </c>
      <c r="Q1082" s="189"/>
      <c r="R1082" s="144"/>
      <c r="S1082" s="339"/>
      <c r="T1082" s="339"/>
      <c r="U1082" s="191"/>
      <c r="V1082" s="191"/>
      <c r="W1082" s="191"/>
      <c r="X1082" s="186"/>
      <c r="Y1082" s="186"/>
      <c r="Z1082" s="189"/>
      <c r="AA1082" s="189"/>
      <c r="AB1082" s="193"/>
      <c r="AC1082" s="189"/>
      <c r="AD1082" s="76"/>
      <c r="AE1082" s="76"/>
      <c r="AF1082" s="76"/>
      <c r="AG1082" s="76"/>
      <c r="AH1082" s="76"/>
    </row>
    <row r="1083" spans="1:34" hidden="1">
      <c r="A1083" s="143" t="s">
        <v>252</v>
      </c>
      <c r="C1083" s="162">
        <v>0</v>
      </c>
      <c r="D1083" s="163">
        <v>26.07</v>
      </c>
      <c r="F1083" s="164">
        <f t="shared" si="178"/>
        <v>0</v>
      </c>
      <c r="G1083" s="163">
        <v>27.49</v>
      </c>
      <c r="H1083" s="163"/>
      <c r="I1083" s="164">
        <f t="shared" si="176"/>
        <v>0</v>
      </c>
      <c r="J1083" s="163">
        <f t="shared" si="179"/>
        <v>28.97</v>
      </c>
      <c r="L1083" s="164">
        <f>ROUND(J1083*$C1083,0)</f>
        <v>0</v>
      </c>
      <c r="N1083" s="165" t="e">
        <f>J1083*#REF!</f>
        <v>#REF!</v>
      </c>
      <c r="Q1083" s="189"/>
      <c r="R1083" s="144"/>
      <c r="S1083" s="339"/>
      <c r="T1083" s="339"/>
      <c r="U1083" s="191"/>
      <c r="V1083" s="191"/>
      <c r="W1083" s="191"/>
      <c r="X1083" s="186"/>
      <c r="Y1083" s="186"/>
      <c r="Z1083" s="189"/>
      <c r="AA1083" s="189"/>
      <c r="AB1083" s="193"/>
      <c r="AC1083" s="189"/>
      <c r="AD1083" s="76"/>
      <c r="AE1083" s="76"/>
      <c r="AF1083" s="76"/>
      <c r="AG1083" s="76"/>
      <c r="AH1083" s="76"/>
    </row>
    <row r="1084" spans="1:34" hidden="1">
      <c r="A1084" s="143" t="s">
        <v>253</v>
      </c>
      <c r="C1084" s="162">
        <v>0</v>
      </c>
      <c r="D1084" s="163">
        <v>28.39</v>
      </c>
      <c r="F1084" s="164">
        <f t="shared" si="178"/>
        <v>0</v>
      </c>
      <c r="G1084" s="163">
        <v>29.93</v>
      </c>
      <c r="H1084" s="163"/>
      <c r="I1084" s="164">
        <f t="shared" si="176"/>
        <v>0</v>
      </c>
      <c r="J1084" s="163">
        <f t="shared" si="179"/>
        <v>31.54</v>
      </c>
      <c r="L1084" s="164">
        <f>ROUND(J1084*$C1084,0)</f>
        <v>0</v>
      </c>
      <c r="N1084" s="165" t="e">
        <f>J1084*#REF!</f>
        <v>#REF!</v>
      </c>
      <c r="Q1084" s="189"/>
      <c r="R1084" s="144"/>
      <c r="S1084" s="339"/>
      <c r="T1084" s="339"/>
      <c r="U1084" s="191"/>
      <c r="V1084" s="191"/>
      <c r="W1084" s="191"/>
      <c r="X1084" s="186"/>
      <c r="Y1084" s="186"/>
      <c r="Z1084" s="189"/>
      <c r="AA1084" s="189"/>
      <c r="AB1084" s="193"/>
      <c r="AC1084" s="189"/>
      <c r="AD1084" s="76"/>
      <c r="AE1084" s="76"/>
      <c r="AF1084" s="76"/>
      <c r="AG1084" s="76"/>
      <c r="AH1084" s="76"/>
    </row>
    <row r="1085" spans="1:34">
      <c r="A1085" s="143" t="s">
        <v>111</v>
      </c>
      <c r="C1085" s="162">
        <f>149*12</f>
        <v>1788</v>
      </c>
      <c r="D1085" s="163"/>
      <c r="F1085" s="164"/>
      <c r="G1085" s="163"/>
      <c r="H1085" s="163"/>
      <c r="I1085" s="164"/>
      <c r="J1085" s="163"/>
      <c r="L1085" s="164"/>
      <c r="Q1085" s="189"/>
      <c r="R1085" s="144"/>
      <c r="S1085" s="339"/>
      <c r="T1085" s="339"/>
      <c r="U1085" s="191"/>
      <c r="V1085" s="191"/>
      <c r="W1085" s="191"/>
      <c r="X1085" s="186"/>
      <c r="Y1085" s="186"/>
      <c r="Z1085" s="189"/>
      <c r="AA1085" s="189"/>
      <c r="AB1085" s="189"/>
      <c r="AC1085" s="189"/>
      <c r="AD1085" s="76"/>
      <c r="AE1085" s="76"/>
      <c r="AF1085" s="76"/>
      <c r="AG1085" s="76"/>
      <c r="AH1085" s="76"/>
    </row>
    <row r="1086" spans="1:34">
      <c r="A1086" s="143" t="s">
        <v>131</v>
      </c>
      <c r="C1086" s="162">
        <f>458261+707176+1557863+313385+9309+32010</f>
        <v>3078004</v>
      </c>
      <c r="D1086" s="170"/>
      <c r="E1086" s="76"/>
      <c r="F1086" s="174">
        <f>SUM(F1067:F1079)</f>
        <v>549645</v>
      </c>
      <c r="G1086" s="170"/>
      <c r="H1086" s="170"/>
      <c r="I1086" s="174">
        <f>SUM(I1067:I1079)</f>
        <v>579585</v>
      </c>
      <c r="J1086" s="170"/>
      <c r="K1086" s="76"/>
      <c r="L1086" s="174">
        <f>SUM(L1067:L1079)</f>
        <v>610851</v>
      </c>
      <c r="N1086" s="165" t="e">
        <f>SUM(N1067:N1085)</f>
        <v>#REF!</v>
      </c>
      <c r="Q1086" s="189"/>
      <c r="R1086" s="340"/>
      <c r="S1086" s="76"/>
      <c r="T1086" s="76"/>
      <c r="U1086" s="194"/>
      <c r="V1086" s="194"/>
      <c r="W1086" s="194"/>
      <c r="X1086" s="186"/>
      <c r="Y1086" s="186"/>
      <c r="Z1086" s="195"/>
      <c r="AA1086" s="186"/>
      <c r="AB1086" s="186"/>
      <c r="AC1086" s="186"/>
      <c r="AD1086" s="76"/>
      <c r="AE1086" s="76"/>
      <c r="AF1086" s="76"/>
      <c r="AG1086" s="76"/>
      <c r="AH1086" s="76"/>
    </row>
    <row r="1087" spans="1:34">
      <c r="A1087" s="143" t="s">
        <v>114</v>
      </c>
      <c r="C1087" s="162">
        <v>231745.05296345425</v>
      </c>
      <c r="D1087" s="170"/>
      <c r="E1087" s="76"/>
      <c r="F1087" s="174">
        <v>43841.938017816792</v>
      </c>
      <c r="G1087" s="170"/>
      <c r="H1087" s="170"/>
      <c r="I1087" s="174">
        <f>F1087</f>
        <v>43841.938017816792</v>
      </c>
      <c r="J1087" s="170"/>
      <c r="K1087" s="76"/>
      <c r="L1087" s="174">
        <f>F1087</f>
        <v>43841.938017816792</v>
      </c>
      <c r="N1087" s="257"/>
      <c r="O1087" s="257"/>
      <c r="Q1087" s="176">
        <v>5.3900000000000003E-2</v>
      </c>
      <c r="R1087" s="339"/>
      <c r="S1087" s="76"/>
      <c r="T1087" s="76"/>
      <c r="U1087" s="76"/>
      <c r="V1087" s="76"/>
      <c r="W1087" s="76"/>
      <c r="X1087" s="189"/>
      <c r="Y1087" s="186"/>
      <c r="Z1087" s="76"/>
      <c r="AA1087" s="76"/>
      <c r="AB1087" s="76"/>
      <c r="AC1087" s="76"/>
      <c r="AD1087" s="76"/>
      <c r="AE1087" s="76"/>
      <c r="AF1087" s="76"/>
      <c r="AG1087" s="76"/>
      <c r="AH1087" s="76"/>
    </row>
    <row r="1088" spans="1:34" ht="16.5" thickBot="1">
      <c r="A1088" s="143" t="s">
        <v>115</v>
      </c>
      <c r="C1088" s="177">
        <f>C1086+C1087</f>
        <v>3309749.0529634543</v>
      </c>
      <c r="D1088" s="178"/>
      <c r="E1088" s="178"/>
      <c r="F1088" s="178">
        <f>F1086+F1087</f>
        <v>593486.93801781675</v>
      </c>
      <c r="G1088" s="178"/>
      <c r="H1088" s="178"/>
      <c r="I1088" s="178">
        <f>I1086+I1087</f>
        <v>623426.93801781675</v>
      </c>
      <c r="J1088" s="178"/>
      <c r="K1088" s="178"/>
      <c r="L1088" s="178">
        <f>L1086+L1087</f>
        <v>654692.93801781675</v>
      </c>
      <c r="N1088" s="263"/>
      <c r="O1088" s="341" t="s">
        <v>157</v>
      </c>
      <c r="P1088" s="342">
        <v>654598.28491870756</v>
      </c>
      <c r="Q1088" s="176">
        <f>(L1088-I1088)/I1088</f>
        <v>5.0151827092056865E-2</v>
      </c>
      <c r="R1088" s="88" t="s">
        <v>117</v>
      </c>
      <c r="X1088" s="186"/>
      <c r="Y1088" s="186"/>
      <c r="Z1088" s="76"/>
      <c r="AA1088" s="76"/>
      <c r="AB1088" s="76"/>
      <c r="AC1088" s="76"/>
      <c r="AD1088" s="76"/>
      <c r="AE1088" s="76"/>
      <c r="AF1088" s="76"/>
      <c r="AG1088" s="76"/>
      <c r="AH1088" s="76"/>
    </row>
    <row r="1089" spans="1:34" ht="16.5" thickTop="1">
      <c r="A1089" s="182"/>
      <c r="B1089" s="182"/>
      <c r="C1089" s="200"/>
      <c r="D1089" s="200"/>
      <c r="E1089" s="200"/>
      <c r="F1089" s="164"/>
      <c r="G1089" s="200"/>
      <c r="H1089" s="200"/>
      <c r="I1089" s="164"/>
      <c r="J1089" s="200" t="s">
        <v>0</v>
      </c>
      <c r="K1089" s="200"/>
      <c r="L1089" s="164" t="s">
        <v>0</v>
      </c>
      <c r="N1089" s="343"/>
      <c r="O1089" s="344" t="s">
        <v>118</v>
      </c>
      <c r="P1089" s="222">
        <f>P1088-L1088</f>
        <v>-94.65309910918586</v>
      </c>
      <c r="Q1089" s="88" t="s">
        <v>0</v>
      </c>
      <c r="R1089" s="343"/>
      <c r="S1089" s="343"/>
      <c r="T1089" s="343"/>
      <c r="U1089" s="343"/>
      <c r="V1089" s="343"/>
      <c r="W1089" s="343"/>
      <c r="X1089" s="186"/>
      <c r="Y1089" s="186"/>
      <c r="Z1089" s="76"/>
      <c r="AA1089" s="76"/>
      <c r="AB1089" s="76"/>
      <c r="AC1089" s="76"/>
      <c r="AD1089" s="76"/>
      <c r="AE1089" s="76"/>
      <c r="AF1089" s="76"/>
      <c r="AG1089" s="76"/>
      <c r="AH1089" s="76"/>
    </row>
    <row r="1090" spans="1:34">
      <c r="A1090" s="199" t="s">
        <v>254</v>
      </c>
      <c r="B1090" s="182"/>
      <c r="C1090" s="182"/>
      <c r="D1090" s="182"/>
      <c r="E1090" s="182"/>
      <c r="F1090" s="182"/>
      <c r="G1090" s="182"/>
      <c r="H1090" s="182"/>
      <c r="I1090" s="182"/>
      <c r="J1090" s="182"/>
      <c r="K1090" s="182"/>
      <c r="L1090" s="182"/>
      <c r="N1090" s="186"/>
      <c r="O1090" s="186"/>
      <c r="P1090" s="194"/>
      <c r="Q1090" s="186"/>
      <c r="R1090" s="76"/>
      <c r="S1090" s="76"/>
      <c r="T1090" s="76"/>
      <c r="U1090" s="76"/>
      <c r="V1090" s="76"/>
      <c r="W1090" s="76"/>
      <c r="X1090" s="76"/>
      <c r="Y1090" s="186"/>
      <c r="Z1090" s="186"/>
      <c r="AA1090" s="186"/>
      <c r="AB1090" s="186"/>
      <c r="AC1090" s="186"/>
      <c r="AD1090" s="76"/>
      <c r="AE1090" s="76"/>
      <c r="AF1090" s="76"/>
      <c r="AG1090" s="76"/>
      <c r="AH1090" s="76"/>
    </row>
    <row r="1091" spans="1:34">
      <c r="A1091" s="182" t="s">
        <v>255</v>
      </c>
      <c r="B1091" s="182"/>
      <c r="C1091" s="182"/>
      <c r="D1091" s="182"/>
      <c r="E1091" s="182"/>
      <c r="F1091" s="182"/>
      <c r="G1091" s="182"/>
      <c r="H1091" s="182"/>
      <c r="I1091" s="182"/>
      <c r="J1091" s="182"/>
      <c r="K1091" s="182"/>
      <c r="L1091" s="182"/>
      <c r="N1091" s="76"/>
      <c r="O1091" s="76"/>
      <c r="P1091" s="144"/>
      <c r="Q1091" s="144"/>
      <c r="R1091" s="76"/>
      <c r="S1091" s="76"/>
      <c r="T1091" s="76"/>
      <c r="U1091" s="76"/>
      <c r="V1091" s="76"/>
      <c r="W1091" s="76"/>
      <c r="X1091" s="76"/>
      <c r="Y1091" s="186"/>
      <c r="Z1091" s="186"/>
      <c r="AA1091" s="186"/>
      <c r="AB1091" s="186"/>
      <c r="AC1091" s="186"/>
      <c r="AD1091" s="76"/>
      <c r="AE1091" s="76"/>
      <c r="AF1091" s="76"/>
      <c r="AG1091" s="76"/>
      <c r="AH1091" s="76"/>
    </row>
    <row r="1092" spans="1:34">
      <c r="A1092" s="182"/>
      <c r="B1092" s="182"/>
      <c r="C1092" s="182"/>
      <c r="D1092" s="182"/>
      <c r="E1092" s="182"/>
      <c r="F1092" s="182"/>
      <c r="G1092" s="182"/>
      <c r="H1092" s="182"/>
      <c r="I1092" s="182"/>
      <c r="J1092" s="182"/>
      <c r="K1092" s="182"/>
      <c r="L1092" s="182"/>
      <c r="N1092" s="76"/>
      <c r="O1092" s="76"/>
      <c r="P1092" s="144"/>
      <c r="Q1092" s="144" t="s">
        <v>0</v>
      </c>
      <c r="R1092" s="76"/>
      <c r="S1092" s="76"/>
      <c r="T1092" s="76"/>
      <c r="U1092" s="76"/>
      <c r="V1092" s="76"/>
      <c r="W1092" s="76"/>
      <c r="X1092" s="76"/>
      <c r="Y1092" s="186"/>
      <c r="Z1092" s="186"/>
      <c r="AA1092" s="186"/>
      <c r="AB1092" s="186"/>
      <c r="AC1092" s="186"/>
      <c r="AD1092" s="76"/>
      <c r="AE1092" s="76"/>
      <c r="AF1092" s="76"/>
      <c r="AG1092" s="76"/>
      <c r="AH1092" s="76"/>
    </row>
    <row r="1093" spans="1:34">
      <c r="A1093" s="182" t="s">
        <v>256</v>
      </c>
      <c r="B1093" s="182"/>
      <c r="C1093" s="200"/>
      <c r="D1093" s="204"/>
      <c r="E1093" s="182"/>
      <c r="F1093" s="164">
        <v>29610.35</v>
      </c>
      <c r="G1093" s="204"/>
      <c r="H1093" s="204"/>
      <c r="I1093" s="164">
        <f>F1093</f>
        <v>29610.35</v>
      </c>
      <c r="J1093" s="204"/>
      <c r="K1093" s="182"/>
      <c r="L1093" s="164">
        <f>F1093</f>
        <v>29610.35</v>
      </c>
      <c r="N1093" s="165">
        <f>L1093</f>
        <v>29610.35</v>
      </c>
      <c r="O1093" s="76"/>
      <c r="P1093" s="144"/>
      <c r="Q1093" s="144" t="s">
        <v>0</v>
      </c>
      <c r="R1093" s="76"/>
      <c r="S1093" s="76"/>
      <c r="T1093" s="76"/>
      <c r="U1093" s="76"/>
      <c r="V1093" s="76"/>
      <c r="W1093" s="76"/>
      <c r="X1093" s="76"/>
      <c r="Y1093" s="76"/>
      <c r="Z1093" s="76"/>
      <c r="AA1093" s="76"/>
      <c r="AB1093" s="76"/>
      <c r="AC1093" s="76"/>
      <c r="AD1093" s="76"/>
      <c r="AE1093" s="76"/>
      <c r="AF1093" s="76"/>
      <c r="AG1093" s="76"/>
      <c r="AH1093" s="76"/>
    </row>
    <row r="1094" spans="1:34">
      <c r="A1094" s="182" t="s">
        <v>257</v>
      </c>
      <c r="B1094" s="182"/>
      <c r="C1094" s="162">
        <v>443078</v>
      </c>
      <c r="D1094" s="345">
        <v>6.4050000000000002</v>
      </c>
      <c r="E1094" s="182" t="s">
        <v>126</v>
      </c>
      <c r="F1094" s="346">
        <f>ROUND(C1094*D1094/100,0)</f>
        <v>28379</v>
      </c>
      <c r="G1094" s="345">
        <v>7.0739999999999998</v>
      </c>
      <c r="H1094" s="345"/>
      <c r="I1094" s="346">
        <f>ROUND(G1094*C1094/100,0)</f>
        <v>31343</v>
      </c>
      <c r="J1094" s="345">
        <v>7.8140000000000001</v>
      </c>
      <c r="K1094" s="182" t="s">
        <v>126</v>
      </c>
      <c r="L1094" s="164">
        <f>ROUND(J1094*$C1094/100,0)</f>
        <v>34622</v>
      </c>
      <c r="N1094" s="165" t="e">
        <f>(J1094/100)*#REF!</f>
        <v>#REF!</v>
      </c>
      <c r="O1094" s="76"/>
      <c r="P1094" s="144"/>
      <c r="Q1094" s="144"/>
      <c r="R1094" s="76"/>
      <c r="S1094" s="76"/>
      <c r="T1094" s="76"/>
      <c r="U1094" s="76"/>
      <c r="V1094" s="76"/>
      <c r="W1094" s="76"/>
      <c r="X1094" s="76"/>
      <c r="Y1094" s="76"/>
      <c r="Z1094" s="76"/>
      <c r="AA1094" s="76"/>
      <c r="AB1094" s="76"/>
      <c r="AC1094" s="76"/>
      <c r="AD1094" s="76"/>
      <c r="AE1094" s="76"/>
      <c r="AF1094" s="76"/>
      <c r="AG1094" s="76"/>
      <c r="AH1094" s="76"/>
    </row>
    <row r="1095" spans="1:34">
      <c r="A1095" s="182" t="s">
        <v>258</v>
      </c>
      <c r="B1095" s="182"/>
      <c r="C1095" s="162">
        <v>0</v>
      </c>
      <c r="D1095" s="345">
        <v>7.1669999999999998</v>
      </c>
      <c r="E1095" s="182" t="s">
        <v>126</v>
      </c>
      <c r="F1095" s="346">
        <f>ROUND(C1095*D1095/100,0)</f>
        <v>0</v>
      </c>
      <c r="G1095" s="345">
        <v>7.9160000000000004</v>
      </c>
      <c r="H1095" s="345"/>
      <c r="I1095" s="346">
        <f>ROUND(G1095*C1095/100,0)</f>
        <v>0</v>
      </c>
      <c r="J1095" s="345">
        <f>ROUND(G1095/G1094*J1094,3)</f>
        <v>8.7439999999999998</v>
      </c>
      <c r="K1095" s="182" t="s">
        <v>126</v>
      </c>
      <c r="L1095" s="164">
        <f>ROUND(J1095*$C1095/100,0)</f>
        <v>0</v>
      </c>
      <c r="N1095" s="165" t="e">
        <f>(J1095/100)*#REF!</f>
        <v>#REF!</v>
      </c>
      <c r="O1095" s="76"/>
      <c r="P1095" s="144"/>
      <c r="Q1095" s="76"/>
      <c r="R1095" s="76"/>
      <c r="S1095" s="76"/>
      <c r="T1095" s="76"/>
      <c r="U1095" s="76"/>
      <c r="V1095" s="76"/>
      <c r="W1095" s="76"/>
      <c r="X1095" s="76"/>
      <c r="Y1095" s="76"/>
      <c r="Z1095" s="76"/>
      <c r="AA1095" s="76"/>
      <c r="AB1095" s="76"/>
      <c r="AC1095" s="76"/>
      <c r="AD1095" s="76"/>
      <c r="AE1095" s="76"/>
      <c r="AF1095" s="76"/>
      <c r="AG1095" s="76"/>
      <c r="AH1095" s="76"/>
    </row>
    <row r="1096" spans="1:34">
      <c r="A1096" s="182" t="s">
        <v>111</v>
      </c>
      <c r="B1096" s="182"/>
      <c r="C1096" s="162">
        <f>20*12</f>
        <v>240</v>
      </c>
      <c r="D1096" s="347"/>
      <c r="E1096" s="182"/>
      <c r="F1096" s="164"/>
      <c r="G1096" s="347"/>
      <c r="H1096" s="347"/>
      <c r="I1096" s="164"/>
      <c r="J1096" s="347"/>
      <c r="K1096" s="182"/>
      <c r="L1096" s="164"/>
      <c r="N1096" s="76"/>
      <c r="O1096" s="76"/>
      <c r="P1096" s="144"/>
      <c r="Q1096" s="144"/>
      <c r="R1096" s="76"/>
      <c r="S1096" s="76"/>
      <c r="T1096" s="76"/>
      <c r="U1096" s="76"/>
      <c r="V1096" s="76"/>
      <c r="W1096" s="76"/>
      <c r="X1096" s="76"/>
      <c r="Y1096" s="76"/>
      <c r="Z1096" s="76"/>
      <c r="AA1096" s="76"/>
      <c r="AB1096" s="76"/>
      <c r="AC1096" s="76"/>
      <c r="AD1096" s="76"/>
      <c r="AE1096" s="76"/>
      <c r="AF1096" s="76"/>
      <c r="AG1096" s="76"/>
      <c r="AH1096" s="76"/>
    </row>
    <row r="1097" spans="1:34">
      <c r="A1097" s="143" t="s">
        <v>259</v>
      </c>
      <c r="C1097" s="162">
        <f>SUM(C1094:C1095)</f>
        <v>443078</v>
      </c>
      <c r="D1097" s="170"/>
      <c r="E1097" s="76"/>
      <c r="F1097" s="174">
        <f>SUM(F1093:F1095)</f>
        <v>57989.35</v>
      </c>
      <c r="G1097" s="170"/>
      <c r="H1097" s="170"/>
      <c r="I1097" s="174">
        <f>SUM(I1093:I1095)</f>
        <v>60953.35</v>
      </c>
      <c r="J1097" s="170"/>
      <c r="K1097" s="76"/>
      <c r="L1097" s="174">
        <f>SUM(L1093:L1095)</f>
        <v>64232.35</v>
      </c>
      <c r="N1097" s="267" t="e">
        <f>SUM(N1093:N1096)</f>
        <v>#REF!</v>
      </c>
      <c r="O1097" s="76"/>
      <c r="P1097" s="144"/>
      <c r="Q1097" s="144"/>
      <c r="R1097" s="76"/>
      <c r="S1097" s="76"/>
      <c r="T1097" s="76"/>
      <c r="U1097" s="76"/>
      <c r="V1097" s="76"/>
      <c r="W1097" s="76"/>
      <c r="X1097" s="76"/>
      <c r="Y1097" s="76"/>
      <c r="Z1097" s="76"/>
      <c r="AA1097" s="76"/>
      <c r="AB1097" s="76"/>
      <c r="AC1097" s="76"/>
      <c r="AD1097" s="76"/>
      <c r="AE1097" s="76"/>
      <c r="AF1097" s="76"/>
      <c r="AG1097" s="76"/>
      <c r="AH1097" s="76"/>
    </row>
    <row r="1098" spans="1:34">
      <c r="A1098" s="143" t="s">
        <v>260</v>
      </c>
      <c r="C1098" s="162">
        <v>33359.656026952456</v>
      </c>
      <c r="D1098" s="170"/>
      <c r="E1098" s="76"/>
      <c r="F1098" s="174">
        <v>4625.5377344443132</v>
      </c>
      <c r="G1098" s="170"/>
      <c r="H1098" s="170"/>
      <c r="I1098" s="174">
        <f>F1098</f>
        <v>4625.5377344443132</v>
      </c>
      <c r="J1098" s="170"/>
      <c r="K1098" s="76"/>
      <c r="L1098" s="174">
        <f>F1098</f>
        <v>4625.5377344443132</v>
      </c>
      <c r="N1098" s="257"/>
      <c r="O1098" s="257"/>
      <c r="P1098" s="297"/>
      <c r="Q1098" s="144"/>
      <c r="R1098" s="76"/>
      <c r="S1098" s="76"/>
      <c r="T1098" s="76"/>
      <c r="U1098" s="76"/>
      <c r="V1098" s="76"/>
      <c r="W1098" s="76"/>
      <c r="X1098" s="76"/>
      <c r="Y1098" s="76"/>
      <c r="Z1098" s="76"/>
      <c r="AA1098" s="76"/>
      <c r="AB1098" s="76"/>
      <c r="AC1098" s="76"/>
      <c r="AD1098" s="76"/>
      <c r="AE1098" s="76"/>
      <c r="AF1098" s="76"/>
      <c r="AG1098" s="76"/>
      <c r="AH1098" s="76"/>
    </row>
    <row r="1099" spans="1:34" ht="16.5" thickBot="1">
      <c r="A1099" s="182" t="s">
        <v>115</v>
      </c>
      <c r="B1099" s="182"/>
      <c r="C1099" s="323">
        <f>C1097+C1098</f>
        <v>476437.65602695243</v>
      </c>
      <c r="D1099" s="348"/>
      <c r="E1099" s="349"/>
      <c r="F1099" s="178">
        <f>F1097+F1098</f>
        <v>62614.88773444431</v>
      </c>
      <c r="G1099" s="348"/>
      <c r="H1099" s="348"/>
      <c r="I1099" s="178">
        <f>I1097+I1098</f>
        <v>65578.887734444317</v>
      </c>
      <c r="J1099" s="348"/>
      <c r="K1099" s="349"/>
      <c r="L1099" s="178">
        <f>L1097+L1098</f>
        <v>68857.887734444317</v>
      </c>
      <c r="N1099" s="263"/>
      <c r="O1099" s="341" t="s">
        <v>157</v>
      </c>
      <c r="P1099" s="264">
        <v>68857.832121166532</v>
      </c>
      <c r="Q1099" s="176">
        <f>(L1099-I1099)/I1099</f>
        <v>5.0000848036307194E-2</v>
      </c>
      <c r="R1099" s="88" t="s">
        <v>117</v>
      </c>
      <c r="S1099" s="76"/>
      <c r="T1099" s="76"/>
      <c r="U1099" s="76"/>
      <c r="V1099" s="76"/>
      <c r="W1099" s="76"/>
      <c r="X1099" s="76"/>
      <c r="Y1099" s="76"/>
      <c r="Z1099" s="76"/>
      <c r="AA1099" s="76"/>
      <c r="AB1099" s="76"/>
      <c r="AC1099" s="76"/>
      <c r="AD1099" s="76"/>
      <c r="AE1099" s="76"/>
      <c r="AF1099" s="76"/>
      <c r="AG1099" s="76"/>
      <c r="AH1099" s="76"/>
    </row>
    <row r="1100" spans="1:34" ht="16.5" thickTop="1">
      <c r="A1100" s="182"/>
      <c r="B1100" s="182"/>
      <c r="C1100" s="182"/>
      <c r="D1100" s="317"/>
      <c r="E1100" s="182"/>
      <c r="F1100" s="182"/>
      <c r="G1100" s="317"/>
      <c r="H1100" s="317"/>
      <c r="I1100" s="182"/>
      <c r="J1100" s="317" t="s">
        <v>0</v>
      </c>
      <c r="K1100" s="182"/>
      <c r="L1100" s="164" t="s">
        <v>0</v>
      </c>
      <c r="N1100" s="76"/>
      <c r="O1100" s="344" t="s">
        <v>118</v>
      </c>
      <c r="P1100" s="265">
        <f>P1099-L1099</f>
        <v>-5.5613277785596438E-2</v>
      </c>
      <c r="Q1100" s="88" t="s">
        <v>0</v>
      </c>
      <c r="R1100" s="76"/>
      <c r="S1100" s="76"/>
      <c r="T1100" s="76"/>
      <c r="U1100" s="76"/>
      <c r="V1100" s="76"/>
      <c r="W1100" s="76"/>
      <c r="X1100" s="76"/>
      <c r="Y1100" s="76"/>
      <c r="Z1100" s="76"/>
      <c r="AA1100" s="76"/>
      <c r="AB1100" s="76"/>
      <c r="AC1100" s="76"/>
      <c r="AD1100" s="76"/>
      <c r="AE1100" s="76"/>
      <c r="AF1100" s="76"/>
      <c r="AG1100" s="76"/>
      <c r="AH1100" s="76"/>
    </row>
    <row r="1101" spans="1:34">
      <c r="A1101" s="199" t="s">
        <v>261</v>
      </c>
      <c r="B1101" s="182"/>
      <c r="C1101" s="182"/>
      <c r="D1101" s="182"/>
      <c r="E1101" s="182"/>
      <c r="F1101" s="182"/>
      <c r="G1101" s="182"/>
      <c r="H1101" s="182"/>
      <c r="I1101" s="182"/>
      <c r="J1101" s="182"/>
      <c r="K1101" s="182"/>
      <c r="L1101" s="182"/>
      <c r="N1101" s="76"/>
      <c r="O1101" s="76"/>
      <c r="P1101" s="144"/>
      <c r="Q1101" s="144"/>
      <c r="R1101" s="76"/>
      <c r="S1101" s="76"/>
      <c r="T1101" s="76"/>
      <c r="U1101" s="76"/>
      <c r="V1101" s="76"/>
      <c r="W1101" s="76"/>
      <c r="X1101" s="76"/>
      <c r="Y1101" s="76"/>
      <c r="Z1101" s="76"/>
      <c r="AA1101" s="76"/>
      <c r="AB1101" s="76"/>
      <c r="AC1101" s="76"/>
      <c r="AD1101" s="76"/>
      <c r="AE1101" s="76"/>
      <c r="AF1101" s="76"/>
      <c r="AG1101" s="76"/>
      <c r="AH1101" s="76"/>
    </row>
    <row r="1102" spans="1:34">
      <c r="A1102" s="182" t="s">
        <v>262</v>
      </c>
      <c r="B1102" s="182"/>
      <c r="C1102" s="182"/>
      <c r="D1102" s="182"/>
      <c r="E1102" s="182"/>
      <c r="F1102" s="182"/>
      <c r="G1102" s="182"/>
      <c r="H1102" s="182"/>
      <c r="I1102" s="182"/>
      <c r="J1102" s="182"/>
      <c r="K1102" s="182"/>
      <c r="L1102" s="182"/>
      <c r="N1102" s="76"/>
      <c r="O1102" s="76"/>
      <c r="P1102" s="144"/>
      <c r="Q1102" s="144"/>
      <c r="R1102" s="76"/>
      <c r="S1102" s="76"/>
      <c r="T1102" s="76"/>
      <c r="U1102" s="76"/>
      <c r="V1102" s="76"/>
      <c r="W1102" s="76"/>
      <c r="X1102" s="76"/>
      <c r="Y1102" s="76"/>
      <c r="Z1102" s="76"/>
      <c r="AA1102" s="76"/>
      <c r="AB1102" s="76"/>
      <c r="AC1102" s="76"/>
      <c r="AD1102" s="76"/>
      <c r="AE1102" s="76"/>
      <c r="AF1102" s="76"/>
      <c r="AG1102" s="76"/>
      <c r="AH1102" s="76"/>
    </row>
    <row r="1103" spans="1:34">
      <c r="A1103" s="182"/>
      <c r="B1103" s="182"/>
      <c r="C1103" s="182"/>
      <c r="D1103" s="317"/>
      <c r="E1103" s="182"/>
      <c r="F1103" s="182"/>
      <c r="G1103" s="317"/>
      <c r="H1103" s="317"/>
      <c r="I1103" s="182"/>
      <c r="J1103" s="317"/>
      <c r="K1103" s="182"/>
      <c r="L1103" s="182"/>
      <c r="N1103" s="76"/>
      <c r="O1103" s="76"/>
      <c r="P1103" s="144"/>
      <c r="Q1103" s="144"/>
      <c r="R1103" s="76"/>
      <c r="S1103" s="76"/>
      <c r="T1103" s="76"/>
      <c r="U1103" s="76"/>
      <c r="V1103" s="76"/>
      <c r="W1103" s="76"/>
      <c r="X1103" s="76"/>
      <c r="Y1103" s="76"/>
      <c r="Z1103" s="76"/>
      <c r="AA1103" s="76"/>
      <c r="AB1103" s="76"/>
      <c r="AC1103" s="76"/>
      <c r="AD1103" s="76"/>
      <c r="AE1103" s="76"/>
      <c r="AF1103" s="76"/>
      <c r="AG1103" s="76"/>
      <c r="AH1103" s="76"/>
    </row>
    <row r="1104" spans="1:34">
      <c r="A1104" s="182" t="s">
        <v>256</v>
      </c>
      <c r="B1104" s="182"/>
      <c r="C1104" s="200"/>
      <c r="D1104" s="204"/>
      <c r="E1104" s="182"/>
      <c r="F1104" s="164">
        <f>F1115+F1141</f>
        <v>2348.96</v>
      </c>
      <c r="G1104" s="204"/>
      <c r="H1104" s="204"/>
      <c r="I1104" s="164">
        <f>I1115+I1141</f>
        <v>2348.96</v>
      </c>
      <c r="J1104" s="204"/>
      <c r="K1104" s="182"/>
      <c r="L1104" s="164">
        <f>F1104</f>
        <v>2348.96</v>
      </c>
      <c r="N1104" s="267">
        <f>L1104</f>
        <v>2348.96</v>
      </c>
      <c r="O1104" s="76"/>
      <c r="P1104" s="144"/>
      <c r="Q1104" s="144"/>
      <c r="R1104" s="76"/>
      <c r="S1104" s="76"/>
      <c r="T1104" s="76"/>
      <c r="U1104" s="76"/>
      <c r="V1104" s="76"/>
      <c r="W1104" s="76"/>
      <c r="X1104" s="76"/>
      <c r="Y1104" s="76"/>
      <c r="Z1104" s="76"/>
      <c r="AA1104" s="76"/>
      <c r="AB1104" s="76"/>
      <c r="AC1104" s="76"/>
      <c r="AD1104" s="76"/>
      <c r="AE1104" s="76"/>
      <c r="AF1104" s="76"/>
      <c r="AG1104" s="76"/>
      <c r="AH1104" s="76"/>
    </row>
    <row r="1105" spans="1:34">
      <c r="A1105" s="182" t="s">
        <v>263</v>
      </c>
      <c r="B1105" s="182"/>
      <c r="C1105" s="162">
        <f>C1131+C1142+C1143</f>
        <v>2628090</v>
      </c>
      <c r="D1105" s="345">
        <v>6.1459999999999999</v>
      </c>
      <c r="E1105" s="182" t="s">
        <v>126</v>
      </c>
      <c r="F1105" s="346">
        <f>F1131+F1142+F1143</f>
        <v>161522</v>
      </c>
      <c r="G1105" s="345">
        <v>6.4820000000000002</v>
      </c>
      <c r="H1105" s="345"/>
      <c r="I1105" s="346">
        <f>I1131+I1142</f>
        <v>95388</v>
      </c>
      <c r="J1105" s="345">
        <f>ROUND(G1105+(G1105*Q1109),3)</f>
        <v>6.8330000000000002</v>
      </c>
      <c r="K1105" s="182" t="s">
        <v>126</v>
      </c>
      <c r="L1105" s="164">
        <f>L1131+L1143</f>
        <v>179577</v>
      </c>
      <c r="N1105" s="165" t="e">
        <f>(J1105/100)*#REF!</f>
        <v>#REF!</v>
      </c>
      <c r="O1105" s="76"/>
      <c r="P1105" s="144"/>
      <c r="Q1105" s="144"/>
      <c r="R1105" s="76"/>
      <c r="S1105" s="76"/>
      <c r="T1105" s="76"/>
      <c r="U1105" s="76"/>
      <c r="V1105" s="76"/>
      <c r="W1105" s="76"/>
      <c r="X1105" s="76"/>
      <c r="Y1105" s="76"/>
      <c r="Z1105" s="76"/>
      <c r="AA1105" s="76"/>
      <c r="AB1105" s="76"/>
      <c r="AC1105" s="76"/>
      <c r="AD1105" s="76"/>
      <c r="AE1105" s="76"/>
      <c r="AF1105" s="76"/>
      <c r="AG1105" s="76"/>
      <c r="AH1105" s="76"/>
    </row>
    <row r="1106" spans="1:34">
      <c r="A1106" s="182" t="s">
        <v>264</v>
      </c>
      <c r="B1106" s="182"/>
      <c r="C1106" s="162">
        <f>C1132</f>
        <v>2198595</v>
      </c>
      <c r="D1106" s="350">
        <f>D1105</f>
        <v>6.1459999999999999</v>
      </c>
      <c r="E1106" s="182" t="s">
        <v>126</v>
      </c>
      <c r="F1106" s="346">
        <f>SUM(F1117:F1129)</f>
        <v>135087.81</v>
      </c>
      <c r="G1106" s="350">
        <f>G1105</f>
        <v>6.4820000000000002</v>
      </c>
      <c r="H1106" s="350"/>
      <c r="I1106" s="346">
        <f>I1132+I1143</f>
        <v>74965</v>
      </c>
      <c r="J1106" s="350">
        <f>J1105</f>
        <v>6.8330000000000002</v>
      </c>
      <c r="K1106" s="182" t="s">
        <v>126</v>
      </c>
      <c r="L1106" s="164">
        <f>L1117+L1118+L1119+L1120+L1121+L1122+L1125+L1126+L1127+L1128+L1129</f>
        <v>150234.83999999997</v>
      </c>
      <c r="N1106" s="165" t="e">
        <f>(J1106/100)*#REF!</f>
        <v>#REF!</v>
      </c>
      <c r="O1106" s="76"/>
      <c r="P1106" s="144"/>
      <c r="Q1106" s="144"/>
      <c r="R1106" s="76"/>
      <c r="S1106" s="76"/>
      <c r="T1106" s="76"/>
      <c r="U1106" s="76"/>
      <c r="V1106" s="76"/>
      <c r="W1106" s="76"/>
      <c r="X1106" s="76"/>
      <c r="Y1106" s="76"/>
      <c r="Z1106" s="76"/>
      <c r="AA1106" s="76"/>
      <c r="AB1106" s="76"/>
      <c r="AC1106" s="76"/>
      <c r="AD1106" s="76"/>
      <c r="AE1106" s="76"/>
      <c r="AF1106" s="76"/>
      <c r="AG1106" s="76"/>
      <c r="AH1106" s="76"/>
    </row>
    <row r="1107" spans="1:34">
      <c r="A1107" s="182" t="s">
        <v>111</v>
      </c>
      <c r="B1107" s="182"/>
      <c r="C1107" s="162">
        <f t="shared" ref="C1107:C1109" si="180">C1133+C1144</f>
        <v>2400</v>
      </c>
      <c r="D1107" s="347"/>
      <c r="E1107" s="182"/>
      <c r="F1107" s="164"/>
      <c r="G1107" s="347"/>
      <c r="H1107" s="347"/>
      <c r="I1107" s="164"/>
      <c r="J1107" s="347"/>
      <c r="K1107" s="182"/>
      <c r="L1107" s="164"/>
      <c r="N1107" s="76"/>
      <c r="O1107" s="76"/>
      <c r="P1107" s="144"/>
      <c r="Q1107" s="144"/>
      <c r="R1107" s="76"/>
      <c r="S1107" s="76"/>
      <c r="T1107" s="76"/>
      <c r="U1107" s="76"/>
      <c r="V1107" s="76"/>
      <c r="W1107" s="76"/>
      <c r="X1107" s="76"/>
      <c r="Y1107" s="76"/>
      <c r="Z1107" s="76"/>
      <c r="AA1107" s="76"/>
      <c r="AB1107" s="76"/>
      <c r="AC1107" s="76"/>
      <c r="AD1107" s="76"/>
      <c r="AE1107" s="76"/>
      <c r="AF1107" s="76"/>
      <c r="AG1107" s="76"/>
      <c r="AH1107" s="76"/>
    </row>
    <row r="1108" spans="1:34">
      <c r="A1108" s="143" t="s">
        <v>259</v>
      </c>
      <c r="C1108" s="162">
        <f t="shared" si="180"/>
        <v>4826685</v>
      </c>
      <c r="D1108" s="170"/>
      <c r="E1108" s="76"/>
      <c r="F1108" s="174">
        <f>F1104+F1105+F1106</f>
        <v>298958.77</v>
      </c>
      <c r="G1108" s="170"/>
      <c r="H1108" s="170"/>
      <c r="I1108" s="174">
        <f>I1134+I1145</f>
        <v>315234.58999999997</v>
      </c>
      <c r="J1108" s="170"/>
      <c r="K1108" s="76"/>
      <c r="L1108" s="174">
        <f>L1134+L1145</f>
        <v>332160.8</v>
      </c>
      <c r="N1108" s="267" t="e">
        <f>SUM(N1104:N1107)</f>
        <v>#REF!</v>
      </c>
      <c r="O1108" s="76"/>
      <c r="P1108" s="144"/>
      <c r="Q1108" s="144"/>
      <c r="R1108" s="76"/>
      <c r="S1108" s="76"/>
      <c r="T1108" s="76"/>
      <c r="U1108" s="76"/>
      <c r="V1108" s="76"/>
      <c r="W1108" s="76"/>
      <c r="X1108" s="76"/>
      <c r="Y1108" s="76"/>
      <c r="Z1108" s="76"/>
      <c r="AA1108" s="76"/>
      <c r="AB1108" s="76"/>
      <c r="AC1108" s="76"/>
      <c r="AD1108" s="76"/>
      <c r="AE1108" s="76"/>
      <c r="AF1108" s="76"/>
      <c r="AG1108" s="76"/>
      <c r="AH1108" s="76"/>
    </row>
    <row r="1109" spans="1:34">
      <c r="A1109" s="143" t="s">
        <v>260</v>
      </c>
      <c r="C1109" s="162">
        <f t="shared" si="180"/>
        <v>363404.47336163465</v>
      </c>
      <c r="D1109" s="170"/>
      <c r="E1109" s="76"/>
      <c r="F1109" s="174">
        <f>F1135+F1146</f>
        <v>23872.312887340791</v>
      </c>
      <c r="G1109" s="170"/>
      <c r="H1109" s="170"/>
      <c r="I1109" s="174">
        <f>I1135+I1146</f>
        <v>23872.312887340791</v>
      </c>
      <c r="J1109" s="170"/>
      <c r="K1109" s="76"/>
      <c r="L1109" s="174">
        <f>F1109</f>
        <v>23872.312887340791</v>
      </c>
      <c r="N1109" s="257"/>
      <c r="O1109" s="257"/>
      <c r="P1109" s="297"/>
      <c r="Q1109" s="335">
        <v>5.4199999999999998E-2</v>
      </c>
      <c r="R1109" s="76"/>
      <c r="S1109" s="76"/>
      <c r="T1109" s="76"/>
      <c r="U1109" s="76"/>
      <c r="V1109" s="76"/>
      <c r="W1109" s="76"/>
      <c r="X1109" s="76"/>
      <c r="Y1109" s="76"/>
      <c r="Z1109" s="76"/>
      <c r="AA1109" s="76"/>
      <c r="AB1109" s="76"/>
      <c r="AC1109" s="76"/>
      <c r="AD1109" s="76"/>
      <c r="AE1109" s="76"/>
      <c r="AF1109" s="76"/>
      <c r="AG1109" s="76"/>
      <c r="AH1109" s="76"/>
    </row>
    <row r="1110" spans="1:34" ht="16.5" thickBot="1">
      <c r="A1110" s="182" t="s">
        <v>115</v>
      </c>
      <c r="B1110" s="182"/>
      <c r="C1110" s="323">
        <f>C1108+C1109</f>
        <v>5190089.4733616346</v>
      </c>
      <c r="D1110" s="348"/>
      <c r="E1110" s="349"/>
      <c r="F1110" s="178">
        <f>F1108+F1109</f>
        <v>322831.0828873408</v>
      </c>
      <c r="G1110" s="348"/>
      <c r="H1110" s="348"/>
      <c r="I1110" s="178">
        <f>I1108+I1109</f>
        <v>339106.90288734075</v>
      </c>
      <c r="J1110" s="348"/>
      <c r="K1110" s="349"/>
      <c r="L1110" s="178">
        <f>L1108+L1109</f>
        <v>356033.11288734077</v>
      </c>
      <c r="N1110" s="263"/>
      <c r="O1110" s="341" t="s">
        <v>157</v>
      </c>
      <c r="P1110" s="264">
        <v>356062.24803170783</v>
      </c>
      <c r="Q1110" s="176">
        <f>(L1110-I1110)/I1110</f>
        <v>4.9914082715158715E-2</v>
      </c>
      <c r="R1110" s="88" t="s">
        <v>117</v>
      </c>
      <c r="S1110" s="76"/>
      <c r="T1110" s="76"/>
      <c r="U1110" s="76"/>
      <c r="V1110" s="76"/>
      <c r="W1110" s="76"/>
      <c r="X1110" s="76"/>
      <c r="Y1110" s="76"/>
      <c r="Z1110" s="76"/>
      <c r="AA1110" s="76"/>
      <c r="AB1110" s="76"/>
      <c r="AC1110" s="76"/>
      <c r="AD1110" s="76"/>
      <c r="AE1110" s="76"/>
      <c r="AF1110" s="76"/>
      <c r="AG1110" s="76"/>
      <c r="AH1110" s="76"/>
    </row>
    <row r="1111" spans="1:34" ht="16.5" thickTop="1">
      <c r="A1111" s="182"/>
      <c r="B1111" s="182"/>
      <c r="C1111" s="314"/>
      <c r="D1111" s="351"/>
      <c r="E1111" s="274"/>
      <c r="F1111" s="225"/>
      <c r="G1111" s="351"/>
      <c r="H1111" s="351"/>
      <c r="I1111" s="225"/>
      <c r="J1111" s="351" t="s">
        <v>0</v>
      </c>
      <c r="K1111" s="274"/>
      <c r="L1111" s="225" t="s">
        <v>0</v>
      </c>
      <c r="N1111" s="76"/>
      <c r="O1111" s="344" t="s">
        <v>118</v>
      </c>
      <c r="P1111" s="265">
        <f>P1110-L1110</f>
        <v>29.135144367057364</v>
      </c>
      <c r="R1111" s="76"/>
      <c r="S1111" s="76"/>
      <c r="T1111" s="76"/>
      <c r="U1111" s="76"/>
      <c r="V1111" s="76"/>
      <c r="W1111" s="76"/>
      <c r="X1111" s="76"/>
      <c r="Y1111" s="76"/>
      <c r="Z1111" s="76"/>
      <c r="AA1111" s="76"/>
      <c r="AB1111" s="76"/>
      <c r="AC1111" s="76"/>
      <c r="AD1111" s="76"/>
      <c r="AE1111" s="76"/>
      <c r="AF1111" s="76"/>
      <c r="AG1111" s="76"/>
      <c r="AH1111" s="76"/>
    </row>
    <row r="1112" spans="1:34">
      <c r="A1112" s="199" t="s">
        <v>265</v>
      </c>
      <c r="B1112" s="182"/>
      <c r="C1112" s="182"/>
      <c r="D1112" s="182"/>
      <c r="E1112" s="182"/>
      <c r="F1112" s="182"/>
      <c r="G1112" s="182"/>
      <c r="H1112" s="182"/>
      <c r="I1112" s="182"/>
      <c r="J1112" s="182"/>
      <c r="K1112" s="182"/>
      <c r="L1112" s="182"/>
      <c r="N1112" s="267"/>
      <c r="O1112" s="267"/>
      <c r="P1112" s="144"/>
      <c r="Q1112" s="144"/>
      <c r="R1112" s="76"/>
      <c r="S1112" s="76"/>
      <c r="T1112" s="76"/>
      <c r="U1112" s="76"/>
      <c r="V1112" s="76"/>
      <c r="W1112" s="76"/>
      <c r="X1112" s="76"/>
      <c r="Y1112" s="76"/>
      <c r="Z1112" s="76"/>
      <c r="AA1112" s="76"/>
      <c r="AB1112" s="76"/>
      <c r="AC1112" s="76"/>
      <c r="AD1112" s="76"/>
      <c r="AE1112" s="76"/>
      <c r="AF1112" s="76"/>
      <c r="AG1112" s="76"/>
      <c r="AH1112" s="76"/>
    </row>
    <row r="1113" spans="1:34">
      <c r="A1113" s="182" t="s">
        <v>266</v>
      </c>
      <c r="B1113" s="182"/>
      <c r="C1113" s="182"/>
      <c r="D1113" s="182"/>
      <c r="E1113" s="182"/>
      <c r="F1113" s="182"/>
      <c r="G1113" s="182"/>
      <c r="H1113" s="182"/>
      <c r="I1113" s="182"/>
      <c r="J1113" s="182"/>
      <c r="K1113" s="182"/>
      <c r="L1113" s="182"/>
      <c r="N1113" s="76"/>
      <c r="O1113" s="76"/>
      <c r="P1113" s="144"/>
      <c r="Q1113" s="144"/>
      <c r="R1113" s="76"/>
      <c r="S1113" s="76"/>
      <c r="T1113" s="76"/>
      <c r="U1113" s="76"/>
      <c r="V1113" s="76"/>
      <c r="W1113" s="76"/>
      <c r="X1113" s="76"/>
      <c r="Y1113" s="76"/>
      <c r="Z1113" s="76"/>
      <c r="AA1113" s="76"/>
      <c r="AB1113" s="76"/>
      <c r="AC1113" s="76"/>
      <c r="AD1113" s="76"/>
      <c r="AE1113" s="76"/>
      <c r="AF1113" s="76"/>
      <c r="AG1113" s="76"/>
      <c r="AH1113" s="76"/>
    </row>
    <row r="1114" spans="1:34">
      <c r="A1114" s="182"/>
      <c r="B1114" s="182"/>
      <c r="C1114" s="182"/>
      <c r="D1114" s="317"/>
      <c r="E1114" s="182"/>
      <c r="F1114" s="182"/>
      <c r="G1114" s="317"/>
      <c r="H1114" s="317"/>
      <c r="I1114" s="182"/>
      <c r="J1114" s="317"/>
      <c r="K1114" s="182"/>
      <c r="L1114" s="182"/>
      <c r="N1114" s="76"/>
      <c r="O1114" s="76"/>
      <c r="P1114" s="144"/>
      <c r="Q1114" s="144"/>
      <c r="R1114" s="76"/>
      <c r="S1114" s="76"/>
      <c r="T1114" s="76"/>
      <c r="U1114" s="76"/>
      <c r="V1114" s="76"/>
      <c r="W1114" s="76"/>
      <c r="X1114" s="76"/>
      <c r="Y1114" s="76"/>
      <c r="Z1114" s="76"/>
      <c r="AA1114" s="76"/>
      <c r="AB1114" s="76"/>
      <c r="AC1114" s="76"/>
      <c r="AD1114" s="76"/>
      <c r="AE1114" s="76"/>
      <c r="AF1114" s="76"/>
      <c r="AG1114" s="76"/>
      <c r="AH1114" s="76"/>
    </row>
    <row r="1115" spans="1:34">
      <c r="A1115" s="182" t="s">
        <v>256</v>
      </c>
      <c r="B1115" s="182"/>
      <c r="C1115" s="200"/>
      <c r="D1115" s="204"/>
      <c r="E1115" s="182"/>
      <c r="F1115" s="164">
        <v>2348.96</v>
      </c>
      <c r="G1115" s="204"/>
      <c r="H1115" s="204"/>
      <c r="I1115" s="164">
        <f>F1115</f>
        <v>2348.96</v>
      </c>
      <c r="J1115" s="204"/>
      <c r="K1115" s="182"/>
      <c r="L1115" s="164">
        <f>I1115</f>
        <v>2348.96</v>
      </c>
      <c r="N1115" s="76"/>
      <c r="O1115" s="76"/>
      <c r="P1115" s="144"/>
      <c r="Q1115" s="144"/>
      <c r="R1115" s="76"/>
      <c r="S1115" s="76"/>
      <c r="T1115" s="76"/>
      <c r="U1115" s="76"/>
      <c r="V1115" s="76"/>
      <c r="W1115" s="76"/>
      <c r="X1115" s="76"/>
      <c r="Y1115" s="76"/>
      <c r="Z1115" s="76"/>
      <c r="AA1115" s="76"/>
      <c r="AB1115" s="76"/>
      <c r="AC1115" s="76"/>
      <c r="AD1115" s="76"/>
      <c r="AE1115" s="76"/>
      <c r="AF1115" s="76"/>
      <c r="AG1115" s="76"/>
      <c r="AH1115" s="76"/>
    </row>
    <row r="1116" spans="1:34">
      <c r="A1116" s="182" t="s">
        <v>237</v>
      </c>
      <c r="B1116" s="182"/>
      <c r="C1116" s="200"/>
      <c r="D1116" s="204"/>
      <c r="E1116" s="182"/>
      <c r="F1116" s="164"/>
      <c r="G1116" s="204"/>
      <c r="H1116" s="204"/>
      <c r="I1116" s="164"/>
      <c r="J1116" s="204"/>
      <c r="K1116" s="182"/>
      <c r="L1116" s="164"/>
      <c r="N1116" s="76"/>
      <c r="O1116" s="76"/>
      <c r="R1116" s="267"/>
      <c r="S1116" s="144"/>
      <c r="T1116" s="76"/>
      <c r="U1116" s="76"/>
      <c r="V1116" s="76"/>
      <c r="W1116" s="76"/>
      <c r="X1116" s="76"/>
      <c r="Y1116" s="76"/>
      <c r="Z1116" s="76"/>
      <c r="AA1116" s="76"/>
      <c r="AB1116" s="76"/>
      <c r="AC1116" s="76"/>
      <c r="AD1116" s="76"/>
      <c r="AE1116" s="76"/>
      <c r="AF1116" s="76"/>
      <c r="AG1116" s="76"/>
      <c r="AH1116" s="76"/>
    </row>
    <row r="1117" spans="1:34">
      <c r="A1117" s="143" t="s">
        <v>267</v>
      </c>
      <c r="B1117" s="182"/>
      <c r="C1117" s="200">
        <f>4538+24+48</f>
        <v>4610</v>
      </c>
      <c r="D1117" s="204">
        <v>1.91</v>
      </c>
      <c r="E1117" s="182"/>
      <c r="F1117" s="164">
        <f t="shared" ref="F1117:F1122" si="181">D1117*C1117</f>
        <v>8805.1</v>
      </c>
      <c r="G1117" s="204">
        <v>2.0099999999999998</v>
      </c>
      <c r="H1117" s="204"/>
      <c r="I1117" s="164">
        <f>C1117*G1117</f>
        <v>9266.0999999999985</v>
      </c>
      <c r="J1117" s="204">
        <f>ROUND(G1117+(G1117*$Q$1109),2)</f>
        <v>2.12</v>
      </c>
      <c r="K1117" s="182"/>
      <c r="L1117" s="164">
        <f t="shared" ref="L1117:L1122" si="182">J1117*$C1117</f>
        <v>9773.2000000000007</v>
      </c>
      <c r="N1117" s="76"/>
      <c r="O1117" s="76"/>
      <c r="R1117" s="144"/>
      <c r="S1117" s="352"/>
      <c r="T1117" s="76"/>
      <c r="U1117" s="76"/>
      <c r="V1117" s="76"/>
      <c r="W1117" s="76"/>
      <c r="X1117" s="76"/>
      <c r="Y1117" s="76"/>
      <c r="Z1117" s="76"/>
      <c r="AA1117" s="76"/>
      <c r="AB1117" s="76"/>
      <c r="AC1117" s="76"/>
      <c r="AD1117" s="76"/>
      <c r="AE1117" s="76"/>
      <c r="AF1117" s="76"/>
      <c r="AG1117" s="76"/>
      <c r="AH1117" s="76"/>
    </row>
    <row r="1118" spans="1:34">
      <c r="A1118" s="143" t="s">
        <v>268</v>
      </c>
      <c r="B1118" s="182"/>
      <c r="C1118" s="200">
        <f>8485+36</f>
        <v>8521</v>
      </c>
      <c r="D1118" s="204">
        <v>2.7</v>
      </c>
      <c r="E1118" s="182"/>
      <c r="F1118" s="164">
        <f t="shared" si="181"/>
        <v>23006.7</v>
      </c>
      <c r="G1118" s="204">
        <v>2.85</v>
      </c>
      <c r="H1118" s="204"/>
      <c r="I1118" s="164">
        <f t="shared" ref="I1118:I1122" si="183">C1118*G1118</f>
        <v>24284.850000000002</v>
      </c>
      <c r="J1118" s="204">
        <f t="shared" ref="J1118:J1122" si="184">ROUND(G1118+(G1118*$Q$1109),2)</f>
        <v>3</v>
      </c>
      <c r="K1118" s="182"/>
      <c r="L1118" s="164">
        <f t="shared" si="182"/>
        <v>25563</v>
      </c>
      <c r="N1118" s="76"/>
      <c r="O1118" s="76"/>
      <c r="R1118" s="144"/>
      <c r="S1118" s="352"/>
      <c r="T1118" s="76"/>
      <c r="U1118" s="76"/>
      <c r="V1118" s="76"/>
      <c r="W1118" s="76"/>
      <c r="X1118" s="76"/>
      <c r="Y1118" s="76"/>
      <c r="Z1118" s="76"/>
      <c r="AA1118" s="76"/>
      <c r="AB1118" s="76"/>
      <c r="AC1118" s="76"/>
      <c r="AD1118" s="76"/>
      <c r="AE1118" s="76"/>
      <c r="AF1118" s="76"/>
      <c r="AG1118" s="76"/>
      <c r="AH1118" s="76"/>
    </row>
    <row r="1119" spans="1:34">
      <c r="A1119" s="143" t="s">
        <v>269</v>
      </c>
      <c r="B1119" s="182"/>
      <c r="C1119" s="200">
        <f>396</f>
        <v>396</v>
      </c>
      <c r="D1119" s="204">
        <v>3.93</v>
      </c>
      <c r="E1119" s="182"/>
      <c r="F1119" s="164">
        <f t="shared" si="181"/>
        <v>1556.28</v>
      </c>
      <c r="G1119" s="204">
        <v>4.1399999999999997</v>
      </c>
      <c r="H1119" s="204"/>
      <c r="I1119" s="164">
        <f t="shared" si="183"/>
        <v>1639.4399999999998</v>
      </c>
      <c r="J1119" s="204">
        <f t="shared" si="184"/>
        <v>4.3600000000000003</v>
      </c>
      <c r="K1119" s="182"/>
      <c r="L1119" s="164">
        <f t="shared" si="182"/>
        <v>1726.5600000000002</v>
      </c>
      <c r="N1119" s="76"/>
      <c r="O1119" s="76"/>
      <c r="R1119" s="144"/>
      <c r="S1119" s="352"/>
      <c r="T1119" s="76"/>
      <c r="U1119" s="76"/>
      <c r="V1119" s="76"/>
      <c r="W1119" s="76"/>
      <c r="X1119" s="76"/>
      <c r="Y1119" s="76"/>
      <c r="Z1119" s="76"/>
      <c r="AA1119" s="76"/>
      <c r="AB1119" s="76"/>
      <c r="AC1119" s="76"/>
      <c r="AD1119" s="76"/>
      <c r="AE1119" s="76"/>
      <c r="AF1119" s="76"/>
      <c r="AG1119" s="76"/>
      <c r="AH1119" s="76"/>
    </row>
    <row r="1120" spans="1:34">
      <c r="A1120" s="143" t="s">
        <v>270</v>
      </c>
      <c r="B1120" s="182"/>
      <c r="C1120" s="200">
        <f>12529</f>
        <v>12529</v>
      </c>
      <c r="D1120" s="204">
        <v>5.22</v>
      </c>
      <c r="E1120" s="182"/>
      <c r="F1120" s="164">
        <f t="shared" si="181"/>
        <v>65401.38</v>
      </c>
      <c r="G1120" s="204">
        <v>5.51</v>
      </c>
      <c r="H1120" s="204"/>
      <c r="I1120" s="164">
        <f t="shared" si="183"/>
        <v>69034.789999999994</v>
      </c>
      <c r="J1120" s="204">
        <f t="shared" si="184"/>
        <v>5.81</v>
      </c>
      <c r="K1120" s="182"/>
      <c r="L1120" s="164">
        <f t="shared" si="182"/>
        <v>72793.489999999991</v>
      </c>
      <c r="N1120" s="76"/>
      <c r="O1120" s="76"/>
      <c r="Q1120" s="353" t="s">
        <v>0</v>
      </c>
      <c r="R1120" s="144"/>
      <c r="S1120" s="352"/>
      <c r="T1120" s="76"/>
      <c r="U1120" s="76"/>
      <c r="V1120" s="76"/>
      <c r="W1120" s="76"/>
      <c r="X1120" s="76"/>
      <c r="Y1120" s="76"/>
      <c r="Z1120" s="76"/>
      <c r="AA1120" s="76"/>
      <c r="AB1120" s="76"/>
      <c r="AC1120" s="76"/>
      <c r="AD1120" s="76"/>
      <c r="AE1120" s="76"/>
      <c r="AF1120" s="76"/>
      <c r="AG1120" s="76"/>
      <c r="AH1120" s="76"/>
    </row>
    <row r="1121" spans="1:34">
      <c r="A1121" s="143" t="s">
        <v>271</v>
      </c>
      <c r="B1121" s="182"/>
      <c r="C1121" s="200">
        <f>1943</f>
        <v>1943</v>
      </c>
      <c r="D1121" s="204">
        <v>7.07</v>
      </c>
      <c r="E1121" s="182"/>
      <c r="F1121" s="164">
        <f t="shared" si="181"/>
        <v>13737.01</v>
      </c>
      <c r="G1121" s="204">
        <v>7.46</v>
      </c>
      <c r="H1121" s="204"/>
      <c r="I1121" s="164">
        <f t="shared" si="183"/>
        <v>14494.78</v>
      </c>
      <c r="J1121" s="204">
        <f t="shared" si="184"/>
        <v>7.86</v>
      </c>
      <c r="K1121" s="182"/>
      <c r="L1121" s="164">
        <f t="shared" si="182"/>
        <v>15271.980000000001</v>
      </c>
      <c r="N1121" s="76"/>
      <c r="O1121" s="76"/>
      <c r="R1121" s="144"/>
      <c r="S1121" s="352"/>
      <c r="T1121" s="76"/>
      <c r="U1121" s="76"/>
      <c r="V1121" s="76"/>
      <c r="W1121" s="76"/>
      <c r="X1121" s="76"/>
      <c r="Y1121" s="76"/>
      <c r="Z1121" s="76"/>
      <c r="AA1121" s="76"/>
      <c r="AB1121" s="76"/>
      <c r="AC1121" s="76"/>
      <c r="AD1121" s="76"/>
      <c r="AE1121" s="76"/>
      <c r="AF1121" s="76"/>
      <c r="AG1121" s="76"/>
      <c r="AH1121" s="76"/>
    </row>
    <row r="1122" spans="1:34">
      <c r="A1122" s="143" t="s">
        <v>272</v>
      </c>
      <c r="B1122" s="182"/>
      <c r="C1122" s="200">
        <f>2087</f>
        <v>2087</v>
      </c>
      <c r="D1122" s="204">
        <v>10.82</v>
      </c>
      <c r="E1122" s="182"/>
      <c r="F1122" s="164">
        <f t="shared" si="181"/>
        <v>22581.34</v>
      </c>
      <c r="G1122" s="204">
        <v>11.41</v>
      </c>
      <c r="H1122" s="204"/>
      <c r="I1122" s="164">
        <f t="shared" si="183"/>
        <v>23812.670000000002</v>
      </c>
      <c r="J1122" s="204">
        <f t="shared" si="184"/>
        <v>12.03</v>
      </c>
      <c r="K1122" s="182"/>
      <c r="L1122" s="164">
        <f t="shared" si="182"/>
        <v>25106.609999999997</v>
      </c>
      <c r="N1122" s="76"/>
      <c r="R1122" s="144"/>
      <c r="S1122" s="352"/>
      <c r="T1122" s="76"/>
      <c r="U1122" s="76"/>
      <c r="V1122" s="76"/>
      <c r="W1122" s="76"/>
      <c r="X1122" s="76"/>
      <c r="Y1122" s="76"/>
      <c r="Z1122" s="76"/>
      <c r="AA1122" s="76"/>
      <c r="AB1122" s="76"/>
      <c r="AC1122" s="76"/>
      <c r="AD1122" s="76"/>
      <c r="AE1122" s="76"/>
      <c r="AF1122" s="76"/>
      <c r="AG1122" s="76"/>
      <c r="AH1122" s="76"/>
    </row>
    <row r="1123" spans="1:34">
      <c r="B1123" s="182"/>
      <c r="C1123" s="200"/>
      <c r="D1123" s="204"/>
      <c r="E1123" s="182"/>
      <c r="F1123" s="164"/>
      <c r="G1123" s="204"/>
      <c r="H1123" s="204"/>
      <c r="I1123" s="164"/>
      <c r="J1123" s="204"/>
      <c r="K1123" s="182"/>
      <c r="L1123" s="164"/>
      <c r="N1123" s="76"/>
      <c r="O1123" s="76"/>
      <c r="R1123" s="144"/>
      <c r="S1123" s="144"/>
      <c r="T1123" s="76"/>
      <c r="U1123" s="76"/>
      <c r="V1123" s="76"/>
      <c r="W1123" s="76"/>
      <c r="X1123" s="76"/>
      <c r="Y1123" s="76"/>
      <c r="Z1123" s="76"/>
      <c r="AA1123" s="76"/>
      <c r="AB1123" s="76"/>
      <c r="AC1123" s="76"/>
      <c r="AD1123" s="76"/>
      <c r="AE1123" s="76"/>
      <c r="AF1123" s="76"/>
      <c r="AG1123" s="76"/>
      <c r="AH1123" s="76"/>
    </row>
    <row r="1124" spans="1:34">
      <c r="A1124" s="143" t="s">
        <v>246</v>
      </c>
      <c r="B1124" s="182"/>
      <c r="C1124" s="200"/>
      <c r="D1124" s="204"/>
      <c r="E1124" s="182"/>
      <c r="F1124" s="164"/>
      <c r="G1124" s="204" t="s">
        <v>0</v>
      </c>
      <c r="H1124" s="204"/>
      <c r="I1124" s="164"/>
      <c r="J1124" s="204" t="s">
        <v>0</v>
      </c>
      <c r="K1124" s="182"/>
      <c r="L1124" s="164"/>
      <c r="N1124" s="76"/>
      <c r="O1124" s="76"/>
      <c r="R1124" s="144"/>
      <c r="S1124" s="144"/>
      <c r="T1124" s="76"/>
      <c r="U1124" s="76"/>
      <c r="V1124" s="76"/>
      <c r="W1124" s="76"/>
      <c r="X1124" s="76"/>
      <c r="Y1124" s="76"/>
      <c r="Z1124" s="76"/>
      <c r="AA1124" s="76"/>
      <c r="AB1124" s="76"/>
      <c r="AC1124" s="76"/>
      <c r="AD1124" s="76"/>
      <c r="AE1124" s="76"/>
      <c r="AF1124" s="76"/>
      <c r="AG1124" s="76"/>
      <c r="AH1124" s="76"/>
    </row>
    <row r="1125" spans="1:34">
      <c r="A1125" s="143" t="s">
        <v>273</v>
      </c>
      <c r="B1125" s="182"/>
      <c r="C1125" s="200">
        <v>0</v>
      </c>
      <c r="D1125" s="204">
        <v>2.4</v>
      </c>
      <c r="E1125" s="182"/>
      <c r="F1125" s="164">
        <f>D1125*C1125</f>
        <v>0</v>
      </c>
      <c r="G1125" s="204">
        <v>2.5299999999999998</v>
      </c>
      <c r="H1125" s="204"/>
      <c r="I1125" s="164">
        <f t="shared" ref="I1125:I1129" si="185">C1125*G1125</f>
        <v>0</v>
      </c>
      <c r="J1125" s="204">
        <f>ROUND(G1125+(G1125*$Q$1109),2)</f>
        <v>2.67</v>
      </c>
      <c r="K1125" s="182"/>
      <c r="L1125" s="164">
        <f>J1125*$C1125</f>
        <v>0</v>
      </c>
      <c r="N1125" s="76"/>
      <c r="O1125" s="76"/>
      <c r="R1125" s="144"/>
      <c r="S1125" s="352"/>
      <c r="T1125" s="76"/>
      <c r="U1125" s="76"/>
      <c r="V1125" s="76"/>
      <c r="W1125" s="76"/>
      <c r="X1125" s="76"/>
      <c r="Y1125" s="76"/>
      <c r="Z1125" s="76"/>
      <c r="AA1125" s="76"/>
      <c r="AB1125" s="76"/>
      <c r="AC1125" s="76"/>
      <c r="AD1125" s="76"/>
      <c r="AE1125" s="76"/>
      <c r="AF1125" s="76"/>
      <c r="AG1125" s="76"/>
      <c r="AH1125" s="76"/>
    </row>
    <row r="1126" spans="1:34">
      <c r="A1126" s="143" t="s">
        <v>274</v>
      </c>
      <c r="B1126" s="182"/>
      <c r="C1126" s="200">
        <v>0</v>
      </c>
      <c r="D1126" s="204">
        <v>4.18</v>
      </c>
      <c r="E1126" s="182"/>
      <c r="F1126" s="164">
        <f>D1126*C1126</f>
        <v>0</v>
      </c>
      <c r="G1126" s="204">
        <v>4.41</v>
      </c>
      <c r="H1126" s="204"/>
      <c r="I1126" s="164">
        <f t="shared" si="185"/>
        <v>0</v>
      </c>
      <c r="J1126" s="204">
        <f>ROUND(G1126+(G1126*$Q$1109),2)</f>
        <v>4.6500000000000004</v>
      </c>
      <c r="K1126" s="182"/>
      <c r="L1126" s="164">
        <f>J1126*$C1126</f>
        <v>0</v>
      </c>
      <c r="N1126" s="76"/>
      <c r="O1126" s="76"/>
      <c r="R1126" s="144"/>
      <c r="S1126" s="352"/>
      <c r="T1126" s="76"/>
      <c r="U1126" s="76"/>
      <c r="V1126" s="76"/>
      <c r="W1126" s="76"/>
      <c r="X1126" s="76"/>
      <c r="Y1126" s="76"/>
      <c r="Z1126" s="76"/>
      <c r="AA1126" s="76"/>
      <c r="AB1126" s="76"/>
      <c r="AC1126" s="76"/>
      <c r="AD1126" s="76"/>
      <c r="AE1126" s="76"/>
      <c r="AF1126" s="76"/>
      <c r="AG1126" s="76"/>
      <c r="AH1126" s="76"/>
    </row>
    <row r="1127" spans="1:34">
      <c r="A1127" s="143" t="s">
        <v>275</v>
      </c>
      <c r="B1127" s="182"/>
      <c r="C1127" s="200">
        <v>0</v>
      </c>
      <c r="D1127" s="204">
        <v>5.78</v>
      </c>
      <c r="E1127" s="182"/>
      <c r="F1127" s="164">
        <f>D1127*C1127</f>
        <v>0</v>
      </c>
      <c r="G1127" s="204">
        <v>6.1</v>
      </c>
      <c r="H1127" s="204"/>
      <c r="I1127" s="164">
        <f t="shared" si="185"/>
        <v>0</v>
      </c>
      <c r="J1127" s="204">
        <f>ROUND(G1127+(G1127*$Q$1109),2)</f>
        <v>6.43</v>
      </c>
      <c r="K1127" s="182"/>
      <c r="L1127" s="164">
        <f>J1127*$C1127</f>
        <v>0</v>
      </c>
      <c r="N1127" s="76"/>
      <c r="O1127" s="76" t="s">
        <v>0</v>
      </c>
      <c r="R1127" s="144"/>
      <c r="S1127" s="352"/>
      <c r="T1127" s="76"/>
      <c r="U1127" s="76"/>
      <c r="V1127" s="76"/>
      <c r="W1127" s="76"/>
      <c r="X1127" s="76"/>
      <c r="Y1127" s="76"/>
      <c r="Z1127" s="76"/>
      <c r="AA1127" s="76"/>
      <c r="AB1127" s="76"/>
      <c r="AC1127" s="76"/>
      <c r="AD1127" s="76"/>
      <c r="AE1127" s="76"/>
      <c r="AF1127" s="76"/>
      <c r="AG1127" s="76"/>
      <c r="AH1127" s="76"/>
    </row>
    <row r="1128" spans="1:34">
      <c r="A1128" s="143" t="s">
        <v>276</v>
      </c>
      <c r="B1128" s="182"/>
      <c r="C1128" s="200">
        <v>0</v>
      </c>
      <c r="D1128" s="204">
        <v>9.16</v>
      </c>
      <c r="E1128" s="182"/>
      <c r="F1128" s="164">
        <f>D1128*C1128</f>
        <v>0</v>
      </c>
      <c r="G1128" s="204">
        <v>9.66</v>
      </c>
      <c r="H1128" s="204"/>
      <c r="I1128" s="164">
        <f t="shared" si="185"/>
        <v>0</v>
      </c>
      <c r="J1128" s="204">
        <f>ROUND(G1128+(G1128*$Q$1109),2)</f>
        <v>10.18</v>
      </c>
      <c r="K1128" s="182"/>
      <c r="L1128" s="164">
        <f>J1128*$C1128</f>
        <v>0</v>
      </c>
      <c r="N1128" s="76"/>
      <c r="O1128" s="76"/>
      <c r="R1128" s="144"/>
      <c r="S1128" s="352"/>
      <c r="T1128" s="76"/>
      <c r="U1128" s="76"/>
      <c r="V1128" s="76"/>
      <c r="W1128" s="76"/>
      <c r="X1128" s="76"/>
      <c r="Y1128" s="76"/>
      <c r="Z1128" s="76"/>
      <c r="AA1128" s="76"/>
      <c r="AB1128" s="76"/>
      <c r="AC1128" s="76"/>
      <c r="AD1128" s="76"/>
      <c r="AE1128" s="76"/>
      <c r="AF1128" s="76"/>
      <c r="AG1128" s="76"/>
      <c r="AH1128" s="76"/>
    </row>
    <row r="1129" spans="1:34">
      <c r="A1129" s="143" t="s">
        <v>277</v>
      </c>
      <c r="B1129" s="182"/>
      <c r="C1129" s="200">
        <v>0</v>
      </c>
      <c r="D1129" s="204">
        <v>21.76</v>
      </c>
      <c r="E1129" s="182"/>
      <c r="F1129" s="164">
        <f>D1129*C1129</f>
        <v>0</v>
      </c>
      <c r="G1129" s="204">
        <v>22.95</v>
      </c>
      <c r="H1129" s="204"/>
      <c r="I1129" s="164">
        <f t="shared" si="185"/>
        <v>0</v>
      </c>
      <c r="J1129" s="204">
        <f>ROUND(G1129+(G1129*$Q$1109),2)</f>
        <v>24.19</v>
      </c>
      <c r="K1129" s="182"/>
      <c r="L1129" s="164">
        <f>J1129*$C1129</f>
        <v>0</v>
      </c>
      <c r="N1129" s="76"/>
      <c r="O1129" s="76"/>
      <c r="R1129" s="144"/>
      <c r="S1129" s="352"/>
      <c r="T1129" s="76"/>
      <c r="U1129" s="76"/>
      <c r="V1129" s="76"/>
      <c r="W1129" s="76"/>
      <c r="X1129" s="76"/>
      <c r="Y1129" s="76"/>
      <c r="Z1129" s="76"/>
      <c r="AA1129" s="76"/>
      <c r="AB1129" s="76"/>
      <c r="AC1129" s="76"/>
      <c r="AD1129" s="76"/>
      <c r="AE1129" s="76"/>
      <c r="AF1129" s="76"/>
      <c r="AG1129" s="76"/>
      <c r="AH1129" s="76"/>
    </row>
    <row r="1130" spans="1:34">
      <c r="A1130" s="182"/>
      <c r="B1130" s="182"/>
      <c r="C1130" s="200"/>
      <c r="D1130" s="204"/>
      <c r="E1130" s="182"/>
      <c r="F1130" s="164"/>
      <c r="G1130" s="204"/>
      <c r="H1130" s="204"/>
      <c r="I1130" s="164"/>
      <c r="J1130" s="204"/>
      <c r="K1130" s="182"/>
      <c r="L1130" s="164"/>
      <c r="N1130" s="76"/>
      <c r="O1130" s="76"/>
      <c r="R1130" s="144"/>
      <c r="S1130" s="144"/>
      <c r="T1130" s="76"/>
      <c r="U1130" s="76"/>
      <c r="V1130" s="76"/>
      <c r="W1130" s="76"/>
      <c r="X1130" s="76"/>
      <c r="Y1130" s="76"/>
      <c r="Z1130" s="76"/>
      <c r="AA1130" s="76"/>
      <c r="AB1130" s="76"/>
      <c r="AC1130" s="76"/>
      <c r="AD1130" s="76"/>
      <c r="AE1130" s="76"/>
      <c r="AF1130" s="76"/>
      <c r="AG1130" s="76"/>
      <c r="AH1130" s="76"/>
    </row>
    <row r="1131" spans="1:34">
      <c r="A1131" s="182" t="s">
        <v>263</v>
      </c>
      <c r="B1131" s="182"/>
      <c r="C1131" s="162">
        <f>4220+424804+337988+2565+132155+80517+6977+118804+42912+314091+4895+152+418+1081</f>
        <v>1471579</v>
      </c>
      <c r="D1131" s="345">
        <f>$D$1105</f>
        <v>6.1459999999999999</v>
      </c>
      <c r="E1131" s="182" t="s">
        <v>126</v>
      </c>
      <c r="F1131" s="346">
        <f>ROUND(C1131*D1131/100,0)</f>
        <v>90443</v>
      </c>
      <c r="G1131" s="345">
        <f>$G$1105</f>
        <v>6.4820000000000002</v>
      </c>
      <c r="H1131" s="345"/>
      <c r="I1131" s="346">
        <f>ROUND(G1131*C1131/100,0)</f>
        <v>95388</v>
      </c>
      <c r="J1131" s="345">
        <f>J1105</f>
        <v>6.8330000000000002</v>
      </c>
      <c r="K1131" s="182" t="s">
        <v>126</v>
      </c>
      <c r="L1131" s="164">
        <f>ROUND(J1131*C1131/100,0)</f>
        <v>100553</v>
      </c>
      <c r="N1131" s="76"/>
      <c r="O1131" s="76"/>
      <c r="R1131" s="144"/>
      <c r="S1131" s="144"/>
      <c r="T1131" s="76"/>
      <c r="U1131" s="76"/>
      <c r="V1131" s="76"/>
      <c r="W1131" s="76"/>
      <c r="X1131" s="76"/>
      <c r="Y1131" s="76"/>
      <c r="Z1131" s="76"/>
      <c r="AA1131" s="76"/>
      <c r="AB1131" s="76"/>
      <c r="AC1131" s="76"/>
      <c r="AD1131" s="76"/>
      <c r="AE1131" s="76"/>
      <c r="AF1131" s="76"/>
      <c r="AG1131" s="76"/>
      <c r="AH1131" s="76"/>
    </row>
    <row r="1132" spans="1:34">
      <c r="A1132" s="182" t="s">
        <v>278</v>
      </c>
      <c r="B1132" s="182"/>
      <c r="C1132" s="162">
        <f>3670174-C1131</f>
        <v>2198595</v>
      </c>
      <c r="D1132" s="350" t="s">
        <v>0</v>
      </c>
      <c r="E1132" s="182" t="s">
        <v>0</v>
      </c>
      <c r="F1132" s="346" t="s">
        <v>0</v>
      </c>
      <c r="G1132" s="350" t="s">
        <v>0</v>
      </c>
      <c r="H1132" s="350"/>
      <c r="I1132" s="346">
        <f>ROUND(G1132*C1132/100,0)</f>
        <v>0</v>
      </c>
      <c r="J1132" s="350">
        <v>0</v>
      </c>
      <c r="K1132" s="182" t="s">
        <v>126</v>
      </c>
      <c r="L1132" s="164">
        <v>0</v>
      </c>
      <c r="N1132" s="76"/>
      <c r="O1132" s="76"/>
      <c r="R1132" s="144"/>
      <c r="S1132" s="144"/>
      <c r="T1132" s="164"/>
      <c r="U1132" s="164"/>
      <c r="V1132" s="76"/>
      <c r="W1132" s="76"/>
      <c r="X1132" s="76"/>
      <c r="Y1132" s="76"/>
      <c r="Z1132" s="76"/>
      <c r="AA1132" s="76"/>
      <c r="AB1132" s="76"/>
      <c r="AC1132" s="76"/>
      <c r="AD1132" s="76"/>
      <c r="AE1132" s="76"/>
      <c r="AF1132" s="76"/>
      <c r="AG1132" s="76"/>
      <c r="AH1132" s="76"/>
    </row>
    <row r="1133" spans="1:34">
      <c r="A1133" s="182" t="s">
        <v>111</v>
      </c>
      <c r="B1133" s="182"/>
      <c r="C1133" s="162">
        <v>1291</v>
      </c>
      <c r="D1133" s="347"/>
      <c r="E1133" s="182"/>
      <c r="F1133" s="164"/>
      <c r="G1133" s="347"/>
      <c r="H1133" s="347"/>
      <c r="I1133" s="164"/>
      <c r="J1133" s="347"/>
      <c r="K1133" s="182"/>
      <c r="L1133" s="164"/>
      <c r="N1133" s="76"/>
      <c r="O1133" s="76"/>
      <c r="P1133" s="144"/>
      <c r="Q1133" s="144"/>
      <c r="R1133" s="76"/>
      <c r="S1133" s="76"/>
      <c r="T1133" s="76"/>
      <c r="U1133" s="76"/>
      <c r="V1133" s="76"/>
      <c r="W1133" s="76"/>
      <c r="X1133" s="76"/>
      <c r="Y1133" s="76"/>
      <c r="Z1133" s="76"/>
      <c r="AA1133" s="76"/>
      <c r="AB1133" s="76"/>
      <c r="AC1133" s="76"/>
      <c r="AD1133" s="76"/>
      <c r="AE1133" s="76"/>
      <c r="AF1133" s="76"/>
      <c r="AG1133" s="76"/>
      <c r="AH1133" s="76"/>
    </row>
    <row r="1134" spans="1:34">
      <c r="A1134" s="143" t="s">
        <v>259</v>
      </c>
      <c r="C1134" s="162">
        <f>C1131+C1132</f>
        <v>3670174</v>
      </c>
      <c r="D1134" s="170"/>
      <c r="E1134" s="76"/>
      <c r="F1134" s="174">
        <f>SUM(F1115:F1132)</f>
        <v>227879.77</v>
      </c>
      <c r="G1134" s="170"/>
      <c r="H1134" s="170"/>
      <c r="I1134" s="174">
        <f>SUM(I1115:I1132)</f>
        <v>240269.59</v>
      </c>
      <c r="J1134" s="170"/>
      <c r="K1134" s="76"/>
      <c r="L1134" s="174">
        <f>SUM(L1115:L1132)</f>
        <v>253136.8</v>
      </c>
      <c r="N1134" s="76"/>
      <c r="O1134" s="76"/>
      <c r="P1134" s="144"/>
      <c r="Q1134" s="144"/>
      <c r="R1134" s="76"/>
      <c r="S1134" s="76"/>
      <c r="T1134" s="76"/>
      <c r="U1134" s="76"/>
      <c r="V1134" s="76"/>
      <c r="W1134" s="76"/>
      <c r="X1134" s="76"/>
      <c r="Y1134" s="76"/>
      <c r="Z1134" s="76"/>
      <c r="AA1134" s="76"/>
      <c r="AB1134" s="76"/>
      <c r="AC1134" s="76"/>
      <c r="AD1134" s="76"/>
      <c r="AE1134" s="76"/>
      <c r="AF1134" s="76"/>
      <c r="AG1134" s="76"/>
      <c r="AH1134" s="76"/>
    </row>
    <row r="1135" spans="1:34">
      <c r="A1135" s="143" t="s">
        <v>260</v>
      </c>
      <c r="C1135" s="162">
        <v>276329.95046890387</v>
      </c>
      <c r="D1135" s="170"/>
      <c r="E1135" s="76"/>
      <c r="F1135" s="174">
        <v>18199.906688548272</v>
      </c>
      <c r="G1135" s="170"/>
      <c r="H1135" s="170"/>
      <c r="I1135" s="174">
        <f>F1135</f>
        <v>18199.906688548272</v>
      </c>
      <c r="J1135" s="170"/>
      <c r="K1135" s="76"/>
      <c r="L1135" s="174">
        <f>F1135</f>
        <v>18199.906688548272</v>
      </c>
      <c r="N1135" s="196"/>
      <c r="O1135" s="196"/>
      <c r="P1135" s="194"/>
      <c r="Q1135" s="144"/>
      <c r="R1135" s="76"/>
      <c r="S1135" s="76"/>
      <c r="T1135" s="76"/>
      <c r="U1135" s="76"/>
      <c r="V1135" s="76"/>
      <c r="W1135" s="76"/>
      <c r="X1135" s="76"/>
      <c r="Y1135" s="76"/>
      <c r="Z1135" s="76"/>
      <c r="AA1135" s="76"/>
      <c r="AB1135" s="76"/>
      <c r="AC1135" s="76"/>
      <c r="AD1135" s="76"/>
      <c r="AE1135" s="76"/>
      <c r="AF1135" s="76"/>
      <c r="AG1135" s="76"/>
      <c r="AH1135" s="76"/>
    </row>
    <row r="1136" spans="1:34" ht="16.5" thickBot="1">
      <c r="A1136" s="182" t="s">
        <v>115</v>
      </c>
      <c r="B1136" s="182"/>
      <c r="C1136" s="323">
        <f>C1134+C1135</f>
        <v>3946503.9504689039</v>
      </c>
      <c r="D1136" s="348"/>
      <c r="E1136" s="349"/>
      <c r="F1136" s="178">
        <f>F1134+F1135</f>
        <v>246079.67668854826</v>
      </c>
      <c r="G1136" s="348"/>
      <c r="H1136" s="348"/>
      <c r="I1136" s="178">
        <f>I1134+I1135</f>
        <v>258469.49668854827</v>
      </c>
      <c r="J1136" s="348"/>
      <c r="K1136" s="349"/>
      <c r="L1136" s="178">
        <f>L1134+L1135</f>
        <v>271336.70668854826</v>
      </c>
      <c r="N1136" s="197"/>
      <c r="O1136" s="197"/>
      <c r="P1136" s="198"/>
      <c r="Q1136" s="144"/>
      <c r="R1136" s="76"/>
      <c r="S1136" s="76"/>
      <c r="T1136" s="76"/>
      <c r="U1136" s="76"/>
      <c r="V1136" s="76"/>
      <c r="W1136" s="76"/>
      <c r="X1136" s="76"/>
      <c r="Y1136" s="76"/>
      <c r="Z1136" s="76"/>
      <c r="AA1136" s="76"/>
      <c r="AB1136" s="76"/>
      <c r="AC1136" s="76"/>
      <c r="AD1136" s="76"/>
      <c r="AE1136" s="76"/>
      <c r="AF1136" s="76"/>
      <c r="AG1136" s="76"/>
      <c r="AH1136" s="76"/>
    </row>
    <row r="1137" spans="1:34" ht="16.5" thickTop="1">
      <c r="A1137" s="182"/>
      <c r="B1137" s="182"/>
      <c r="C1137" s="314"/>
      <c r="D1137" s="351"/>
      <c r="E1137" s="274"/>
      <c r="F1137" s="225"/>
      <c r="G1137" s="351"/>
      <c r="H1137" s="351"/>
      <c r="I1137" s="225"/>
      <c r="J1137" s="351" t="s">
        <v>0</v>
      </c>
      <c r="K1137" s="274"/>
      <c r="L1137" s="225" t="s">
        <v>0</v>
      </c>
      <c r="N1137" s="76"/>
      <c r="O1137" s="76"/>
      <c r="P1137" s="144"/>
      <c r="Q1137" s="144" t="s">
        <v>0</v>
      </c>
      <c r="R1137" s="76"/>
      <c r="S1137" s="76"/>
      <c r="T1137" s="76"/>
      <c r="U1137" s="76"/>
      <c r="V1137" s="76"/>
      <c r="W1137" s="76"/>
      <c r="X1137" s="76"/>
      <c r="Y1137" s="76"/>
      <c r="Z1137" s="76"/>
      <c r="AA1137" s="76"/>
      <c r="AB1137" s="76"/>
      <c r="AC1137" s="76"/>
      <c r="AD1137" s="76"/>
      <c r="AE1137" s="76"/>
      <c r="AF1137" s="76"/>
      <c r="AG1137" s="76"/>
      <c r="AH1137" s="76"/>
    </row>
    <row r="1138" spans="1:34">
      <c r="A1138" s="199" t="s">
        <v>279</v>
      </c>
      <c r="B1138" s="182"/>
      <c r="C1138" s="182"/>
      <c r="D1138" s="182"/>
      <c r="E1138" s="182"/>
      <c r="F1138" s="182"/>
      <c r="G1138" s="182"/>
      <c r="H1138" s="182"/>
      <c r="I1138" s="182"/>
      <c r="J1138" s="182"/>
      <c r="K1138" s="182"/>
      <c r="L1138" s="182"/>
      <c r="N1138" s="76"/>
      <c r="O1138" s="76"/>
      <c r="P1138" s="144"/>
      <c r="Q1138" s="144"/>
      <c r="R1138" s="76"/>
      <c r="S1138" s="76"/>
      <c r="T1138" s="76"/>
      <c r="U1138" s="76"/>
      <c r="V1138" s="76"/>
      <c r="W1138" s="76"/>
      <c r="X1138" s="76"/>
      <c r="Y1138" s="76"/>
      <c r="Z1138" s="76"/>
      <c r="AA1138" s="76"/>
      <c r="AB1138" s="76"/>
      <c r="AC1138" s="76"/>
      <c r="AD1138" s="76"/>
      <c r="AE1138" s="76"/>
      <c r="AF1138" s="76"/>
      <c r="AG1138" s="76"/>
      <c r="AH1138" s="76"/>
    </row>
    <row r="1139" spans="1:34">
      <c r="A1139" s="182" t="s">
        <v>280</v>
      </c>
      <c r="B1139" s="182"/>
      <c r="C1139" s="182"/>
      <c r="D1139" s="182"/>
      <c r="E1139" s="182"/>
      <c r="F1139" s="182"/>
      <c r="G1139" s="182"/>
      <c r="H1139" s="182"/>
      <c r="I1139" s="182"/>
      <c r="J1139" s="182"/>
      <c r="K1139" s="182"/>
      <c r="L1139" s="182"/>
      <c r="N1139" s="76"/>
      <c r="O1139" s="76"/>
      <c r="P1139" s="144"/>
      <c r="Q1139" s="144"/>
      <c r="R1139" s="76"/>
      <c r="S1139" s="76"/>
      <c r="T1139" s="76"/>
      <c r="U1139" s="76"/>
      <c r="V1139" s="76"/>
      <c r="W1139" s="76"/>
      <c r="X1139" s="76"/>
      <c r="Y1139" s="76"/>
      <c r="Z1139" s="76"/>
      <c r="AA1139" s="76"/>
      <c r="AB1139" s="76"/>
      <c r="AC1139" s="76"/>
      <c r="AD1139" s="76"/>
      <c r="AE1139" s="76"/>
      <c r="AF1139" s="76"/>
      <c r="AG1139" s="76"/>
      <c r="AH1139" s="76"/>
    </row>
    <row r="1140" spans="1:34">
      <c r="A1140" s="182"/>
      <c r="B1140" s="182"/>
      <c r="C1140" s="182"/>
      <c r="D1140" s="317"/>
      <c r="E1140" s="182"/>
      <c r="F1140" s="182"/>
      <c r="G1140" s="317"/>
      <c r="H1140" s="317"/>
      <c r="I1140" s="182"/>
      <c r="J1140" s="317"/>
      <c r="K1140" s="182"/>
      <c r="L1140" s="182"/>
      <c r="N1140" s="76"/>
      <c r="O1140" s="76"/>
      <c r="P1140" s="144"/>
      <c r="Q1140" s="144"/>
      <c r="R1140" s="76"/>
      <c r="S1140" s="76"/>
      <c r="T1140" s="76"/>
      <c r="U1140" s="76"/>
      <c r="V1140" s="76"/>
      <c r="W1140" s="76"/>
      <c r="X1140" s="76"/>
      <c r="Y1140" s="76"/>
      <c r="Z1140" s="76"/>
      <c r="AA1140" s="76"/>
      <c r="AB1140" s="76"/>
      <c r="AC1140" s="76"/>
      <c r="AD1140" s="76"/>
      <c r="AE1140" s="76"/>
      <c r="AF1140" s="76"/>
      <c r="AG1140" s="76"/>
      <c r="AH1140" s="76"/>
    </row>
    <row r="1141" spans="1:34">
      <c r="A1141" s="182" t="s">
        <v>256</v>
      </c>
      <c r="B1141" s="182"/>
      <c r="C1141" s="200"/>
      <c r="D1141" s="204"/>
      <c r="E1141" s="182"/>
      <c r="F1141" s="164">
        <v>0</v>
      </c>
      <c r="G1141" s="204"/>
      <c r="H1141" s="204"/>
      <c r="I1141" s="164">
        <v>0</v>
      </c>
      <c r="J1141" s="204"/>
      <c r="K1141" s="182"/>
      <c r="L1141" s="164">
        <f>F1141</f>
        <v>0</v>
      </c>
      <c r="N1141" s="76"/>
      <c r="O1141" s="76"/>
      <c r="P1141" s="144"/>
      <c r="Q1141" s="144"/>
      <c r="R1141" s="76"/>
      <c r="S1141" s="76"/>
      <c r="T1141" s="76"/>
      <c r="U1141" s="76"/>
      <c r="V1141" s="76"/>
      <c r="W1141" s="76"/>
      <c r="X1141" s="76"/>
      <c r="Y1141" s="76"/>
      <c r="Z1141" s="76"/>
      <c r="AA1141" s="76"/>
      <c r="AB1141" s="76"/>
      <c r="AC1141" s="76"/>
      <c r="AD1141" s="76"/>
      <c r="AE1141" s="76"/>
      <c r="AF1141" s="76"/>
      <c r="AG1141" s="76"/>
      <c r="AH1141" s="76"/>
    </row>
    <row r="1142" spans="1:34">
      <c r="A1142" s="182" t="s">
        <v>281</v>
      </c>
      <c r="B1142" s="182"/>
      <c r="C1142" s="162">
        <v>0</v>
      </c>
      <c r="D1142" s="345">
        <f>$D$1105</f>
        <v>6.1459999999999999</v>
      </c>
      <c r="E1142" s="182" t="s">
        <v>126</v>
      </c>
      <c r="F1142" s="346">
        <f>ROUND(C1142*D1142/100,0)</f>
        <v>0</v>
      </c>
      <c r="G1142" s="345">
        <f>$G$1105</f>
        <v>6.4820000000000002</v>
      </c>
      <c r="H1142" s="345"/>
      <c r="I1142" s="346">
        <f>ROUND(G1142*C1142/100,0)</f>
        <v>0</v>
      </c>
      <c r="J1142" s="345">
        <f>J1105</f>
        <v>6.8330000000000002</v>
      </c>
      <c r="K1142" s="182" t="s">
        <v>126</v>
      </c>
      <c r="L1142" s="164">
        <f>ROUND(C1142*J1142/100,0)</f>
        <v>0</v>
      </c>
      <c r="N1142" s="76"/>
      <c r="O1142" s="76"/>
      <c r="P1142" s="144"/>
      <c r="Q1142" s="144"/>
      <c r="R1142" s="76"/>
      <c r="S1142" s="76"/>
      <c r="T1142" s="76"/>
      <c r="U1142" s="76"/>
      <c r="V1142" s="76"/>
      <c r="W1142" s="76"/>
      <c r="X1142" s="76"/>
      <c r="Y1142" s="76"/>
      <c r="Z1142" s="76"/>
      <c r="AA1142" s="76"/>
      <c r="AB1142" s="76"/>
      <c r="AC1142" s="76"/>
      <c r="AD1142" s="76"/>
      <c r="AE1142" s="76"/>
      <c r="AF1142" s="76"/>
      <c r="AG1142" s="76"/>
      <c r="AH1142" s="76"/>
    </row>
    <row r="1143" spans="1:34">
      <c r="A1143" s="182" t="s">
        <v>282</v>
      </c>
      <c r="B1143" s="182"/>
      <c r="C1143" s="162">
        <f>1134300+22211</f>
        <v>1156511</v>
      </c>
      <c r="D1143" s="350">
        <f>D1142</f>
        <v>6.1459999999999999</v>
      </c>
      <c r="E1143" s="182" t="s">
        <v>126</v>
      </c>
      <c r="F1143" s="346">
        <f>ROUND(C1143*D1143/100,0)</f>
        <v>71079</v>
      </c>
      <c r="G1143" s="350">
        <f>G1142</f>
        <v>6.4820000000000002</v>
      </c>
      <c r="H1143" s="350"/>
      <c r="I1143" s="346">
        <f>ROUND(G1143*C1143/100,0)</f>
        <v>74965</v>
      </c>
      <c r="J1143" s="350">
        <f>J1142</f>
        <v>6.8330000000000002</v>
      </c>
      <c r="K1143" s="182" t="s">
        <v>126</v>
      </c>
      <c r="L1143" s="164">
        <f>ROUND(J1143*$C1143/100,0)</f>
        <v>79024</v>
      </c>
      <c r="N1143" s="76"/>
      <c r="O1143" s="76"/>
      <c r="P1143" s="144"/>
      <c r="Q1143" s="144"/>
      <c r="R1143" s="76"/>
      <c r="S1143" s="76"/>
      <c r="T1143" s="76"/>
      <c r="U1143" s="76"/>
      <c r="V1143" s="76"/>
      <c r="W1143" s="76"/>
      <c r="X1143" s="76"/>
      <c r="Y1143" s="76"/>
      <c r="Z1143" s="76"/>
      <c r="AA1143" s="76"/>
      <c r="AB1143" s="76"/>
      <c r="AC1143" s="76"/>
      <c r="AD1143" s="76"/>
      <c r="AE1143" s="76"/>
      <c r="AF1143" s="76"/>
      <c r="AG1143" s="76"/>
      <c r="AH1143" s="76"/>
    </row>
    <row r="1144" spans="1:34">
      <c r="A1144" s="182" t="s">
        <v>111</v>
      </c>
      <c r="B1144" s="182"/>
      <c r="C1144" s="162">
        <f>1097+12</f>
        <v>1109</v>
      </c>
      <c r="D1144" s="347"/>
      <c r="E1144" s="182"/>
      <c r="F1144" s="164"/>
      <c r="G1144" s="347"/>
      <c r="H1144" s="347"/>
      <c r="I1144" s="164"/>
      <c r="J1144" s="347"/>
      <c r="K1144" s="182"/>
      <c r="L1144" s="164"/>
      <c r="N1144" s="76"/>
      <c r="O1144" s="76"/>
      <c r="P1144" s="144"/>
      <c r="Q1144" s="144"/>
      <c r="R1144" s="76"/>
      <c r="S1144" s="76"/>
      <c r="T1144" s="76"/>
      <c r="U1144" s="76"/>
      <c r="V1144" s="76"/>
      <c r="W1144" s="76"/>
      <c r="X1144" s="76"/>
      <c r="Y1144" s="76"/>
      <c r="Z1144" s="76"/>
      <c r="AA1144" s="76"/>
      <c r="AB1144" s="76"/>
      <c r="AC1144" s="76"/>
      <c r="AD1144" s="76"/>
      <c r="AE1144" s="76"/>
      <c r="AF1144" s="76"/>
      <c r="AG1144" s="76"/>
      <c r="AH1144" s="76"/>
    </row>
    <row r="1145" spans="1:34">
      <c r="A1145" s="143" t="s">
        <v>259</v>
      </c>
      <c r="C1145" s="162">
        <f>C1142+C1143</f>
        <v>1156511</v>
      </c>
      <c r="D1145" s="170"/>
      <c r="E1145" s="76"/>
      <c r="F1145" s="174">
        <f>SUM(F1141:F1143)</f>
        <v>71079</v>
      </c>
      <c r="G1145" s="170"/>
      <c r="H1145" s="170"/>
      <c r="I1145" s="174">
        <f>SUM(I1141:I1143)</f>
        <v>74965</v>
      </c>
      <c r="J1145" s="170"/>
      <c r="K1145" s="76"/>
      <c r="L1145" s="174">
        <f>SUM(L1141:L1143)</f>
        <v>79024</v>
      </c>
      <c r="N1145" s="76"/>
      <c r="O1145" s="76"/>
      <c r="P1145" s="144"/>
      <c r="Q1145" s="144"/>
      <c r="R1145" s="76"/>
      <c r="S1145" s="76"/>
      <c r="T1145" s="76"/>
      <c r="U1145" s="76"/>
      <c r="V1145" s="76"/>
      <c r="W1145" s="76"/>
      <c r="X1145" s="76"/>
      <c r="Y1145" s="76"/>
      <c r="Z1145" s="76"/>
      <c r="AA1145" s="76"/>
      <c r="AB1145" s="76"/>
      <c r="AC1145" s="76"/>
      <c r="AD1145" s="76"/>
      <c r="AE1145" s="76"/>
      <c r="AF1145" s="76"/>
      <c r="AG1145" s="76"/>
      <c r="AH1145" s="76"/>
    </row>
    <row r="1146" spans="1:34">
      <c r="A1146" s="143" t="s">
        <v>260</v>
      </c>
      <c r="C1146" s="162">
        <v>87074.522892730776</v>
      </c>
      <c r="D1146" s="170"/>
      <c r="E1146" s="76"/>
      <c r="F1146" s="174">
        <v>5672.4061987925215</v>
      </c>
      <c r="G1146" s="170"/>
      <c r="H1146" s="170"/>
      <c r="I1146" s="174">
        <f>F1146</f>
        <v>5672.4061987925215</v>
      </c>
      <c r="J1146" s="170"/>
      <c r="K1146" s="76"/>
      <c r="L1146" s="174">
        <f>F1146</f>
        <v>5672.4061987925215</v>
      </c>
      <c r="N1146" s="196"/>
      <c r="O1146" s="196"/>
      <c r="P1146" s="194"/>
      <c r="Q1146" s="144"/>
      <c r="R1146" s="76"/>
      <c r="S1146" s="76"/>
      <c r="T1146" s="76"/>
      <c r="U1146" s="76"/>
      <c r="V1146" s="76"/>
      <c r="W1146" s="76"/>
      <c r="X1146" s="76"/>
      <c r="Y1146" s="76"/>
      <c r="Z1146" s="76"/>
      <c r="AA1146" s="76"/>
      <c r="AB1146" s="76"/>
      <c r="AC1146" s="76"/>
      <c r="AD1146" s="76"/>
      <c r="AE1146" s="76"/>
      <c r="AF1146" s="76"/>
      <c r="AG1146" s="76"/>
      <c r="AH1146" s="76"/>
    </row>
    <row r="1147" spans="1:34" ht="16.5" thickBot="1">
      <c r="A1147" s="182" t="s">
        <v>115</v>
      </c>
      <c r="B1147" s="182"/>
      <c r="C1147" s="323">
        <f>C1145+C1146</f>
        <v>1243585.5228927308</v>
      </c>
      <c r="D1147" s="348"/>
      <c r="E1147" s="349"/>
      <c r="F1147" s="178">
        <f>F1145+F1146</f>
        <v>76751.406198792523</v>
      </c>
      <c r="G1147" s="348"/>
      <c r="H1147" s="348"/>
      <c r="I1147" s="178">
        <f>I1145+I1146</f>
        <v>80637.406198792523</v>
      </c>
      <c r="J1147" s="348"/>
      <c r="K1147" s="349"/>
      <c r="L1147" s="178">
        <f>L1145+L1146</f>
        <v>84696.406198792523</v>
      </c>
      <c r="N1147" s="197"/>
      <c r="O1147" s="197"/>
      <c r="P1147" s="198"/>
      <c r="Q1147" s="144"/>
      <c r="R1147" s="76"/>
      <c r="S1147" s="76"/>
      <c r="T1147" s="76"/>
      <c r="U1147" s="76"/>
      <c r="V1147" s="76"/>
      <c r="W1147" s="76"/>
      <c r="X1147" s="76"/>
      <c r="Y1147" s="76"/>
      <c r="Z1147" s="76"/>
      <c r="AA1147" s="76"/>
      <c r="AB1147" s="76"/>
      <c r="AC1147" s="76"/>
      <c r="AD1147" s="76"/>
      <c r="AE1147" s="76"/>
      <c r="AF1147" s="76"/>
      <c r="AG1147" s="76"/>
      <c r="AH1147" s="76"/>
    </row>
    <row r="1148" spans="1:34" ht="16.5" thickTop="1">
      <c r="A1148" s="182"/>
      <c r="B1148" s="182"/>
      <c r="C1148" s="314"/>
      <c r="D1148" s="351"/>
      <c r="E1148" s="274"/>
      <c r="F1148" s="225"/>
      <c r="G1148" s="351"/>
      <c r="H1148" s="351"/>
      <c r="I1148" s="225"/>
      <c r="J1148" s="351" t="s">
        <v>0</v>
      </c>
      <c r="K1148" s="274"/>
      <c r="L1148" s="225" t="s">
        <v>0</v>
      </c>
      <c r="N1148" s="76"/>
      <c r="O1148" s="76"/>
      <c r="P1148" s="144"/>
      <c r="Q1148" s="144"/>
      <c r="R1148" s="76"/>
      <c r="S1148" s="76"/>
      <c r="T1148" s="76"/>
      <c r="U1148" s="76"/>
      <c r="V1148" s="76"/>
      <c r="W1148" s="76"/>
      <c r="X1148" s="76"/>
      <c r="Y1148" s="76"/>
      <c r="Z1148" s="76"/>
      <c r="AA1148" s="76"/>
      <c r="AB1148" s="76"/>
      <c r="AC1148" s="76"/>
      <c r="AD1148" s="76"/>
      <c r="AE1148" s="76"/>
      <c r="AF1148" s="76"/>
      <c r="AG1148" s="76"/>
      <c r="AH1148" s="76"/>
    </row>
    <row r="1149" spans="1:34">
      <c r="A1149" s="199" t="s">
        <v>283</v>
      </c>
      <c r="B1149" s="182"/>
      <c r="C1149" s="182"/>
      <c r="D1149" s="182"/>
      <c r="E1149" s="182"/>
      <c r="F1149" s="182"/>
      <c r="G1149" s="182"/>
      <c r="H1149" s="182"/>
      <c r="I1149" s="182"/>
      <c r="J1149" s="182"/>
      <c r="K1149" s="182"/>
      <c r="L1149" s="182" t="s">
        <v>0</v>
      </c>
      <c r="N1149" s="76"/>
      <c r="O1149" s="76"/>
      <c r="P1149" s="144"/>
      <c r="Q1149" s="144"/>
      <c r="R1149" s="76"/>
      <c r="S1149" s="76"/>
      <c r="T1149" s="76"/>
      <c r="U1149" s="76"/>
      <c r="V1149" s="76"/>
      <c r="W1149" s="76"/>
      <c r="X1149" s="76"/>
      <c r="Y1149" s="76"/>
      <c r="Z1149" s="76"/>
      <c r="AA1149" s="76"/>
      <c r="AB1149" s="76"/>
      <c r="AC1149" s="76"/>
      <c r="AD1149" s="76"/>
      <c r="AE1149" s="76"/>
      <c r="AF1149" s="76"/>
      <c r="AG1149" s="76"/>
      <c r="AH1149" s="76"/>
    </row>
    <row r="1150" spans="1:34">
      <c r="A1150" s="182" t="s">
        <v>77</v>
      </c>
      <c r="B1150" s="182"/>
      <c r="C1150" s="182"/>
      <c r="D1150" s="182"/>
      <c r="E1150" s="182"/>
      <c r="F1150" s="182"/>
      <c r="G1150" s="182"/>
      <c r="H1150" s="182"/>
      <c r="I1150" s="182"/>
      <c r="J1150" s="182"/>
      <c r="K1150" s="182"/>
      <c r="L1150" s="182"/>
      <c r="N1150" s="76"/>
      <c r="O1150" s="76"/>
      <c r="P1150" s="144"/>
      <c r="Q1150" s="144"/>
      <c r="R1150" s="76"/>
      <c r="S1150" s="76"/>
      <c r="T1150" s="76"/>
      <c r="U1150" s="76"/>
      <c r="V1150" s="76"/>
      <c r="W1150" s="76"/>
      <c r="X1150" s="76"/>
      <c r="Y1150" s="76"/>
      <c r="Z1150" s="76"/>
      <c r="AA1150" s="76"/>
      <c r="AB1150" s="76"/>
      <c r="AC1150" s="76"/>
      <c r="AD1150" s="76"/>
      <c r="AE1150" s="76"/>
      <c r="AF1150" s="76"/>
      <c r="AG1150" s="76"/>
      <c r="AH1150" s="76"/>
    </row>
    <row r="1151" spans="1:34">
      <c r="A1151" s="182"/>
      <c r="B1151" s="182"/>
      <c r="C1151" s="182"/>
      <c r="D1151" s="182"/>
      <c r="E1151" s="182"/>
      <c r="F1151" s="182"/>
      <c r="G1151" s="182"/>
      <c r="H1151" s="182"/>
      <c r="I1151" s="182"/>
      <c r="J1151" s="182"/>
      <c r="K1151" s="182"/>
      <c r="L1151" s="182"/>
      <c r="N1151" s="76"/>
      <c r="O1151" s="76"/>
      <c r="P1151" s="144"/>
      <c r="Q1151" s="144"/>
      <c r="R1151" s="76"/>
      <c r="S1151" s="76"/>
      <c r="T1151" s="76"/>
      <c r="U1151" s="76"/>
      <c r="V1151" s="76"/>
      <c r="W1151" s="76"/>
      <c r="X1151" s="76"/>
      <c r="Y1151" s="76"/>
      <c r="Z1151" s="76"/>
      <c r="AA1151" s="76"/>
      <c r="AB1151" s="76"/>
      <c r="AC1151" s="76"/>
      <c r="AD1151" s="76"/>
      <c r="AE1151" s="76"/>
      <c r="AF1151" s="76"/>
      <c r="AG1151" s="76"/>
      <c r="AH1151" s="76"/>
    </row>
    <row r="1152" spans="1:34">
      <c r="A1152" s="182" t="s">
        <v>284</v>
      </c>
      <c r="B1152" s="182"/>
      <c r="C1152" s="200">
        <v>196</v>
      </c>
      <c r="D1152" s="204">
        <v>3.5</v>
      </c>
      <c r="E1152" s="182"/>
      <c r="F1152" s="164">
        <f>ROUND(D1152*C1152,0)</f>
        <v>686</v>
      </c>
      <c r="G1152" s="204">
        <v>3.5</v>
      </c>
      <c r="H1152" s="204"/>
      <c r="I1152" s="164">
        <f>ROUND(C1152*G1152,0)</f>
        <v>686</v>
      </c>
      <c r="J1152" s="204">
        <v>3.75</v>
      </c>
      <c r="K1152" s="182"/>
      <c r="L1152" s="164">
        <f>ROUND(J1152*$C1152,0)</f>
        <v>735</v>
      </c>
      <c r="N1152" s="165" t="e">
        <f>J1152*#REF!</f>
        <v>#REF!</v>
      </c>
      <c r="O1152" s="76"/>
      <c r="P1152" s="354"/>
      <c r="Q1152" s="354"/>
      <c r="R1152" s="76"/>
      <c r="S1152" s="76"/>
      <c r="T1152" s="76"/>
      <c r="U1152" s="76"/>
      <c r="V1152" s="76"/>
      <c r="W1152" s="76"/>
      <c r="X1152" s="76"/>
      <c r="Y1152" s="76"/>
      <c r="Z1152" s="76"/>
      <c r="AA1152" s="76"/>
      <c r="AB1152" s="76"/>
      <c r="AC1152" s="76"/>
      <c r="AD1152" s="76"/>
      <c r="AE1152" s="76"/>
      <c r="AF1152" s="76"/>
      <c r="AG1152" s="76"/>
      <c r="AH1152" s="76"/>
    </row>
    <row r="1153" spans="1:34">
      <c r="A1153" s="182" t="s">
        <v>285</v>
      </c>
      <c r="B1153" s="182"/>
      <c r="C1153" s="200">
        <v>156</v>
      </c>
      <c r="D1153" s="204">
        <v>6.5</v>
      </c>
      <c r="E1153" s="182"/>
      <c r="F1153" s="164">
        <f>ROUND(D1153*C1153,0)</f>
        <v>1014</v>
      </c>
      <c r="G1153" s="204">
        <v>6.5</v>
      </c>
      <c r="H1153" s="204"/>
      <c r="I1153" s="164">
        <f>ROUND(C1153*G1153,0)</f>
        <v>1014</v>
      </c>
      <c r="J1153" s="204">
        <v>6.75</v>
      </c>
      <c r="K1153" s="182"/>
      <c r="L1153" s="164">
        <f>ROUND(J1153*$C1153,0)</f>
        <v>1053</v>
      </c>
      <c r="N1153" s="165" t="e">
        <f>J1153*#REF!</f>
        <v>#REF!</v>
      </c>
      <c r="O1153" s="76"/>
      <c r="P1153" s="354"/>
      <c r="Q1153" s="354"/>
      <c r="R1153" s="76"/>
      <c r="S1153" s="76"/>
      <c r="T1153" s="76"/>
      <c r="U1153" s="76"/>
      <c r="V1153" s="76"/>
      <c r="W1153" s="76"/>
      <c r="X1153" s="76"/>
      <c r="Y1153" s="76"/>
      <c r="Z1153" s="76"/>
      <c r="AA1153" s="76"/>
      <c r="AB1153" s="76"/>
      <c r="AC1153" s="76"/>
      <c r="AD1153" s="76"/>
      <c r="AE1153" s="76"/>
      <c r="AF1153" s="76"/>
      <c r="AG1153" s="76"/>
      <c r="AH1153" s="76"/>
    </row>
    <row r="1154" spans="1:34">
      <c r="A1154" s="182" t="s">
        <v>286</v>
      </c>
      <c r="B1154" s="182"/>
      <c r="C1154" s="200">
        <f>SUM(C1152:C1153)</f>
        <v>352</v>
      </c>
      <c r="D1154" s="214"/>
      <c r="E1154" s="182"/>
      <c r="F1154" s="346"/>
      <c r="G1154" s="214"/>
      <c r="H1154" s="214"/>
      <c r="I1154" s="346"/>
      <c r="J1154" s="214"/>
      <c r="K1154" s="182"/>
      <c r="L1154" s="164"/>
      <c r="N1154" s="76"/>
      <c r="O1154" s="76"/>
      <c r="P1154" s="354"/>
      <c r="Q1154" s="354"/>
      <c r="R1154" s="76"/>
      <c r="S1154" s="76"/>
      <c r="T1154" s="76"/>
      <c r="U1154" s="76"/>
      <c r="V1154" s="76"/>
      <c r="W1154" s="76"/>
      <c r="X1154" s="76"/>
      <c r="Y1154" s="76"/>
      <c r="Z1154" s="76"/>
      <c r="AA1154" s="76"/>
      <c r="AB1154" s="76"/>
      <c r="AC1154" s="76"/>
      <c r="AD1154" s="76"/>
      <c r="AE1154" s="76"/>
      <c r="AF1154" s="76"/>
      <c r="AG1154" s="76"/>
      <c r="AH1154" s="76"/>
    </row>
    <row r="1155" spans="1:34">
      <c r="A1155" s="182" t="s">
        <v>208</v>
      </c>
      <c r="B1155" s="182"/>
      <c r="C1155" s="200">
        <f>88652+169318</f>
        <v>257970</v>
      </c>
      <c r="D1155" s="288">
        <v>7.2930000000000001</v>
      </c>
      <c r="E1155" s="182" t="s">
        <v>126</v>
      </c>
      <c r="F1155" s="346">
        <f>ROUND(C1155*D1155/100,0)</f>
        <v>18814</v>
      </c>
      <c r="G1155" s="288">
        <v>7.7190000000000003</v>
      </c>
      <c r="H1155" s="288"/>
      <c r="I1155" s="346">
        <f>ROUND(G1155*C1155/100,0)</f>
        <v>19913</v>
      </c>
      <c r="J1155" s="288">
        <v>8.1110000000000007</v>
      </c>
      <c r="K1155" s="164" t="s">
        <v>126</v>
      </c>
      <c r="L1155" s="164">
        <f>ROUND(J1155*$C1155/100,0)</f>
        <v>20924</v>
      </c>
      <c r="N1155" s="165" t="e">
        <f>(J1155/100)*#REF!</f>
        <v>#REF!</v>
      </c>
      <c r="O1155" s="76"/>
      <c r="P1155" s="354"/>
      <c r="Q1155" s="354"/>
      <c r="R1155" s="76"/>
      <c r="S1155" s="76"/>
      <c r="T1155" s="76"/>
      <c r="U1155" s="76"/>
      <c r="V1155" s="76"/>
      <c r="W1155" s="76"/>
      <c r="X1155" s="76"/>
      <c r="Y1155" s="76"/>
      <c r="Z1155" s="76"/>
      <c r="AA1155" s="76"/>
      <c r="AB1155" s="76"/>
      <c r="AC1155" s="76"/>
      <c r="AD1155" s="76"/>
      <c r="AE1155" s="76"/>
      <c r="AF1155" s="76"/>
      <c r="AG1155" s="76"/>
      <c r="AH1155" s="76"/>
    </row>
    <row r="1156" spans="1:34">
      <c r="A1156" s="182" t="s">
        <v>131</v>
      </c>
      <c r="B1156" s="182"/>
      <c r="C1156" s="234">
        <f>SUM(C1155)</f>
        <v>257970</v>
      </c>
      <c r="D1156" s="200"/>
      <c r="E1156" s="200"/>
      <c r="F1156" s="346">
        <f>SUM(F1152:F1155)</f>
        <v>20514</v>
      </c>
      <c r="G1156" s="200"/>
      <c r="H1156" s="200"/>
      <c r="I1156" s="346">
        <f>SUM(I1152:I1155)</f>
        <v>21613</v>
      </c>
      <c r="J1156" s="200"/>
      <c r="K1156" s="164"/>
      <c r="L1156" s="346">
        <f>SUM(L1152:L1155)</f>
        <v>22712</v>
      </c>
      <c r="N1156" s="267" t="e">
        <f>SUM(N1152:N1155)</f>
        <v>#REF!</v>
      </c>
      <c r="O1156" s="76"/>
      <c r="P1156" s="144"/>
      <c r="Q1156" s="144"/>
      <c r="R1156" s="76"/>
      <c r="S1156" s="76"/>
      <c r="T1156" s="76"/>
      <c r="U1156" s="76"/>
      <c r="V1156" s="76"/>
      <c r="W1156" s="76"/>
      <c r="X1156" s="76"/>
      <c r="Y1156" s="76"/>
      <c r="Z1156" s="76"/>
      <c r="AA1156" s="76"/>
      <c r="AB1156" s="76"/>
      <c r="AC1156" s="76"/>
      <c r="AD1156" s="76"/>
      <c r="AE1156" s="76"/>
      <c r="AF1156" s="76"/>
      <c r="AG1156" s="76"/>
      <c r="AH1156" s="76"/>
    </row>
    <row r="1157" spans="1:34">
      <c r="A1157" s="182" t="s">
        <v>114</v>
      </c>
      <c r="B1157" s="182"/>
      <c r="C1157" s="270">
        <v>4487.3185477911647</v>
      </c>
      <c r="D1157" s="355"/>
      <c r="E1157" s="355"/>
      <c r="F1157" s="356">
        <v>383.45761220401477</v>
      </c>
      <c r="G1157" s="355"/>
      <c r="H1157" s="355"/>
      <c r="I1157" s="356">
        <f>F1157</f>
        <v>383.45761220401477</v>
      </c>
      <c r="J1157" s="355"/>
      <c r="K1157" s="355"/>
      <c r="L1157" s="356">
        <f>F1157</f>
        <v>383.45761220401477</v>
      </c>
      <c r="N1157" s="257"/>
      <c r="O1157" s="257"/>
      <c r="P1157" s="297"/>
      <c r="Q1157" s="144"/>
      <c r="R1157" s="76"/>
      <c r="S1157" s="76"/>
      <c r="T1157" s="76"/>
      <c r="U1157" s="76"/>
      <c r="V1157" s="76"/>
      <c r="W1157" s="76"/>
      <c r="X1157" s="76"/>
      <c r="Y1157" s="76"/>
      <c r="Z1157" s="76"/>
      <c r="AA1157" s="76"/>
      <c r="AB1157" s="76"/>
      <c r="AC1157" s="76"/>
      <c r="AD1157" s="76"/>
      <c r="AE1157" s="76"/>
      <c r="AF1157" s="76"/>
      <c r="AG1157" s="76"/>
      <c r="AH1157" s="76"/>
    </row>
    <row r="1158" spans="1:34" ht="16.5" thickBot="1">
      <c r="A1158" s="182" t="s">
        <v>132</v>
      </c>
      <c r="B1158" s="182"/>
      <c r="C1158" s="284">
        <f>C1156+C1157</f>
        <v>262457.31854779116</v>
      </c>
      <c r="D1158" s="262"/>
      <c r="E1158" s="262"/>
      <c r="F1158" s="220">
        <f>F1156+F1157</f>
        <v>20897.457612204016</v>
      </c>
      <c r="G1158" s="262"/>
      <c r="H1158" s="262"/>
      <c r="I1158" s="220">
        <f>I1156+I1157</f>
        <v>21996.457612204016</v>
      </c>
      <c r="J1158" s="262"/>
      <c r="K1158" s="262"/>
      <c r="L1158" s="220">
        <f>L1156+L1157</f>
        <v>23095.457612204016</v>
      </c>
      <c r="N1158" s="263"/>
      <c r="O1158" s="341" t="s">
        <v>157</v>
      </c>
      <c r="P1158" s="180">
        <v>23096.280492814218</v>
      </c>
      <c r="Q1158" s="176">
        <f>(L1158-I1158)/I1158</f>
        <v>4.9962590312280813E-2</v>
      </c>
      <c r="R1158" s="88" t="s">
        <v>117</v>
      </c>
      <c r="S1158" s="76"/>
      <c r="T1158" s="76"/>
      <c r="U1158" s="76"/>
      <c r="V1158" s="76"/>
      <c r="W1158" s="76"/>
      <c r="X1158" s="76"/>
      <c r="Y1158" s="76"/>
      <c r="Z1158" s="76"/>
      <c r="AA1158" s="76"/>
      <c r="AB1158" s="76"/>
      <c r="AC1158" s="76"/>
      <c r="AD1158" s="76"/>
      <c r="AE1158" s="76"/>
      <c r="AF1158" s="76"/>
      <c r="AG1158" s="76"/>
      <c r="AH1158" s="76"/>
    </row>
    <row r="1159" spans="1:34" ht="16.5" thickTop="1">
      <c r="A1159" s="182"/>
      <c r="B1159" s="221"/>
      <c r="C1159" s="182"/>
      <c r="D1159" s="182"/>
      <c r="E1159" s="182"/>
      <c r="F1159" s="182"/>
      <c r="G1159" s="182"/>
      <c r="H1159" s="182"/>
      <c r="I1159" s="182"/>
      <c r="J1159" s="182" t="s">
        <v>0</v>
      </c>
      <c r="K1159" s="182"/>
      <c r="L1159" s="164" t="s">
        <v>0</v>
      </c>
      <c r="N1159" s="76"/>
      <c r="O1159" s="344" t="s">
        <v>118</v>
      </c>
      <c r="P1159" s="265">
        <f>P1158-L1158</f>
        <v>0.82288061020153691</v>
      </c>
      <c r="Q1159" s="185" t="s">
        <v>0</v>
      </c>
      <c r="R1159" s="76"/>
      <c r="S1159" s="76"/>
      <c r="T1159" s="76"/>
      <c r="U1159" s="76"/>
      <c r="V1159" s="76"/>
      <c r="W1159" s="76"/>
      <c r="X1159" s="76"/>
      <c r="Y1159" s="76"/>
      <c r="Z1159" s="76"/>
      <c r="AA1159" s="76"/>
      <c r="AB1159" s="76"/>
      <c r="AC1159" s="76"/>
      <c r="AD1159" s="76"/>
      <c r="AE1159" s="76"/>
      <c r="AF1159" s="76"/>
      <c r="AG1159" s="76"/>
      <c r="AH1159" s="76"/>
    </row>
    <row r="1160" spans="1:34">
      <c r="A1160" s="160" t="s">
        <v>287</v>
      </c>
      <c r="B1160" s="211"/>
      <c r="C1160" s="211"/>
      <c r="D1160" s="211"/>
      <c r="E1160" s="211"/>
      <c r="F1160" s="211"/>
      <c r="G1160" s="211"/>
      <c r="H1160" s="211"/>
      <c r="I1160" s="211"/>
      <c r="J1160" s="211"/>
      <c r="K1160" s="211"/>
      <c r="L1160" s="211"/>
      <c r="N1160" s="76"/>
      <c r="O1160" s="76"/>
      <c r="P1160" s="144"/>
      <c r="Q1160" s="144"/>
      <c r="R1160" s="76"/>
      <c r="S1160" s="76"/>
      <c r="T1160" s="76"/>
      <c r="U1160" s="76"/>
      <c r="V1160" s="76"/>
      <c r="W1160" s="76"/>
      <c r="X1160" s="76"/>
      <c r="Y1160" s="76"/>
      <c r="Z1160" s="76"/>
      <c r="AA1160" s="76"/>
      <c r="AB1160" s="76"/>
      <c r="AC1160" s="76"/>
      <c r="AD1160" s="76"/>
      <c r="AE1160" s="76"/>
      <c r="AF1160" s="76"/>
      <c r="AG1160" s="76"/>
      <c r="AH1160" s="76"/>
    </row>
    <row r="1161" spans="1:34">
      <c r="A1161" s="211" t="s">
        <v>288</v>
      </c>
      <c r="B1161" s="211"/>
      <c r="C1161" s="211"/>
      <c r="D1161" s="211"/>
      <c r="E1161" s="211"/>
      <c r="F1161" s="211"/>
      <c r="G1161" s="211"/>
      <c r="H1161" s="211"/>
      <c r="I1161" s="211"/>
      <c r="J1161" s="211"/>
      <c r="K1161" s="211"/>
      <c r="L1161" s="211"/>
      <c r="N1161" s="186"/>
      <c r="O1161" s="186"/>
      <c r="P1161" s="186"/>
      <c r="Q1161" s="186"/>
      <c r="R1161" s="186"/>
      <c r="S1161" s="186"/>
      <c r="T1161" s="186"/>
      <c r="U1161" s="186"/>
      <c r="V1161" s="186"/>
      <c r="W1161" s="186"/>
      <c r="X1161" s="186"/>
      <c r="Y1161" s="186"/>
      <c r="Z1161" s="186"/>
      <c r="AA1161" s="186"/>
      <c r="AB1161" s="186"/>
      <c r="AC1161" s="186"/>
      <c r="AD1161" s="76"/>
      <c r="AE1161" s="76"/>
      <c r="AF1161" s="76"/>
      <c r="AG1161" s="76"/>
      <c r="AH1161" s="76"/>
    </row>
    <row r="1162" spans="1:34">
      <c r="A1162" s="357" t="s">
        <v>289</v>
      </c>
      <c r="B1162" s="211"/>
      <c r="C1162" s="211"/>
      <c r="D1162" s="211"/>
      <c r="E1162" s="211"/>
      <c r="F1162" s="211"/>
      <c r="G1162" s="211"/>
      <c r="H1162" s="211"/>
      <c r="I1162" s="211"/>
      <c r="J1162" s="211"/>
      <c r="K1162" s="211"/>
      <c r="L1162" s="211"/>
      <c r="N1162" s="186"/>
      <c r="O1162" s="186"/>
      <c r="P1162" s="186"/>
      <c r="Q1162" s="186"/>
      <c r="R1162" s="186"/>
      <c r="S1162" s="186"/>
      <c r="T1162" s="186"/>
      <c r="U1162" s="186"/>
      <c r="V1162" s="186"/>
      <c r="W1162" s="186"/>
      <c r="X1162" s="186"/>
      <c r="Y1162" s="186"/>
      <c r="Z1162" s="186"/>
      <c r="AA1162" s="186"/>
      <c r="AB1162" s="186"/>
      <c r="AC1162" s="186"/>
      <c r="AD1162" s="76"/>
      <c r="AE1162" s="76"/>
      <c r="AF1162" s="76"/>
      <c r="AG1162" s="76"/>
      <c r="AH1162" s="76"/>
    </row>
    <row r="1163" spans="1:34">
      <c r="A1163" s="143" t="s">
        <v>290</v>
      </c>
      <c r="F1163" s="161"/>
      <c r="I1163" s="161"/>
      <c r="N1163" s="186"/>
      <c r="O1163" s="186"/>
      <c r="P1163" s="186"/>
      <c r="Q1163" s="144"/>
      <c r="R1163" s="187"/>
      <c r="S1163" s="187"/>
      <c r="T1163" s="188"/>
      <c r="U1163" s="188"/>
      <c r="V1163" s="188"/>
      <c r="W1163" s="188"/>
      <c r="X1163" s="358"/>
      <c r="Y1163" s="190"/>
      <c r="Z1163" s="186"/>
      <c r="AA1163" s="186"/>
      <c r="AB1163" s="186"/>
      <c r="AC1163" s="186"/>
      <c r="AD1163" s="76"/>
      <c r="AE1163" s="76"/>
      <c r="AF1163" s="76"/>
      <c r="AG1163" s="76"/>
      <c r="AH1163" s="76"/>
    </row>
    <row r="1164" spans="1:34">
      <c r="A1164" s="143" t="s">
        <v>103</v>
      </c>
      <c r="C1164" s="162">
        <f>10903</f>
        <v>10903</v>
      </c>
      <c r="D1164" s="163">
        <v>8.7799999999999994</v>
      </c>
      <c r="F1164" s="164">
        <f>ROUND(D1164*$C1164,0)</f>
        <v>95728</v>
      </c>
      <c r="G1164" s="163">
        <v>9.25</v>
      </c>
      <c r="H1164" s="163"/>
      <c r="I1164" s="164">
        <f>ROUND(C1164*G1164,0)</f>
        <v>100853</v>
      </c>
      <c r="J1164" s="163">
        <f>ROUND(G1164+(G1164*$Q$1194),2)</f>
        <v>9.75</v>
      </c>
      <c r="L1164" s="164">
        <f>ROUND(J1164*$C1164,0)</f>
        <v>106304</v>
      </c>
      <c r="N1164" s="165" t="e">
        <f>J1164*#REF!</f>
        <v>#REF!</v>
      </c>
      <c r="O1164" s="76"/>
      <c r="P1164" s="189"/>
      <c r="Q1164" s="144"/>
      <c r="R1164" s="339"/>
      <c r="S1164" s="339"/>
      <c r="T1164" s="191"/>
      <c r="U1164" s="191"/>
      <c r="V1164" s="191"/>
      <c r="W1164" s="191"/>
      <c r="X1164" s="192"/>
      <c r="Y1164" s="186"/>
      <c r="Z1164" s="189"/>
      <c r="AA1164" s="189"/>
      <c r="AB1164" s="359"/>
      <c r="AC1164" s="189"/>
      <c r="AD1164" s="76"/>
      <c r="AE1164" s="76"/>
      <c r="AF1164" s="76"/>
      <c r="AG1164" s="76"/>
      <c r="AH1164" s="76"/>
    </row>
    <row r="1165" spans="1:34">
      <c r="A1165" s="143" t="s">
        <v>104</v>
      </c>
      <c r="C1165" s="162">
        <f>1344</f>
        <v>1344</v>
      </c>
      <c r="D1165" s="163">
        <v>16.079999999999998</v>
      </c>
      <c r="F1165" s="164">
        <f>ROUND(D1165*$C1165,0)</f>
        <v>21612</v>
      </c>
      <c r="G1165" s="163">
        <v>16.940000000000001</v>
      </c>
      <c r="H1165" s="163"/>
      <c r="I1165" s="164">
        <f t="shared" ref="I1165:I1169" si="186">ROUND(C1165*G1165,0)</f>
        <v>22767</v>
      </c>
      <c r="J1165" s="163">
        <f>ROUND(G1165+(G1165*$Q$1194),2)</f>
        <v>17.850000000000001</v>
      </c>
      <c r="L1165" s="164">
        <f>ROUND(J1165*$C1165,0)</f>
        <v>23990</v>
      </c>
      <c r="N1165" s="165" t="e">
        <f>J1165*#REF!</f>
        <v>#REF!</v>
      </c>
      <c r="O1165" s="76"/>
      <c r="P1165" s="189"/>
      <c r="Q1165" s="144"/>
      <c r="R1165" s="339"/>
      <c r="S1165" s="339"/>
      <c r="T1165" s="191"/>
      <c r="U1165" s="191"/>
      <c r="V1165" s="191"/>
      <c r="W1165" s="191"/>
      <c r="X1165" s="186"/>
      <c r="Y1165" s="186"/>
      <c r="Z1165" s="189"/>
      <c r="AA1165" s="189"/>
      <c r="AB1165" s="359"/>
      <c r="AC1165" s="189"/>
      <c r="AD1165" s="76"/>
      <c r="AE1165" s="76"/>
      <c r="AF1165" s="76"/>
      <c r="AG1165" s="76"/>
      <c r="AH1165" s="76"/>
    </row>
    <row r="1166" spans="1:34">
      <c r="A1166" s="143" t="s">
        <v>105</v>
      </c>
      <c r="C1166" s="162">
        <v>0</v>
      </c>
      <c r="D1166" s="163">
        <v>32.53</v>
      </c>
      <c r="F1166" s="164">
        <f>ROUND(D1166*$C1166,0)</f>
        <v>0</v>
      </c>
      <c r="G1166" s="163">
        <v>34.25</v>
      </c>
      <c r="H1166" s="163"/>
      <c r="I1166" s="164">
        <f t="shared" si="186"/>
        <v>0</v>
      </c>
      <c r="J1166" s="163">
        <f>ROUND(G1166+(G1166*$Q$1194),2)</f>
        <v>36.1</v>
      </c>
      <c r="L1166" s="164">
        <f>ROUND(J1166*$C1166,0)</f>
        <v>0</v>
      </c>
      <c r="N1166" s="165" t="e">
        <f>J1166*#REF!</f>
        <v>#REF!</v>
      </c>
      <c r="O1166" s="76"/>
      <c r="P1166" s="189"/>
      <c r="Q1166" s="144"/>
      <c r="R1166" s="339"/>
      <c r="S1166" s="339"/>
      <c r="T1166" s="191"/>
      <c r="U1166" s="191"/>
      <c r="V1166" s="191"/>
      <c r="W1166" s="191"/>
      <c r="X1166" s="186"/>
      <c r="Y1166" s="186"/>
      <c r="Z1166" s="189"/>
      <c r="AA1166" s="189"/>
      <c r="AB1166" s="359"/>
      <c r="AC1166" s="189"/>
      <c r="AD1166" s="76"/>
      <c r="AE1166" s="76"/>
      <c r="AF1166" s="76"/>
      <c r="AG1166" s="76"/>
      <c r="AH1166" s="76"/>
    </row>
    <row r="1167" spans="1:34">
      <c r="A1167" s="143" t="s">
        <v>291</v>
      </c>
      <c r="C1167" s="162"/>
      <c r="D1167" s="169"/>
      <c r="F1167" s="161"/>
      <c r="G1167" s="169"/>
      <c r="H1167" s="169"/>
      <c r="I1167" s="161"/>
      <c r="J1167" s="169"/>
      <c r="O1167" s="76"/>
      <c r="P1167" s="189"/>
      <c r="Q1167" s="144"/>
      <c r="R1167" s="76"/>
      <c r="S1167" s="76"/>
      <c r="T1167" s="194"/>
      <c r="U1167" s="194"/>
      <c r="V1167" s="194"/>
      <c r="W1167" s="194"/>
      <c r="X1167" s="186"/>
      <c r="Y1167" s="186"/>
      <c r="Z1167" s="189"/>
      <c r="AA1167" s="189"/>
      <c r="AB1167" s="359"/>
      <c r="AC1167" s="189"/>
      <c r="AD1167" s="76"/>
      <c r="AE1167" s="76"/>
      <c r="AF1167" s="76"/>
      <c r="AG1167" s="76"/>
      <c r="AH1167" s="76"/>
    </row>
    <row r="1168" spans="1:34">
      <c r="A1168" s="143" t="s">
        <v>103</v>
      </c>
      <c r="C1168" s="162">
        <f>4848</f>
        <v>4848</v>
      </c>
      <c r="D1168" s="163">
        <v>8.23</v>
      </c>
      <c r="F1168" s="164">
        <f>ROUND(D1168*$C1168,0)</f>
        <v>39899</v>
      </c>
      <c r="G1168" s="163">
        <v>8.68</v>
      </c>
      <c r="H1168" s="163"/>
      <c r="I1168" s="164">
        <f t="shared" si="186"/>
        <v>42081</v>
      </c>
      <c r="J1168" s="163">
        <f t="shared" ref="J1168:J1169" si="187">ROUND(G1168+(G1168*$Q$1194),2)</f>
        <v>9.15</v>
      </c>
      <c r="L1168" s="164">
        <f>ROUND(J1168*$C1168,0)</f>
        <v>44359</v>
      </c>
      <c r="N1168" s="165" t="e">
        <f>J1168*#REF!</f>
        <v>#REF!</v>
      </c>
      <c r="O1168" s="76"/>
      <c r="P1168" s="189"/>
      <c r="Q1168" s="144"/>
      <c r="R1168" s="339"/>
      <c r="S1168" s="339"/>
      <c r="T1168" s="191"/>
      <c r="U1168" s="191"/>
      <c r="V1168" s="191"/>
      <c r="W1168" s="191"/>
      <c r="X1168" s="76"/>
      <c r="Y1168" s="76"/>
      <c r="Z1168" s="189"/>
      <c r="AA1168" s="189"/>
      <c r="AB1168" s="359"/>
      <c r="AC1168" s="189"/>
      <c r="AD1168" s="76"/>
      <c r="AE1168" s="76"/>
      <c r="AF1168" s="76"/>
      <c r="AG1168" s="76"/>
      <c r="AH1168" s="76"/>
    </row>
    <row r="1169" spans="1:34">
      <c r="A1169" s="143" t="s">
        <v>104</v>
      </c>
      <c r="C1169" s="162">
        <v>0</v>
      </c>
      <c r="D1169" s="163">
        <v>15</v>
      </c>
      <c r="F1169" s="164">
        <f>ROUND(D1169*$C1169,0)</f>
        <v>0</v>
      </c>
      <c r="G1169" s="163">
        <v>15.8</v>
      </c>
      <c r="H1169" s="163"/>
      <c r="I1169" s="164">
        <f t="shared" si="186"/>
        <v>0</v>
      </c>
      <c r="J1169" s="163">
        <f t="shared" si="187"/>
        <v>16.649999999999999</v>
      </c>
      <c r="L1169" s="164">
        <f>ROUND(J1169*$C1169,0)</f>
        <v>0</v>
      </c>
      <c r="N1169" s="165" t="e">
        <f>J1169*#REF!</f>
        <v>#REF!</v>
      </c>
      <c r="O1169" s="76"/>
      <c r="P1169" s="189"/>
      <c r="Q1169" s="144"/>
      <c r="R1169" s="339"/>
      <c r="S1169" s="339"/>
      <c r="T1169" s="191"/>
      <c r="U1169" s="191"/>
      <c r="V1169" s="191"/>
      <c r="W1169" s="191"/>
      <c r="X1169" s="76"/>
      <c r="Y1169" s="76"/>
      <c r="Z1169" s="189"/>
      <c r="AA1169" s="189"/>
      <c r="AB1169" s="359"/>
      <c r="AC1169" s="189"/>
      <c r="AD1169" s="76"/>
      <c r="AE1169" s="76"/>
      <c r="AF1169" s="76"/>
      <c r="AG1169" s="76"/>
      <c r="AH1169" s="76"/>
    </row>
    <row r="1170" spans="1:34">
      <c r="A1170" s="357" t="s">
        <v>292</v>
      </c>
      <c r="C1170" s="162"/>
      <c r="D1170" s="163"/>
      <c r="F1170" s="164"/>
      <c r="G1170" s="163"/>
      <c r="H1170" s="163"/>
      <c r="I1170" s="164"/>
      <c r="J1170" s="163"/>
      <c r="L1170" s="164"/>
      <c r="O1170" s="76"/>
      <c r="P1170" s="189"/>
      <c r="Q1170" s="144"/>
      <c r="R1170" s="76"/>
      <c r="S1170" s="76"/>
      <c r="T1170" s="76"/>
      <c r="U1170" s="76"/>
      <c r="V1170" s="76"/>
      <c r="W1170" s="76"/>
      <c r="X1170" s="76"/>
      <c r="Y1170" s="76"/>
      <c r="Z1170" s="76"/>
      <c r="AA1170" s="76"/>
      <c r="AB1170" s="359"/>
      <c r="AC1170" s="76"/>
      <c r="AD1170" s="76"/>
      <c r="AE1170" s="76"/>
      <c r="AF1170" s="76"/>
      <c r="AG1170" s="76"/>
      <c r="AH1170" s="76"/>
    </row>
    <row r="1171" spans="1:34">
      <c r="A1171" s="143" t="s">
        <v>290</v>
      </c>
      <c r="C1171" s="162"/>
      <c r="D1171" s="169"/>
      <c r="F1171" s="161"/>
      <c r="G1171" s="169"/>
      <c r="H1171" s="169"/>
      <c r="I1171" s="161"/>
      <c r="J1171" s="169"/>
      <c r="O1171" s="76"/>
      <c r="P1171" s="144"/>
      <c r="Q1171" s="144"/>
      <c r="R1171" s="76"/>
      <c r="S1171" s="76"/>
      <c r="T1171" s="76"/>
      <c r="U1171" s="76"/>
      <c r="V1171" s="76"/>
      <c r="W1171" s="76"/>
      <c r="X1171" s="76"/>
      <c r="Y1171" s="76"/>
      <c r="Z1171" s="76"/>
      <c r="AA1171" s="76"/>
      <c r="AB1171" s="359"/>
      <c r="AC1171" s="76"/>
      <c r="AD1171" s="76"/>
      <c r="AE1171" s="76"/>
      <c r="AF1171" s="76"/>
      <c r="AG1171" s="76"/>
      <c r="AH1171" s="76"/>
    </row>
    <row r="1172" spans="1:34">
      <c r="A1172" s="143" t="s">
        <v>103</v>
      </c>
      <c r="C1172" s="162">
        <f>504</f>
        <v>504</v>
      </c>
      <c r="D1172" s="163">
        <v>11.47</v>
      </c>
      <c r="F1172" s="164">
        <f>ROUND(D1172*$C1172,0)</f>
        <v>5781</v>
      </c>
      <c r="G1172" s="163">
        <v>12.09</v>
      </c>
      <c r="H1172" s="163"/>
      <c r="I1172" s="164">
        <f t="shared" ref="I1172:I1174" si="188">ROUND(C1172*G1172,0)</f>
        <v>6093</v>
      </c>
      <c r="J1172" s="163">
        <f t="shared" ref="J1172:J1174" si="189">ROUND(G1172+(G1172*$Q$1194),2)</f>
        <v>12.74</v>
      </c>
      <c r="L1172" s="164">
        <f>ROUND(J1172*$C1172,0)</f>
        <v>6421</v>
      </c>
      <c r="N1172" s="165" t="e">
        <f>J1172*#REF!</f>
        <v>#REF!</v>
      </c>
      <c r="O1172" s="76"/>
      <c r="P1172" s="189"/>
      <c r="Q1172" s="144"/>
      <c r="R1172" s="339"/>
      <c r="S1172" s="339"/>
      <c r="T1172" s="191"/>
      <c r="U1172" s="191"/>
      <c r="V1172" s="191"/>
      <c r="W1172" s="191"/>
      <c r="X1172" s="76"/>
      <c r="Y1172" s="76"/>
      <c r="Z1172" s="189"/>
      <c r="AA1172" s="189"/>
      <c r="AB1172" s="359"/>
      <c r="AC1172" s="189"/>
      <c r="AD1172" s="76"/>
      <c r="AE1172" s="76"/>
      <c r="AF1172" s="76"/>
      <c r="AG1172" s="76"/>
      <c r="AH1172" s="76"/>
    </row>
    <row r="1173" spans="1:34">
      <c r="A1173" s="143" t="s">
        <v>104</v>
      </c>
      <c r="C1173" s="162">
        <f>504</f>
        <v>504</v>
      </c>
      <c r="D1173" s="163">
        <v>19.260000000000002</v>
      </c>
      <c r="F1173" s="164">
        <f>ROUND(D1173*$C1173,0)</f>
        <v>9707</v>
      </c>
      <c r="G1173" s="163">
        <v>20.290000000000003</v>
      </c>
      <c r="H1173" s="163"/>
      <c r="I1173" s="164">
        <f t="shared" si="188"/>
        <v>10226</v>
      </c>
      <c r="J1173" s="163">
        <f t="shared" si="189"/>
        <v>21.39</v>
      </c>
      <c r="L1173" s="164">
        <f>ROUND(J1173*$C1173,0)</f>
        <v>10781</v>
      </c>
      <c r="N1173" s="165" t="e">
        <f>J1173*#REF!</f>
        <v>#REF!</v>
      </c>
      <c r="O1173" s="76"/>
      <c r="P1173" s="189"/>
      <c r="Q1173" s="144"/>
      <c r="R1173" s="339"/>
      <c r="S1173" s="339"/>
      <c r="T1173" s="191"/>
      <c r="U1173" s="191"/>
      <c r="V1173" s="191"/>
      <c r="W1173" s="191"/>
      <c r="X1173" s="360"/>
      <c r="Y1173" s="360"/>
      <c r="Z1173" s="189"/>
      <c r="AA1173" s="189"/>
      <c r="AB1173" s="359"/>
      <c r="AC1173" s="189"/>
      <c r="AD1173" s="76"/>
      <c r="AE1173" s="76"/>
      <c r="AF1173" s="76"/>
      <c r="AG1173" s="76"/>
      <c r="AH1173" s="76"/>
    </row>
    <row r="1174" spans="1:34">
      <c r="A1174" s="143" t="s">
        <v>105</v>
      </c>
      <c r="C1174" s="162">
        <v>0</v>
      </c>
      <c r="D1174" s="163">
        <v>35.75</v>
      </c>
      <c r="F1174" s="164">
        <f>ROUND(D1174*$C1174,0)</f>
        <v>0</v>
      </c>
      <c r="G1174" s="163">
        <v>37.64</v>
      </c>
      <c r="H1174" s="163"/>
      <c r="I1174" s="164">
        <f t="shared" si="188"/>
        <v>0</v>
      </c>
      <c r="J1174" s="163">
        <f t="shared" si="189"/>
        <v>39.67</v>
      </c>
      <c r="L1174" s="164">
        <f>ROUND(J1174*$C1174,0)</f>
        <v>0</v>
      </c>
      <c r="N1174" s="165" t="e">
        <f>J1174*#REF!</f>
        <v>#REF!</v>
      </c>
      <c r="O1174" s="76"/>
      <c r="P1174" s="189"/>
      <c r="Q1174" s="144"/>
      <c r="R1174" s="339"/>
      <c r="S1174" s="339"/>
      <c r="T1174" s="191"/>
      <c r="U1174" s="191"/>
      <c r="V1174" s="191"/>
      <c r="W1174" s="191"/>
      <c r="X1174" s="360"/>
      <c r="Y1174" s="360"/>
      <c r="Z1174" s="189"/>
      <c r="AA1174" s="189"/>
      <c r="AB1174" s="359"/>
      <c r="AC1174" s="189"/>
      <c r="AD1174" s="76"/>
      <c r="AE1174" s="76"/>
      <c r="AF1174" s="76"/>
      <c r="AG1174" s="76"/>
      <c r="AH1174" s="76"/>
    </row>
    <row r="1175" spans="1:34">
      <c r="A1175" s="143" t="s">
        <v>291</v>
      </c>
      <c r="C1175" s="162"/>
      <c r="D1175" s="169"/>
      <c r="F1175" s="161"/>
      <c r="G1175" s="169"/>
      <c r="H1175" s="169"/>
      <c r="I1175" s="161"/>
      <c r="J1175" s="169"/>
      <c r="N1175" s="76"/>
      <c r="O1175" s="76"/>
      <c r="P1175" s="76"/>
      <c r="Q1175" s="361"/>
      <c r="R1175" s="361"/>
      <c r="S1175" s="361"/>
      <c r="T1175" s="362"/>
      <c r="U1175" s="362"/>
      <c r="V1175" s="362"/>
      <c r="W1175" s="362"/>
      <c r="X1175" s="360"/>
      <c r="Y1175" s="360"/>
      <c r="Z1175" s="363"/>
      <c r="AA1175" s="76"/>
      <c r="AB1175" s="359"/>
      <c r="AC1175" s="76"/>
      <c r="AD1175" s="76"/>
      <c r="AE1175" s="76"/>
      <c r="AF1175" s="76"/>
      <c r="AG1175" s="76"/>
      <c r="AH1175" s="76"/>
    </row>
    <row r="1176" spans="1:34">
      <c r="A1176" s="143" t="s">
        <v>103</v>
      </c>
      <c r="C1176" s="162">
        <v>0</v>
      </c>
      <c r="D1176" s="163">
        <v>10.86</v>
      </c>
      <c r="F1176" s="164">
        <f>ROUND(D1176*$C1176,0)</f>
        <v>0</v>
      </c>
      <c r="G1176" s="163">
        <v>11.44</v>
      </c>
      <c r="H1176" s="163"/>
      <c r="I1176" s="164">
        <f t="shared" ref="I1176:I1177" si="190">ROUND(C1176*G1176,0)</f>
        <v>0</v>
      </c>
      <c r="J1176" s="163">
        <f t="shared" ref="J1176:J1177" si="191">ROUND(G1176+(G1176*$Q$1194),2)</f>
        <v>12.06</v>
      </c>
      <c r="L1176" s="164">
        <f>ROUND(J1176*$C1176,0)</f>
        <v>0</v>
      </c>
      <c r="N1176" s="165" t="e">
        <f>J1176*#REF!</f>
        <v>#REF!</v>
      </c>
      <c r="O1176" s="76"/>
      <c r="P1176" s="189"/>
      <c r="Q1176" s="144"/>
      <c r="R1176" s="339"/>
      <c r="S1176" s="339"/>
      <c r="T1176" s="191"/>
      <c r="U1176" s="191"/>
      <c r="V1176" s="191"/>
      <c r="W1176" s="191"/>
      <c r="X1176" s="360"/>
      <c r="Y1176" s="360"/>
      <c r="Z1176" s="189"/>
      <c r="AA1176" s="189"/>
      <c r="AB1176" s="359"/>
      <c r="AC1176" s="189"/>
      <c r="AD1176" s="76"/>
      <c r="AE1176" s="76"/>
      <c r="AF1176" s="76"/>
      <c r="AG1176" s="76"/>
      <c r="AH1176" s="76"/>
    </row>
    <row r="1177" spans="1:34">
      <c r="A1177" s="143" t="s">
        <v>104</v>
      </c>
      <c r="C1177" s="162">
        <v>0</v>
      </c>
      <c r="D1177" s="163">
        <v>18.21</v>
      </c>
      <c r="F1177" s="164">
        <f>ROUND(D1177*$C1177,0)</f>
        <v>0</v>
      </c>
      <c r="G1177" s="163">
        <v>19.18</v>
      </c>
      <c r="H1177" s="163"/>
      <c r="I1177" s="164">
        <f t="shared" si="190"/>
        <v>0</v>
      </c>
      <c r="J1177" s="163">
        <f t="shared" si="191"/>
        <v>20.22</v>
      </c>
      <c r="L1177" s="164">
        <f>ROUND(J1177*$C1177,0)</f>
        <v>0</v>
      </c>
      <c r="N1177" s="165" t="e">
        <f>J1177*#REF!</f>
        <v>#REF!</v>
      </c>
      <c r="O1177" s="76"/>
      <c r="P1177" s="189"/>
      <c r="Q1177" s="144"/>
      <c r="R1177" s="339"/>
      <c r="S1177" s="339"/>
      <c r="T1177" s="191"/>
      <c r="U1177" s="191"/>
      <c r="V1177" s="191"/>
      <c r="W1177" s="191"/>
      <c r="X1177" s="360"/>
      <c r="Y1177" s="360"/>
      <c r="Z1177" s="189"/>
      <c r="AA1177" s="189"/>
      <c r="AB1177" s="359"/>
      <c r="AC1177" s="189"/>
      <c r="AD1177" s="76"/>
      <c r="AE1177" s="76"/>
      <c r="AF1177" s="76"/>
      <c r="AG1177" s="76"/>
      <c r="AH1177" s="76"/>
    </row>
    <row r="1178" spans="1:34">
      <c r="A1178" s="357" t="s">
        <v>293</v>
      </c>
      <c r="B1178" s="211"/>
      <c r="C1178" s="162"/>
      <c r="D1178" s="169"/>
      <c r="E1178" s="211"/>
      <c r="F1178" s="211"/>
      <c r="G1178" s="169"/>
      <c r="H1178" s="169"/>
      <c r="I1178" s="211"/>
      <c r="J1178" s="169"/>
      <c r="K1178" s="211"/>
      <c r="L1178" s="211"/>
      <c r="N1178" s="76"/>
      <c r="O1178" s="76"/>
      <c r="P1178" s="76"/>
      <c r="Q1178" s="361"/>
      <c r="R1178" s="361"/>
      <c r="S1178" s="361"/>
      <c r="T1178" s="362"/>
      <c r="U1178" s="362"/>
      <c r="V1178" s="362"/>
      <c r="W1178" s="362"/>
      <c r="X1178" s="360"/>
      <c r="Y1178" s="360"/>
      <c r="Z1178" s="363"/>
      <c r="AA1178" s="76"/>
      <c r="AB1178" s="359"/>
      <c r="AC1178" s="76"/>
      <c r="AD1178" s="76"/>
      <c r="AE1178" s="76"/>
      <c r="AF1178" s="76"/>
      <c r="AG1178" s="76"/>
      <c r="AH1178" s="76"/>
    </row>
    <row r="1179" spans="1:34">
      <c r="A1179" s="143" t="s">
        <v>290</v>
      </c>
      <c r="C1179" s="162"/>
      <c r="D1179" s="169"/>
      <c r="F1179" s="161"/>
      <c r="G1179" s="169"/>
      <c r="H1179" s="169"/>
      <c r="I1179" s="161"/>
      <c r="J1179" s="169"/>
      <c r="N1179" s="76"/>
      <c r="O1179" s="76"/>
      <c r="P1179" s="76"/>
      <c r="Q1179" s="361"/>
      <c r="R1179" s="361"/>
      <c r="S1179" s="361"/>
      <c r="T1179" s="362"/>
      <c r="U1179" s="362"/>
      <c r="V1179" s="362"/>
      <c r="W1179" s="362"/>
      <c r="X1179" s="360"/>
      <c r="Y1179" s="360"/>
      <c r="Z1179" s="363"/>
      <c r="AA1179" s="76"/>
      <c r="AB1179" s="359"/>
      <c r="AC1179" s="76"/>
      <c r="AD1179" s="76"/>
      <c r="AE1179" s="76"/>
      <c r="AF1179" s="76"/>
      <c r="AG1179" s="76"/>
      <c r="AH1179" s="76"/>
    </row>
    <row r="1180" spans="1:34">
      <c r="A1180" s="143" t="s">
        <v>103</v>
      </c>
      <c r="C1180" s="162">
        <v>0</v>
      </c>
      <c r="D1180" s="163">
        <v>11.47</v>
      </c>
      <c r="F1180" s="164">
        <f>ROUND(D1180*$C1180,0)</f>
        <v>0</v>
      </c>
      <c r="G1180" s="163">
        <v>12.08</v>
      </c>
      <c r="H1180" s="163"/>
      <c r="I1180" s="164">
        <f t="shared" ref="I1180:I1182" si="192">ROUND(C1180*G1180,0)</f>
        <v>0</v>
      </c>
      <c r="J1180" s="163">
        <f t="shared" ref="J1180:J1182" si="193">ROUND(G1180+(G1180*$Q$1194),2)</f>
        <v>12.73</v>
      </c>
      <c r="L1180" s="164">
        <f>ROUND(J1180*$C1180,0)</f>
        <v>0</v>
      </c>
      <c r="N1180" s="165" t="e">
        <f>J1180*#REF!</f>
        <v>#REF!</v>
      </c>
      <c r="O1180" s="76"/>
      <c r="P1180" s="189"/>
      <c r="Q1180" s="144"/>
      <c r="R1180" s="339"/>
      <c r="S1180" s="339"/>
      <c r="T1180" s="191"/>
      <c r="U1180" s="191"/>
      <c r="V1180" s="191"/>
      <c r="W1180" s="191"/>
      <c r="X1180" s="360"/>
      <c r="Y1180" s="360"/>
      <c r="Z1180" s="189"/>
      <c r="AA1180" s="189"/>
      <c r="AB1180" s="359"/>
      <c r="AC1180" s="189"/>
      <c r="AD1180" s="76"/>
      <c r="AE1180" s="76"/>
      <c r="AF1180" s="76"/>
      <c r="AG1180" s="76"/>
      <c r="AH1180" s="76"/>
    </row>
    <row r="1181" spans="1:34">
      <c r="A1181" s="143" t="s">
        <v>104</v>
      </c>
      <c r="C1181" s="162">
        <v>0</v>
      </c>
      <c r="D1181" s="163">
        <v>18.649999999999999</v>
      </c>
      <c r="F1181" s="164">
        <f>ROUND(D1181*$C1181,0)</f>
        <v>0</v>
      </c>
      <c r="G1181" s="163">
        <v>19.64</v>
      </c>
      <c r="H1181" s="163"/>
      <c r="I1181" s="164">
        <f t="shared" si="192"/>
        <v>0</v>
      </c>
      <c r="J1181" s="163">
        <f t="shared" si="193"/>
        <v>20.7</v>
      </c>
      <c r="L1181" s="164">
        <f>ROUND(J1181*$C1181,0)</f>
        <v>0</v>
      </c>
      <c r="N1181" s="165" t="e">
        <f>J1181*#REF!</f>
        <v>#REF!</v>
      </c>
      <c r="O1181" s="76"/>
      <c r="P1181" s="189"/>
      <c r="Q1181" s="144"/>
      <c r="R1181" s="339"/>
      <c r="S1181" s="339"/>
      <c r="T1181" s="191"/>
      <c r="U1181" s="191"/>
      <c r="V1181" s="191"/>
      <c r="W1181" s="191"/>
      <c r="X1181" s="360"/>
      <c r="Y1181" s="360"/>
      <c r="Z1181" s="189"/>
      <c r="AA1181" s="189"/>
      <c r="AB1181" s="359"/>
      <c r="AC1181" s="189"/>
      <c r="AD1181" s="76"/>
      <c r="AE1181" s="76"/>
      <c r="AF1181" s="76"/>
      <c r="AG1181" s="76"/>
      <c r="AH1181" s="76"/>
    </row>
    <row r="1182" spans="1:34">
      <c r="A1182" s="143" t="s">
        <v>105</v>
      </c>
      <c r="C1182" s="162">
        <v>0</v>
      </c>
      <c r="D1182" s="163">
        <v>35.130000000000003</v>
      </c>
      <c r="F1182" s="164">
        <f>ROUND(D1182*$C1182,0)</f>
        <v>0</v>
      </c>
      <c r="G1182" s="163">
        <v>36.99</v>
      </c>
      <c r="H1182" s="163"/>
      <c r="I1182" s="164">
        <f t="shared" si="192"/>
        <v>0</v>
      </c>
      <c r="J1182" s="163">
        <f t="shared" si="193"/>
        <v>38.99</v>
      </c>
      <c r="L1182" s="164">
        <f>ROUND(J1182*$C1182,0)</f>
        <v>0</v>
      </c>
      <c r="N1182" s="165" t="e">
        <f>J1182*#REF!</f>
        <v>#REF!</v>
      </c>
      <c r="O1182" s="76"/>
      <c r="P1182" s="189"/>
      <c r="Q1182" s="144"/>
      <c r="R1182" s="339"/>
      <c r="S1182" s="339"/>
      <c r="T1182" s="191"/>
      <c r="U1182" s="191"/>
      <c r="V1182" s="191"/>
      <c r="W1182" s="191"/>
      <c r="X1182" s="360"/>
      <c r="Y1182" s="360"/>
      <c r="Z1182" s="189"/>
      <c r="AA1182" s="189"/>
      <c r="AB1182" s="359"/>
      <c r="AC1182" s="189"/>
      <c r="AD1182" s="76"/>
      <c r="AE1182" s="76"/>
      <c r="AF1182" s="76"/>
      <c r="AG1182" s="76"/>
      <c r="AH1182" s="76"/>
    </row>
    <row r="1183" spans="1:34">
      <c r="A1183" s="143" t="s">
        <v>291</v>
      </c>
      <c r="C1183" s="162"/>
      <c r="D1183" s="169"/>
      <c r="F1183" s="161"/>
      <c r="G1183" s="169"/>
      <c r="H1183" s="169"/>
      <c r="I1183" s="161"/>
      <c r="J1183" s="169"/>
      <c r="N1183" s="76"/>
      <c r="O1183" s="76"/>
      <c r="P1183" s="76"/>
      <c r="Q1183" s="361"/>
      <c r="R1183" s="361"/>
      <c r="S1183" s="361"/>
      <c r="T1183" s="362"/>
      <c r="U1183" s="362"/>
      <c r="V1183" s="362"/>
      <c r="W1183" s="362"/>
      <c r="X1183" s="360"/>
      <c r="Y1183" s="360"/>
      <c r="Z1183" s="363"/>
      <c r="AA1183" s="76"/>
      <c r="AB1183" s="359"/>
      <c r="AC1183" s="76"/>
      <c r="AD1183" s="76"/>
      <c r="AE1183" s="76"/>
      <c r="AF1183" s="76"/>
      <c r="AG1183" s="76"/>
      <c r="AH1183" s="76"/>
    </row>
    <row r="1184" spans="1:34">
      <c r="A1184" s="143" t="s">
        <v>103</v>
      </c>
      <c r="C1184" s="162">
        <v>0</v>
      </c>
      <c r="D1184" s="163">
        <v>10.86</v>
      </c>
      <c r="F1184" s="164">
        <f>ROUND(D1184*$C1184,0)</f>
        <v>0</v>
      </c>
      <c r="G1184" s="163">
        <v>11.44</v>
      </c>
      <c r="H1184" s="163"/>
      <c r="I1184" s="164">
        <f t="shared" ref="I1184:I1185" si="194">ROUND(C1184*G1184,0)</f>
        <v>0</v>
      </c>
      <c r="J1184" s="163">
        <f t="shared" ref="J1184:J1185" si="195">ROUND(G1184+(G1184*$Q$1194),2)</f>
        <v>12.06</v>
      </c>
      <c r="L1184" s="164">
        <f>ROUND(J1184*$C1184,0)</f>
        <v>0</v>
      </c>
      <c r="N1184" s="165" t="e">
        <f>J1184*#REF!</f>
        <v>#REF!</v>
      </c>
      <c r="O1184" s="76"/>
      <c r="P1184" s="189"/>
      <c r="Q1184" s="144"/>
      <c r="R1184" s="339"/>
      <c r="S1184" s="339"/>
      <c r="T1184" s="191"/>
      <c r="U1184" s="191"/>
      <c r="V1184" s="191"/>
      <c r="W1184" s="191"/>
      <c r="X1184" s="360"/>
      <c r="Y1184" s="360"/>
      <c r="Z1184" s="189"/>
      <c r="AA1184" s="189"/>
      <c r="AB1184" s="359"/>
      <c r="AC1184" s="189"/>
      <c r="AD1184" s="76"/>
      <c r="AE1184" s="76"/>
      <c r="AF1184" s="76"/>
      <c r="AG1184" s="76"/>
      <c r="AH1184" s="76"/>
    </row>
    <row r="1185" spans="1:34">
      <c r="A1185" s="143" t="s">
        <v>104</v>
      </c>
      <c r="C1185" s="162">
        <v>0</v>
      </c>
      <c r="D1185" s="163">
        <v>17.600000000000001</v>
      </c>
      <c r="F1185" s="164">
        <f>ROUND(D1185*$C1185,0)</f>
        <v>0</v>
      </c>
      <c r="G1185" s="163">
        <v>18.53</v>
      </c>
      <c r="H1185" s="163"/>
      <c r="I1185" s="164">
        <f t="shared" si="194"/>
        <v>0</v>
      </c>
      <c r="J1185" s="163">
        <f t="shared" si="195"/>
        <v>19.53</v>
      </c>
      <c r="L1185" s="164">
        <f>ROUND(J1185*$C1185,0)</f>
        <v>0</v>
      </c>
      <c r="N1185" s="165" t="e">
        <f>J1185*#REF!</f>
        <v>#REF!</v>
      </c>
      <c r="O1185" s="76"/>
      <c r="P1185" s="189"/>
      <c r="Q1185" s="144"/>
      <c r="R1185" s="339"/>
      <c r="S1185" s="339"/>
      <c r="T1185" s="191"/>
      <c r="U1185" s="191"/>
      <c r="V1185" s="191"/>
      <c r="W1185" s="191"/>
      <c r="X1185" s="360"/>
      <c r="Y1185" s="360"/>
      <c r="Z1185" s="189"/>
      <c r="AA1185" s="189"/>
      <c r="AB1185" s="359"/>
      <c r="AC1185" s="189"/>
      <c r="AD1185" s="76"/>
      <c r="AE1185" s="76"/>
      <c r="AF1185" s="76"/>
      <c r="AG1185" s="76"/>
      <c r="AH1185" s="76"/>
    </row>
    <row r="1186" spans="1:34">
      <c r="A1186" s="357" t="s">
        <v>294</v>
      </c>
      <c r="B1186" s="211"/>
      <c r="C1186" s="162"/>
      <c r="D1186" s="169"/>
      <c r="E1186" s="211"/>
      <c r="F1186" s="211"/>
      <c r="G1186" s="169"/>
      <c r="H1186" s="169"/>
      <c r="I1186" s="211"/>
      <c r="J1186" s="169"/>
      <c r="K1186" s="211"/>
      <c r="L1186" s="211"/>
      <c r="N1186" s="76"/>
      <c r="O1186" s="76"/>
      <c r="P1186" s="76"/>
      <c r="Q1186" s="361"/>
      <c r="R1186" s="364" t="s">
        <v>0</v>
      </c>
      <c r="S1186" s="361"/>
      <c r="T1186" s="362"/>
      <c r="U1186" s="362"/>
      <c r="V1186" s="362"/>
      <c r="W1186" s="362"/>
      <c r="X1186" s="360"/>
      <c r="Y1186" s="360"/>
      <c r="Z1186" s="363"/>
      <c r="AA1186" s="76"/>
      <c r="AB1186" s="359"/>
      <c r="AC1186" s="76"/>
      <c r="AD1186" s="76"/>
      <c r="AE1186" s="76"/>
      <c r="AF1186" s="76"/>
      <c r="AG1186" s="76"/>
      <c r="AH1186" s="76"/>
    </row>
    <row r="1187" spans="1:34">
      <c r="A1187" s="143" t="s">
        <v>103</v>
      </c>
      <c r="C1187" s="162">
        <f>1992</f>
        <v>1992</v>
      </c>
      <c r="D1187" s="163">
        <v>9.18</v>
      </c>
      <c r="F1187" s="164">
        <f>ROUND(D1187*$C1187,0)</f>
        <v>18287</v>
      </c>
      <c r="G1187" s="163">
        <v>9.67</v>
      </c>
      <c r="H1187" s="163"/>
      <c r="I1187" s="164">
        <f t="shared" ref="I1187:I1189" si="196">ROUND(C1187*G1187,0)</f>
        <v>19263</v>
      </c>
      <c r="J1187" s="163">
        <f t="shared" ref="J1187:J1189" si="197">ROUND(G1187+(G1187*$Q$1194),2)</f>
        <v>10.19</v>
      </c>
      <c r="L1187" s="164">
        <f>ROUND(J1187*$C1187,0)</f>
        <v>20298</v>
      </c>
      <c r="N1187" s="165" t="e">
        <f>J1187*#REF!</f>
        <v>#REF!</v>
      </c>
      <c r="O1187" s="76"/>
      <c r="P1187" s="189"/>
      <c r="Q1187" s="144"/>
      <c r="R1187" s="339"/>
      <c r="S1187" s="339"/>
      <c r="T1187" s="191"/>
      <c r="U1187" s="191"/>
      <c r="V1187" s="191"/>
      <c r="W1187" s="191"/>
      <c r="X1187" s="360"/>
      <c r="Y1187" s="360"/>
      <c r="Z1187" s="189"/>
      <c r="AA1187" s="189"/>
      <c r="AB1187" s="359"/>
      <c r="AC1187" s="189"/>
      <c r="AD1187" s="76"/>
      <c r="AE1187" s="76"/>
      <c r="AF1187" s="76"/>
      <c r="AG1187" s="76"/>
      <c r="AH1187" s="76"/>
    </row>
    <row r="1188" spans="1:34">
      <c r="A1188" s="143" t="s">
        <v>104</v>
      </c>
      <c r="C1188" s="162">
        <f>1692</f>
        <v>1692</v>
      </c>
      <c r="D1188" s="163">
        <v>16.079999999999998</v>
      </c>
      <c r="F1188" s="164">
        <f>ROUND(D1188*$C1188,0)</f>
        <v>27207</v>
      </c>
      <c r="G1188" s="163">
        <v>16.93</v>
      </c>
      <c r="H1188" s="163"/>
      <c r="I1188" s="164">
        <f t="shared" si="196"/>
        <v>28646</v>
      </c>
      <c r="J1188" s="163">
        <f t="shared" si="197"/>
        <v>17.84</v>
      </c>
      <c r="L1188" s="164">
        <f>ROUND(J1188*$C1188,0)</f>
        <v>30185</v>
      </c>
      <c r="N1188" s="165" t="e">
        <f>J1188*#REF!</f>
        <v>#REF!</v>
      </c>
      <c r="O1188" s="76"/>
      <c r="P1188" s="189"/>
      <c r="Q1188" s="144"/>
      <c r="R1188" s="339"/>
      <c r="S1188" s="339"/>
      <c r="T1188" s="191"/>
      <c r="U1188" s="191"/>
      <c r="V1188" s="191"/>
      <c r="W1188" s="191"/>
      <c r="X1188" s="360"/>
      <c r="Y1188" s="360"/>
      <c r="Z1188" s="189"/>
      <c r="AA1188" s="189"/>
      <c r="AB1188" s="359"/>
      <c r="AC1188" s="189"/>
      <c r="AD1188" s="76"/>
      <c r="AE1188" s="76"/>
      <c r="AF1188" s="76"/>
      <c r="AG1188" s="76"/>
      <c r="AH1188" s="76"/>
    </row>
    <row r="1189" spans="1:34">
      <c r="A1189" s="143" t="s">
        <v>105</v>
      </c>
      <c r="C1189" s="162">
        <v>0</v>
      </c>
      <c r="D1189" s="163">
        <v>34.340000000000003</v>
      </c>
      <c r="F1189" s="164">
        <f>ROUND(D1189*$C1189,0)</f>
        <v>0</v>
      </c>
      <c r="G1189" s="163">
        <v>36.159999999999997</v>
      </c>
      <c r="H1189" s="163"/>
      <c r="I1189" s="164">
        <f t="shared" si="196"/>
        <v>0</v>
      </c>
      <c r="J1189" s="163">
        <f t="shared" si="197"/>
        <v>38.11</v>
      </c>
      <c r="L1189" s="164">
        <f>ROUND(J1189*$C1189,0)</f>
        <v>0</v>
      </c>
      <c r="N1189" s="165" t="e">
        <f>J1189*#REF!</f>
        <v>#REF!</v>
      </c>
      <c r="O1189" s="76"/>
      <c r="P1189" s="189"/>
      <c r="Q1189" s="144"/>
      <c r="R1189" s="339"/>
      <c r="S1189" s="339"/>
      <c r="T1189" s="191"/>
      <c r="U1189" s="191"/>
      <c r="V1189" s="191"/>
      <c r="W1189" s="191"/>
      <c r="X1189" s="360"/>
      <c r="Y1189" s="360"/>
      <c r="Z1189" s="189"/>
      <c r="AA1189" s="189"/>
      <c r="AB1189" s="359"/>
      <c r="AC1189" s="189"/>
      <c r="AD1189" s="76"/>
      <c r="AE1189" s="76"/>
      <c r="AF1189" s="76"/>
      <c r="AG1189" s="76"/>
      <c r="AH1189" s="76"/>
    </row>
    <row r="1190" spans="1:34">
      <c r="A1190" s="365" t="s">
        <v>295</v>
      </c>
      <c r="C1190" s="162"/>
      <c r="D1190" s="163"/>
      <c r="F1190" s="164"/>
      <c r="G1190" s="163"/>
      <c r="H1190" s="163"/>
      <c r="I1190" s="164"/>
      <c r="J1190" s="163"/>
      <c r="L1190" s="164"/>
      <c r="N1190" s="76"/>
      <c r="O1190" s="76"/>
      <c r="P1190" s="76"/>
      <c r="Q1190" s="361"/>
      <c r="R1190" s="361"/>
      <c r="S1190" s="361"/>
      <c r="T1190" s="366"/>
      <c r="U1190" s="366"/>
      <c r="V1190" s="366"/>
      <c r="W1190" s="366"/>
      <c r="X1190" s="360"/>
      <c r="Y1190" s="360"/>
      <c r="Z1190" s="363"/>
      <c r="AA1190" s="76"/>
      <c r="AB1190" s="359"/>
      <c r="AC1190" s="76"/>
      <c r="AD1190" s="76"/>
      <c r="AE1190" s="76"/>
      <c r="AF1190" s="76"/>
      <c r="AG1190" s="76"/>
      <c r="AH1190" s="76"/>
    </row>
    <row r="1191" spans="1:34">
      <c r="A1191" s="143" t="s">
        <v>296</v>
      </c>
      <c r="C1191" s="162">
        <f>96</f>
        <v>96</v>
      </c>
      <c r="D1191" s="163">
        <v>32.950000000000003</v>
      </c>
      <c r="F1191" s="164">
        <f>ROUND(D1191*$C1191,0)</f>
        <v>3163</v>
      </c>
      <c r="G1191" s="163">
        <v>34.700000000000003</v>
      </c>
      <c r="H1191" s="163"/>
      <c r="I1191" s="164">
        <f t="shared" ref="I1191" si="198">ROUND(C1191*G1191,0)</f>
        <v>3331</v>
      </c>
      <c r="J1191" s="163">
        <f>ROUND(G1191+(G1191*$Q$1194),2)</f>
        <v>36.57</v>
      </c>
      <c r="L1191" s="164">
        <f>ROUND(J1191*$C1191,0)</f>
        <v>3511</v>
      </c>
      <c r="N1191" s="165" t="e">
        <f>J1191*#REF!</f>
        <v>#REF!</v>
      </c>
      <c r="O1191" s="76"/>
      <c r="P1191" s="189"/>
      <c r="Q1191" s="144"/>
      <c r="R1191" s="339"/>
      <c r="S1191" s="339"/>
      <c r="T1191" s="191"/>
      <c r="U1191" s="191"/>
      <c r="V1191" s="191"/>
      <c r="W1191" s="191"/>
      <c r="X1191" s="360"/>
      <c r="Y1191" s="360"/>
      <c r="Z1191" s="189"/>
      <c r="AA1191" s="189"/>
      <c r="AB1191" s="359"/>
      <c r="AC1191" s="189"/>
      <c r="AD1191" s="76"/>
      <c r="AE1191" s="76"/>
      <c r="AF1191" s="76"/>
      <c r="AG1191" s="76"/>
      <c r="AH1191" s="76"/>
    </row>
    <row r="1192" spans="1:34">
      <c r="A1192" s="143" t="s">
        <v>111</v>
      </c>
      <c r="C1192" s="162">
        <f>84+91+46+36+39+29+64+12</f>
        <v>401</v>
      </c>
      <c r="D1192" s="367"/>
      <c r="F1192" s="164"/>
      <c r="G1192" s="367"/>
      <c r="H1192" s="367"/>
      <c r="I1192" s="164"/>
      <c r="J1192" s="367"/>
      <c r="L1192" s="164"/>
      <c r="O1192" s="76"/>
      <c r="P1192" s="189"/>
      <c r="Q1192" s="368"/>
      <c r="R1192" s="76"/>
      <c r="S1192" s="76"/>
      <c r="T1192" s="194"/>
      <c r="U1192" s="194"/>
      <c r="V1192" s="194"/>
      <c r="W1192" s="194"/>
      <c r="X1192" s="186"/>
      <c r="Y1192" s="186"/>
      <c r="Z1192" s="189"/>
      <c r="AA1192" s="189"/>
      <c r="AB1192" s="189"/>
      <c r="AC1192" s="189"/>
      <c r="AD1192" s="76"/>
      <c r="AE1192" s="76"/>
      <c r="AF1192" s="76"/>
      <c r="AG1192" s="76"/>
      <c r="AH1192" s="76"/>
    </row>
    <row r="1193" spans="1:34">
      <c r="A1193" s="143" t="s">
        <v>131</v>
      </c>
      <c r="C1193" s="162">
        <f>2012079</f>
        <v>2012079</v>
      </c>
      <c r="D1193" s="170"/>
      <c r="E1193" s="76"/>
      <c r="F1193" s="174">
        <f>SUM(F1164:F1191)</f>
        <v>221384</v>
      </c>
      <c r="G1193" s="170"/>
      <c r="H1193" s="170"/>
      <c r="I1193" s="174">
        <f>SUM(I1164:I1191)</f>
        <v>233260</v>
      </c>
      <c r="J1193" s="170"/>
      <c r="K1193" s="76"/>
      <c r="L1193" s="174">
        <f>SUM(L1164:L1191)</f>
        <v>245849</v>
      </c>
      <c r="N1193" s="165" t="e">
        <f>SUM(N1164:N1192)</f>
        <v>#REF!</v>
      </c>
      <c r="O1193" s="76"/>
      <c r="P1193" s="189"/>
      <c r="Q1193" s="369"/>
      <c r="R1193" s="76"/>
      <c r="S1193" s="76"/>
      <c r="T1193" s="194"/>
      <c r="U1193" s="194"/>
      <c r="V1193" s="194"/>
      <c r="W1193" s="194"/>
      <c r="X1193" s="186"/>
      <c r="Y1193" s="186"/>
      <c r="Z1193" s="195"/>
      <c r="AA1193" s="186"/>
      <c r="AB1193" s="186"/>
      <c r="AC1193" s="186"/>
      <c r="AD1193" s="76"/>
      <c r="AE1193" s="76"/>
      <c r="AF1193" s="76"/>
      <c r="AG1193" s="76"/>
      <c r="AH1193" s="76"/>
    </row>
    <row r="1194" spans="1:34">
      <c r="A1194" s="143" t="s">
        <v>114</v>
      </c>
      <c r="C1194" s="162">
        <v>151490.81764795876</v>
      </c>
      <c r="D1194" s="170"/>
      <c r="E1194" s="76"/>
      <c r="F1194" s="174">
        <v>17660.211360398094</v>
      </c>
      <c r="G1194" s="170"/>
      <c r="H1194" s="170"/>
      <c r="I1194" s="174">
        <f>F1194</f>
        <v>17660.211360398094</v>
      </c>
      <c r="J1194" s="170"/>
      <c r="K1194" s="76"/>
      <c r="L1194" s="174">
        <f>F1194</f>
        <v>17660.211360398094</v>
      </c>
      <c r="N1194" s="257"/>
      <c r="O1194" s="196"/>
      <c r="P1194" s="194"/>
      <c r="Q1194" s="176">
        <v>5.3999999999999999E-2</v>
      </c>
      <c r="R1194" s="186"/>
      <c r="S1194" s="186"/>
      <c r="T1194" s="191"/>
      <c r="U1194" s="191"/>
      <c r="V1194" s="191"/>
      <c r="W1194" s="191"/>
      <c r="X1194" s="189"/>
      <c r="Y1194" s="186"/>
      <c r="Z1194" s="76"/>
      <c r="AA1194" s="76"/>
      <c r="AB1194" s="76"/>
      <c r="AC1194" s="76"/>
      <c r="AD1194" s="76"/>
      <c r="AE1194" s="76"/>
      <c r="AF1194" s="76"/>
      <c r="AG1194" s="76"/>
      <c r="AH1194" s="76"/>
    </row>
    <row r="1195" spans="1:34" ht="16.5" thickBot="1">
      <c r="A1195" s="143" t="s">
        <v>115</v>
      </c>
      <c r="C1195" s="177">
        <f>C1193+C1194</f>
        <v>2163569.8176479586</v>
      </c>
      <c r="D1195" s="178"/>
      <c r="E1195" s="178"/>
      <c r="F1195" s="178">
        <f>F1193+F1194</f>
        <v>239044.2113603981</v>
      </c>
      <c r="G1195" s="178"/>
      <c r="H1195" s="178"/>
      <c r="I1195" s="178">
        <f>I1193+I1194</f>
        <v>250920.2113603981</v>
      </c>
      <c r="J1195" s="178"/>
      <c r="K1195" s="178"/>
      <c r="L1195" s="178">
        <f>L1193+L1194</f>
        <v>263509.2113603981</v>
      </c>
      <c r="N1195" s="263"/>
      <c r="O1195" s="341" t="s">
        <v>157</v>
      </c>
      <c r="P1195" s="180">
        <v>263466.22192841803</v>
      </c>
      <c r="Q1195" s="176">
        <f>(L1195-I1195)/I1195</f>
        <v>5.0171327099347726E-2</v>
      </c>
      <c r="R1195" s="88" t="s">
        <v>117</v>
      </c>
      <c r="S1195" s="186"/>
      <c r="T1195" s="186"/>
      <c r="U1195" s="186"/>
      <c r="V1195" s="186"/>
      <c r="W1195" s="186"/>
      <c r="X1195" s="186"/>
      <c r="Y1195" s="186"/>
      <c r="Z1195" s="76"/>
      <c r="AA1195" s="76"/>
      <c r="AB1195" s="76"/>
      <c r="AC1195" s="76"/>
      <c r="AD1195" s="76"/>
      <c r="AE1195" s="76"/>
      <c r="AF1195" s="76"/>
      <c r="AG1195" s="76"/>
      <c r="AH1195" s="76"/>
    </row>
    <row r="1196" spans="1:34" ht="16.5" thickTop="1">
      <c r="C1196" s="370" t="s">
        <v>0</v>
      </c>
      <c r="D1196" s="181"/>
      <c r="E1196" s="181"/>
      <c r="F1196" s="161"/>
      <c r="G1196" s="181"/>
      <c r="H1196" s="181"/>
      <c r="I1196" s="161"/>
      <c r="J1196" s="181" t="s">
        <v>0</v>
      </c>
      <c r="K1196" s="181"/>
      <c r="L1196" s="164" t="s">
        <v>0</v>
      </c>
      <c r="N1196" s="343"/>
      <c r="O1196" s="344" t="s">
        <v>118</v>
      </c>
      <c r="P1196" s="265">
        <f>P1195-L1195</f>
        <v>-42.989431980066001</v>
      </c>
      <c r="Q1196" s="254" t="s">
        <v>0</v>
      </c>
      <c r="R1196" s="186"/>
      <c r="S1196" s="186"/>
      <c r="T1196" s="186"/>
      <c r="U1196" s="186"/>
      <c r="V1196" s="186"/>
      <c r="W1196" s="186"/>
      <c r="X1196" s="186"/>
      <c r="Y1196" s="186"/>
      <c r="Z1196" s="76"/>
      <c r="AA1196" s="76"/>
      <c r="AB1196" s="76"/>
      <c r="AC1196" s="76"/>
      <c r="AD1196" s="76"/>
      <c r="AE1196" s="76"/>
      <c r="AF1196" s="76"/>
      <c r="AG1196" s="76"/>
      <c r="AH1196" s="76"/>
    </row>
    <row r="1197" spans="1:34">
      <c r="A1197" s="211"/>
      <c r="B1197" s="221"/>
      <c r="C1197" s="371"/>
      <c r="D1197" s="372"/>
      <c r="E1197" s="164"/>
      <c r="F1197" s="164"/>
      <c r="G1197" s="372"/>
      <c r="H1197" s="372"/>
      <c r="I1197" s="164"/>
      <c r="J1197" s="372"/>
      <c r="K1197" s="211"/>
      <c r="L1197" s="164"/>
      <c r="N1197" s="76"/>
      <c r="O1197" s="76"/>
      <c r="P1197" s="144"/>
      <c r="Q1197" s="144"/>
      <c r="R1197" s="76"/>
      <c r="S1197" s="76"/>
      <c r="T1197" s="76"/>
      <c r="U1197" s="76"/>
      <c r="V1197" s="76"/>
      <c r="W1197" s="76"/>
      <c r="X1197" s="76"/>
      <c r="Y1197" s="76"/>
      <c r="Z1197" s="76"/>
      <c r="AA1197" s="76"/>
      <c r="AB1197" s="76"/>
      <c r="AC1197" s="76"/>
    </row>
    <row r="1198" spans="1:34" s="376" customFormat="1" ht="19.899999999999999" customHeight="1" thickBot="1">
      <c r="A1198" s="274" t="s">
        <v>297</v>
      </c>
      <c r="B1198" s="221"/>
      <c r="C1198" s="373">
        <f>C27+C91+C176+C474+C508+C627+C760+C787+C1088+C1099+C1110+C1158+C1195</f>
        <v>4074980317.999999</v>
      </c>
      <c r="D1198" s="374"/>
      <c r="E1198" s="375"/>
      <c r="F1198" s="375">
        <f>F27+F91+F176+F474+F508+F627+F760+F787+F1088+F1099+F1110+F1158+F1195</f>
        <v>258724148.12</v>
      </c>
      <c r="G1198" s="374"/>
      <c r="H1198" s="374"/>
      <c r="I1198" s="375">
        <f>I27+I91+I176+I474+I508+I627+I760+I787+I1088+I1099+I1110+I1158+I1195</f>
        <v>272396094.06000006</v>
      </c>
      <c r="J1198" s="374"/>
      <c r="K1198" s="375"/>
      <c r="L1198" s="375">
        <f>L27+L91+L176+L474+L508+L627+L760+L787+L1088+L1099+L1110+L1158+L1195</f>
        <v>305893437.15000004</v>
      </c>
      <c r="N1198" s="76"/>
      <c r="O1198" s="377" t="s">
        <v>157</v>
      </c>
      <c r="P1198" s="378">
        <f>P27+P91+P176+P508+P627+P815+P1061+P1088+P1099+P1110+P1158+P1195</f>
        <v>305893094.06000012</v>
      </c>
      <c r="Q1198" s="176">
        <f>(L1198-I1198)/I1198</f>
        <v>0.1229729200251366</v>
      </c>
      <c r="R1198" s="88" t="s">
        <v>117</v>
      </c>
      <c r="S1198" s="337"/>
      <c r="T1198" s="337"/>
      <c r="U1198" s="337"/>
      <c r="V1198" s="337"/>
      <c r="W1198" s="337"/>
      <c r="X1198" s="337"/>
      <c r="Y1198" s="337"/>
      <c r="Z1198" s="337"/>
      <c r="AA1198" s="337"/>
      <c r="AB1198" s="337"/>
      <c r="AC1198" s="337"/>
    </row>
    <row r="1199" spans="1:34" ht="16.5" thickTop="1">
      <c r="A1199" s="182"/>
      <c r="B1199" s="221"/>
      <c r="C1199" s="200"/>
      <c r="D1199" s="252"/>
      <c r="E1199" s="164"/>
      <c r="F1199" s="164"/>
      <c r="G1199" s="252"/>
      <c r="H1199" s="252"/>
      <c r="I1199" s="164"/>
      <c r="J1199" s="275" t="s">
        <v>0</v>
      </c>
      <c r="K1199" s="182"/>
      <c r="L1199" s="164" t="s">
        <v>0</v>
      </c>
      <c r="N1199" s="76"/>
      <c r="O1199" s="183" t="s">
        <v>118</v>
      </c>
      <c r="P1199" s="184">
        <f>P1198-L1198</f>
        <v>-343.08999991416931</v>
      </c>
      <c r="Q1199" s="223" t="s">
        <v>0</v>
      </c>
      <c r="R1199" s="76"/>
      <c r="S1199" s="76"/>
      <c r="T1199" s="76"/>
      <c r="U1199" s="76"/>
      <c r="V1199" s="76"/>
      <c r="W1199" s="76"/>
      <c r="X1199" s="76"/>
      <c r="Y1199" s="76"/>
      <c r="Z1199" s="76"/>
      <c r="AA1199" s="76"/>
      <c r="AB1199" s="76"/>
      <c r="AC1199" s="76"/>
    </row>
    <row r="1200" spans="1:34">
      <c r="A1200" s="182" t="s">
        <v>298</v>
      </c>
      <c r="B1200" s="221"/>
      <c r="C1200" s="379"/>
      <c r="D1200" s="380"/>
      <c r="E1200" s="381"/>
      <c r="F1200" s="381">
        <v>562567.5</v>
      </c>
      <c r="G1200" s="380"/>
      <c r="H1200" s="380"/>
      <c r="I1200" s="381">
        <v>562567.5</v>
      </c>
      <c r="J1200" s="382"/>
      <c r="K1200" s="383"/>
      <c r="L1200" s="384">
        <f>F1200</f>
        <v>562567.5</v>
      </c>
      <c r="N1200" s="76"/>
      <c r="R1200" s="76"/>
      <c r="S1200" s="76"/>
      <c r="T1200" s="76"/>
      <c r="U1200" s="76"/>
      <c r="V1200" s="76"/>
      <c r="W1200" s="76"/>
      <c r="X1200" s="76"/>
      <c r="Y1200" s="76"/>
      <c r="Z1200" s="76"/>
      <c r="AA1200" s="76"/>
      <c r="AB1200" s="76"/>
      <c r="AC1200" s="76"/>
    </row>
    <row r="1201" spans="1:29" s="376" customFormat="1" ht="19.899999999999999" customHeight="1" thickBot="1">
      <c r="A1201" s="385" t="s">
        <v>299</v>
      </c>
      <c r="B1201" s="386"/>
      <c r="C1201" s="387">
        <f>C1198+C1200</f>
        <v>4074980317.999999</v>
      </c>
      <c r="D1201" s="388"/>
      <c r="E1201" s="389"/>
      <c r="F1201" s="390">
        <f>F1198+F1200</f>
        <v>259286715.62</v>
      </c>
      <c r="G1201" s="388"/>
      <c r="H1201" s="391"/>
      <c r="I1201" s="392">
        <f>I1198+I1200</f>
        <v>272958661.56000006</v>
      </c>
      <c r="J1201" s="393"/>
      <c r="K1201" s="389"/>
      <c r="L1201" s="390">
        <f>L1198+L1200</f>
        <v>306456004.65000004</v>
      </c>
      <c r="N1201" s="337"/>
      <c r="P1201" s="394">
        <f>L1201-I1201</f>
        <v>33497343.089999974</v>
      </c>
      <c r="Q1201" s="176">
        <f>(L1201-I1201)/I1201</f>
        <v>0.12271947297278492</v>
      </c>
      <c r="R1201" s="88" t="s">
        <v>117</v>
      </c>
      <c r="S1201" s="337"/>
      <c r="T1201" s="337"/>
      <c r="U1201" s="337"/>
      <c r="V1201" s="337"/>
      <c r="W1201" s="337"/>
      <c r="X1201" s="337"/>
      <c r="Y1201" s="337"/>
      <c r="Z1201" s="337"/>
      <c r="AA1201" s="337"/>
      <c r="AB1201" s="337"/>
      <c r="AC1201" s="337"/>
    </row>
    <row r="1202" spans="1:29" ht="16.5" thickTop="1">
      <c r="A1202" s="182"/>
      <c r="B1202" s="221"/>
      <c r="C1202" s="200"/>
      <c r="D1202" s="395" t="s">
        <v>0</v>
      </c>
      <c r="E1202" s="164"/>
      <c r="F1202" s="164" t="s">
        <v>0</v>
      </c>
      <c r="G1202" s="395" t="s">
        <v>0</v>
      </c>
      <c r="H1202" s="395"/>
      <c r="I1202" s="164" t="s">
        <v>0</v>
      </c>
      <c r="J1202" s="252"/>
      <c r="K1202" s="182"/>
      <c r="L1202" s="164"/>
      <c r="N1202" s="76"/>
      <c r="O1202" s="76"/>
      <c r="P1202" s="144"/>
      <c r="Q1202" s="144"/>
      <c r="R1202" s="76"/>
      <c r="S1202" s="76"/>
      <c r="T1202" s="76"/>
      <c r="U1202" s="76"/>
      <c r="V1202" s="76"/>
      <c r="W1202" s="76"/>
      <c r="X1202" s="76"/>
      <c r="Y1202" s="76"/>
      <c r="Z1202" s="76"/>
      <c r="AA1202" s="76"/>
      <c r="AB1202" s="76"/>
      <c r="AC1202" s="76"/>
    </row>
    <row r="1203" spans="1:29">
      <c r="C1203" s="314"/>
      <c r="D1203" s="171"/>
      <c r="G1203" s="171"/>
      <c r="H1203" s="171"/>
      <c r="I1203" s="396"/>
      <c r="L1203" s="162"/>
      <c r="N1203" s="76"/>
      <c r="O1203" s="76"/>
      <c r="P1203" s="144"/>
      <c r="Q1203" s="144"/>
      <c r="R1203" s="76"/>
      <c r="S1203" s="76"/>
      <c r="T1203" s="76"/>
      <c r="U1203" s="76"/>
      <c r="V1203" s="76"/>
      <c r="W1203" s="76"/>
      <c r="X1203" s="76"/>
      <c r="Y1203" s="76"/>
      <c r="Z1203" s="76"/>
      <c r="AA1203" s="76"/>
      <c r="AB1203" s="76"/>
      <c r="AC1203" s="76"/>
    </row>
    <row r="1204" spans="1:29">
      <c r="A1204" s="397"/>
      <c r="N1204" s="76"/>
      <c r="O1204" s="76"/>
      <c r="P1204" s="144"/>
      <c r="Q1204" s="144"/>
      <c r="R1204" s="76"/>
      <c r="S1204" s="76"/>
      <c r="T1204" s="76"/>
      <c r="U1204" s="76"/>
      <c r="V1204" s="76"/>
      <c r="W1204" s="76"/>
      <c r="X1204" s="76"/>
      <c r="Y1204" s="76"/>
      <c r="Z1204" s="76"/>
      <c r="AA1204" s="76"/>
      <c r="AB1204" s="76"/>
      <c r="AC1204" s="76"/>
    </row>
    <row r="1205" spans="1:29">
      <c r="A1205" s="182"/>
      <c r="C1205" s="162"/>
      <c r="F1205" s="165"/>
      <c r="I1205" s="165"/>
      <c r="N1205" s="76"/>
      <c r="O1205" s="76"/>
      <c r="P1205" s="144"/>
      <c r="Q1205" s="144"/>
      <c r="R1205" s="76"/>
      <c r="S1205" s="76"/>
      <c r="T1205" s="76"/>
      <c r="U1205" s="76"/>
      <c r="V1205" s="76"/>
      <c r="W1205" s="76"/>
      <c r="X1205" s="76"/>
      <c r="Y1205" s="76"/>
      <c r="Z1205" s="76"/>
      <c r="AA1205" s="76"/>
      <c r="AB1205" s="76"/>
      <c r="AC1205" s="76"/>
    </row>
    <row r="1206" spans="1:29">
      <c r="C1206" s="162"/>
      <c r="F1206" s="165"/>
      <c r="I1206" s="165"/>
      <c r="N1206" s="76"/>
      <c r="O1206" s="76"/>
      <c r="P1206" s="144"/>
      <c r="Q1206" s="144"/>
      <c r="R1206" s="76"/>
      <c r="S1206" s="76"/>
      <c r="T1206" s="76"/>
      <c r="U1206" s="76"/>
      <c r="V1206" s="76"/>
      <c r="W1206" s="76"/>
      <c r="X1206" s="76"/>
      <c r="Y1206" s="76"/>
      <c r="Z1206" s="76"/>
      <c r="AA1206" s="76"/>
      <c r="AB1206" s="76"/>
      <c r="AC1206" s="76"/>
    </row>
    <row r="1207" spans="1:29">
      <c r="N1207" s="76"/>
      <c r="O1207" s="76"/>
      <c r="P1207" s="144"/>
      <c r="Q1207" s="144"/>
      <c r="R1207" s="76"/>
      <c r="S1207" s="76"/>
      <c r="T1207" s="76"/>
      <c r="U1207" s="76"/>
      <c r="V1207" s="76"/>
      <c r="W1207" s="76"/>
      <c r="X1207" s="76"/>
      <c r="Y1207" s="76"/>
      <c r="Z1207" s="76"/>
      <c r="AA1207" s="76"/>
      <c r="AB1207" s="76"/>
      <c r="AC1207" s="76"/>
    </row>
    <row r="1208" spans="1:29">
      <c r="C1208" s="162"/>
      <c r="F1208" s="162"/>
      <c r="I1208" s="162"/>
      <c r="N1208" s="76"/>
      <c r="O1208" s="76"/>
      <c r="P1208" s="144"/>
      <c r="Q1208" s="144"/>
      <c r="R1208" s="76"/>
      <c r="S1208" s="76"/>
      <c r="T1208" s="76"/>
      <c r="U1208" s="76"/>
      <c r="V1208" s="76"/>
      <c r="W1208" s="76"/>
      <c r="X1208" s="76"/>
      <c r="Y1208" s="76"/>
      <c r="Z1208" s="76"/>
      <c r="AA1208" s="76"/>
      <c r="AB1208" s="76"/>
      <c r="AC1208" s="76"/>
    </row>
    <row r="1209" spans="1:29">
      <c r="N1209" s="76"/>
      <c r="O1209" s="76"/>
      <c r="P1209" s="144"/>
      <c r="Q1209" s="144"/>
      <c r="R1209" s="76"/>
      <c r="S1209" s="76"/>
      <c r="T1209" s="76"/>
      <c r="U1209" s="76"/>
      <c r="V1209" s="76"/>
      <c r="W1209" s="76"/>
      <c r="X1209" s="76"/>
      <c r="Y1209" s="76"/>
      <c r="Z1209" s="76"/>
      <c r="AA1209" s="76"/>
      <c r="AB1209" s="76"/>
      <c r="AC1209" s="76"/>
    </row>
    <row r="1210" spans="1:29">
      <c r="T1210" s="143" t="s">
        <v>0</v>
      </c>
    </row>
    <row r="1211" spans="1:29">
      <c r="C1211" s="162"/>
    </row>
    <row r="1212" spans="1:29">
      <c r="C1212" s="162"/>
    </row>
    <row r="1213" spans="1:29">
      <c r="B1213" s="398"/>
      <c r="C1213" s="162"/>
      <c r="D1213" s="353"/>
    </row>
    <row r="1214" spans="1:29">
      <c r="C1214" s="162"/>
    </row>
  </sheetData>
  <mergeCells count="5">
    <mergeCell ref="A2:L2"/>
    <mergeCell ref="A3:L3"/>
    <mergeCell ref="A4:L4"/>
    <mergeCell ref="A5:L5"/>
    <mergeCell ref="R148:S148"/>
  </mergeCells>
  <printOptions horizontalCentered="1"/>
  <pageMargins left="0.25" right="0" top="0.5" bottom="0.25" header="0.5" footer="0.25"/>
  <pageSetup scale="52" fitToHeight="7" orientation="portrait" r:id="rId1"/>
  <headerFooter alignWithMargins="0"/>
  <rowBreaks count="8" manualBreakCount="8">
    <brk id="131" max="11" man="1"/>
    <brk id="438" max="11" man="1"/>
    <brk id="509" max="11" man="1"/>
    <brk id="760" max="11" man="1"/>
    <brk id="815" max="11" man="1"/>
    <brk id="924" max="11" man="1"/>
    <brk id="1111" max="11" man="1"/>
    <brk id="115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48"/>
  <sheetViews>
    <sheetView view="pageBreakPreview" zoomScale="75" zoomScaleNormal="100" workbookViewId="0">
      <selection activeCell="B3" sqref="B3:J3"/>
    </sheetView>
  </sheetViews>
  <sheetFormatPr defaultColWidth="8.5" defaultRowHeight="15"/>
  <cols>
    <col min="1" max="1" width="4.625" style="399" customWidth="1"/>
    <col min="2" max="2" width="8.5" style="399"/>
    <col min="3" max="3" width="2.75" style="399" customWidth="1"/>
    <col min="4" max="4" width="12.875" style="399" customWidth="1"/>
    <col min="5" max="5" width="4" style="399" customWidth="1"/>
    <col min="6" max="6" width="12.875" style="399" bestFit="1" customWidth="1"/>
    <col min="7" max="7" width="3" style="399" customWidth="1"/>
    <col min="8" max="8" width="9.125" style="399" customWidth="1"/>
    <col min="9" max="9" width="1.875" style="399" customWidth="1"/>
    <col min="10" max="10" width="9.75" style="399" customWidth="1"/>
    <col min="11" max="11" width="2.125" style="399" customWidth="1"/>
    <col min="12" max="12" width="2.25" style="399" customWidth="1"/>
    <col min="13" max="13" width="15.125" style="399" customWidth="1"/>
    <col min="14" max="14" width="15.25" style="399" customWidth="1"/>
    <col min="15" max="15" width="9.125" style="399" customWidth="1"/>
    <col min="16" max="16" width="8.25" style="399" customWidth="1"/>
    <col min="17" max="17" width="1.625" style="399" customWidth="1"/>
    <col min="18" max="16384" width="8.5" style="399"/>
  </cols>
  <sheetData>
    <row r="2" spans="1:20" ht="18.75">
      <c r="B2" s="400"/>
      <c r="C2" s="401"/>
      <c r="D2" s="401"/>
      <c r="E2" s="401"/>
      <c r="F2" s="401"/>
      <c r="G2" s="401"/>
      <c r="H2" s="401"/>
      <c r="I2" s="402" t="s">
        <v>0</v>
      </c>
    </row>
    <row r="3" spans="1:20" ht="18.75">
      <c r="B3" s="403" t="s">
        <v>300</v>
      </c>
      <c r="C3" s="403"/>
      <c r="D3" s="403"/>
      <c r="E3" s="403"/>
      <c r="F3" s="403"/>
      <c r="G3" s="403"/>
      <c r="H3" s="403"/>
      <c r="I3" s="403"/>
      <c r="J3" s="403"/>
      <c r="K3" s="404"/>
    </row>
    <row r="4" spans="1:20" ht="18.75">
      <c r="A4" s="405"/>
      <c r="B4" s="403" t="s">
        <v>301</v>
      </c>
      <c r="C4" s="403"/>
      <c r="D4" s="403"/>
      <c r="E4" s="403"/>
      <c r="F4" s="403"/>
      <c r="G4" s="403"/>
      <c r="H4" s="403"/>
      <c r="I4" s="403"/>
      <c r="J4" s="403"/>
      <c r="K4" s="404"/>
    </row>
    <row r="5" spans="1:20" ht="18.75">
      <c r="A5" s="405"/>
      <c r="B5" s="403" t="s">
        <v>302</v>
      </c>
      <c r="C5" s="403"/>
      <c r="D5" s="403"/>
      <c r="E5" s="403"/>
      <c r="F5" s="403"/>
      <c r="G5" s="403"/>
      <c r="H5" s="403"/>
      <c r="I5" s="403"/>
      <c r="J5" s="403"/>
      <c r="K5" s="404"/>
    </row>
    <row r="6" spans="1:20" ht="18.75">
      <c r="B6" s="404" t="s">
        <v>0</v>
      </c>
      <c r="C6" s="404"/>
      <c r="D6" s="404"/>
      <c r="E6" s="404"/>
      <c r="F6" s="404"/>
      <c r="G6" s="404"/>
      <c r="H6" s="404"/>
      <c r="I6" s="404"/>
      <c r="J6" s="404"/>
      <c r="K6" s="404"/>
    </row>
    <row r="8" spans="1:20" ht="18.75" thickBot="1">
      <c r="D8" s="406" t="s">
        <v>303</v>
      </c>
      <c r="E8" s="406"/>
      <c r="F8" s="406"/>
      <c r="H8" s="407" t="s">
        <v>118</v>
      </c>
      <c r="I8" s="407"/>
      <c r="J8" s="407"/>
      <c r="K8" s="408"/>
      <c r="L8" s="405"/>
      <c r="M8" s="408"/>
    </row>
    <row r="9" spans="1:20">
      <c r="D9" s="409" t="s">
        <v>304</v>
      </c>
      <c r="E9" s="410"/>
      <c r="F9" s="410" t="s">
        <v>10</v>
      </c>
      <c r="J9" s="405" t="s">
        <v>0</v>
      </c>
      <c r="L9" s="410"/>
      <c r="M9" s="411" t="s">
        <v>305</v>
      </c>
      <c r="N9" s="412"/>
      <c r="O9" s="411" t="s">
        <v>306</v>
      </c>
      <c r="P9" s="412"/>
    </row>
    <row r="10" spans="1:20" ht="18">
      <c r="B10" s="413" t="s">
        <v>41</v>
      </c>
      <c r="D10" s="414" t="s">
        <v>307</v>
      </c>
      <c r="E10" s="415" t="s">
        <v>0</v>
      </c>
      <c r="F10" s="414" t="s">
        <v>307</v>
      </c>
      <c r="G10" s="415" t="s">
        <v>0</v>
      </c>
      <c r="H10" s="413" t="s">
        <v>308</v>
      </c>
      <c r="J10" s="414" t="s">
        <v>309</v>
      </c>
      <c r="M10" s="416" t="s">
        <v>310</v>
      </c>
      <c r="N10" s="417">
        <f>'Billing Determinants'!G83</f>
        <v>6</v>
      </c>
      <c r="O10" s="416"/>
      <c r="P10" s="417">
        <f>'Billing Determinants'!J83</f>
        <v>6</v>
      </c>
    </row>
    <row r="11" spans="1:20">
      <c r="B11" s="418"/>
      <c r="D11" s="418"/>
      <c r="E11" s="418"/>
      <c r="F11" s="418"/>
      <c r="M11" s="416" t="s">
        <v>311</v>
      </c>
      <c r="N11" s="419">
        <f>'Billing Determinants'!G84+P13+P21</f>
        <v>5.4929999999999994</v>
      </c>
      <c r="O11" s="416"/>
      <c r="P11" s="420">
        <f>'Billing Determinants'!J84+P13+P21+P22</f>
        <v>6.0339999999999998</v>
      </c>
      <c r="Q11" s="421"/>
    </row>
    <row r="12" spans="1:20" ht="15.75" thickBot="1">
      <c r="B12" s="422">
        <v>50</v>
      </c>
      <c r="D12" s="423">
        <f>ROUND((($B12*N$11/100+N$10))+((B12*$P$16)/100),2)+P18</f>
        <v>8.99</v>
      </c>
      <c r="F12" s="423">
        <f>ROUND((($B12*P$11/100+P$10))+((B12*$P$17)/100),2)+P19</f>
        <v>9.3500000000000014</v>
      </c>
      <c r="H12" s="424">
        <f>F12-D12</f>
        <v>0.36000000000000121</v>
      </c>
      <c r="J12" s="425">
        <f>(F12-D12)/D12</f>
        <v>4.0044493882091345E-2</v>
      </c>
      <c r="M12" s="426" t="s">
        <v>312</v>
      </c>
      <c r="N12" s="427">
        <f>'Billing Determinants'!G85+P13+P21</f>
        <v>8.4929999999999986</v>
      </c>
      <c r="O12" s="426"/>
      <c r="P12" s="427">
        <f>'Billing Determinants'!J85+P13+P21+P22</f>
        <v>9.44</v>
      </c>
    </row>
    <row r="13" spans="1:20">
      <c r="B13" s="422">
        <v>100</v>
      </c>
      <c r="D13" s="423">
        <f>ROUND((($B13*N$11/100+N$10))+((B13*$P$16)/100),2)+P18</f>
        <v>11.510000000000002</v>
      </c>
      <c r="F13" s="423">
        <f>ROUND((($B13*P$11/100+P$10))+((B13*$P$17)/100),2)+P19</f>
        <v>12.14</v>
      </c>
      <c r="H13" s="424">
        <f>F13-D13</f>
        <v>0.62999999999999901</v>
      </c>
      <c r="J13" s="425">
        <f>(F13-D13)/D13</f>
        <v>5.4735013032145868E-2</v>
      </c>
      <c r="M13" s="428"/>
      <c r="N13" s="428" t="s">
        <v>313</v>
      </c>
      <c r="O13" s="428"/>
      <c r="P13" s="429">
        <v>0.245</v>
      </c>
      <c r="T13" s="424"/>
    </row>
    <row r="14" spans="1:20">
      <c r="B14" s="422">
        <v>150</v>
      </c>
      <c r="D14" s="423">
        <f>ROUND((($B14*N$11/100+N$10))+((B14*$P$16)/100),2)+P18</f>
        <v>14.040000000000001</v>
      </c>
      <c r="F14" s="423">
        <f>ROUND((($B14*P$11/100+P$10))+((B14*$P$17)/100),2)+P19</f>
        <v>14.940000000000001</v>
      </c>
      <c r="H14" s="424">
        <f>F14-D14</f>
        <v>0.90000000000000036</v>
      </c>
      <c r="J14" s="425">
        <f>(F14-D14)/D14</f>
        <v>6.4102564102564125E-2</v>
      </c>
      <c r="M14" s="428"/>
      <c r="N14" s="428"/>
      <c r="O14" s="428"/>
      <c r="P14" s="429">
        <v>0.245</v>
      </c>
      <c r="Q14" s="430"/>
      <c r="T14" s="424"/>
    </row>
    <row r="15" spans="1:20">
      <c r="D15" s="431"/>
      <c r="F15" s="431"/>
      <c r="M15" s="428"/>
      <c r="N15" s="428"/>
      <c r="O15" s="428"/>
      <c r="P15" s="432"/>
      <c r="T15" s="424"/>
    </row>
    <row r="16" spans="1:20">
      <c r="B16" s="422">
        <v>200</v>
      </c>
      <c r="D16" s="423">
        <f>ROUND((($B16*N$11/100+N$10))+((B16*$P$16)/100),2)+P18</f>
        <v>16.560000000000002</v>
      </c>
      <c r="F16" s="423">
        <f>ROUND((($B16*P$11/100+P$10))+((B16*$P$17)/100),2)+P19</f>
        <v>17.73</v>
      </c>
      <c r="H16" s="424">
        <f>F16-D16</f>
        <v>1.1699999999999982</v>
      </c>
      <c r="J16" s="425">
        <f>(F16-D16)/D16</f>
        <v>7.0652173913043362E-2</v>
      </c>
      <c r="M16" s="428"/>
      <c r="N16" s="428" t="s">
        <v>314</v>
      </c>
      <c r="O16" s="428"/>
      <c r="P16" s="429">
        <v>-0.443</v>
      </c>
      <c r="R16" s="399" t="s">
        <v>0</v>
      </c>
      <c r="T16" s="424"/>
    </row>
    <row r="17" spans="2:20">
      <c r="B17" s="422">
        <v>300</v>
      </c>
      <c r="D17" s="423">
        <f>ROUND((($B17*N$11/100+N$10))+((B17*$P$16)/100),2)+P18</f>
        <v>21.61</v>
      </c>
      <c r="F17" s="423">
        <f>ROUND((($B17*P$11/100+P$10))+((B17*$P$17)/100),2)+P19</f>
        <v>23.32</v>
      </c>
      <c r="H17" s="424">
        <f>F17-D17</f>
        <v>1.7100000000000009</v>
      </c>
      <c r="J17" s="425">
        <f>(F17-D17)/D17</f>
        <v>7.9130032392410968E-2</v>
      </c>
      <c r="M17" s="428"/>
      <c r="N17" s="399" t="s">
        <v>0</v>
      </c>
      <c r="O17" s="399" t="s">
        <v>0</v>
      </c>
      <c r="P17" s="399">
        <v>-0.443</v>
      </c>
      <c r="T17" s="424"/>
    </row>
    <row r="18" spans="2:20">
      <c r="B18" s="422">
        <v>400</v>
      </c>
      <c r="D18" s="423">
        <f>ROUND((($B18*N$11/100+N$10))+((B18*$P$16)/100),2)+P18</f>
        <v>26.66</v>
      </c>
      <c r="F18" s="423">
        <f>ROUND((($B18*P$11/100+P$10))+((B18*$P$17)/100),2)+P19</f>
        <v>28.91</v>
      </c>
      <c r="H18" s="424">
        <f>F18-D18</f>
        <v>2.25</v>
      </c>
      <c r="J18" s="425">
        <f>(F18-D18)/D18</f>
        <v>8.4396099024756185E-2</v>
      </c>
      <c r="N18" s="399" t="s">
        <v>315</v>
      </c>
      <c r="P18" s="424">
        <v>0.46</v>
      </c>
      <c r="Q18" s="399" t="s">
        <v>0</v>
      </c>
      <c r="T18" s="424"/>
    </row>
    <row r="19" spans="2:20">
      <c r="B19" s="422">
        <v>500</v>
      </c>
      <c r="D19" s="423">
        <f>ROUND((($B19*N$11/100+N$10))+((B19*$P$16)/100),2)+P18</f>
        <v>31.71</v>
      </c>
      <c r="F19" s="423">
        <f>ROUND((($B19*P$11/100+P$10))+((B19*$P$17)/100),2)+P19</f>
        <v>34.51</v>
      </c>
      <c r="H19" s="424">
        <f>F19-D19</f>
        <v>2.7999999999999972</v>
      </c>
      <c r="J19" s="425">
        <f>(F19-D19)/D19</f>
        <v>8.8300220750551786E-2</v>
      </c>
      <c r="N19" s="399" t="s">
        <v>316</v>
      </c>
      <c r="P19" s="424">
        <f>'Schedule 191 p1'!E14</f>
        <v>0.55000000000000004</v>
      </c>
      <c r="T19" s="424"/>
    </row>
    <row r="20" spans="2:20">
      <c r="D20" s="431"/>
      <c r="F20" s="431"/>
      <c r="T20" s="424"/>
    </row>
    <row r="21" spans="2:20">
      <c r="B21" s="422">
        <v>600</v>
      </c>
      <c r="D21" s="423">
        <f>ROUND((($B21*N$11/100+N$10))+((B21*$P$16)/100),2)+P18</f>
        <v>36.76</v>
      </c>
      <c r="F21" s="423">
        <f>ROUND((($B21*P$11/100+P$10))+((B21*$P$17)/100),2)+P19</f>
        <v>40.099999999999994</v>
      </c>
      <c r="H21" s="424">
        <f>F21-D21</f>
        <v>3.3399999999999963</v>
      </c>
      <c r="J21" s="425">
        <f>(F21-D21)/D21</f>
        <v>9.0859630032644079E-2</v>
      </c>
      <c r="N21" s="399" t="s">
        <v>317</v>
      </c>
      <c r="P21" s="399">
        <v>5.5E-2</v>
      </c>
      <c r="T21" s="424"/>
    </row>
    <row r="22" spans="2:20">
      <c r="B22" s="422">
        <v>700</v>
      </c>
      <c r="D22" s="423">
        <f>ROUND((((600*N$11/100)+(($B22-600)*N$12/100)+N$10))+((B22*$P$16)/100),2)+P18</f>
        <v>44.81</v>
      </c>
      <c r="F22" s="423">
        <f>ROUND((((600*P$11/100)+(($B22-600)*P$12/100)+P$10))+((B22*$P$17)/100),2)+P19</f>
        <v>49.089999999999996</v>
      </c>
      <c r="H22" s="424">
        <f>F22-D22</f>
        <v>4.279999999999994</v>
      </c>
      <c r="J22" s="425">
        <f>(F22-D22)/D22</f>
        <v>9.5514394108457801E-2</v>
      </c>
      <c r="N22" s="399" t="s">
        <v>318</v>
      </c>
      <c r="P22" s="399">
        <f>'Rate Spread w bill deter'!AF16</f>
        <v>-0.124</v>
      </c>
      <c r="T22" s="424"/>
    </row>
    <row r="23" spans="2:20">
      <c r="B23" s="422">
        <v>800</v>
      </c>
      <c r="D23" s="423">
        <f>ROUND((((600*N$11/100)+(($B23-600)*N$12/100)+N$10))+((B23*$P$16)/100),2)+P18</f>
        <v>52.86</v>
      </c>
      <c r="F23" s="423">
        <f>ROUND((((600*P$11/100)+(($B23-600)*P$12/100)+P$10))+((B23*$P$17)/100),2)+P19</f>
        <v>58.089999999999996</v>
      </c>
      <c r="H23" s="424">
        <f>F23-D23</f>
        <v>5.2299999999999969</v>
      </c>
      <c r="J23" s="425">
        <f>(F23-D23)/D23</f>
        <v>9.8940597805523972E-2</v>
      </c>
      <c r="T23" s="424"/>
    </row>
    <row r="24" spans="2:20">
      <c r="B24" s="422">
        <v>900</v>
      </c>
      <c r="D24" s="423">
        <f>ROUND((((600*N$11/100)+(($B24-600)*N$12/100)+N$10))+((B24*$P$16)/100),2)+P18</f>
        <v>60.910000000000004</v>
      </c>
      <c r="F24" s="423">
        <f>ROUND((((600*P$11/100)+(($B24-600)*P$12/100)+P$10))+((B24*$P$17)/100),2)+P19</f>
        <v>67.09</v>
      </c>
      <c r="H24" s="424">
        <f>F24-D24</f>
        <v>6.18</v>
      </c>
      <c r="J24" s="425">
        <f>(F24-D24)/D24</f>
        <v>0.10146117222131013</v>
      </c>
      <c r="M24" s="433" t="s">
        <v>319</v>
      </c>
      <c r="N24" s="434">
        <f>'Rate Spread w bill deter'!AL16</f>
        <v>0.10686887179638592</v>
      </c>
      <c r="T24" s="424"/>
    </row>
    <row r="25" spans="2:20">
      <c r="B25" s="422">
        <v>1000</v>
      </c>
      <c r="D25" s="423">
        <f>ROUND((((600*N$11/100)+(($B25-600)*N$12/100)+N$10))+((B25*$P$16)/100),2)+P18</f>
        <v>68.959999999999994</v>
      </c>
      <c r="F25" s="423">
        <f>ROUND((((600*P$11/100)+(($B25-600)*P$12/100)+P$10))+((B25*$P$17)/100),2)+P19</f>
        <v>76.08</v>
      </c>
      <c r="H25" s="424">
        <f>F25-D25</f>
        <v>7.1200000000000045</v>
      </c>
      <c r="J25" s="425">
        <f>(F25-D25)/D25</f>
        <v>0.10324825986078894</v>
      </c>
      <c r="T25" s="424"/>
    </row>
    <row r="26" spans="2:20">
      <c r="D26" s="431"/>
      <c r="F26" s="431"/>
      <c r="J26" s="435"/>
      <c r="T26" s="424"/>
    </row>
    <row r="27" spans="2:20">
      <c r="B27" s="422">
        <v>1100</v>
      </c>
      <c r="D27" s="423">
        <f>ROUND((((600*N$11/100)+(($B27-600)*N$12/100)+N$10))+((B27*$P$16)/100),2)+P18</f>
        <v>77.009999999999991</v>
      </c>
      <c r="F27" s="423">
        <f>ROUND((((600*P$11/100)+(($B27-600)*P$12/100)+P$10))+((B27*$P$17)/100),2)+P19</f>
        <v>85.08</v>
      </c>
      <c r="H27" s="424">
        <f>F27-D27</f>
        <v>8.0700000000000074</v>
      </c>
      <c r="J27" s="425">
        <f>(F27-D27)/D27</f>
        <v>0.10479158550837564</v>
      </c>
      <c r="T27" s="424"/>
    </row>
    <row r="28" spans="2:20">
      <c r="B28" s="422">
        <v>1200</v>
      </c>
      <c r="D28" s="423">
        <f>ROUND((((600*N$11/100)+(($B28-600)*N$12/100)+N$10))+((B28*$P$16)/100),2)+P18</f>
        <v>85.059999999999988</v>
      </c>
      <c r="F28" s="423">
        <f>ROUND((((600*P$11/100)+(($B28-600)*P$12/100)+P$10))+((B28*$P$17)/100),2)+P19</f>
        <v>94.08</v>
      </c>
      <c r="H28" s="424">
        <f>F28-D28</f>
        <v>9.0200000000000102</v>
      </c>
      <c r="J28" s="425">
        <f>(F28-D28)/D28</f>
        <v>0.10604279332236081</v>
      </c>
      <c r="T28" s="424"/>
    </row>
    <row r="29" spans="2:20">
      <c r="B29" s="422">
        <v>1300</v>
      </c>
      <c r="C29" s="399" t="s">
        <v>89</v>
      </c>
      <c r="D29" s="423">
        <f>ROUND((((600*N$11/100)+(($B29-600)*N$12/100)+N$10))+((B29*$P$16)/100),2)+P18</f>
        <v>93.11</v>
      </c>
      <c r="F29" s="423">
        <f>ROUND((((600*P$11/100)+(($B29-600)*P$12/100)+P$10))+((B29*$P$17)/100),2)+P19</f>
        <v>103.08</v>
      </c>
      <c r="H29" s="424">
        <f>F29-D29</f>
        <v>9.9699999999999989</v>
      </c>
      <c r="J29" s="425">
        <f>(F29-D29)/D29</f>
        <v>0.10707765009128986</v>
      </c>
      <c r="T29" s="424"/>
    </row>
    <row r="30" spans="2:20">
      <c r="B30" s="422">
        <v>1400</v>
      </c>
      <c r="D30" s="423">
        <f>ROUND((((600*N$11/100)+(($B30-600)*N$12/100)+N$10))+((B30*$P$16)/100),2)+P18</f>
        <v>101.16</v>
      </c>
      <c r="F30" s="423">
        <f>ROUND((((600*P$11/100)+(($B30-600)*P$12/100)+P$10))+((B30*$P$17)/100),2)+P19</f>
        <v>112.07</v>
      </c>
      <c r="H30" s="424">
        <f>F30-D30</f>
        <v>10.909999999999997</v>
      </c>
      <c r="J30" s="425">
        <f>(F30-D30)/D30</f>
        <v>0.10784895215500195</v>
      </c>
      <c r="T30" s="424"/>
    </row>
    <row r="31" spans="2:20">
      <c r="B31" s="422">
        <v>1500</v>
      </c>
      <c r="D31" s="423">
        <f>ROUND((((600*N$11/100)+(($B31-600)*N$12/100)+N$10))+((B31*$P$16)/100),2)+P18</f>
        <v>109.21</v>
      </c>
      <c r="F31" s="423">
        <f>ROUND((((600*P$11/100)+(($B31-600)*P$12/100)+P$10))+((B31*$P$17)/100),2)+P19</f>
        <v>121.07</v>
      </c>
      <c r="H31" s="424">
        <f>F31-D31</f>
        <v>11.86</v>
      </c>
      <c r="J31" s="425">
        <f>(F31-D31)/D31</f>
        <v>0.10859811372584928</v>
      </c>
      <c r="T31" s="424"/>
    </row>
    <row r="32" spans="2:20">
      <c r="D32" s="431"/>
      <c r="F32" s="431"/>
      <c r="T32" s="424"/>
    </row>
    <row r="33" spans="2:20">
      <c r="B33" s="422">
        <v>1600</v>
      </c>
      <c r="D33" s="423">
        <f>ROUND((((600*N$11/100)+(($B33-600)*N$12/100)+N$10))+((B33*$P$16)/100),2)+P18</f>
        <v>117.25999999999999</v>
      </c>
      <c r="F33" s="423">
        <f>ROUND((((600*P$11/100)+(($B33-600)*P$12/100)+P$10))+((B33*$P$17)/100),2)+P19</f>
        <v>130.07000000000002</v>
      </c>
      <c r="H33" s="424">
        <f>F33-D33</f>
        <v>12.810000000000031</v>
      </c>
      <c r="J33" s="425">
        <f>(F33-D33)/D33</f>
        <v>0.10924441412246318</v>
      </c>
      <c r="T33" s="424"/>
    </row>
    <row r="34" spans="2:20">
      <c r="B34" s="422">
        <v>2000</v>
      </c>
      <c r="D34" s="423">
        <f>ROUND((((600*N$11/100)+(($B34-600)*N$12/100)+N$10))+((B34*$P$16)/100),2)+P18</f>
        <v>149.46</v>
      </c>
      <c r="F34" s="423">
        <f>ROUND((((600*P$11/100)+(($B34-600)*P$12/100)+P$10))+((B34*$P$17)/100),2)+P19</f>
        <v>166.05</v>
      </c>
      <c r="H34" s="424">
        <f>F34-D34</f>
        <v>16.590000000000003</v>
      </c>
      <c r="J34" s="425">
        <f>(F34-D34)/D34</f>
        <v>0.11099959855479728</v>
      </c>
      <c r="T34" s="424"/>
    </row>
    <row r="35" spans="2:20">
      <c r="B35" s="422">
        <v>3000</v>
      </c>
      <c r="D35" s="423">
        <f>ROUND((((600*N$11/100)+(($B35-600)*N$12/100)+N$10))+((B35*$P$16)/100),2)+P18</f>
        <v>229.96</v>
      </c>
      <c r="F35" s="423">
        <f>ROUND((((600*P$11/100)+(($B35-600)*P$12/100)+P$10))+((B35*$P$17)/100),2)+P19</f>
        <v>256.02</v>
      </c>
      <c r="H35" s="424">
        <f>F35-D35</f>
        <v>26.059999999999974</v>
      </c>
      <c r="J35" s="425">
        <f>(F35-D35)/D35</f>
        <v>0.1133240563576273</v>
      </c>
      <c r="T35" s="424"/>
    </row>
    <row r="36" spans="2:20">
      <c r="B36" s="436"/>
      <c r="C36" s="437"/>
      <c r="D36" s="438"/>
      <c r="E36" s="437"/>
      <c r="F36" s="438"/>
      <c r="G36" s="437"/>
      <c r="H36" s="437"/>
      <c r="I36" s="437"/>
      <c r="J36" s="439"/>
      <c r="K36" s="437"/>
      <c r="T36" s="424"/>
    </row>
    <row r="37" spans="2:20">
      <c r="B37" s="440"/>
      <c r="K37" s="430"/>
    </row>
    <row r="38" spans="2:20">
      <c r="B38" s="399" t="s">
        <v>320</v>
      </c>
    </row>
    <row r="39" spans="2:20">
      <c r="B39" s="399" t="s">
        <v>321</v>
      </c>
    </row>
    <row r="40" spans="2:20" ht="16.5">
      <c r="B40" s="441" t="s">
        <v>322</v>
      </c>
    </row>
    <row r="41" spans="2:20">
      <c r="B41" s="441" t="s">
        <v>323</v>
      </c>
    </row>
    <row r="48" spans="2:20">
      <c r="P48" s="442"/>
    </row>
  </sheetData>
  <mergeCells count="4">
    <mergeCell ref="B3:J3"/>
    <mergeCell ref="B4:J4"/>
    <mergeCell ref="B5:J5"/>
    <mergeCell ref="H8:J8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8"/>
  <sheetViews>
    <sheetView view="pageBreakPreview" zoomScale="75" zoomScaleNormal="85" workbookViewId="0">
      <selection activeCell="B3" sqref="B3"/>
    </sheetView>
  </sheetViews>
  <sheetFormatPr defaultColWidth="8.5" defaultRowHeight="15"/>
  <cols>
    <col min="1" max="1" width="1.5" style="399" customWidth="1"/>
    <col min="2" max="2" width="9.75" style="399" customWidth="1"/>
    <col min="3" max="3" width="2.875" style="399" customWidth="1"/>
    <col min="4" max="4" width="11.25" style="399" hidden="1" customWidth="1"/>
    <col min="5" max="5" width="7.625" style="399" bestFit="1" customWidth="1"/>
    <col min="6" max="6" width="3.375" style="399" customWidth="1"/>
    <col min="7" max="7" width="11" style="399" bestFit="1" customWidth="1"/>
    <col min="8" max="8" width="1.75" style="399" customWidth="1"/>
    <col min="9" max="9" width="11" style="399" bestFit="1" customWidth="1"/>
    <col min="10" max="10" width="6.125" style="399" bestFit="1" customWidth="1"/>
    <col min="11" max="11" width="11" style="399" bestFit="1" customWidth="1"/>
    <col min="12" max="12" width="2" style="399" customWidth="1"/>
    <col min="13" max="13" width="11" style="399" bestFit="1" customWidth="1"/>
    <col min="14" max="14" width="2.875" style="399" customWidth="1"/>
    <col min="15" max="15" width="10.25" style="399" hidden="1" customWidth="1"/>
    <col min="16" max="16" width="2" style="399" hidden="1" customWidth="1"/>
    <col min="17" max="17" width="10.25" style="399" hidden="1" customWidth="1"/>
    <col min="18" max="18" width="4.625" style="399" hidden="1" customWidth="1"/>
    <col min="19" max="19" width="11" style="399" bestFit="1" customWidth="1"/>
    <col min="20" max="20" width="2" style="399" customWidth="1"/>
    <col min="21" max="21" width="11" style="399" bestFit="1" customWidth="1"/>
    <col min="22" max="22" width="3.125" style="399" customWidth="1"/>
    <col min="23" max="23" width="12.5" style="399" customWidth="1"/>
    <col min="24" max="24" width="10.875" style="399" bestFit="1" customWidth="1"/>
    <col min="25" max="25" width="8.5" style="399"/>
    <col min="26" max="26" width="13.875" style="399" customWidth="1"/>
    <col min="27" max="27" width="12.75" style="399" bestFit="1" customWidth="1"/>
    <col min="28" max="28" width="8.5" style="399" customWidth="1"/>
    <col min="29" max="29" width="2.625" style="444" customWidth="1"/>
    <col min="30" max="16384" width="8.5" style="399"/>
  </cols>
  <sheetData>
    <row r="1" spans="1:30">
      <c r="A1" s="443"/>
      <c r="B1" s="443"/>
    </row>
    <row r="2" spans="1:30">
      <c r="A2" s="443"/>
      <c r="B2" s="443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30" ht="18.75">
      <c r="A3" s="443"/>
      <c r="B3" s="400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01"/>
      <c r="N3" s="401"/>
      <c r="O3" s="401"/>
      <c r="P3" s="401"/>
      <c r="Q3" s="447"/>
      <c r="S3" s="401"/>
      <c r="T3" s="402" t="s">
        <v>0</v>
      </c>
      <c r="U3" s="447"/>
    </row>
    <row r="4" spans="1:30" ht="20.25">
      <c r="B4" s="448" t="s">
        <v>300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</row>
    <row r="5" spans="1:30" ht="20.25">
      <c r="B5" s="448" t="s">
        <v>301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</row>
    <row r="6" spans="1:30" ht="20.25">
      <c r="B6" s="448" t="s">
        <v>324</v>
      </c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</row>
    <row r="7" spans="1:30" ht="20.25">
      <c r="B7" s="449" t="s">
        <v>0</v>
      </c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</row>
    <row r="8" spans="1:30" ht="18.75">
      <c r="B8" s="450"/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2"/>
      <c r="S8" s="451"/>
      <c r="T8" s="451"/>
      <c r="U8" s="452"/>
    </row>
    <row r="9" spans="1:30">
      <c r="A9" s="445"/>
      <c r="B9" s="443"/>
    </row>
    <row r="10" spans="1:30" ht="15.75">
      <c r="A10" s="445"/>
      <c r="B10" s="453" t="s">
        <v>325</v>
      </c>
      <c r="C10" s="454"/>
      <c r="D10" s="454"/>
      <c r="E10" s="454"/>
      <c r="F10" s="454"/>
      <c r="G10" s="455" t="s">
        <v>326</v>
      </c>
      <c r="H10" s="455"/>
      <c r="I10" s="455"/>
      <c r="J10" s="455"/>
      <c r="K10" s="455"/>
      <c r="L10" s="455"/>
      <c r="M10" s="455"/>
      <c r="N10" s="454"/>
      <c r="O10" s="456" t="s">
        <v>327</v>
      </c>
      <c r="P10" s="456"/>
      <c r="Q10" s="456"/>
      <c r="R10" s="457"/>
      <c r="S10" s="456" t="s">
        <v>309</v>
      </c>
      <c r="T10" s="456"/>
      <c r="U10" s="456"/>
    </row>
    <row r="11" spans="1:30" ht="16.5" thickBot="1">
      <c r="A11" s="445"/>
      <c r="B11" s="458" t="s">
        <v>328</v>
      </c>
      <c r="C11" s="456"/>
      <c r="D11" s="453" t="s">
        <v>329</v>
      </c>
      <c r="E11" s="454"/>
      <c r="F11" s="454"/>
      <c r="G11" s="459" t="s">
        <v>330</v>
      </c>
      <c r="H11" s="459"/>
      <c r="I11" s="459"/>
      <c r="J11" s="460"/>
      <c r="K11" s="459" t="s">
        <v>331</v>
      </c>
      <c r="L11" s="459"/>
      <c r="M11" s="459"/>
      <c r="N11" s="454"/>
      <c r="O11" s="459" t="s">
        <v>118</v>
      </c>
      <c r="P11" s="459"/>
      <c r="Q11" s="459"/>
      <c r="R11" s="457"/>
      <c r="S11" s="459" t="s">
        <v>118</v>
      </c>
      <c r="T11" s="459"/>
      <c r="U11" s="459"/>
    </row>
    <row r="12" spans="1:30" ht="15.75">
      <c r="A12" s="445"/>
      <c r="B12" s="461" t="s">
        <v>332</v>
      </c>
      <c r="C12" s="462"/>
      <c r="D12" s="463" t="s">
        <v>333</v>
      </c>
      <c r="E12" s="461" t="s">
        <v>41</v>
      </c>
      <c r="F12" s="454"/>
      <c r="G12" s="464" t="s">
        <v>334</v>
      </c>
      <c r="H12" s="465"/>
      <c r="I12" s="464" t="s">
        <v>335</v>
      </c>
      <c r="J12" s="454"/>
      <c r="K12" s="464" t="s">
        <v>334</v>
      </c>
      <c r="L12" s="465"/>
      <c r="M12" s="464" t="s">
        <v>335</v>
      </c>
      <c r="N12" s="454"/>
      <c r="O12" s="464" t="s">
        <v>334</v>
      </c>
      <c r="P12" s="454"/>
      <c r="Q12" s="464" t="s">
        <v>335</v>
      </c>
      <c r="R12" s="457"/>
      <c r="S12" s="464" t="s">
        <v>334</v>
      </c>
      <c r="T12" s="454"/>
      <c r="U12" s="464" t="s">
        <v>335</v>
      </c>
      <c r="W12" s="466"/>
      <c r="X12" s="467" t="s">
        <v>305</v>
      </c>
      <c r="Y12" s="468"/>
      <c r="Z12" s="467"/>
      <c r="AA12" s="467" t="s">
        <v>306</v>
      </c>
      <c r="AB12" s="468"/>
    </row>
    <row r="13" spans="1:30" ht="15.75">
      <c r="A13" s="445"/>
      <c r="B13" s="454"/>
      <c r="C13" s="454"/>
      <c r="D13" s="454"/>
      <c r="E13" s="454"/>
      <c r="F13" s="454"/>
      <c r="G13" s="462"/>
      <c r="H13" s="462"/>
      <c r="I13" s="462"/>
      <c r="J13" s="462"/>
      <c r="K13" s="462"/>
      <c r="L13" s="462"/>
      <c r="M13" s="462"/>
      <c r="N13" s="457"/>
      <c r="O13" s="457"/>
      <c r="P13" s="457"/>
      <c r="Q13" s="457"/>
      <c r="R13" s="457"/>
      <c r="S13" s="457"/>
      <c r="T13" s="457"/>
      <c r="U13" s="457"/>
      <c r="W13" s="469" t="s">
        <v>336</v>
      </c>
      <c r="X13" s="430" t="s">
        <v>337</v>
      </c>
      <c r="Y13" s="470" t="s">
        <v>338</v>
      </c>
      <c r="Z13" s="430"/>
      <c r="AA13" s="430" t="s">
        <v>337</v>
      </c>
      <c r="AB13" s="470" t="s">
        <v>338</v>
      </c>
    </row>
    <row r="14" spans="1:30" ht="15.75">
      <c r="A14" s="445"/>
      <c r="B14" s="454">
        <v>15</v>
      </c>
      <c r="C14" s="454"/>
      <c r="D14" s="454">
        <v>100</v>
      </c>
      <c r="E14" s="471">
        <v>5000</v>
      </c>
      <c r="F14" s="472"/>
      <c r="G14" s="473">
        <f>ROUND($X$15+IF($E14&gt;1000,IF($E14&gt;9000,(1000*X$21/100)+(8000*X$22/100)+(($E14-(9000))*X$23/100),(1000*X$21/100)+(($E14-1000)*X$22/100)),($E14*$X$21)/100)+IF(B$14&gt;W$18,$X$18*($B$14-W$18),0)+IF(B$14&gt;W$20,$X$20*($B$14-W$20),0),2)+AA$29</f>
        <v>345.15</v>
      </c>
      <c r="H14" s="473"/>
      <c r="I14" s="473">
        <f>ROUND($Y$15+IF($E14&gt;1000,IF($E14&gt;9000,(1000*Y$21/100)+(8000*Y$22/100)+(($E14-(9000))*Y$23/100),(1000*Y$21/100)+(($E14-1000)*Y$22/100)),($E14*$Y$21)/100)+IF(B$14&gt;W$18,$Y$18*($B$14-W$18),0)+IF(B$14&gt;W$20,$Y$20*($B$14-W$20),0),2)+AA$29</f>
        <v>348.87</v>
      </c>
      <c r="J14" s="473"/>
      <c r="K14" s="473">
        <f>ROUND($AA$15+IF($E14&gt;1000,IF($E14&gt;9000,(1000*AA$21/100)+(8000*AA$22/100)+(($E14-9000)*AA$23/100),(1000*AA$21/100)+(($E14-1000)*AA$22/100)),($E14*$AA$21)/100)+IF(B$14&gt;Z$18,$AA$18*($B$14-Z$18),0)+IF(B$14&gt;Z$20,$AA$20*($B$14-Z$20),0),2)+AA30</f>
        <v>380.88</v>
      </c>
      <c r="L14" s="473"/>
      <c r="M14" s="473">
        <f>ROUND($AB$15+IF($E14&gt;1000,IF($E14&gt;9000,(1000*AB$21/100)+(8000*AB$22/100)+(($E14-9000)*AB$23/100),(1000*AB$21/100)+(($E14-1000)*AB$22/100)),($E14*$AB$21)/100)+IF(B$14&gt;Z$18,$AB$18*($B$14-Z$18),0)+IF(B$14&gt;Z$20,$AB$20*($B$14-Z$20),0),2)+AA29</f>
        <v>384.87</v>
      </c>
      <c r="N14" s="454"/>
      <c r="O14" s="473">
        <f>K14-G14</f>
        <v>35.730000000000018</v>
      </c>
      <c r="P14" s="473"/>
      <c r="Q14" s="473">
        <f>M14-I14</f>
        <v>36</v>
      </c>
      <c r="R14" s="457"/>
      <c r="S14" s="474">
        <f>ROUND(K14/G14-1,4)</f>
        <v>0.10349999999999999</v>
      </c>
      <c r="T14" s="454"/>
      <c r="U14" s="474">
        <f>ROUND(M14/I14-1,4)</f>
        <v>0.1032</v>
      </c>
      <c r="W14" s="469" t="s">
        <v>339</v>
      </c>
      <c r="X14" s="475">
        <f>'Billing Determinants'!G153</f>
        <v>7.64</v>
      </c>
      <c r="Y14" s="417">
        <f>'Billing Determinants'!G154</f>
        <v>11.36</v>
      </c>
      <c r="Z14" s="476"/>
      <c r="AA14" s="475">
        <f>'Billing Determinants'!J183</f>
        <v>8.6</v>
      </c>
      <c r="AB14" s="417">
        <f>'Billing Determinants'!J184</f>
        <v>12.79</v>
      </c>
      <c r="AC14" s="477"/>
      <c r="AD14" s="424"/>
    </row>
    <row r="15" spans="1:30" ht="15.75">
      <c r="A15" s="445"/>
      <c r="B15" s="454"/>
      <c r="C15" s="454"/>
      <c r="D15" s="454">
        <v>200</v>
      </c>
      <c r="E15" s="471">
        <v>7500</v>
      </c>
      <c r="F15" s="472"/>
      <c r="G15" s="473">
        <f>ROUND($X$15+IF($E15&gt;1000,IF($E15&gt;9000,(1000*X$21/100)+(8000*X$22/100)+(($E15-(9000))*X$23/100),(1000*X$21/100)+(($E15-1000)*X$22/100)),($E15*$X$21)/100)+IF(B$14&gt;W$18,$X$18*($B$14-W$18),0)+IF(B$14&gt;W$20,$X$20*($B$14-W$20),0),2)+AA$29</f>
        <v>500.2</v>
      </c>
      <c r="H15" s="473"/>
      <c r="I15" s="473">
        <f>ROUND($Y$15+IF($E15&gt;1000,IF($E15&gt;9000,(1000*Y$21/100)+(8000*Y$22/100)+(($E15-(9000))*Y$23/100),(1000*Y$21/100)+(($E15-1000)*Y$22/100)),($E15*$Y$21)/100)+IF(B$14&gt;W$18,$Y$18*($B$14-W$18),0)+IF(B$14&gt;W$20,$Y$20*($B$14-W$20),0),2)+AA$29</f>
        <v>503.92</v>
      </c>
      <c r="J15" s="473"/>
      <c r="K15" s="473">
        <f>ROUND($AA$15+IF($E15&gt;1000,IF($E15&gt;9000,(1000*AA$21/100)+(8000*AA$22/100)+(($E15-9000)*AA$23/100),(1000*AA$21/100)+(($E15-1000)*AA$22/100)),($E15*$AA$21)/100)+IF(B$14&gt;Z$18,$AA$18*($B$14-Z$18),0)+IF(B$14&gt;Z$20,$AA$20*($B$14-Z$20),0),2)+AA30</f>
        <v>551.55999999999995</v>
      </c>
      <c r="L15" s="473"/>
      <c r="M15" s="473">
        <f>ROUND($AB$15+IF($E15&gt;1000,IF($E15&gt;9000,(1000*AB$21/100)+(8000*AB$22/100)+(($E15-9000)*AB$23/100),(1000*AB$21/100)+(($E15-1000)*AB$22/100)),($E15*$AB$21)/100)+IF(B$14&gt;Z$18,$AB$18*($B$14-Z$18),0)+IF(B$14&gt;Z$20,$AB$20*($B$14-Z$20),0),2)+AA29</f>
        <v>555.55000000000007</v>
      </c>
      <c r="N15" s="454"/>
      <c r="O15" s="473">
        <f>K15-G15</f>
        <v>51.359999999999957</v>
      </c>
      <c r="P15" s="473"/>
      <c r="Q15" s="473">
        <f>M15-I15</f>
        <v>51.630000000000052</v>
      </c>
      <c r="R15" s="457"/>
      <c r="S15" s="474">
        <f>ROUND(K15/G15-1,4)</f>
        <v>0.1027</v>
      </c>
      <c r="T15" s="454"/>
      <c r="U15" s="474">
        <f>ROUND(M15/I15-1,4)</f>
        <v>0.10249999999999999</v>
      </c>
      <c r="W15" s="469" t="s">
        <v>340</v>
      </c>
      <c r="X15" s="475">
        <f>X14</f>
        <v>7.64</v>
      </c>
      <c r="Y15" s="417">
        <f>Y14</f>
        <v>11.36</v>
      </c>
      <c r="Z15" s="476"/>
      <c r="AA15" s="475">
        <f>AA14</f>
        <v>8.6</v>
      </c>
      <c r="AB15" s="417">
        <f>AB14</f>
        <v>12.79</v>
      </c>
    </row>
    <row r="16" spans="1:30" ht="15.75">
      <c r="A16" s="445"/>
      <c r="B16" s="454"/>
      <c r="C16" s="454"/>
      <c r="D16" s="454">
        <v>300</v>
      </c>
      <c r="E16" s="471">
        <v>10000</v>
      </c>
      <c r="F16" s="472"/>
      <c r="G16" s="473">
        <f>ROUND($X$15+IF($E16&gt;1000,IF($E16&gt;9000,(1000*X$21/100)+(8000*X$22/100)+(($E16-(9000))*X$23/100),(1000*X$21/100)+(($E16-1000)*X$22/100)),($E16*$X$21)/100)+IF(B$14&gt;W$18,$X$18*($B$14-W$18),0)+IF(B$14&gt;W$20,$X$20*($B$14-W$20),0),2)+AA$29</f>
        <v>647.07000000000005</v>
      </c>
      <c r="H16" s="473"/>
      <c r="I16" s="473">
        <f>ROUND($Y$15+IF($E16&gt;1000,IF($E16&gt;9000,(1000*Y$21/100)+(8000*Y$22/100)+(($E16-(9000))*Y$23/100),(1000*Y$21/100)+(($E16-1000)*Y$22/100)),($E16*$Y$21)/100)+IF(B$14&gt;W$18,$Y$18*($B$14-W$18),0)+IF(B$14&gt;W$20,$Y$20*($B$14-W$20),0),2)+AA$29</f>
        <v>650.79000000000008</v>
      </c>
      <c r="J16" s="473"/>
      <c r="K16" s="473">
        <f>ROUND($AA$15+IF($E16&gt;1000,IF($E16&gt;9000,(1000*AA$21/100)+(8000*AA$22/100)+(($E16-9000)*AA$23/100),(1000*AA$21/100)+(($E16-1000)*AA$22/100)),($E16*$AA$21)/100)+IF(B$14&gt;Z$18,$AA$18*($B$14-Z$18),0)+IF(B$14&gt;Z$20,$AA$20*($B$14-Z$20),0),2)+AA30</f>
        <v>713.03</v>
      </c>
      <c r="L16" s="473"/>
      <c r="M16" s="473">
        <f>ROUND($AB$15+IF($E16&gt;1000,IF($E16&gt;9000,(1000*AB$21/100)+(8000*AB$22/100)+(($E16-9000)*AB$23/100),(1000*AB$21/100)+(($E16-1000)*AB$22/100)),($E16*$AB$21)/100)+IF(B$14&gt;Z$18,$AB$18*($B$14-Z$18),0)+IF(B$14&gt;Z$20,$AB$20*($B$14-Z$20),0),2)+AA29</f>
        <v>717.0200000000001</v>
      </c>
      <c r="N16" s="454"/>
      <c r="O16" s="473">
        <f>K16-G16</f>
        <v>65.959999999999923</v>
      </c>
      <c r="P16" s="473"/>
      <c r="Q16" s="473">
        <f>M16-I16</f>
        <v>66.230000000000018</v>
      </c>
      <c r="R16" s="457"/>
      <c r="S16" s="474">
        <f>ROUND(K16/G16-1,4)</f>
        <v>0.1019</v>
      </c>
      <c r="T16" s="454"/>
      <c r="U16" s="474">
        <f>ROUND(M16/I16-1,4)</f>
        <v>0.1018</v>
      </c>
      <c r="W16" s="469"/>
      <c r="X16" s="430"/>
      <c r="Y16" s="470"/>
      <c r="Z16" s="430"/>
      <c r="AA16" s="475"/>
      <c r="AB16" s="417"/>
    </row>
    <row r="17" spans="1:30" ht="15.75">
      <c r="A17" s="445"/>
      <c r="B17" s="457"/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W17" s="469" t="s">
        <v>336</v>
      </c>
      <c r="X17" s="475"/>
      <c r="Y17" s="417"/>
      <c r="Z17" s="478" t="s">
        <v>336</v>
      </c>
      <c r="AA17" s="475"/>
      <c r="AB17" s="417"/>
    </row>
    <row r="18" spans="1:30" ht="15.75">
      <c r="A18" s="445"/>
      <c r="B18" s="454">
        <v>25</v>
      </c>
      <c r="C18" s="454"/>
      <c r="D18" s="454">
        <v>150</v>
      </c>
      <c r="E18" s="471">
        <f>ROUND((B$18*D18),0)</f>
        <v>3750</v>
      </c>
      <c r="F18" s="472"/>
      <c r="G18" s="473">
        <f>ROUND($X$15+IF($E18&gt;1000,IF($E18&gt;9000,(1000*X$21/100)+(8000*X$22/100)+(($E18-9000)*X$23/100),(1000*X$21/100)+(($E18-1000)*X$22/100)),($E18*$X$21)/100)+IF(B$18&gt;W$18,$X$18*($B$18-W$18),0)+IF(B$18&gt;W$20,$X$20*($B$18-W$20),0),2)+AA29</f>
        <v>305.52999999999997</v>
      </c>
      <c r="H18" s="473"/>
      <c r="I18" s="473">
        <f>ROUND($Y$15+IF($E18&gt;1000,IF($E18&gt;9000,(1000*Y$21/100)+(8000*Y$22/100)+(($E18-9000)*Y$23/100),(1000*Y$21/100)+(($E18-1000)*Y$22/100)),($E18*$Y$21)/100)+IF(B$18&gt;W$18,$Y$18*($B$18-W$18),0)+IF(B$18&gt;W$20,$Y$20*($B$18-W$20),0),2)+AA29</f>
        <v>309.25</v>
      </c>
      <c r="J18" s="473"/>
      <c r="K18" s="473">
        <f>ROUND($AA$15+IF($E18&gt;1000,IF($E18&gt;9000,(1000*AA$21/100)+(8000*AA$22/100)+(($E18-9000)*AA$23/100),(1000*AA$21/100)+(($E18-1000)*AA$22/100)),($E18*$AA$21)/100)+IF(B$18&gt;Z$18,$AA$18*($B$18-Z$18),0)+IF(B$18&gt;Z$20,$AA$20*($B$18-Z$20),0),2)+AA30</f>
        <v>338.14</v>
      </c>
      <c r="L18" s="473"/>
      <c r="M18" s="473">
        <f>ROUND($AB$15+IF($E18&gt;1000,IF($E18&gt;9000,(1000*AB$21/100)+(8000*AB$22/100)+(($E18-9000)*AB$23/100),(1000*AB$21/100)+(($E18-1000)*AB$22/100)),($E18*$AB$21)/100)+IF(B$18&gt;Z$18,$AB$18*($B$18-Z$18),0)+IF(B$18&gt;Z$20,$AB$20*($B$18-Z$20),0),2)+AA29</f>
        <v>342.13</v>
      </c>
      <c r="N18" s="454"/>
      <c r="O18" s="473">
        <f>K18-G18</f>
        <v>32.610000000000014</v>
      </c>
      <c r="P18" s="473"/>
      <c r="Q18" s="473">
        <f>M18-I18</f>
        <v>32.879999999999995</v>
      </c>
      <c r="R18" s="457"/>
      <c r="S18" s="474">
        <f>ROUND(K18/G18-1,4)</f>
        <v>0.1067</v>
      </c>
      <c r="T18" s="454"/>
      <c r="U18" s="474">
        <f>ROUND(M18/I18-1,4)</f>
        <v>0.10630000000000001</v>
      </c>
      <c r="W18" s="479">
        <v>15</v>
      </c>
      <c r="X18" s="475">
        <f>'Billing Determinants'!G155</f>
        <v>0.81</v>
      </c>
      <c r="Y18" s="417">
        <f>X18</f>
        <v>0.81</v>
      </c>
      <c r="Z18" s="480">
        <v>15</v>
      </c>
      <c r="AA18" s="475">
        <f>'Billing Determinants'!J185</f>
        <v>0.91</v>
      </c>
      <c r="AB18" s="417">
        <f>AA18</f>
        <v>0.91</v>
      </c>
      <c r="AD18" s="424"/>
    </row>
    <row r="19" spans="1:30" ht="15.75">
      <c r="A19" s="445"/>
      <c r="B19" s="454"/>
      <c r="C19" s="454"/>
      <c r="D19" s="454">
        <v>200</v>
      </c>
      <c r="E19" s="471">
        <f>ROUND((B$18*D19),0)</f>
        <v>5000</v>
      </c>
      <c r="F19" s="472"/>
      <c r="G19" s="473">
        <f>ROUND($X$15+IF($E19&gt;1000,IF($E19&gt;9000,(1000*X$21/100)+(8000*X$22/100)+(($E19-9000)*X$23/100),(1000*X$21/100)+(($E19-1000)*X$22/100)),($E19*$X$21)/100)+IF(B$18&gt;W$18,$X$18*($B$18-W$18),0)+IF(B$18&gt;W$20,$X$20*($B$18-W$20),0),2)+AA29</f>
        <v>383.05</v>
      </c>
      <c r="H19" s="473"/>
      <c r="I19" s="473">
        <f>ROUND($Y$15+IF($E19&gt;1000,IF($E19&gt;9000,(1000*Y$21/100)+(8000*Y$22/100)+(($E19-9000)*Y$23/100),(1000*Y$21/100)+(($E19-1000)*Y$22/100)),($E19*$Y$21)/100)+IF(B$18&gt;W$18,$Y$18*($B$18-W$18),0)+IF(B$18&gt;W$20,$Y$20*($B$18-W$20),0),2)+AA29</f>
        <v>386.77</v>
      </c>
      <c r="J19" s="473"/>
      <c r="K19" s="473">
        <f>ROUND($AA$15+IF($E19&gt;1000,IF($E19&gt;9000,(1000*AA$21/100)+(8000*AA$22/100)+(($E19-9000)*AA$23/100),(1000*AA$21/100)+(($E19-1000)*AA$22/100)),($E19*$AA$21)/100)+IF(B$18&gt;Z$18,$AA$18*($B$18-Z$18),0)+IF(B$18&gt;Z$20,$AA$20*($B$18-Z$20),0),2)+AA30</f>
        <v>423.47999999999996</v>
      </c>
      <c r="L19" s="473"/>
      <c r="M19" s="473">
        <f>ROUND($AB$15+IF($E19&gt;1000,IF($E19&gt;9000,(1000*AB$21/100)+(8000*AB$22/100)+(($E19-9000)*AB$23/100),(1000*AB$21/100)+(($E19-1000)*AB$22/100)),($E19*$AB$21)/100)+IF(B$18&gt;Z$18,$AB$18*($B$18-Z$18),0)+IF(B$18&gt;Z$20,$AB$20*($B$18-Z$20),0),2)+AA29</f>
        <v>427.46999999999997</v>
      </c>
      <c r="N19" s="454"/>
      <c r="O19" s="473">
        <f>K19-G19</f>
        <v>40.42999999999995</v>
      </c>
      <c r="P19" s="473"/>
      <c r="Q19" s="473">
        <f>M19-I19</f>
        <v>40.699999999999989</v>
      </c>
      <c r="R19" s="457"/>
      <c r="S19" s="474">
        <f>ROUND(K19/G19-1,4)</f>
        <v>0.1055</v>
      </c>
      <c r="T19" s="454"/>
      <c r="U19" s="474">
        <f>ROUND(M19/I19-1,4)</f>
        <v>0.1052</v>
      </c>
      <c r="W19" s="469" t="s">
        <v>332</v>
      </c>
      <c r="X19" s="430"/>
      <c r="Y19" s="481"/>
      <c r="Z19" s="430" t="s">
        <v>332</v>
      </c>
      <c r="AA19" s="475"/>
      <c r="AB19" s="417"/>
    </row>
    <row r="20" spans="1:30" ht="15.75">
      <c r="A20" s="445"/>
      <c r="B20" s="454"/>
      <c r="C20" s="454"/>
      <c r="D20" s="454">
        <v>400</v>
      </c>
      <c r="E20" s="471">
        <f>ROUND((B$18*D20),0)</f>
        <v>10000</v>
      </c>
      <c r="F20" s="472"/>
      <c r="G20" s="473">
        <f>ROUND($X$15+IF($E20&gt;1000,IF($E20&gt;9000,(1000*X$21/100)+(8000*X$22/100)+(($E20-9000)*X$23/100),(1000*X$21/100)+(($E20-1000)*X$22/100)),($E20*$X$21)/100)+IF(B$18&gt;W$18,$X$18*($B$18-W$18),0)+IF(B$18&gt;W$20,$X$20*($B$18-W$20),0),2)+AA29</f>
        <v>684.97</v>
      </c>
      <c r="H20" s="473"/>
      <c r="I20" s="473">
        <f>ROUND($Y$15+IF($E20&gt;1000,IF($E20&gt;9000,(1000*Y$21/100)+(8000*Y$22/100)+(($E20-9000)*Y$23/100),(1000*Y$21/100)+(($E20-1000)*Y$22/100)),($E20*$Y$21)/100)+IF(B$18&gt;W$18,$Y$18*($B$18-W$18),0)+IF(B$18&gt;W$20,$Y$20*($B$18-W$20),0),2)+AA29</f>
        <v>688.69</v>
      </c>
      <c r="J20" s="473"/>
      <c r="K20" s="473">
        <f>ROUND($AA$15+IF($E20&gt;1000,IF($E20&gt;9000,(1000*AA$21/100)+(8000*AA$22/100)+(($E20-9000)*AA$23/100),(1000*AA$21/100)+(($E20-1000)*AA$22/100)),($E20*$AA$21)/100)+IF(B$18&gt;Z$18,$AA$18*($B$18-Z$18),0)+IF(B$18&gt;Z$20,$AA$20*($B$18-Z$20),0),2)+AA30</f>
        <v>755.63</v>
      </c>
      <c r="L20" s="473"/>
      <c r="M20" s="473">
        <f>ROUND($AB$15+IF($E20&gt;1000,IF($E20&gt;9000,(1000*AB$21/100)+(8000*AB$22/100)+(($E20-9000)*AB$23/100),(1000*AB$21/100)+(($E20-1000)*AB$22/100)),($E20*$AB$21)/100)+IF(B$18&gt;Z$18,$AB$18*($B$18-Z$18),0)+IF(B$18&gt;Z$20,$AB$20*($B$18-Z$20),0),2)+AA29</f>
        <v>759.62</v>
      </c>
      <c r="N20" s="454"/>
      <c r="O20" s="473">
        <f>K20-G20</f>
        <v>70.659999999999968</v>
      </c>
      <c r="P20" s="473"/>
      <c r="Q20" s="473">
        <f>M20-I20</f>
        <v>70.92999999999995</v>
      </c>
      <c r="R20" s="457"/>
      <c r="S20" s="474">
        <f>ROUND(K20/G20-1,4)</f>
        <v>0.1032</v>
      </c>
      <c r="T20" s="454"/>
      <c r="U20" s="474">
        <f>ROUND(M20/I20-1,4)</f>
        <v>0.10299999999999999</v>
      </c>
      <c r="W20" s="479">
        <v>15</v>
      </c>
      <c r="X20" s="475">
        <f>'Billing Determinants'!G158</f>
        <v>2.98</v>
      </c>
      <c r="Y20" s="417">
        <f>X20</f>
        <v>2.98</v>
      </c>
      <c r="Z20" s="482">
        <v>15</v>
      </c>
      <c r="AA20" s="475">
        <f>'Billing Determinants'!J187</f>
        <v>3.35</v>
      </c>
      <c r="AB20" s="417">
        <f>AA20</f>
        <v>3.35</v>
      </c>
      <c r="AD20" s="424"/>
    </row>
    <row r="21" spans="1:30" ht="15.75">
      <c r="A21" s="445"/>
      <c r="B21" s="457"/>
      <c r="C21" s="457"/>
      <c r="D21" s="457"/>
      <c r="E21" s="457"/>
      <c r="F21" s="472"/>
      <c r="G21" s="483"/>
      <c r="H21" s="483"/>
      <c r="I21" s="483"/>
      <c r="J21" s="483"/>
      <c r="K21" s="483"/>
      <c r="L21" s="483"/>
      <c r="M21" s="483"/>
      <c r="N21" s="457"/>
      <c r="O21" s="473"/>
      <c r="P21" s="473"/>
      <c r="Q21" s="473"/>
      <c r="R21" s="457"/>
      <c r="S21" s="474"/>
      <c r="T21" s="457"/>
      <c r="U21" s="457"/>
      <c r="W21" s="469" t="s">
        <v>341</v>
      </c>
      <c r="X21" s="484">
        <f>'Billing Determinants'!G159+AA25+AA32</f>
        <v>8.8489999999999984</v>
      </c>
      <c r="Y21" s="419">
        <f>X21</f>
        <v>8.8489999999999984</v>
      </c>
      <c r="Z21" s="430" t="s">
        <v>341</v>
      </c>
      <c r="AA21" s="484">
        <f>'Billing Determinants'!J188+AA26+AA32+AA33</f>
        <v>9.8059999999999992</v>
      </c>
      <c r="AB21" s="485">
        <f>AA21</f>
        <v>9.8059999999999992</v>
      </c>
      <c r="AD21" s="421"/>
    </row>
    <row r="22" spans="1:30" ht="15.75">
      <c r="A22" s="445"/>
      <c r="B22" s="454">
        <v>50</v>
      </c>
      <c r="C22" s="454"/>
      <c r="D22" s="454">
        <f>D18</f>
        <v>150</v>
      </c>
      <c r="E22" s="471">
        <f>ROUND((B$22*D22),0)</f>
        <v>7500</v>
      </c>
      <c r="F22" s="472"/>
      <c r="G22" s="473">
        <f>ROUND($X$15+IF($E22&gt;1000,IF($E22&gt;9000,(1000*X$21/100)+(8000*X$22/100)+(($E22-9000)*X$23/100),(1000*X$21/100)+(($E22-1000)*X$22/100)),($E22*$X$21)/100)+IF(B$22&gt;W$18,$X$18*($B$22-W$18),0)+IF(B$22&gt;W$20,$X$20*($B$22-W$20),0),2)+AA29</f>
        <v>632.85</v>
      </c>
      <c r="H22" s="473"/>
      <c r="I22" s="473">
        <f>ROUND($Y$15+IF($E22&gt;1000,IF($E22&gt;9000,(1000*Y$21/100)+(8000*Y$22/100)+(($E22-9000)*Y$23/100),(1000*Y$21/100)+(($E22-1000)*Y$22/100)),($E22*$Y$21)/100)+IF(B$22&gt;W$18,$Y$18*($B$22-W$18),0)+IF(B$22&gt;W$20,$Y$20*($B$22-W$20),0),2)+AA29</f>
        <v>636.57000000000005</v>
      </c>
      <c r="J22" s="473"/>
      <c r="K22" s="473">
        <f>ROUND($AA$15+IF($E22&gt;1000,IF($E22&gt;9000,(1000*AA$21/100)+(8000*AA$22/100)+(($E22-9000)*AA$23/100),(1000*AA$21/100)+(($E22-1000)*AA$22/100)),($E22*$AA$21)/100)+IF(B$22&gt;Z$18,$AA$18*($B$22-Z$18),0)+IF(B$22&gt;Z$20,$AA$20*($B$22-Z$20),0),2)+AA30</f>
        <v>700.66</v>
      </c>
      <c r="L22" s="473"/>
      <c r="M22" s="473">
        <f>ROUND($AB$15+IF($E22&gt;1000,IF($E22&gt;9000,(1000*AB$21/100)+(8000*AB$22/100)+(($E22-9000)*AB$23/100),(1000*AB$21/100)+(($E22-1000)*AB$22/100)),($E22*$AB$21)/100)+IF(B$22&gt;Z$18,$AB$18*($B$22-Z$18),0)+IF(B$22&gt;Z$20,$AB$20*($B$22-Z$20),0),2)+AA30</f>
        <v>704.85</v>
      </c>
      <c r="N22" s="454"/>
      <c r="O22" s="473">
        <f>K22-G22</f>
        <v>67.809999999999945</v>
      </c>
      <c r="P22" s="473"/>
      <c r="Q22" s="473">
        <f>M22-I22</f>
        <v>68.279999999999973</v>
      </c>
      <c r="R22" s="457"/>
      <c r="S22" s="474">
        <f>ROUND(K22/G22-1,4)</f>
        <v>0.1072</v>
      </c>
      <c r="T22" s="454"/>
      <c r="U22" s="474">
        <f>ROUND(M22/I22-1,4)</f>
        <v>0.10730000000000001</v>
      </c>
      <c r="W22" s="469" t="s">
        <v>342</v>
      </c>
      <c r="X22" s="484">
        <f>'Billing Determinants'!G160+AA25+AA32</f>
        <v>6.202</v>
      </c>
      <c r="Y22" s="419">
        <f>X22</f>
        <v>6.202</v>
      </c>
      <c r="Z22" s="469" t="s">
        <v>342</v>
      </c>
      <c r="AA22" s="484">
        <f>'Billing Determinants'!J189+AA26+AA32+AA33</f>
        <v>6.827</v>
      </c>
      <c r="AB22" s="485">
        <f>AA22</f>
        <v>6.827</v>
      </c>
      <c r="AD22" s="421"/>
    </row>
    <row r="23" spans="1:30" ht="15.75">
      <c r="B23" s="454"/>
      <c r="C23" s="454"/>
      <c r="D23" s="454">
        <f>D19</f>
        <v>200</v>
      </c>
      <c r="E23" s="471">
        <f>ROUND((B$22*D23),0)</f>
        <v>10000</v>
      </c>
      <c r="F23" s="472"/>
      <c r="G23" s="473">
        <f>ROUND($X$15+IF($E23&gt;1000,IF($E23&gt;9000,(1000*X$21/100)+(8000*X$22/100)+(($E23-9000)*X$23/100),(1000*X$21/100)+(($E23-1000)*X$22/100)),($E23*$X$21)/100)+IF(B$22&gt;W$18,$X$18*($B$22-W$18),0)+IF(B$22&gt;W$20,$X$20*($B$22-W$20),0),2)+AA29</f>
        <v>779.72</v>
      </c>
      <c r="H23" s="473"/>
      <c r="I23" s="473">
        <f>ROUND($Y$15+IF($E23&gt;1000,IF($E23&gt;9000,(1000*Y$21/100)+(8000*Y$22/100)+(($E23-9000)*Y$23/100),(1000*Y$21/100)+(($E23-1000)*Y$22/100)),($E23*$Y$21)/100)+IF(B$22&gt;W$18,$Y$18*($B$22-W$18),0)+IF(B$22&gt;W$20,$Y$20*($B$22-W$20),0),2)+AA29</f>
        <v>783.44</v>
      </c>
      <c r="J23" s="473"/>
      <c r="K23" s="473">
        <f>ROUND($AA$15+IF($E23&gt;1000,IF($E23&gt;9000,(1000*AA$21/100)+(8000*AA$22/100)+(($E23-9000)*AA$23/100),(1000*AA$21/100)+(($E23-1000)*AA$22/100)),($E23*$AA$21)/100)+IF(B$22&gt;Z$18,$AA$18*($B$22-Z$18),0)+IF(B$22&gt;Z$20,$AA$20*($B$22-Z$20),0),2)+AA30</f>
        <v>862.13</v>
      </c>
      <c r="L23" s="473"/>
      <c r="M23" s="473">
        <f>ROUND($AB$15+IF($E23&gt;1000,IF($E23&gt;9000,(1000*AB$21/100)+(8000*AB$22/100)+(($E23-9000)*AB$23/100),(1000*AB$21/100)+(($E23-1000)*AB$22/100)),($E23*$AB$21)/100)+IF(B$22&gt;Z$18,$AB$18*($B$22-Z$18),0)+IF(B$22&gt;Z$20,$AB$20*($B$22-Z$20),0),2)+AA30</f>
        <v>866.31999999999994</v>
      </c>
      <c r="N23" s="454"/>
      <c r="O23" s="473">
        <f>K23-G23</f>
        <v>82.409999999999968</v>
      </c>
      <c r="P23" s="473"/>
      <c r="Q23" s="473">
        <f>M23-I23</f>
        <v>82.879999999999882</v>
      </c>
      <c r="R23" s="457"/>
      <c r="S23" s="474">
        <f>ROUND(K23/G23-1,4)</f>
        <v>0.1057</v>
      </c>
      <c r="T23" s="454"/>
      <c r="U23" s="474">
        <f>ROUND(M23/I23-1,4)</f>
        <v>0.10580000000000001</v>
      </c>
      <c r="W23" s="469" t="s">
        <v>343</v>
      </c>
      <c r="X23" s="484">
        <f>'Billing Determinants'!G161+AA25+AA32</f>
        <v>5.3839999999999995</v>
      </c>
      <c r="Y23" s="419">
        <f>X23</f>
        <v>5.3839999999999995</v>
      </c>
      <c r="Z23" s="469" t="s">
        <v>343</v>
      </c>
      <c r="AA23" s="484">
        <f>'Billing Determinants'!J190+AA26+AA32+AA33</f>
        <v>5.9069999999999991</v>
      </c>
      <c r="AB23" s="485">
        <f>AA23</f>
        <v>5.9069999999999991</v>
      </c>
      <c r="AC23" s="477"/>
      <c r="AD23" s="424"/>
    </row>
    <row r="24" spans="1:30" ht="16.5" thickBot="1">
      <c r="A24" s="445"/>
      <c r="B24" s="454"/>
      <c r="C24" s="454"/>
      <c r="D24" s="454">
        <f>D20</f>
        <v>400</v>
      </c>
      <c r="E24" s="471">
        <f>ROUND((B$22*D24),0)</f>
        <v>20000</v>
      </c>
      <c r="F24" s="472"/>
      <c r="G24" s="473">
        <f>ROUND($X$15+IF($E24&gt;1000,IF($E24&gt;9000,(1000*X$21/100)+(8000*X$22/100)+(($E24-9000)*X$23/100),(1000*X$21/100)+(($E24-1000)*X$22/100)),($E24*$X$21)/100)+IF(B$22&gt;W$18,$X$18*($B$22-W$18),0)+IF(B$22&gt;W$20,$X$20*($B$22-W$20),0),2)+AA29</f>
        <v>1318.1200000000001</v>
      </c>
      <c r="H24" s="473"/>
      <c r="I24" s="473">
        <f>ROUND($Y$15+IF($E24&gt;1000,IF($E24&gt;9000,(1000*Y$21/100)+(8000*Y$22/100)+(($E24-9000)*Y$23/100),(1000*Y$21/100)+(($E24-1000)*Y$22/100)),($E24*$Y$21)/100)+IF(B$22&gt;W$18,$Y$18*($B$22-W$18),0)+IF(B$22&gt;W$20,$Y$20*($B$22-W$20),0),2)+AA29</f>
        <v>1321.8400000000001</v>
      </c>
      <c r="J24" s="473"/>
      <c r="K24" s="473">
        <f>ROUND($AA$15+IF($E24&gt;1000,IF($E24&gt;9000,(1000*AA$21/100)+(8000*AA$22/100)+(($E24-9000)*AA$23/100),(1000*AA$21/100)+(($E24-1000)*AA$22/100)),($E24*$AA$21)/100)+IF(B$22&gt;Z$18,$AA$18*($B$22-Z$18),0)+IF(B$22&gt;Z$20,$AA$20*($B$22-Z$20),0),2)+AA30</f>
        <v>1452.8300000000002</v>
      </c>
      <c r="L24" s="473"/>
      <c r="M24" s="473">
        <f>ROUND($AB$15+IF($E24&gt;1000,IF($E24&gt;9000,(1000*AB$21/100)+(8000*AB$22/100)+(($E24-9000)*AB$23/100),(1000*AB$21/100)+(($E24-1000)*AB$22/100)),($E24*$AB$21)/100)+IF(B$22&gt;Z$18,$AB$18*($B$22-Z$18),0)+IF(B$22&gt;Z$20,$AB$20*($B$22-Z$20),0),2)+AA30</f>
        <v>1457.0200000000002</v>
      </c>
      <c r="N24" s="454"/>
      <c r="O24" s="473">
        <f>K24-G24</f>
        <v>134.71000000000004</v>
      </c>
      <c r="P24" s="473"/>
      <c r="Q24" s="473">
        <f>M24-I24</f>
        <v>135.18000000000006</v>
      </c>
      <c r="R24" s="457"/>
      <c r="S24" s="474">
        <f>ROUND(K24/G24-1,4)</f>
        <v>0.1022</v>
      </c>
      <c r="T24" s="454"/>
      <c r="U24" s="474">
        <f>ROUND(M24/I24-1,4)</f>
        <v>0.1023</v>
      </c>
      <c r="W24" s="426" t="s">
        <v>0</v>
      </c>
      <c r="X24" s="486" t="s">
        <v>0</v>
      </c>
      <c r="Y24" s="487" t="s">
        <v>0</v>
      </c>
      <c r="Z24" s="426" t="s">
        <v>0</v>
      </c>
      <c r="AA24" s="486" t="s">
        <v>0</v>
      </c>
      <c r="AB24" s="487" t="s">
        <v>0</v>
      </c>
    </row>
    <row r="25" spans="1:30" ht="15.75">
      <c r="A25" s="445"/>
      <c r="B25" s="457"/>
      <c r="C25" s="457"/>
      <c r="D25" s="457"/>
      <c r="E25" s="457"/>
      <c r="F25" s="472"/>
      <c r="G25" s="483"/>
      <c r="H25" s="483"/>
      <c r="I25" s="483"/>
      <c r="J25" s="483"/>
      <c r="K25" s="483"/>
      <c r="L25" s="483"/>
      <c r="M25" s="483"/>
      <c r="N25" s="457"/>
      <c r="O25" s="473"/>
      <c r="P25" s="473"/>
      <c r="Q25" s="473"/>
      <c r="R25" s="457"/>
      <c r="S25" s="474"/>
      <c r="T25" s="457"/>
      <c r="U25" s="457"/>
      <c r="Y25" s="428" t="s">
        <v>313</v>
      </c>
      <c r="Z25" s="428"/>
      <c r="AA25" s="429">
        <v>0.245</v>
      </c>
      <c r="AB25" s="488" t="s">
        <v>0</v>
      </c>
    </row>
    <row r="26" spans="1:30" ht="15.75">
      <c r="A26" s="445"/>
      <c r="B26" s="454">
        <v>75</v>
      </c>
      <c r="C26" s="454"/>
      <c r="D26" s="454">
        <v>333.33300000000003</v>
      </c>
      <c r="E26" s="471">
        <f>ROUND((B$26*D26),0)</f>
        <v>25000</v>
      </c>
      <c r="F26" s="489"/>
      <c r="G26" s="473">
        <f>ROUND($X$15+IF($E26&gt;1000,IF($E26&gt;9000,(1000*X$21/100)+(8000*X$22/100)+(($E26-9000)*X$23/100),(1000*X$21/100)+(($E26-1000)*X$22/100)),($E26*$X$21)/100)+IF(B$26&gt;W$18,$X$18*($B$26-W$18),0)+IF(B$26&gt;W$20,$X$20*($B$26-W$20),0),2)+AA29</f>
        <v>1682.0700000000002</v>
      </c>
      <c r="H26" s="473"/>
      <c r="I26" s="473">
        <f>ROUND($Y$15+IF($E26&gt;1000,IF($E26&gt;9000,(1000*Y$21/100)+(8000*Y$22/100)+(($E26-9000)*Y$23/100),(1000*Y$21/100)+(($E26-1000)*Y$22/100)),($E26*$Y$21)/100)+IF(B$26&gt;W$18,$Y$18*($B$26-W$18),0)+IF(B$26&gt;W$20,$Y$20*($B$26-W$20),0),2)+AA29</f>
        <v>1685.79</v>
      </c>
      <c r="J26" s="490"/>
      <c r="K26" s="473">
        <f>ROUND($AA$15+IF($E26&gt;1000,IF($E26&gt;9000,(1000*AA$21/100)+(8000*AA$22/100)+(($E26-9000)*AA$23/100),(1000*AA$21/100)+(($E26-1000)*AA$22/100)),($E26*$AA$21)/100)+IF(B$26&gt;Z$18,$AA$18*($B$26-Z$18),0)+IF(B$26&gt;Z$20,$AA$20*($B$26-Z$20),0),2)+AA30</f>
        <v>1854.68</v>
      </c>
      <c r="L26" s="473"/>
      <c r="M26" s="473">
        <f>ROUND($AB$15+IF($E26&gt;1000,IF($E26&gt;9000,(1000*AB$21/100)+(8000*AB$22/100)+(($E26-9000)*AB$23/100),(1000*AB$21/100)+(($E26-1000)*AB$22/100)),($E26*$AB$21)/100)+IF(B$26&gt;Z$18,$AB$18*($B$26-Z$18),0)+IF(B$26&gt;Z$20,$AB$20*($B$26-Z$20),0),2)+AA30</f>
        <v>1858.8700000000001</v>
      </c>
      <c r="N26" s="454"/>
      <c r="O26" s="473">
        <f>K26-G26</f>
        <v>172.6099999999999</v>
      </c>
      <c r="P26" s="473"/>
      <c r="Q26" s="473">
        <f>M26-I26</f>
        <v>173.08000000000015</v>
      </c>
      <c r="R26" s="457"/>
      <c r="S26" s="474">
        <f>ROUND(K26/G26-1,4)</f>
        <v>0.1026</v>
      </c>
      <c r="T26" s="454"/>
      <c r="U26" s="474">
        <f>ROUND(M26/I26-1,4)</f>
        <v>0.1027</v>
      </c>
      <c r="Y26" s="428"/>
      <c r="Z26" s="428"/>
      <c r="AA26" s="429">
        <v>0.245</v>
      </c>
      <c r="AB26" s="488" t="s">
        <v>0</v>
      </c>
    </row>
    <row r="27" spans="1:30" ht="15.75">
      <c r="B27" s="454"/>
      <c r="C27" s="454"/>
      <c r="D27" s="454">
        <v>500</v>
      </c>
      <c r="E27" s="471">
        <f>ROUND((B$26*D27),0)</f>
        <v>37500</v>
      </c>
      <c r="F27" s="489"/>
      <c r="G27" s="473">
        <f>ROUND($X$15+IF($E27&gt;1000,IF($E27&gt;9000,(1000*X$21/100)+(8000*X$22/100)+(($E27-9000)*X$23/100),(1000*X$21/100)+(($E27-1000)*X$22/100)),($E27*$X$21)/100)+IF(B$26&gt;W$18,$X$18*($B$26-W$18),0)+IF(B$26&gt;W$20,$X$20*($B$26-W$20),0),2)+AA29</f>
        <v>2355.0700000000002</v>
      </c>
      <c r="H27" s="473"/>
      <c r="I27" s="473">
        <f>ROUND($Y$15+IF($E27&gt;1000,IF($E27&gt;9000,(1000*Y$21/100)+(8000*Y$22/100)+(($E27-9000)*Y$23/100),(1000*Y$21/100)+(($E27-1000)*Y$22/100)),($E27*$Y$21)/100)+IF(B$26&gt;W$18,$Y$18*($B$26-W$18),0)+IF(B$26&gt;W$20,$Y$20*($B$26-W$20),0),2)+AA29</f>
        <v>2358.79</v>
      </c>
      <c r="J27" s="490"/>
      <c r="K27" s="473">
        <f>ROUND($AA$15+IF($E27&gt;1000,IF($E27&gt;9000,(1000*AA$21/100)+(8000*AA$22/100)+(($E27-9000)*AA$23/100),(1000*AA$21/100)+(($E27-1000)*AA$22/100)),($E27*$AA$21)/100)+IF(B$26&gt;Z$18,$AA$18*($B$26-Z$18),0)+IF(B$26&gt;Z$20,$AA$20*($B$26-Z$20),0),2)+AA30</f>
        <v>2593.06</v>
      </c>
      <c r="L27" s="473"/>
      <c r="M27" s="473">
        <f>ROUND($AB$15+IF($E27&gt;1000,IF($E27&gt;9000,(1000*AB$21/100)+(8000*AB$22/100)+(($E27-9000)*AB$23/100),(1000*AB$21/100)+(($E27-1000)*AB$22/100)),($E27*$AB$21)/100)+IF(B$26&gt;Z$18,$AB$18*($B$26-Z$18),0)+IF(B$26&gt;Z$20,$AB$20*($B$26-Z$20),0),2)+AA30</f>
        <v>2597.25</v>
      </c>
      <c r="N27" s="454"/>
      <c r="O27" s="473">
        <f>K27-G27</f>
        <v>237.98999999999978</v>
      </c>
      <c r="P27" s="473"/>
      <c r="Q27" s="473">
        <f>M27-I27</f>
        <v>238.46000000000004</v>
      </c>
      <c r="R27" s="457"/>
      <c r="S27" s="474">
        <f>ROUND(K27/G27-1,4)</f>
        <v>0.1011</v>
      </c>
      <c r="T27" s="454"/>
      <c r="U27" s="474">
        <f>ROUND(M27/I27-1,4)</f>
        <v>0.1011</v>
      </c>
      <c r="Y27" s="428"/>
      <c r="Z27" s="428"/>
      <c r="AA27" s="432"/>
    </row>
    <row r="28" spans="1:30" ht="15.75">
      <c r="A28" s="445"/>
      <c r="B28" s="454"/>
      <c r="C28" s="454"/>
      <c r="D28" s="454">
        <v>666.66600000000005</v>
      </c>
      <c r="E28" s="471">
        <f>ROUND((B$26*D28),0)</f>
        <v>50000</v>
      </c>
      <c r="F28" s="489"/>
      <c r="G28" s="473">
        <f>ROUND($X$15+IF($E28&gt;1000,IF($E28&gt;9000,(1000*X$21/100)+(8000*X$22/100)+(($E28-9000)*X$23/100),(1000*X$21/100)+(($E28-1000)*X$22/100)),($E28*$X$21)/100)+IF(B$26&gt;W$18,$X$18*($B$26-W$18),0)+IF(B$26&gt;W$20,$X$20*($B$26-W$20),0),2)+AA29</f>
        <v>3028.07</v>
      </c>
      <c r="H28" s="473"/>
      <c r="I28" s="473">
        <f>ROUND($Y$15+IF($E28&gt;1000,IF($E28&gt;9000,(1000*Y$21/100)+(8000*Y$22/100)+(($E28-9000)*Y$23/100),(1000*Y$21/100)+(($E28-1000)*Y$22/100)),($E28*$Y$21)/100)+IF(B$26&gt;W$18,$Y$18*($B$26-W$18),0)+IF(B$26&gt;W$20,$Y$20*($B$26-W$20),0),2)+AA29</f>
        <v>3031.79</v>
      </c>
      <c r="J28" s="490"/>
      <c r="K28" s="473">
        <f>ROUND($AA$15+IF($E28&gt;1000,IF($E28&gt;9000,(1000*AA$21/100)+(8000*AA$22/100)+(($E28-9000)*AA$23/100),(1000*AA$21/100)+(($E28-1000)*AA$22/100)),($E28*$AA$21)/100)+IF(B$26&gt;Z$18,$AA$18*($B$26-Z$18),0)+IF(B$26&gt;Z$20,$AA$20*($B$26-Z$20),0),2)+AA30</f>
        <v>3331.43</v>
      </c>
      <c r="L28" s="473"/>
      <c r="M28" s="473">
        <f>ROUND($AB$15+IF($E28&gt;1000,IF($E28&gt;9000,(1000*AB$21/100)+(8000*AB$22/100)+(($E28-9000)*AB$23/100),(1000*AB$21/100)+(($E28-1000)*AB$22/100)),($E28*$AB$21)/100)+IF(B$26&gt;Z$18,$AB$18*($B$26-Z$18),0)+IF(B$26&gt;Z$20,$AB$20*($B$26-Z$20),0),2)+AA30</f>
        <v>3335.62</v>
      </c>
      <c r="N28" s="454"/>
      <c r="O28" s="473">
        <f>K28-G28</f>
        <v>303.35999999999967</v>
      </c>
      <c r="P28" s="473"/>
      <c r="Q28" s="473">
        <f>M28-I28</f>
        <v>303.82999999999993</v>
      </c>
      <c r="R28" s="457"/>
      <c r="S28" s="474">
        <f>ROUND(K28/G28-1,4)</f>
        <v>0.1002</v>
      </c>
      <c r="T28" s="454"/>
      <c r="U28" s="474">
        <f>ROUND(M28/I28-1,4)</f>
        <v>0.1002</v>
      </c>
      <c r="Y28" s="399" t="s">
        <v>0</v>
      </c>
      <c r="AA28" s="399" t="s">
        <v>0</v>
      </c>
    </row>
    <row r="29" spans="1:30" ht="15.75">
      <c r="A29" s="445"/>
      <c r="B29" s="491"/>
      <c r="C29" s="491"/>
      <c r="D29" s="491"/>
      <c r="E29" s="491"/>
      <c r="F29" s="492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  <c r="S29" s="491"/>
      <c r="T29" s="491"/>
      <c r="U29" s="491"/>
      <c r="Y29" s="399" t="s">
        <v>315</v>
      </c>
      <c r="AA29" s="424">
        <v>0.94</v>
      </c>
      <c r="AB29" s="399" t="s">
        <v>0</v>
      </c>
    </row>
    <row r="30" spans="1:30" ht="15.75">
      <c r="A30" s="445"/>
      <c r="B30" s="454">
        <v>100</v>
      </c>
      <c r="C30" s="454"/>
      <c r="D30" s="454">
        <v>333.33300000000003</v>
      </c>
      <c r="E30" s="471">
        <f>ROUND((B$26*D30),0)</f>
        <v>25000</v>
      </c>
      <c r="F30" s="489"/>
      <c r="G30" s="473">
        <f>ROUND($X$15+IF($E30&gt;1000,IF($E30&gt;9000,(1000*X$21/100)+(8000*X$22/100)+(($E30-9000)*X$23/100),(1000*X$21/100)+(($E30-1000)*X$22/100)),($E30*$X$21)/100)+IF(B$30&gt;W$18,$X$18*($B$30-W$18),0)+IF(B$30&gt;W$20,$X$20*($B$30-W$20),0),2)+AA29</f>
        <v>1776.8200000000002</v>
      </c>
      <c r="H30" s="473"/>
      <c r="I30" s="473">
        <f>ROUND($Y$15+IF($E30&gt;1000,IF($E30&gt;9000,(1000*Y$21/100)+(8000*Y$22/100)+(($E30-9000)*Y$23/100),(1000*Y$21/100)+(($E30-1000)*Y$22/100)),($E30*$Y$21)/100)+IF(B$30&gt;W$18,$Y$18*($B$30-W$18),0)+IF(B$30&gt;W$20,$Y$20*($B$30-W$20),0),2)+AA29</f>
        <v>1780.54</v>
      </c>
      <c r="J30" s="490"/>
      <c r="K30" s="473">
        <f>ROUND($AA$15+IF($E30&gt;1000,IF($E30&gt;9000,(1000*AA$21/100)+(8000*AA$22/100)+(($E30-9000)*AA$23/100),(1000*AA$21/100)+(($E30-1000)*AA$22/100)),($E30*$AA$21)/100)+IF(B$30&gt;Z$18,$AA$18*($B$30-Z$18),0)+IF(B$30&gt;Z$20,$AA$20*($B$30-Z$20),0),2)+AA30</f>
        <v>1961.18</v>
      </c>
      <c r="L30" s="473"/>
      <c r="M30" s="473">
        <f>ROUND($AB$15+IF($E30&gt;1000,IF($E30&gt;9000,(1000*AB$21/100)+(8000*AB$22/100)+(($E30-9000)*AB$23/100),(1000*AB$21/100)+(($E30-1000)*AB$22/100)),($E30*$AB$21)/100)+IF(B$30&gt;Z$18,$AB$18*($B$30-Z$18),0)+IF(B$30&gt;Z$20,$AB$20*($B$30-Z$20),0),2)+AA30</f>
        <v>1965.3700000000001</v>
      </c>
      <c r="N30" s="454"/>
      <c r="O30" s="473">
        <f>K30-G30</f>
        <v>184.3599999999999</v>
      </c>
      <c r="P30" s="473"/>
      <c r="Q30" s="473">
        <f>M30-I30</f>
        <v>184.83000000000015</v>
      </c>
      <c r="R30" s="457"/>
      <c r="S30" s="474">
        <f>ROUND(K30/G30-1,4)</f>
        <v>0.1038</v>
      </c>
      <c r="T30" s="454"/>
      <c r="U30" s="474">
        <f>ROUND(M30/I30-1,4)</f>
        <v>0.1038</v>
      </c>
      <c r="Y30" s="399" t="s">
        <v>344</v>
      </c>
      <c r="Z30" s="421"/>
      <c r="AA30" s="424">
        <f>'Schedule 191 p1'!E16</f>
        <v>1.1399999999999999</v>
      </c>
    </row>
    <row r="31" spans="1:30" ht="15.75">
      <c r="B31" s="454"/>
      <c r="C31" s="454"/>
      <c r="D31" s="454">
        <v>500</v>
      </c>
      <c r="E31" s="471">
        <f>ROUND((B$26*D31),0)</f>
        <v>37500</v>
      </c>
      <c r="F31" s="489"/>
      <c r="G31" s="473">
        <f>ROUND($X$15+IF($E31&gt;1000,IF($E31&gt;9000,(1000*X$21/100)+(8000*X$22/100)+(($E31-9000)*X$23/100),(1000*X$21/100)+(($E31-1000)*X$22/100)),($E31*$X$21)/100)+IF(B$30&gt;W$18,$X$18*($B$30-W$18),0)+IF(B$30&gt;W$20,$X$20*($B$30-W$20),0),2)+AA29</f>
        <v>2449.8200000000002</v>
      </c>
      <c r="H31" s="473"/>
      <c r="I31" s="473">
        <f>ROUND($Y$15+IF($E31&gt;1000,IF($E31&gt;9000,(1000*Y$21/100)+(8000*Y$22/100)+(($E31-9000)*Y$23/100),(1000*Y$21/100)+(($E31-1000)*Y$22/100)),($E31*$Y$21)/100)+IF(B$30&gt;W$18,$Y$18*($B$30-W$18),0)+IF(B$30&gt;W$20,$Y$20*($B$30-W$20),0),2)+AA29</f>
        <v>2453.54</v>
      </c>
      <c r="J31" s="490"/>
      <c r="K31" s="473">
        <f>ROUND($AA$15+IF($E31&gt;1000,IF($E31&gt;9000,(1000*AA$21/100)+(8000*AA$22/100)+(($E31-9000)*AA$23/100),(1000*AA$21/100)+(($E31-1000)*AA$22/100)),($E31*$AA$21)/100)+IF(B$30&gt;Z$18,$AA$18*($B$30-Z$18),0)+IF(B$30&gt;Z$20,$AA$20*($B$30-Z$20),0),2)+AA30</f>
        <v>2699.56</v>
      </c>
      <c r="L31" s="473"/>
      <c r="M31" s="473">
        <f>ROUND($AB$15+IF($E31&gt;1000,IF($E31&gt;9000,(1000*AB$21/100)+(8000*AB$22/100)+(($E31-9000)*AB$23/100),(1000*AB$21/100)+(($E31-1000)*AB$22/100)),($E31*$AB$21)/100)+IF(B$30&gt;Z$18,$AB$18*($B$30-Z$18),0)+IF(B$30&gt;Z$20,$AB$20*($B$30-Z$20),0),2)+AA30</f>
        <v>2703.75</v>
      </c>
      <c r="N31" s="454"/>
      <c r="O31" s="473">
        <f>K31-G31</f>
        <v>249.73999999999978</v>
      </c>
      <c r="P31" s="473"/>
      <c r="Q31" s="473">
        <f>M31-I31</f>
        <v>250.21000000000004</v>
      </c>
      <c r="R31" s="457"/>
      <c r="S31" s="474">
        <f>ROUND(K31/G31-1,4)</f>
        <v>0.1019</v>
      </c>
      <c r="T31" s="454"/>
      <c r="U31" s="474">
        <f>ROUND(M31/I31-1,4)</f>
        <v>0.10199999999999999</v>
      </c>
      <c r="Y31" s="424"/>
      <c r="Z31" s="424"/>
    </row>
    <row r="32" spans="1:30" ht="15.75">
      <c r="A32" s="445"/>
      <c r="B32" s="454"/>
      <c r="C32" s="454"/>
      <c r="D32" s="454">
        <v>666.66600000000005</v>
      </c>
      <c r="E32" s="471">
        <f>ROUND((B$26*D32),0)</f>
        <v>50000</v>
      </c>
      <c r="F32" s="489"/>
      <c r="G32" s="473">
        <f>ROUND($X$15+IF($E32&gt;1000,IF($E32&gt;9000,(1000*X$21/100)+(8000*X$22/100)+(($E32-9000)*X$23/100),(1000*X$21/100)+(($E32-1000)*X$22/100)),($E32*$X$21)/100)+IF(B$30&gt;W$18,$X$18*($B$30-W$18),0)+IF(B$30&gt;W$20,$X$20*($B$30-W$20),0),2)+AA29</f>
        <v>3122.82</v>
      </c>
      <c r="H32" s="473"/>
      <c r="I32" s="473">
        <f>ROUND($Y$15+IF($E32&gt;1000,IF($E32&gt;9000,(1000*Y$21/100)+(8000*Y$22/100)+(($E32-9000)*Y$23/100),(1000*Y$21/100)+(($E32-1000)*Y$22/100)),($E32*$Y$21)/100)+IF(B$30&gt;W$18,$Y$18*($B$30-W$18),0)+IF(B$30&gt;W$20,$Y$20*($B$30-W$20),0),2)+AA29</f>
        <v>3126.54</v>
      </c>
      <c r="J32" s="490"/>
      <c r="K32" s="473">
        <f>ROUND($AA$15+IF($E32&gt;1000,IF($E32&gt;9000,(1000*AA$21/100)+(8000*AA$22/100)+(($E32-9000)*AA$23/100),(1000*AA$21/100)+(($E32-1000)*AA$22/100)),($E32*$AA$21)/100)+IF(B$30&gt;Z$18,$AA$18*($B$30-Z$18),0)+IF(B$30&gt;Z$20,$AA$20*($B$30-Z$20),0),2)+AA30</f>
        <v>3437.93</v>
      </c>
      <c r="L32" s="473"/>
      <c r="M32" s="473">
        <f>ROUND($AB$15+IF($E32&gt;1000,IF($E32&gt;9000,(1000*AB$21/100)+(8000*AB$22/100)+(($E32-9000)*AB$23/100),(1000*AB$21/100)+(($E32-1000)*AB$22/100)),($E32*$AB$21)/100)+IF(B$30&gt;Z$18,$AB$18*($B$30-Z$18),0)+IF(B$30&gt;Z$20,$AB$20*($B$30-Z$20),0),2)+AA30</f>
        <v>3442.12</v>
      </c>
      <c r="N32" s="454"/>
      <c r="O32" s="473">
        <f>K32-G32</f>
        <v>315.10999999999967</v>
      </c>
      <c r="P32" s="473"/>
      <c r="Q32" s="473">
        <f>M32-I32</f>
        <v>315.57999999999993</v>
      </c>
      <c r="R32" s="457"/>
      <c r="S32" s="474">
        <f>ROUND(K32/G32-1,4)</f>
        <v>0.1009</v>
      </c>
      <c r="T32" s="454"/>
      <c r="U32" s="474">
        <f>ROUND(M32/I32-1,4)</f>
        <v>0.1009</v>
      </c>
      <c r="Y32" s="399" t="s">
        <v>317</v>
      </c>
      <c r="AA32" s="488">
        <v>5.5E-2</v>
      </c>
    </row>
    <row r="33" spans="1:27" ht="15.75">
      <c r="A33" s="445"/>
      <c r="B33" s="457"/>
      <c r="C33" s="457"/>
      <c r="D33" s="457"/>
      <c r="E33" s="457"/>
      <c r="F33" s="472"/>
      <c r="G33" s="457"/>
      <c r="H33" s="457"/>
      <c r="I33" s="457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7"/>
      <c r="U33" s="457"/>
      <c r="Y33" s="399" t="s">
        <v>345</v>
      </c>
      <c r="AA33" s="399">
        <f>'Rate Spread w bill deter'!AF22</f>
        <v>-0.11799999999999999</v>
      </c>
    </row>
    <row r="34" spans="1:27" ht="15.75">
      <c r="A34" s="445"/>
      <c r="B34" s="457" t="s">
        <v>320</v>
      </c>
      <c r="C34" s="457"/>
      <c r="D34" s="457"/>
      <c r="E34" s="457"/>
      <c r="F34" s="472"/>
      <c r="G34" s="457"/>
      <c r="H34" s="457"/>
      <c r="I34" s="457"/>
      <c r="J34" s="457"/>
      <c r="K34" s="457"/>
      <c r="L34" s="457"/>
      <c r="M34" s="457"/>
      <c r="N34" s="457"/>
      <c r="O34" s="457"/>
      <c r="P34" s="457"/>
      <c r="Q34" s="457"/>
      <c r="R34" s="457"/>
      <c r="S34" s="457"/>
      <c r="T34" s="457"/>
      <c r="U34" s="457"/>
    </row>
    <row r="35" spans="1:27" ht="15.75">
      <c r="B35" s="493" t="s">
        <v>346</v>
      </c>
      <c r="C35" s="457"/>
      <c r="D35" s="457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W35" s="433" t="s">
        <v>319</v>
      </c>
      <c r="X35" s="494">
        <f>'Rate Spread w bill deter'!AL22</f>
        <v>0.10739055286343736</v>
      </c>
    </row>
    <row r="36" spans="1:27">
      <c r="A36" s="445"/>
    </row>
    <row r="37" spans="1:27">
      <c r="A37" s="445"/>
    </row>
    <row r="38" spans="1:27">
      <c r="A38" s="445"/>
    </row>
    <row r="40" spans="1:27">
      <c r="A40" s="445"/>
    </row>
    <row r="41" spans="1:27">
      <c r="A41" s="445"/>
    </row>
    <row r="42" spans="1:27">
      <c r="A42" s="445"/>
    </row>
    <row r="43" spans="1:27">
      <c r="A43" s="445"/>
    </row>
    <row r="44" spans="1:27">
      <c r="A44" s="445"/>
    </row>
    <row r="45" spans="1:27">
      <c r="A45" s="445"/>
    </row>
    <row r="46" spans="1:27">
      <c r="A46" s="445"/>
    </row>
    <row r="47" spans="1:27">
      <c r="A47" s="445"/>
    </row>
    <row r="48" spans="1:27">
      <c r="P48" s="442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7"/>
  <sheetViews>
    <sheetView view="pageBreakPreview" zoomScale="75" zoomScaleNormal="100" zoomScaleSheetLayoutView="100" workbookViewId="0">
      <selection activeCell="B3" sqref="B3"/>
    </sheetView>
  </sheetViews>
  <sheetFormatPr defaultColWidth="8.5" defaultRowHeight="15"/>
  <cols>
    <col min="1" max="1" width="1.625" style="399" customWidth="1"/>
    <col min="2" max="2" width="10.375" style="399" customWidth="1"/>
    <col min="3" max="3" width="2.375" style="399" customWidth="1"/>
    <col min="4" max="4" width="10.875" style="399" hidden="1" customWidth="1"/>
    <col min="5" max="5" width="9.375" style="399" customWidth="1"/>
    <col min="6" max="6" width="3.5" style="399" customWidth="1"/>
    <col min="7" max="7" width="11.75" style="399" bestFit="1" customWidth="1"/>
    <col min="8" max="8" width="3.625" style="399" customWidth="1"/>
    <col min="9" max="9" width="12.875" style="399" bestFit="1" customWidth="1"/>
    <col min="10" max="10" width="4.5" style="399" customWidth="1"/>
    <col min="11" max="11" width="12.375" style="399" customWidth="1"/>
    <col min="12" max="12" width="2.375" style="399" customWidth="1"/>
    <col min="13" max="13" width="3" style="399" customWidth="1"/>
    <col min="14" max="14" width="9.5" style="399" customWidth="1"/>
    <col min="15" max="15" width="8.5" style="399"/>
    <col min="16" max="16" width="15.25" style="399" customWidth="1"/>
    <col min="17" max="17" width="5.75" style="399" customWidth="1"/>
    <col min="18" max="18" width="8.5" style="399"/>
    <col min="19" max="19" width="7.75" style="399" customWidth="1"/>
    <col min="20" max="20" width="2.25" style="399" customWidth="1"/>
    <col min="21" max="16384" width="8.5" style="399"/>
  </cols>
  <sheetData>
    <row r="1" spans="1:19">
      <c r="A1" s="443"/>
      <c r="B1" s="443"/>
    </row>
    <row r="2" spans="1:19">
      <c r="A2" s="443"/>
      <c r="B2" s="443"/>
      <c r="C2" s="445"/>
      <c r="D2" s="445"/>
      <c r="E2" s="445"/>
      <c r="F2" s="445"/>
      <c r="G2" s="445"/>
      <c r="H2" s="445"/>
      <c r="I2" s="445"/>
    </row>
    <row r="3" spans="1:19" ht="18.75">
      <c r="A3" s="443"/>
      <c r="B3" s="400"/>
      <c r="C3" s="446"/>
      <c r="D3" s="446"/>
      <c r="E3" s="446"/>
      <c r="F3" s="446"/>
      <c r="G3" s="446"/>
      <c r="H3" s="446"/>
      <c r="I3" s="446"/>
      <c r="J3" s="402" t="s">
        <v>0</v>
      </c>
      <c r="K3" s="495"/>
    </row>
    <row r="4" spans="1:19" ht="20.25">
      <c r="B4" s="448" t="s">
        <v>300</v>
      </c>
      <c r="C4" s="448"/>
      <c r="D4" s="448"/>
      <c r="E4" s="448"/>
      <c r="F4" s="448"/>
      <c r="G4" s="448"/>
      <c r="H4" s="448"/>
      <c r="I4" s="448"/>
      <c r="J4" s="448"/>
      <c r="K4" s="448"/>
      <c r="L4" s="452"/>
      <c r="M4" s="452"/>
    </row>
    <row r="5" spans="1:19" ht="20.25">
      <c r="B5" s="448" t="s">
        <v>301</v>
      </c>
      <c r="C5" s="448"/>
      <c r="D5" s="448"/>
      <c r="E5" s="448"/>
      <c r="F5" s="448"/>
      <c r="G5" s="448"/>
      <c r="H5" s="448"/>
      <c r="I5" s="448"/>
      <c r="J5" s="448"/>
      <c r="K5" s="448"/>
      <c r="L5" s="452"/>
      <c r="M5" s="452"/>
    </row>
    <row r="6" spans="1:19" ht="20.25">
      <c r="B6" s="448" t="s">
        <v>347</v>
      </c>
      <c r="C6" s="448"/>
      <c r="D6" s="448"/>
      <c r="E6" s="448"/>
      <c r="F6" s="448"/>
      <c r="G6" s="448"/>
      <c r="H6" s="448"/>
      <c r="I6" s="448"/>
      <c r="J6" s="448"/>
      <c r="K6" s="448"/>
      <c r="L6" s="452"/>
      <c r="M6" s="452"/>
    </row>
    <row r="7" spans="1:19" ht="20.25">
      <c r="B7" s="448" t="s">
        <v>0</v>
      </c>
      <c r="C7" s="448"/>
      <c r="D7" s="448"/>
      <c r="E7" s="448"/>
      <c r="F7" s="448"/>
      <c r="G7" s="448"/>
      <c r="H7" s="448"/>
      <c r="I7" s="448"/>
      <c r="J7" s="448"/>
      <c r="K7" s="448"/>
      <c r="L7" s="452"/>
      <c r="M7" s="452"/>
    </row>
    <row r="8" spans="1:19" ht="18.75">
      <c r="A8" s="450"/>
      <c r="B8" s="451"/>
      <c r="C8" s="451"/>
      <c r="D8" s="451"/>
      <c r="E8" s="451"/>
      <c r="F8" s="451"/>
      <c r="G8" s="451"/>
      <c r="H8" s="451"/>
      <c r="I8" s="451"/>
      <c r="J8" s="451"/>
      <c r="K8" s="452"/>
      <c r="L8" s="451"/>
      <c r="M8" s="451"/>
    </row>
    <row r="9" spans="1:19">
      <c r="A9" s="445"/>
      <c r="B9" s="443"/>
    </row>
    <row r="10" spans="1:19" ht="15.75">
      <c r="A10" s="445"/>
      <c r="B10" s="453" t="s">
        <v>325</v>
      </c>
      <c r="C10" s="454"/>
      <c r="D10" s="454"/>
      <c r="E10" s="454"/>
      <c r="F10" s="454"/>
      <c r="G10" s="455" t="s">
        <v>326</v>
      </c>
      <c r="H10" s="455"/>
      <c r="I10" s="455"/>
      <c r="J10" s="454"/>
      <c r="K10" s="457"/>
      <c r="L10" s="445"/>
      <c r="M10" s="445"/>
    </row>
    <row r="11" spans="1:19" ht="16.5" thickBot="1">
      <c r="A11" s="445"/>
      <c r="B11" s="458" t="s">
        <v>328</v>
      </c>
      <c r="C11" s="456"/>
      <c r="D11" s="453" t="s">
        <v>329</v>
      </c>
      <c r="E11" s="454"/>
      <c r="F11" s="454"/>
      <c r="G11" s="496" t="s">
        <v>304</v>
      </c>
      <c r="H11" s="457"/>
      <c r="I11" s="496" t="s">
        <v>10</v>
      </c>
      <c r="J11" s="454"/>
      <c r="K11" s="456" t="s">
        <v>309</v>
      </c>
      <c r="L11" s="445"/>
      <c r="M11" s="445"/>
      <c r="O11" s="497"/>
    </row>
    <row r="12" spans="1:19" ht="15.75">
      <c r="A12" s="445"/>
      <c r="B12" s="461" t="s">
        <v>332</v>
      </c>
      <c r="C12" s="462"/>
      <c r="D12" s="463" t="s">
        <v>333</v>
      </c>
      <c r="E12" s="461" t="s">
        <v>41</v>
      </c>
      <c r="F12" s="454"/>
      <c r="G12" s="461" t="s">
        <v>348</v>
      </c>
      <c r="H12" s="498"/>
      <c r="I12" s="461" t="s">
        <v>349</v>
      </c>
      <c r="J12" s="454"/>
      <c r="K12" s="459" t="s">
        <v>118</v>
      </c>
      <c r="L12" s="445"/>
      <c r="M12" s="445"/>
      <c r="N12" s="499" t="s">
        <v>305</v>
      </c>
      <c r="P12" s="500"/>
      <c r="Q12" s="501"/>
      <c r="R12" s="500" t="s">
        <v>306</v>
      </c>
      <c r="S12" s="501"/>
    </row>
    <row r="13" spans="1:19" ht="15.75">
      <c r="A13" s="445"/>
      <c r="B13" s="454"/>
      <c r="C13" s="454"/>
      <c r="D13" s="454"/>
      <c r="E13" s="454"/>
      <c r="F13" s="454"/>
      <c r="G13" s="462"/>
      <c r="H13" s="462"/>
      <c r="I13" s="462"/>
      <c r="J13" s="457"/>
      <c r="K13" s="457"/>
      <c r="N13" s="469" t="s">
        <v>336</v>
      </c>
      <c r="O13" s="409" t="s">
        <v>18</v>
      </c>
      <c r="P13" s="409" t="s">
        <v>350</v>
      </c>
      <c r="Q13" s="470"/>
      <c r="R13" s="409" t="s">
        <v>18</v>
      </c>
      <c r="S13" s="502" t="s">
        <v>350</v>
      </c>
    </row>
    <row r="14" spans="1:19" ht="15.75">
      <c r="A14" s="445"/>
      <c r="B14" s="454">
        <v>100</v>
      </c>
      <c r="C14" s="454"/>
      <c r="D14" s="454">
        <v>300</v>
      </c>
      <c r="E14" s="471">
        <v>25000</v>
      </c>
      <c r="F14" s="454"/>
      <c r="G14" s="473">
        <f>ROUND(IF($E14&lt;40001,$E14*$O$19/100,40000*$O$19/100+($E14-40000)*$O$20/100)+MAX(100, $B$14)*$O$18+IF($B$14&lt;100,$O$14,IF($B$14&lt;301,$O$15+$B$14*$P$15,$O$16+$B$14*$P$16)),2)+R26</f>
        <v>1863.75</v>
      </c>
      <c r="H14" s="473"/>
      <c r="I14" s="473">
        <f>ROUND(IF($E14&lt;40001,$E14*$R$19/100,40000*$R$19/100+($E14-40000)*$R$20/100)+MAX(100, $B$14)*$R$18+IF($B$14&lt;100,$R$14,IF($B$14&lt;301,$R$15+$B$14*$S$15,$R$16+$B$14*$S$16)),2)+R27</f>
        <v>2064.71</v>
      </c>
      <c r="J14" s="454"/>
      <c r="K14" s="474">
        <f>ROUND(I14/G14-1,4)</f>
        <v>0.10780000000000001</v>
      </c>
      <c r="L14" s="445"/>
      <c r="M14" s="445"/>
      <c r="N14" s="469" t="s">
        <v>351</v>
      </c>
      <c r="O14" s="503">
        <f>'Billing Determinants'!G480</f>
        <v>227</v>
      </c>
      <c r="P14" s="476"/>
      <c r="Q14" s="470"/>
      <c r="R14" s="503">
        <f>'Billing Determinants'!J514</f>
        <v>254</v>
      </c>
      <c r="S14" s="481"/>
    </row>
    <row r="15" spans="1:19" ht="15.75">
      <c r="A15" s="445"/>
      <c r="B15" s="454"/>
      <c r="C15" s="454"/>
      <c r="D15" s="454">
        <v>500</v>
      </c>
      <c r="E15" s="471">
        <v>37500</v>
      </c>
      <c r="F15" s="454"/>
      <c r="G15" s="473">
        <f>ROUND(IF($E15&lt;40001,$E15*$O$19/100,40000*$O$19/100+($E15-40000)*$O$20/100)+MAX(100, $B$14)*$O$18+IF($B$14&lt;100,$O$14,IF($B$14&lt;301,$O$15+$B$14*$P$15,$O$16+$B$14*$P$16)),2)+R26</f>
        <v>2474.25</v>
      </c>
      <c r="H15" s="473"/>
      <c r="I15" s="473">
        <f>ROUND(IF($E15&lt;40001,$E15*$R$19/100,40000*$R$19/100+($E15-40000)*$R$20/100)+MAX(100, $B$14)*$R$18+IF($B$14&lt;100,$R$14,IF($B$14&lt;301,$R$15+$B$14*$S$15,$R$16+$B$14*$S$16)),2)+R27</f>
        <v>2733.59</v>
      </c>
      <c r="J15" s="454"/>
      <c r="K15" s="474">
        <f>ROUND(I15/G15-1,4)</f>
        <v>0.1048</v>
      </c>
      <c r="L15" s="445"/>
      <c r="M15" s="445"/>
      <c r="N15" s="469" t="s">
        <v>352</v>
      </c>
      <c r="O15" s="503">
        <f>'Billing Determinants'!G481</f>
        <v>84</v>
      </c>
      <c r="P15" s="475">
        <f>'Billing Determinants'!G484</f>
        <v>1.48</v>
      </c>
      <c r="Q15" s="502"/>
      <c r="R15" s="503">
        <f>'Billing Determinants'!J515</f>
        <v>95</v>
      </c>
      <c r="S15" s="417">
        <f>'Billing Determinants'!J518</f>
        <v>1.67</v>
      </c>
    </row>
    <row r="16" spans="1:19" ht="15.75">
      <c r="A16" s="445"/>
      <c r="B16" s="454"/>
      <c r="C16" s="454"/>
      <c r="D16" s="454">
        <v>700</v>
      </c>
      <c r="E16" s="471">
        <v>50000</v>
      </c>
      <c r="F16" s="454"/>
      <c r="G16" s="473">
        <f>ROUND(IF($E16&lt;40001,$E16*$O$19/100,40000*$O$19/100+($E16-40000)*$O$20/100)+MAX(100, $B$14)*$O$18+IF($B$14&lt;100,$O$14,IF($B$14&lt;301,$O$15+$B$14*$P$15,$O$16+$B$14*$P$16)),2)+R26</f>
        <v>3046.05</v>
      </c>
      <c r="H16" s="473"/>
      <c r="I16" s="473">
        <f>ROUND(IF($E16&lt;40001,$E16*$R$19/100,40000*$R$19/100+($E16-40000)*$R$20/100)+MAX(100, $B$14)*$R$18+IF($B$14&lt;100,$R$14,IF($B$14&lt;301,$R$15+$B$14*$S$15,$R$16+$B$14*$S$16)),2)+R27</f>
        <v>3358.76</v>
      </c>
      <c r="J16" s="454"/>
      <c r="K16" s="474">
        <f>ROUND(I16/G16-1,4)</f>
        <v>0.1027</v>
      </c>
      <c r="N16" s="469" t="s">
        <v>353</v>
      </c>
      <c r="O16" s="503">
        <f>'Billing Determinants'!G482</f>
        <v>168</v>
      </c>
      <c r="P16" s="475">
        <f>'Billing Determinants'!G485</f>
        <v>1.22</v>
      </c>
      <c r="Q16" s="470"/>
      <c r="R16" s="503">
        <f>'Billing Determinants'!J516</f>
        <v>189</v>
      </c>
      <c r="S16" s="417">
        <f>'Billing Determinants'!J519</f>
        <v>1.37</v>
      </c>
    </row>
    <row r="17" spans="1:19" ht="15.75">
      <c r="A17" s="445"/>
      <c r="B17" s="454"/>
      <c r="C17" s="454"/>
      <c r="D17" s="454"/>
      <c r="E17" s="454"/>
      <c r="F17" s="454"/>
      <c r="G17" s="473"/>
      <c r="H17" s="473"/>
      <c r="I17" s="473"/>
      <c r="J17" s="457"/>
      <c r="K17" s="474"/>
      <c r="L17" s="445"/>
      <c r="M17" s="445"/>
      <c r="N17" s="469"/>
      <c r="O17" s="476"/>
      <c r="P17" s="476"/>
      <c r="Q17" s="470"/>
      <c r="R17" s="476"/>
      <c r="S17" s="481"/>
    </row>
    <row r="18" spans="1:19" ht="15.75">
      <c r="A18" s="445"/>
      <c r="B18" s="454">
        <v>200</v>
      </c>
      <c r="C18" s="454"/>
      <c r="D18" s="454">
        <v>300</v>
      </c>
      <c r="E18" s="471">
        <f>ROUND((B$18*D18),0)</f>
        <v>60000</v>
      </c>
      <c r="F18" s="454"/>
      <c r="G18" s="473">
        <f>ROUND(IF($E18&lt;40001,$E18*$O$19/100,40000*$O$19/100+($E18-40000)*$O$20/100)+MAX(100, $B$18)*$O$18+IF($B$18&lt;100,$O$14,IF($B$18&lt;301,$O$15+$B$18*$P$15,$O$16+$B$18*$P$16)),2)+R26</f>
        <v>4031.75</v>
      </c>
      <c r="H18" s="473"/>
      <c r="I18" s="473">
        <f>ROUND(IF($E18&lt;40001,$E18*$R$19/100,40000*$R$19/100+($E18-40000)*$R$20/100)+MAX(100, $B$18)*$R$18+IF($B$18&lt;100,$R$14,IF($B$18&lt;301,$R$15+$B$18*$S$15,$R$16+$B$18*$S$16)),2)+R27</f>
        <v>4454.16</v>
      </c>
      <c r="J18" s="454"/>
      <c r="K18" s="474">
        <f>ROUND(I18/G18-1,4)</f>
        <v>0.1048</v>
      </c>
      <c r="L18" s="445"/>
      <c r="M18" s="445"/>
      <c r="N18" s="469" t="s">
        <v>332</v>
      </c>
      <c r="O18" s="475">
        <f>'Billing Determinants'!G487</f>
        <v>3.88</v>
      </c>
      <c r="P18" s="476"/>
      <c r="Q18" s="470"/>
      <c r="R18" s="475">
        <f>'Billing Determinants'!J521</f>
        <v>4.37</v>
      </c>
      <c r="S18" s="481"/>
    </row>
    <row r="19" spans="1:19" ht="15.75">
      <c r="A19" s="445"/>
      <c r="B19" s="454"/>
      <c r="C19" s="454"/>
      <c r="D19" s="454">
        <v>500</v>
      </c>
      <c r="E19" s="471">
        <f>ROUND((B$18*D19),0)</f>
        <v>100000</v>
      </c>
      <c r="F19" s="454"/>
      <c r="G19" s="473">
        <f>ROUND(IF($E19&lt;40001,$E19*$O$19/100,40000*$O$19/100+($E19-40000)*$O$20/100)+MAX(100, $B$18)*$O$18+IF($B$18&lt;100,$O$14,IF($B$18&lt;301,$O$15+$B$18*$P$15,$O$16+$B$18*$P$16)),2)+R26</f>
        <v>5830.55</v>
      </c>
      <c r="H19" s="473"/>
      <c r="I19" s="473">
        <f>ROUND(IF($E19&lt;40001,$E19*$R$19/100,40000*$R$19/100+($E19-40000)*$R$20/100)+MAX(100, $B$18)*$R$18+IF($B$18&lt;100,$R$14,IF($B$18&lt;301,$R$15+$B$18*$S$15,$R$16+$B$18*$S$16)),2)+R27</f>
        <v>6419.76</v>
      </c>
      <c r="J19" s="454"/>
      <c r="K19" s="474">
        <f>ROUND(I19/G19-1,4)</f>
        <v>0.1011</v>
      </c>
      <c r="L19" s="445"/>
      <c r="M19" s="445"/>
      <c r="N19" s="469" t="s">
        <v>354</v>
      </c>
      <c r="O19" s="504">
        <f>'Billing Determinants'!G490+R22+R29</f>
        <v>4.8840000000000003</v>
      </c>
      <c r="P19" s="504"/>
      <c r="Q19" s="505"/>
      <c r="R19" s="504">
        <f>'Billing Determinants'!J524+R23+R29+R30</f>
        <v>5.3510000000000009</v>
      </c>
      <c r="S19" s="481"/>
    </row>
    <row r="20" spans="1:19" ht="15.75">
      <c r="A20" s="445"/>
      <c r="B20" s="454"/>
      <c r="C20" s="454"/>
      <c r="D20" s="454">
        <v>700</v>
      </c>
      <c r="E20" s="471">
        <f>ROUND((B$18*D20),0)</f>
        <v>140000</v>
      </c>
      <c r="F20" s="454"/>
      <c r="G20" s="473">
        <f>ROUND(IF($E20&lt;40001,$E20*$O$19/100,40000*$O$19/100+($E20-40000)*$O$20/100)+MAX(100, $B$18)*$O$18+IF($B$18&lt;100,$O$14,IF($B$18&lt;301,$O$15+$B$18*$P$15,$O$16+$B$18*$P$16)),2)+R26</f>
        <v>7629.35</v>
      </c>
      <c r="H20" s="473"/>
      <c r="I20" s="473">
        <f>ROUND(IF($E20&lt;40001,$E20*$R$19/100,40000*$R$19/100+($E20-40000)*$R$20/100)+MAX(100, $B$18)*$R$18+IF($B$18&lt;100,$R$14,IF($B$18&lt;301,$R$15+$B$18*$S$15,$R$16+$B$18*$S$16)),2)+R27</f>
        <v>8385.3599999999988</v>
      </c>
      <c r="J20" s="454"/>
      <c r="K20" s="474">
        <f>ROUND(I20/G20-1,4)</f>
        <v>9.9099999999999994E-2</v>
      </c>
      <c r="N20" s="469" t="s">
        <v>355</v>
      </c>
      <c r="O20" s="504">
        <f>'Billing Determinants'!G491+R22+R29</f>
        <v>4.4969999999999999</v>
      </c>
      <c r="P20" s="504"/>
      <c r="Q20" s="505"/>
      <c r="R20" s="504">
        <f>'Billing Determinants'!J525+R23+R29+R30</f>
        <v>4.9139999999999997</v>
      </c>
      <c r="S20" s="481"/>
    </row>
    <row r="21" spans="1:19" ht="16.5" thickBot="1">
      <c r="A21" s="445"/>
      <c r="B21" s="454"/>
      <c r="C21" s="454"/>
      <c r="D21" s="454"/>
      <c r="E21" s="454"/>
      <c r="F21" s="454"/>
      <c r="G21" s="473"/>
      <c r="H21" s="473"/>
      <c r="I21" s="473"/>
      <c r="J21" s="457"/>
      <c r="K21" s="474"/>
      <c r="L21" s="445"/>
      <c r="M21" s="445"/>
      <c r="N21" s="506" t="s">
        <v>0</v>
      </c>
      <c r="O21" s="507" t="s">
        <v>0</v>
      </c>
      <c r="P21" s="486" t="s">
        <v>0</v>
      </c>
      <c r="Q21" s="487"/>
      <c r="R21" s="507" t="s">
        <v>0</v>
      </c>
      <c r="S21" s="508"/>
    </row>
    <row r="22" spans="1:19" ht="15.75">
      <c r="A22" s="445"/>
      <c r="B22" s="454">
        <v>300</v>
      </c>
      <c r="C22" s="454"/>
      <c r="D22" s="454">
        <v>300</v>
      </c>
      <c r="E22" s="471">
        <f>ROUND((B$22*D22),0)</f>
        <v>90000</v>
      </c>
      <c r="F22" s="454"/>
      <c r="G22" s="473">
        <f>ROUND(IF($E22&lt;40001,$E22*$O$19/100,40000*$O$19/100+($E22-40000)*$O$20/100)+MAX(100, $B$22)*$O$18+IF($B$22&lt;100,$O$14,IF($B$22&lt;301,$O$15+$B$22*$P$15,$O$16+$B$22*$P$16)),2)+R26</f>
        <v>5916.85</v>
      </c>
      <c r="H22" s="473"/>
      <c r="I22" s="473">
        <f>ROUND(IF($E22&lt;40001,$E22*$R$19/100,40000*$R$19/100+($E22-40000)*$R$20/100)+MAX(100, $B$22)*$R$18+IF($B$22&lt;100,$R$14,IF($B$22&lt;301,$R$15+$B$22*$S$15,$R$16+$B$22*$S$16)),2)+R27</f>
        <v>6532.36</v>
      </c>
      <c r="J22" s="454"/>
      <c r="K22" s="474">
        <f>ROUND(I22/G22-1,4)</f>
        <v>0.104</v>
      </c>
      <c r="L22" s="445"/>
      <c r="M22" s="445"/>
      <c r="P22" s="428" t="s">
        <v>313</v>
      </c>
      <c r="Q22" s="428"/>
      <c r="R22" s="429">
        <v>0.20399999999999999</v>
      </c>
    </row>
    <row r="23" spans="1:19" ht="15.75">
      <c r="A23" s="445"/>
      <c r="B23" s="454"/>
      <c r="C23" s="454"/>
      <c r="D23" s="454">
        <v>500</v>
      </c>
      <c r="E23" s="471">
        <f>ROUND((B$22*D23),0)</f>
        <v>150000</v>
      </c>
      <c r="F23" s="454"/>
      <c r="G23" s="473">
        <f>ROUND(IF($E23&lt;40001,$E23*$O$19/100,40000*$O$19/100+($E23-40000)*$O$20/100)+MAX(100, $B$22)*$O$18+IF($B$22&lt;100,$O$14,IF($B$22&lt;301,$O$15+$B$22*$P$15,$O$16+$B$22*$P$16)),2)+R26</f>
        <v>8615.0499999999993</v>
      </c>
      <c r="H23" s="473"/>
      <c r="I23" s="473">
        <f>ROUND(IF($E23&lt;40001,$E23*$R$19/100,40000*$R$19/100+($E23-40000)*$R$20/100)+MAX(100, $B$22)*$R$18+IF($B$22&lt;100,$R$14,IF($B$22&lt;301,$R$15+$B$22*$S$15,$R$16+$B$22*$S$16)),2)+R27</f>
        <v>9480.7599999999984</v>
      </c>
      <c r="J23" s="454"/>
      <c r="K23" s="474">
        <f>ROUND(I23/G23-1,4)</f>
        <v>0.10050000000000001</v>
      </c>
      <c r="L23" s="445"/>
      <c r="M23" s="445"/>
      <c r="P23" s="428"/>
      <c r="Q23" s="428"/>
      <c r="R23" s="429">
        <v>0.20399999999999999</v>
      </c>
    </row>
    <row r="24" spans="1:19" ht="15.75">
      <c r="A24" s="445"/>
      <c r="B24" s="454"/>
      <c r="C24" s="454"/>
      <c r="D24" s="454">
        <v>700</v>
      </c>
      <c r="E24" s="471">
        <f>ROUND((B$22*D24),0)</f>
        <v>210000</v>
      </c>
      <c r="F24" s="454"/>
      <c r="G24" s="473">
        <f>ROUND(IF($E24&lt;40001,$E24*$O$19/100,40000*$O$19/100+($E24-40000)*$O$20/100)+MAX(100, $B$22)*$O$18+IF($B$22&lt;100,$O$14,IF($B$22&lt;301,$O$15+$B$22*$P$15,$O$16+$B$22*$P$16)),2)+R26</f>
        <v>11313.25</v>
      </c>
      <c r="H24" s="473"/>
      <c r="I24" s="473">
        <f>ROUND(IF($E24&lt;40001,$E24*$R$19/100,40000*$R$19/100+($E24-40000)*$R$20/100)+MAX(100, $B$22)*$R$18+IF($B$22&lt;100,$R$14,IF($B$22&lt;301,$R$15+$B$22*$S$15,$R$16+$B$22*$S$16)),2)+R27</f>
        <v>12429.16</v>
      </c>
      <c r="J24" s="454"/>
      <c r="K24" s="474">
        <f>ROUND(I24/G24-1,4)</f>
        <v>9.8599999999999993E-2</v>
      </c>
      <c r="P24" s="428"/>
      <c r="Q24" s="428"/>
      <c r="R24" s="432"/>
    </row>
    <row r="25" spans="1:19" ht="15.75">
      <c r="A25" s="445"/>
      <c r="B25" s="454"/>
      <c r="C25" s="454"/>
      <c r="D25" s="454"/>
      <c r="E25" s="454"/>
      <c r="F25" s="454"/>
      <c r="G25" s="473"/>
      <c r="H25" s="473"/>
      <c r="I25" s="473"/>
      <c r="J25" s="457"/>
      <c r="K25" s="474"/>
      <c r="L25" s="445"/>
      <c r="M25" s="445"/>
      <c r="P25" s="399" t="s">
        <v>0</v>
      </c>
      <c r="Q25" s="399" t="s">
        <v>0</v>
      </c>
      <c r="R25" s="399" t="s">
        <v>0</v>
      </c>
    </row>
    <row r="26" spans="1:19" ht="15.75">
      <c r="A26" s="445"/>
      <c r="B26" s="454">
        <v>400</v>
      </c>
      <c r="C26" s="454"/>
      <c r="D26" s="454">
        <v>300</v>
      </c>
      <c r="E26" s="471">
        <f>ROUND((B$26*D26),0)</f>
        <v>120000</v>
      </c>
      <c r="F26" s="454"/>
      <c r="G26" s="473">
        <f>ROUND(IF($E26&lt;40001,$E26*$O$19/100,40000*$O$19/100+($E26-40000)*$O$20/100)+MAX(100, $B$26)*$O$18+IF($B$26&lt;100,$O$14,IF($B$26&lt;301,$O$15+$B$26*$P$15,$O$16+$B$26*$P$16)),2)+R26</f>
        <v>7781.95</v>
      </c>
      <c r="H26" s="473"/>
      <c r="I26" s="473">
        <f>ROUND(IF($E26&lt;40001,$E26*$R$19/100,40000*$R$19/100+($E26-40000)*$R$20/100)+MAX(100, $B$26)*$R$18+IF($B$26&lt;100,$R$14,IF($B$26&lt;301,$R$15+$B$26*$S$15,$R$16+$B$26*$S$16)),2)+R27</f>
        <v>8584.56</v>
      </c>
      <c r="J26" s="454"/>
      <c r="K26" s="474">
        <f>ROUND(I26/G26-1,4)</f>
        <v>0.1031</v>
      </c>
      <c r="L26" s="445"/>
      <c r="M26" s="445"/>
      <c r="P26" s="399" t="s">
        <v>356</v>
      </c>
      <c r="R26" s="444">
        <v>22.75</v>
      </c>
      <c r="S26" s="399" t="s">
        <v>0</v>
      </c>
    </row>
    <row r="27" spans="1:19" ht="15.75">
      <c r="A27" s="445"/>
      <c r="B27" s="454"/>
      <c r="C27" s="454"/>
      <c r="D27" s="454">
        <v>500</v>
      </c>
      <c r="E27" s="471">
        <f>ROUND((B$26*D27),0)</f>
        <v>200000</v>
      </c>
      <c r="F27" s="454"/>
      <c r="G27" s="473">
        <f>ROUND(IF($E27&lt;40001,$E27*$O$19/100,40000*$O$19/100+($E27-40000)*$O$20/100)+MAX(100, $B$26)*$O$18+IF($B$26&lt;100,$O$14,IF($B$26&lt;301,$O$15+$B$26*$P$15,$O$16+$B$26*$P$16)),2)+R26</f>
        <v>11379.55</v>
      </c>
      <c r="H27" s="473"/>
      <c r="I27" s="473">
        <f>ROUND(IF($E27&lt;40001,$E27*$R$19/100,40000*$R$19/100+($E27-40000)*$R$20/100)+MAX(100, $B$26)*$R$18+IF($B$26&lt;100,$R$14,IF($B$26&lt;301,$R$15+$B$26*$S$15,$R$16+$B$26*$S$16)),2)+R27</f>
        <v>12515.759999999998</v>
      </c>
      <c r="J27" s="454"/>
      <c r="K27" s="474">
        <f>ROUND(I27/G27-1,4)</f>
        <v>9.98E-2</v>
      </c>
      <c r="L27" s="445"/>
      <c r="M27" s="445"/>
      <c r="P27" s="399" t="s">
        <v>344</v>
      </c>
      <c r="R27" s="477">
        <f>'Schedule 191 p1'!E18</f>
        <v>27.96</v>
      </c>
    </row>
    <row r="28" spans="1:19" ht="15.75">
      <c r="A28" s="445"/>
      <c r="B28" s="454"/>
      <c r="C28" s="454"/>
      <c r="D28" s="454">
        <v>700</v>
      </c>
      <c r="E28" s="471">
        <f>ROUND((B$26*D28),0)</f>
        <v>280000</v>
      </c>
      <c r="F28" s="454"/>
      <c r="G28" s="473">
        <f>ROUND(IF($E28&lt;40001,$E28*$O$19/100,40000*$O$19/100+($E28-40000)*$O$20/100)+MAX(100, $B$26)*$O$18+IF($B$26&lt;100,$O$14,IF($B$26&lt;301,$O$15+$B$26*$P$15,$O$16+$B$26*$P$16)),2)+R26</f>
        <v>14977.15</v>
      </c>
      <c r="H28" s="473"/>
      <c r="I28" s="473">
        <f>ROUND(IF($E28&lt;40001,$E28*$R$19/100,40000*$R$19/100+($E28-40000)*$R$20/100)+MAX(100, $B$26)*$R$18+IF($B$26&lt;100,$R$14,IF($B$26&lt;301,$R$15+$B$26*$S$15,$R$16+$B$26*$S$16)),2)+R27</f>
        <v>16446.96</v>
      </c>
      <c r="J28" s="454"/>
      <c r="K28" s="474">
        <f>ROUND(I28/G28-1,4)</f>
        <v>9.8100000000000007E-2</v>
      </c>
    </row>
    <row r="29" spans="1:19" ht="15.75">
      <c r="A29" s="445"/>
      <c r="B29" s="454"/>
      <c r="C29" s="454"/>
      <c r="D29" s="454"/>
      <c r="E29" s="454"/>
      <c r="F29" s="454"/>
      <c r="G29" s="473"/>
      <c r="H29" s="473"/>
      <c r="I29" s="473"/>
      <c r="J29" s="457"/>
      <c r="K29" s="474"/>
      <c r="L29" s="445"/>
      <c r="M29" s="445"/>
      <c r="P29" s="399" t="s">
        <v>317</v>
      </c>
      <c r="R29" s="399">
        <v>4.5999999999999999E-2</v>
      </c>
    </row>
    <row r="30" spans="1:19" ht="15.75">
      <c r="A30" s="445"/>
      <c r="B30" s="454">
        <v>600</v>
      </c>
      <c r="C30" s="454"/>
      <c r="D30" s="454">
        <v>300</v>
      </c>
      <c r="E30" s="471">
        <f>ROUND((B$30*D30),0)</f>
        <v>180000</v>
      </c>
      <c r="F30" s="454"/>
      <c r="G30" s="473">
        <f>ROUND(IF($E30&lt;40001,$E30*$O$19/100,40000*$O$19/100+($E30-40000)*$O$20/100)+MAX(100, $B$30)*$O$18+IF($B$30&lt;100,$O$14,IF($B$30&lt;301,$O$15+$B$30*$P$15,$O$16+$B$30*$P$16)),2)+R26</f>
        <v>11500.15</v>
      </c>
      <c r="H30" s="473"/>
      <c r="I30" s="473">
        <f>ROUND(IF($E30&lt;40001,$E30*$R$19/100,40000*$R$19/100+($E30-40000)*$R$20/100)+MAX(100, $B$30)*$R$18+IF($B$30&lt;100,$R$14,IF($B$30&lt;301,$R$15+$B$30*$S$15,$R$16+$B$30*$S$16)),2)+R27</f>
        <v>12680.96</v>
      </c>
      <c r="J30" s="454"/>
      <c r="K30" s="474">
        <f>ROUND(I30/G30-1,4)</f>
        <v>0.1027</v>
      </c>
      <c r="L30" s="445"/>
      <c r="M30" s="445"/>
      <c r="P30" s="399" t="s">
        <v>345</v>
      </c>
      <c r="R30" s="399">
        <f>'Rate Spread w bill deter'!AF24</f>
        <v>-0.11600000000000001</v>
      </c>
    </row>
    <row r="31" spans="1:19" ht="15.75">
      <c r="A31" s="445"/>
      <c r="B31" s="454"/>
      <c r="C31" s="454"/>
      <c r="D31" s="454">
        <v>500</v>
      </c>
      <c r="E31" s="471">
        <f>ROUND((B$30*D31),0)</f>
        <v>300000</v>
      </c>
      <c r="F31" s="454"/>
      <c r="G31" s="473">
        <f>ROUND(IF($E31&lt;40001,$E31*$O$19/100,40000*$O$19/100+($E31-40000)*$O$20/100)+MAX(100, $B$30)*$O$18+IF($B$30&lt;100,$O$14,IF($B$30&lt;301,$O$15+$B$30*$P$15,$O$16+$B$30*$P$16)),2)+R26</f>
        <v>16896.55</v>
      </c>
      <c r="H31" s="473"/>
      <c r="I31" s="473">
        <f>ROUND(IF($E31&lt;40001,$E31*$R$19/100,40000*$R$19/100+($E31-40000)*$R$20/100)+MAX(100, $B$30)*$R$18+IF($B$30&lt;100,$R$14,IF($B$30&lt;301,$R$15+$B$30*$S$15,$R$16+$B$30*$S$16)),2)+R27</f>
        <v>18577.759999999998</v>
      </c>
      <c r="J31" s="454"/>
      <c r="K31" s="474">
        <f>ROUND(I31/G31-1,4)</f>
        <v>9.9500000000000005E-2</v>
      </c>
      <c r="L31" s="445"/>
      <c r="M31" s="445"/>
    </row>
    <row r="32" spans="1:19" ht="15.75">
      <c r="A32" s="445"/>
      <c r="B32" s="454"/>
      <c r="C32" s="454"/>
      <c r="D32" s="454">
        <v>700</v>
      </c>
      <c r="E32" s="471">
        <f>ROUND((B$30*D32),0)</f>
        <v>420000</v>
      </c>
      <c r="F32" s="454"/>
      <c r="G32" s="473">
        <f>ROUND(IF($E32&lt;40001,$E32*$O$19/100,40000*$O$19/100+($E32-40000)*$O$20/100)+MAX(100, $B$30)*$O$18+IF($B$30&lt;100,$O$14,IF($B$30&lt;301,$O$15+$B$30*$P$15,$O$16+$B$30*$P$16)),2)+R26</f>
        <v>22292.95</v>
      </c>
      <c r="H32" s="473"/>
      <c r="I32" s="473">
        <f>ROUND(IF($E32&lt;40001,$E32*$R$19/100,40000*$R$19/100+($E32-40000)*$R$20/100)+MAX(100, $B$30)*$R$18+IF($B$30&lt;100,$R$14,IF($B$30&lt;301,$R$15+$B$30*$S$15,$R$16+$B$30*$S$16)),2)+R27</f>
        <v>24474.559999999998</v>
      </c>
      <c r="J32" s="454"/>
      <c r="K32" s="474">
        <f>ROUND(I32/G32-1,4)</f>
        <v>9.7900000000000001E-2</v>
      </c>
      <c r="N32" s="433" t="s">
        <v>319</v>
      </c>
      <c r="O32" s="494">
        <f>'Rate Spread w bill deter'!AL24</f>
        <v>0.10473860636733168</v>
      </c>
    </row>
    <row r="33" spans="1:18" ht="15.75">
      <c r="A33" s="445"/>
      <c r="B33" s="454"/>
      <c r="C33" s="454"/>
      <c r="D33" s="454"/>
      <c r="E33" s="454"/>
      <c r="F33" s="454"/>
      <c r="G33" s="473"/>
      <c r="H33" s="473"/>
      <c r="I33" s="473"/>
      <c r="J33" s="457"/>
      <c r="K33" s="474"/>
      <c r="L33" s="445"/>
      <c r="M33" s="445"/>
      <c r="R33" s="399" t="s">
        <v>0</v>
      </c>
    </row>
    <row r="34" spans="1:18" ht="15.75">
      <c r="A34" s="445"/>
      <c r="B34" s="454">
        <v>800</v>
      </c>
      <c r="C34" s="454"/>
      <c r="D34" s="454">
        <v>300</v>
      </c>
      <c r="E34" s="471">
        <f>ROUND((B$34*D34),0)</f>
        <v>240000</v>
      </c>
      <c r="F34" s="454"/>
      <c r="G34" s="473">
        <f>ROUND(IF($E34&lt;40001,$E34*$O$19/100,40000*$O$19/100+($E34-40000)*$O$20/100)+MAX(100, $B$34)*$O$18+IF($B$34&lt;100,$O$14,IF($B$34&lt;301,$O$15+$B$34*$P$15,$O$16+$B$34*$P$16)),2)+R26</f>
        <v>15218.35</v>
      </c>
      <c r="H34" s="473"/>
      <c r="I34" s="473">
        <f>ROUND(IF($E34&lt;40001,$E34*$R$19/100,40000*$R$19/100+($E34-40000)*$R$20/100)+MAX(100, $B$34)*$R$18+IF($B$34&lt;100,$R$14,IF($B$34&lt;301,$R$15+$B$34*$S$15,$R$16+$B$34*$S$16)),2)+R27</f>
        <v>16777.36</v>
      </c>
      <c r="J34" s="454"/>
      <c r="K34" s="474">
        <f>ROUND(I34/G34-1,4)</f>
        <v>0.1024</v>
      </c>
      <c r="L34" s="445"/>
      <c r="M34" s="445"/>
    </row>
    <row r="35" spans="1:18" ht="15.75">
      <c r="A35" s="445"/>
      <c r="B35" s="454"/>
      <c r="C35" s="454"/>
      <c r="D35" s="454">
        <v>500</v>
      </c>
      <c r="E35" s="471">
        <f>ROUND((B$34*D35),0)</f>
        <v>400000</v>
      </c>
      <c r="F35" s="454"/>
      <c r="G35" s="473">
        <f>ROUND(IF($E35&lt;40001,$E35*$O$19/100,40000*$O$19/100+($E35-40000)*$O$20/100)+MAX(100, $B$34)*$O$18+IF($B$34&lt;100,$O$14,IF($B$34&lt;301,$O$15+$B$34*$P$15,$O$16+$B$34*$P$16)),2)+R26</f>
        <v>22413.55</v>
      </c>
      <c r="H35" s="473"/>
      <c r="I35" s="473">
        <f>ROUND(IF($E35&lt;40001,$E35*$R$19/100,40000*$R$19/100+($E35-40000)*$R$20/100)+MAX(100, $B$34)*$R$18+IF($B$34&lt;100,$R$14,IF($B$34&lt;301,$R$15+$B$34*$S$15,$R$16+$B$34*$S$16)),2)+R27</f>
        <v>24639.759999999998</v>
      </c>
      <c r="J35" s="454"/>
      <c r="K35" s="474">
        <f>ROUND(I35/G35-1,4)</f>
        <v>9.9299999999999999E-2</v>
      </c>
      <c r="L35" s="445"/>
      <c r="M35" s="445"/>
    </row>
    <row r="36" spans="1:18" ht="15.75">
      <c r="A36" s="445"/>
      <c r="B36" s="454"/>
      <c r="C36" s="454"/>
      <c r="D36" s="454">
        <v>700</v>
      </c>
      <c r="E36" s="471">
        <f>ROUND((B$34*D36),0)</f>
        <v>560000</v>
      </c>
      <c r="F36" s="454"/>
      <c r="G36" s="473">
        <f>ROUND(IF($E36&lt;40001,$E36*$O$19/100,40000*$O$19/100+($E36-40000)*$O$20/100)+MAX(100, $B$34)*$O$18+IF($B$34&lt;100,$O$14,IF($B$34&lt;301,$O$15+$B$34*$P$15,$O$16+$B$34*$P$16)),2)+R26</f>
        <v>29608.75</v>
      </c>
      <c r="H36" s="473"/>
      <c r="I36" s="473">
        <f>ROUND(IF($E36&lt;40001,$E36*$R$19/100,40000*$R$19/100+($E36-40000)*$R$20/100)+MAX(100, $B$34)*$R$18+IF($B$34&lt;100,$R$14,IF($B$34&lt;301,$R$15+$B$34*$S$15,$R$16+$B$34*$S$16)),2)+R27</f>
        <v>32502.16</v>
      </c>
      <c r="J36" s="454"/>
      <c r="K36" s="474">
        <f>ROUND(I36/G36-1,4)</f>
        <v>9.7699999999999995E-2</v>
      </c>
    </row>
    <row r="37" spans="1:18" ht="15.75">
      <c r="A37" s="445"/>
      <c r="B37" s="454"/>
      <c r="C37" s="454"/>
      <c r="D37" s="454"/>
      <c r="E37" s="454"/>
      <c r="F37" s="454"/>
      <c r="G37" s="473"/>
      <c r="H37" s="473"/>
      <c r="I37" s="473"/>
      <c r="J37" s="457"/>
      <c r="K37" s="474"/>
      <c r="L37" s="445"/>
      <c r="M37" s="445"/>
    </row>
    <row r="38" spans="1:18" ht="15.75">
      <c r="A38" s="445"/>
      <c r="B38" s="454">
        <v>1000</v>
      </c>
      <c r="C38" s="454"/>
      <c r="D38" s="454">
        <v>300</v>
      </c>
      <c r="E38" s="471">
        <f>ROUND((B$38*D38),0)</f>
        <v>300000</v>
      </c>
      <c r="F38" s="454"/>
      <c r="G38" s="473">
        <f>ROUND(IF($E38&lt;40001,$E38*$O$19/100,40000*$O$19/100+($E38-40000)*$O$20/100)+MAX(100, $B$38)*$O$18+IF($B$38&lt;100,$O$14,IF($B$38&lt;301,$O$15+$B$38*$P$15,$O$16+$B$38*$P$16)),2)+R26</f>
        <v>18936.55</v>
      </c>
      <c r="H38" s="473"/>
      <c r="I38" s="473">
        <f>ROUND(IF($E38&lt;40001,$E38*$R$19/100,40000*$R$19/100+($E38-40000)*$R$20/100)+MAX(100, $B$38)*$R$18+IF($B$38&lt;100,$R$14,IF($B$38&lt;301,$R$15+$B$38*$S$15,$R$16+$B$38*$S$16)),2)+R27</f>
        <v>20873.759999999998</v>
      </c>
      <c r="J38" s="454"/>
      <c r="K38" s="474">
        <f>ROUND(I38/G38-1,4)</f>
        <v>0.1023</v>
      </c>
      <c r="L38" s="445"/>
      <c r="M38" s="445"/>
    </row>
    <row r="39" spans="1:18" ht="15.75">
      <c r="A39" s="445"/>
      <c r="B39" s="454"/>
      <c r="C39" s="454"/>
      <c r="D39" s="454">
        <v>500</v>
      </c>
      <c r="E39" s="471">
        <f>ROUND((B$38*D39),0)</f>
        <v>500000</v>
      </c>
      <c r="F39" s="454"/>
      <c r="G39" s="473">
        <f>ROUND(IF($E39&lt;40001,$E39*$O$19/100,40000*$O$19/100+($E39-40000)*$O$20/100)+MAX(100, $B$38)*$O$18+IF($B$38&lt;100,$O$14,IF($B$38&lt;301,$O$15+$B$38*$P$15,$O$16+$B$38*$P$16)),2)+R26</f>
        <v>27930.55</v>
      </c>
      <c r="H39" s="473"/>
      <c r="I39" s="473">
        <f>ROUND(IF($E39&lt;40001,$E39*$R$19/100,40000*$R$19/100+($E39-40000)*$R$20/100)+MAX(100, $B$38)*$R$18+IF($B$38&lt;100,$R$14,IF($B$38&lt;301,$R$15+$B$38*$S$15,$R$16+$B$38*$S$16)),2)+R27</f>
        <v>30701.759999999998</v>
      </c>
      <c r="J39" s="454"/>
      <c r="K39" s="474">
        <f>ROUND(I39/G39-1,4)</f>
        <v>9.9199999999999997E-2</v>
      </c>
      <c r="L39" s="445"/>
      <c r="M39" s="445"/>
    </row>
    <row r="40" spans="1:18" ht="15.75">
      <c r="A40" s="445"/>
      <c r="B40" s="454"/>
      <c r="C40" s="454"/>
      <c r="D40" s="454">
        <v>700</v>
      </c>
      <c r="E40" s="471">
        <f>ROUND((B$38*D40),0)</f>
        <v>700000</v>
      </c>
      <c r="F40" s="454"/>
      <c r="G40" s="473">
        <f>ROUND(IF($E40&lt;40001,$E40*$O$19/100,40000*$O$19/100+($E40-40000)*$O$20/100)+MAX(100, $B$38)*$O$18+IF($B$38&lt;100,$O$14,IF($B$38&lt;301,$O$15+$B$38*$P$15,$O$16+$B$38*$P$16)),2)+R26</f>
        <v>36924.550000000003</v>
      </c>
      <c r="H40" s="473"/>
      <c r="I40" s="473">
        <f>ROUND(IF($E40&lt;40001,$E40*$R$19/100,40000*$R$19/100+($E40-40000)*$R$20/100)+MAX(100, $B$38)*$R$18+IF($B$38&lt;100,$R$14,IF($B$38&lt;301,$R$15+$B$38*$S$15,$R$16+$B$38*$S$16)),2)+R27</f>
        <v>40529.760000000002</v>
      </c>
      <c r="J40" s="454"/>
      <c r="K40" s="474">
        <f>ROUND(I40/G40-1,4)</f>
        <v>9.7600000000000006E-2</v>
      </c>
    </row>
    <row r="41" spans="1:18" ht="15.75">
      <c r="A41" s="445"/>
      <c r="B41" s="509"/>
      <c r="C41" s="509"/>
      <c r="D41" s="509"/>
      <c r="E41" s="509"/>
      <c r="F41" s="509"/>
      <c r="G41" s="509"/>
      <c r="H41" s="509"/>
      <c r="I41" s="509"/>
      <c r="J41" s="510"/>
      <c r="K41" s="510"/>
      <c r="L41" s="445"/>
      <c r="M41" s="445"/>
    </row>
    <row r="42" spans="1:18" ht="15.75">
      <c r="A42" s="445"/>
      <c r="B42" s="457"/>
      <c r="C42" s="457"/>
      <c r="D42" s="457"/>
      <c r="E42" s="457"/>
      <c r="F42" s="457"/>
      <c r="G42" s="457"/>
      <c r="H42" s="457"/>
      <c r="I42" s="457"/>
      <c r="J42" s="457"/>
      <c r="K42" s="457"/>
      <c r="L42" s="445"/>
      <c r="M42" s="445"/>
    </row>
    <row r="43" spans="1:18" ht="15.75">
      <c r="A43" s="445"/>
      <c r="B43" s="457" t="s">
        <v>320</v>
      </c>
      <c r="C43" s="457"/>
      <c r="D43" s="457"/>
      <c r="E43" s="457"/>
      <c r="F43" s="457"/>
      <c r="G43" s="457"/>
      <c r="H43" s="457"/>
      <c r="I43" s="457"/>
      <c r="J43" s="457"/>
      <c r="K43" s="457"/>
      <c r="L43" s="445"/>
      <c r="M43" s="445"/>
    </row>
    <row r="44" spans="1:18" ht="15.75">
      <c r="A44" s="445"/>
      <c r="B44" s="493" t="s">
        <v>357</v>
      </c>
      <c r="C44" s="457"/>
      <c r="D44" s="457"/>
      <c r="E44" s="457"/>
      <c r="F44" s="457"/>
      <c r="G44" s="457"/>
      <c r="H44" s="457"/>
      <c r="I44" s="457"/>
      <c r="J44" s="457"/>
      <c r="K44" s="457"/>
    </row>
    <row r="45" spans="1:18">
      <c r="A45" s="445"/>
      <c r="B45" s="493" t="s">
        <v>323</v>
      </c>
      <c r="L45" s="445"/>
      <c r="M45" s="445"/>
    </row>
    <row r="46" spans="1:18" ht="15.75">
      <c r="A46" s="445"/>
      <c r="B46" s="454"/>
    </row>
    <row r="47" spans="1:18" ht="15.75">
      <c r="B47" s="454"/>
    </row>
    <row r="48" spans="1:18" ht="15.75">
      <c r="B48" s="454"/>
      <c r="P48" s="442"/>
    </row>
    <row r="49" spans="1:2" ht="15.75">
      <c r="A49" s="445"/>
      <c r="B49" s="454"/>
    </row>
    <row r="50" spans="1:2" ht="15.75">
      <c r="A50" s="445"/>
      <c r="B50" s="454"/>
    </row>
    <row r="51" spans="1:2">
      <c r="A51" s="445"/>
    </row>
    <row r="52" spans="1:2">
      <c r="A52" s="445"/>
    </row>
    <row r="53" spans="1:2">
      <c r="A53" s="445"/>
    </row>
    <row r="54" spans="1:2">
      <c r="A54" s="445"/>
    </row>
    <row r="55" spans="1:2">
      <c r="A55" s="445"/>
    </row>
    <row r="56" spans="1:2">
      <c r="A56" s="445"/>
    </row>
    <row r="57" spans="1:2">
      <c r="A57" s="445"/>
    </row>
  </sheetData>
  <printOptions horizontalCentered="1"/>
  <pageMargins left="0.5" right="0.5" top="0.5" bottom="0.5" header="0.5" footer="0.5"/>
  <pageSetup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W51"/>
  <sheetViews>
    <sheetView view="pageBreakPreview" zoomScale="75" zoomScaleNormal="100" workbookViewId="0">
      <selection activeCell="B2" sqref="B2"/>
    </sheetView>
  </sheetViews>
  <sheetFormatPr defaultColWidth="8.5" defaultRowHeight="15"/>
  <cols>
    <col min="1" max="1" width="1.875" style="399" customWidth="1"/>
    <col min="2" max="2" width="10.875" style="399" customWidth="1"/>
    <col min="3" max="3" width="1.75" style="399" customWidth="1"/>
    <col min="4" max="4" width="11.25" style="399" hidden="1" customWidth="1"/>
    <col min="5" max="5" width="8.25" style="399" bestFit="1" customWidth="1"/>
    <col min="6" max="6" width="3.25" style="399" customWidth="1"/>
    <col min="7" max="7" width="13.75" style="399" bestFit="1" customWidth="1"/>
    <col min="8" max="8" width="2.125" style="399" customWidth="1"/>
    <col min="9" max="9" width="8.5" style="399" bestFit="1" customWidth="1"/>
    <col min="10" max="10" width="2.125" style="399" customWidth="1"/>
    <col min="11" max="11" width="12.625" style="399" bestFit="1" customWidth="1"/>
    <col min="12" max="12" width="1.75" style="399" customWidth="1"/>
    <col min="13" max="13" width="8.5" style="399" bestFit="1" customWidth="1"/>
    <col min="14" max="14" width="2" style="399" customWidth="1"/>
    <col min="15" max="15" width="10.5" style="399" bestFit="1" customWidth="1"/>
    <col min="16" max="16" width="1.875" style="399" customWidth="1"/>
    <col min="17" max="17" width="8.5" style="399" bestFit="1" customWidth="1"/>
    <col min="18" max="18" width="3" style="399" customWidth="1"/>
    <col min="19" max="19" width="16.125" style="399" customWidth="1"/>
    <col min="20" max="20" width="13.25" style="399" customWidth="1"/>
    <col min="21" max="21" width="9.25" style="399" customWidth="1"/>
    <col min="22" max="22" width="8.375" style="399" customWidth="1"/>
    <col min="23" max="23" width="2.25" style="399" customWidth="1"/>
    <col min="24" max="16384" width="8.5" style="399"/>
  </cols>
  <sheetData>
    <row r="2" spans="2:22" ht="18.75">
      <c r="B2" s="408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511"/>
      <c r="P2" s="402" t="s">
        <v>0</v>
      </c>
      <c r="Q2" s="511"/>
    </row>
    <row r="3" spans="2:22" ht="18.75">
      <c r="B3" s="404" t="s">
        <v>300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</row>
    <row r="4" spans="2:22" ht="18.75">
      <c r="B4" s="404" t="s">
        <v>358</v>
      </c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</row>
    <row r="5" spans="2:22" ht="18.75">
      <c r="B5" s="404" t="s">
        <v>359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</row>
    <row r="6" spans="2:22" ht="18.75">
      <c r="B6" s="404" t="s">
        <v>0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</row>
    <row r="7" spans="2:22"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</row>
    <row r="8" spans="2:22">
      <c r="B8" s="408"/>
      <c r="C8" s="408"/>
      <c r="D8" s="408"/>
      <c r="E8" s="408"/>
      <c r="F8" s="408"/>
      <c r="G8" s="408"/>
      <c r="H8" s="408"/>
      <c r="I8" s="408"/>
      <c r="J8" s="408"/>
      <c r="K8" s="408"/>
      <c r="L8" s="408"/>
      <c r="M8" s="408"/>
    </row>
    <row r="9" spans="2:22">
      <c r="G9" s="408"/>
      <c r="H9" s="408"/>
      <c r="I9" s="408"/>
      <c r="J9" s="408"/>
      <c r="K9" s="408"/>
      <c r="L9" s="408"/>
      <c r="M9" s="408"/>
    </row>
    <row r="10" spans="2:22">
      <c r="B10" s="408"/>
      <c r="C10" s="408"/>
      <c r="D10" s="408"/>
      <c r="E10" s="408"/>
      <c r="G10" s="408"/>
      <c r="H10" s="408"/>
      <c r="I10" s="408"/>
      <c r="J10" s="408"/>
      <c r="K10" s="408"/>
      <c r="L10" s="408"/>
      <c r="M10" s="408"/>
    </row>
    <row r="11" spans="2:22">
      <c r="B11" s="408"/>
      <c r="C11" s="408"/>
      <c r="D11" s="408"/>
      <c r="E11" s="408"/>
      <c r="G11" s="410"/>
      <c r="H11" s="410"/>
      <c r="I11" s="410"/>
      <c r="J11" s="410"/>
      <c r="K11" s="410"/>
      <c r="L11" s="410"/>
      <c r="M11" s="410"/>
      <c r="O11" s="405"/>
      <c r="P11" s="405"/>
      <c r="Q11" s="405"/>
    </row>
    <row r="12" spans="2:22" ht="15.75" thickBot="1">
      <c r="G12" s="407" t="s">
        <v>360</v>
      </c>
      <c r="H12" s="407"/>
      <c r="I12" s="407"/>
      <c r="K12" s="407" t="s">
        <v>361</v>
      </c>
      <c r="L12" s="407"/>
      <c r="M12" s="407"/>
      <c r="O12" s="407" t="s">
        <v>362</v>
      </c>
      <c r="P12" s="407"/>
      <c r="Q12" s="407"/>
    </row>
    <row r="13" spans="2:22">
      <c r="B13" s="512" t="s">
        <v>325</v>
      </c>
      <c r="G13" s="513" t="s">
        <v>304</v>
      </c>
      <c r="H13" s="409"/>
      <c r="I13" s="409" t="s">
        <v>363</v>
      </c>
      <c r="J13" s="418"/>
      <c r="K13" s="513" t="s">
        <v>10</v>
      </c>
      <c r="L13" s="409"/>
      <c r="M13" s="409" t="s">
        <v>363</v>
      </c>
      <c r="O13" s="409"/>
      <c r="P13" s="409"/>
      <c r="Q13" s="409" t="s">
        <v>363</v>
      </c>
      <c r="S13" s="514" t="s">
        <v>305</v>
      </c>
      <c r="T13" s="468"/>
      <c r="U13" s="467" t="s">
        <v>306</v>
      </c>
      <c r="V13" s="468"/>
    </row>
    <row r="14" spans="2:22">
      <c r="B14" s="515" t="s">
        <v>328</v>
      </c>
      <c r="C14" s="513"/>
      <c r="D14" s="513" t="s">
        <v>329</v>
      </c>
      <c r="G14" s="516" t="s">
        <v>364</v>
      </c>
      <c r="H14" s="409" t="s">
        <v>0</v>
      </c>
      <c r="I14" s="409" t="s">
        <v>336</v>
      </c>
      <c r="J14" s="418"/>
      <c r="K14" s="516" t="s">
        <v>365</v>
      </c>
      <c r="L14" s="409" t="s">
        <v>0</v>
      </c>
      <c r="M14" s="409" t="s">
        <v>336</v>
      </c>
      <c r="O14" s="409" t="s">
        <v>366</v>
      </c>
      <c r="P14" s="409" t="s">
        <v>0</v>
      </c>
      <c r="Q14" s="409" t="s">
        <v>336</v>
      </c>
      <c r="S14" s="469" t="s">
        <v>367</v>
      </c>
      <c r="T14" s="419">
        <f>'Billing Determinants'!G602+V22+V30</f>
        <v>5.9279999999999999</v>
      </c>
      <c r="U14" s="476"/>
      <c r="V14" s="419">
        <f>'Billing Determinants'!J602+V23+V30+V31</f>
        <v>6.511000000000001</v>
      </c>
    </row>
    <row r="15" spans="2:22">
      <c r="B15" s="516" t="s">
        <v>332</v>
      </c>
      <c r="C15" s="513"/>
      <c r="D15" s="517" t="s">
        <v>333</v>
      </c>
      <c r="E15" s="413" t="s">
        <v>41</v>
      </c>
      <c r="G15" s="413" t="s">
        <v>368</v>
      </c>
      <c r="H15" s="409"/>
      <c r="I15" s="413" t="s">
        <v>369</v>
      </c>
      <c r="J15" s="418"/>
      <c r="K15" s="413" t="s">
        <v>368</v>
      </c>
      <c r="L15" s="409"/>
      <c r="M15" s="413" t="s">
        <v>369</v>
      </c>
      <c r="O15" s="413" t="s">
        <v>370</v>
      </c>
      <c r="P15" s="409"/>
      <c r="Q15" s="413" t="s">
        <v>369</v>
      </c>
      <c r="S15" s="469" t="s">
        <v>0</v>
      </c>
      <c r="T15" s="518" t="s">
        <v>0</v>
      </c>
      <c r="U15" s="519" t="s">
        <v>0</v>
      </c>
      <c r="V15" s="518" t="s">
        <v>0</v>
      </c>
    </row>
    <row r="16" spans="2:22">
      <c r="B16" s="409"/>
      <c r="C16" s="513"/>
      <c r="D16" s="517"/>
      <c r="E16" s="409"/>
      <c r="G16" s="409"/>
      <c r="H16" s="409"/>
      <c r="I16" s="409"/>
      <c r="J16" s="418"/>
      <c r="K16" s="409"/>
      <c r="L16" s="409"/>
      <c r="M16" s="409"/>
      <c r="O16" s="409"/>
      <c r="P16" s="409"/>
      <c r="Q16" s="409"/>
      <c r="S16" s="520" t="s">
        <v>336</v>
      </c>
      <c r="T16" s="521"/>
      <c r="U16" s="521"/>
      <c r="V16" s="522"/>
    </row>
    <row r="17" spans="2:23">
      <c r="B17" s="523" t="s">
        <v>334</v>
      </c>
      <c r="C17" s="418"/>
      <c r="G17" s="418"/>
      <c r="H17" s="418"/>
      <c r="I17" s="418"/>
      <c r="J17" s="418"/>
      <c r="S17" s="524" t="s">
        <v>371</v>
      </c>
      <c r="T17" s="475">
        <f>'Billing Determinants'!G593</f>
        <v>20.860000000000003</v>
      </c>
      <c r="U17" s="476"/>
      <c r="V17" s="525">
        <f>'Billing Determinants'!J593</f>
        <v>23.44</v>
      </c>
    </row>
    <row r="18" spans="2:23">
      <c r="B18" s="399">
        <v>10</v>
      </c>
      <c r="D18" s="422">
        <v>200</v>
      </c>
      <c r="E18" s="422">
        <f>ROUND((B$18*D18),0)</f>
        <v>2000</v>
      </c>
      <c r="G18" s="526">
        <f>ROUND(((E18*$T$14/100))+(E18*$V$25/100),2)</f>
        <v>109.7</v>
      </c>
      <c r="H18" s="526"/>
      <c r="I18" s="526">
        <f>$B$18*$T$17+V27</f>
        <v>218.05</v>
      </c>
      <c r="J18" s="442"/>
      <c r="K18" s="526">
        <f>ROUND((($E18*$V$14/100))+(($E18*$V$26)/100),2)</f>
        <v>121.36</v>
      </c>
      <c r="L18" s="526"/>
      <c r="M18" s="526">
        <f>$B$18*$V$17+V28</f>
        <v>245.93</v>
      </c>
      <c r="O18" s="425">
        <f>ROUND((K18-G18)/G18,4)</f>
        <v>0.10630000000000001</v>
      </c>
      <c r="P18" s="425"/>
      <c r="Q18" s="425">
        <f>ROUND((M18-I18)/I18,4)</f>
        <v>0.12790000000000001</v>
      </c>
      <c r="S18" s="524" t="s">
        <v>372</v>
      </c>
      <c r="T18" s="475">
        <f>'Billing Determinants'!G594</f>
        <v>14.53</v>
      </c>
      <c r="U18" s="476"/>
      <c r="V18" s="525">
        <f>'Billing Determinants'!J594</f>
        <v>16.32</v>
      </c>
    </row>
    <row r="19" spans="2:23">
      <c r="D19" s="422">
        <v>300</v>
      </c>
      <c r="E19" s="422">
        <f>ROUND((B$18*D19),0)</f>
        <v>3000</v>
      </c>
      <c r="G19" s="526">
        <f>ROUND(((E19*$T$14/100))+(E19*$V$25/100),2)</f>
        <v>164.55</v>
      </c>
      <c r="H19" s="526"/>
      <c r="I19" s="526">
        <f>$B$18*$T$17+V27</f>
        <v>218.05</v>
      </c>
      <c r="J19" s="442"/>
      <c r="K19" s="526">
        <f>ROUND((($E19*$V$14/100))+(($E19*$V$26)/100),2)</f>
        <v>182.04</v>
      </c>
      <c r="L19" s="526"/>
      <c r="M19" s="526">
        <f>$B$18*$V$17+V28</f>
        <v>245.93</v>
      </c>
      <c r="O19" s="425">
        <f>ROUND((K19-G19)/G19,4)</f>
        <v>0.10630000000000001</v>
      </c>
      <c r="P19" s="425"/>
      <c r="Q19" s="425">
        <f>ROUND((M19-I19)/I19,4)</f>
        <v>0.12790000000000001</v>
      </c>
      <c r="S19" s="524" t="s">
        <v>373</v>
      </c>
      <c r="T19" s="475">
        <f>'Billing Determinants'!G595</f>
        <v>11.340000000000002</v>
      </c>
      <c r="U19" s="476"/>
      <c r="V19" s="525">
        <f>'Billing Determinants'!J595</f>
        <v>12.77</v>
      </c>
    </row>
    <row r="20" spans="2:23">
      <c r="D20" s="422">
        <v>500</v>
      </c>
      <c r="E20" s="422">
        <f>ROUND((B$18*D20),0)</f>
        <v>5000</v>
      </c>
      <c r="G20" s="526">
        <f>ROUND(((E20*$T$14/100))+(E20*$V$25/100),2)</f>
        <v>274.25</v>
      </c>
      <c r="H20" s="526"/>
      <c r="I20" s="526">
        <f>$B$18*$T$17+V27</f>
        <v>218.05</v>
      </c>
      <c r="J20" s="442"/>
      <c r="K20" s="526">
        <f>ROUND((($E20*$V$14/100))+(($E20*$V$26)/100),2)</f>
        <v>303.39999999999998</v>
      </c>
      <c r="L20" s="526"/>
      <c r="M20" s="526">
        <f>$B$18*$V$17+V28</f>
        <v>245.93</v>
      </c>
      <c r="O20" s="425">
        <f>ROUND((K20-G20)/G20,4)</f>
        <v>0.10630000000000001</v>
      </c>
      <c r="P20" s="425"/>
      <c r="Q20" s="425">
        <f>ROUND((M20-I20)/I20,4)</f>
        <v>0.12790000000000001</v>
      </c>
      <c r="S20" s="524" t="s">
        <v>372</v>
      </c>
      <c r="T20" s="503">
        <f>'Billing Determinants'!G585</f>
        <v>312</v>
      </c>
      <c r="U20" s="476"/>
      <c r="V20" s="527">
        <f>'Billing Determinants'!J585</f>
        <v>352</v>
      </c>
    </row>
    <row r="21" spans="2:23">
      <c r="G21" s="526"/>
      <c r="H21" s="526"/>
      <c r="I21" s="526"/>
      <c r="J21" s="442"/>
      <c r="K21" s="526"/>
      <c r="L21" s="526"/>
      <c r="M21" s="526"/>
      <c r="S21" s="528" t="s">
        <v>373</v>
      </c>
      <c r="T21" s="529">
        <f>'Billing Determinants'!G586</f>
        <v>1268</v>
      </c>
      <c r="U21" s="530"/>
      <c r="V21" s="531">
        <f>'Billing Determinants'!J586</f>
        <v>1435</v>
      </c>
    </row>
    <row r="22" spans="2:23">
      <c r="B22" s="523" t="s">
        <v>335</v>
      </c>
      <c r="C22" s="418"/>
      <c r="G22" s="526"/>
      <c r="H22" s="526"/>
      <c r="I22" s="526"/>
      <c r="J22" s="442"/>
      <c r="K22" s="526"/>
      <c r="L22" s="526"/>
      <c r="M22" s="526"/>
      <c r="T22" s="428" t="s">
        <v>313</v>
      </c>
      <c r="U22" s="428"/>
      <c r="V22" s="429">
        <v>0.23</v>
      </c>
    </row>
    <row r="23" spans="2:23">
      <c r="B23" s="399">
        <v>20</v>
      </c>
      <c r="D23" s="422">
        <v>200</v>
      </c>
      <c r="E23" s="422">
        <f>ROUND((B$23*D23),0)</f>
        <v>4000</v>
      </c>
      <c r="G23" s="526">
        <f>ROUND(((E23*$T$14/100))+(E23*$V$25/100),2)</f>
        <v>219.4</v>
      </c>
      <c r="H23" s="526"/>
      <c r="I23" s="526">
        <f>IF($B$23&lt;51,$B$23*$T$17,IF($B$23&lt;301,$B$23*$T$18+$T$20,$T$21+$T$19*$B$23))+V27</f>
        <v>426.65000000000003</v>
      </c>
      <c r="J23" s="442"/>
      <c r="K23" s="526">
        <f>ROUND((($E23*$V$14/100))+(($E23*$V$26)/100),2)</f>
        <v>242.72</v>
      </c>
      <c r="L23" s="526"/>
      <c r="M23" s="526">
        <f>IF($B$23&lt;51,$B$23*$V$17,IF($B$23&lt;301,$B$23*$V$18+$V$20,$V$21+$V$19*$B$23))+V28</f>
        <v>480.33</v>
      </c>
      <c r="O23" s="425">
        <f>ROUND((K23-G23)/G23,4)</f>
        <v>0.10630000000000001</v>
      </c>
      <c r="P23" s="425"/>
      <c r="Q23" s="425">
        <f>ROUND((M23-I23)/I23,4)</f>
        <v>0.1258</v>
      </c>
      <c r="T23" s="428"/>
      <c r="U23" s="428"/>
      <c r="V23" s="429">
        <v>0.23</v>
      </c>
    </row>
    <row r="24" spans="2:23">
      <c r="D24" s="422">
        <v>300</v>
      </c>
      <c r="E24" s="422">
        <f>ROUND((B$23*D24),0)</f>
        <v>6000</v>
      </c>
      <c r="G24" s="526">
        <f>ROUND(((E24*$T$14/100))+(E24*$V$25/100),2)</f>
        <v>329.1</v>
      </c>
      <c r="H24" s="526"/>
      <c r="I24" s="526">
        <f>IF($B$23&lt;51,$B$23*$T$17,IF($B$23&lt;301,$B$23*$T$18+$T$20,$T$21+$T$19*$B$23))+V27</f>
        <v>426.65000000000003</v>
      </c>
      <c r="J24" s="442"/>
      <c r="K24" s="526">
        <f>ROUND((($E24*$V$14/100))+(($E24*$V$26)/100),2)</f>
        <v>364.08</v>
      </c>
      <c r="L24" s="526"/>
      <c r="M24" s="526">
        <f>IF($B$23&lt;51,$B$23*$V$17,IF($B$23&lt;301,$B$23*$V$18+$V$20,$V$21+$V$19*$B$23))+V28</f>
        <v>480.33</v>
      </c>
      <c r="O24" s="425">
        <f>ROUND((K24-G24)/G24,4)</f>
        <v>0.10630000000000001</v>
      </c>
      <c r="P24" s="425"/>
      <c r="Q24" s="425">
        <f>ROUND((M24-I24)/I24,4)</f>
        <v>0.1258</v>
      </c>
      <c r="T24" s="428"/>
      <c r="U24" s="428"/>
      <c r="V24" s="432"/>
    </row>
    <row r="25" spans="2:23">
      <c r="D25" s="422">
        <v>500</v>
      </c>
      <c r="E25" s="422">
        <f>ROUND((B$23*D25),0)</f>
        <v>10000</v>
      </c>
      <c r="G25" s="526">
        <f>ROUND(((E25*$T$14/100))+(E25*$V$25/100),2)</f>
        <v>548.5</v>
      </c>
      <c r="H25" s="526"/>
      <c r="I25" s="526">
        <f>IF($B$23&lt;51,$B$23*$T$17,IF($B$23&lt;301,$B$23*$T$18+$T$20,$T$21+$T$19*$B$23))+V27</f>
        <v>426.65000000000003</v>
      </c>
      <c r="J25" s="442"/>
      <c r="K25" s="526">
        <f>ROUND((($E25*$V$14/100))+(($E25*$V$26)/100),2)</f>
        <v>606.79999999999995</v>
      </c>
      <c r="L25" s="526"/>
      <c r="M25" s="526">
        <f>IF($B$23&lt;51,$B$23*$V$17,IF($B$23&lt;301,$B$23*$V$18+$V$20,$V$21+$V$19*$B$23))+V28</f>
        <v>480.33</v>
      </c>
      <c r="O25" s="425">
        <f>ROUND((K25-G25)/G25,4)</f>
        <v>0.10630000000000001</v>
      </c>
      <c r="P25" s="425"/>
      <c r="Q25" s="425">
        <f>ROUND((M25-I25)/I25,4)</f>
        <v>0.1258</v>
      </c>
      <c r="T25" s="428" t="s">
        <v>314</v>
      </c>
      <c r="U25" s="428"/>
      <c r="V25" s="429">
        <v>-0.443</v>
      </c>
    </row>
    <row r="26" spans="2:23">
      <c r="G26" s="526"/>
      <c r="H26" s="526"/>
      <c r="I26" s="526"/>
      <c r="J26" s="442"/>
      <c r="K26" s="526"/>
      <c r="L26" s="526"/>
      <c r="M26" s="526"/>
      <c r="T26" s="399" t="s">
        <v>0</v>
      </c>
      <c r="U26" s="399" t="s">
        <v>0</v>
      </c>
      <c r="V26" s="399">
        <v>-0.443</v>
      </c>
    </row>
    <row r="27" spans="2:23">
      <c r="B27" s="399">
        <v>100</v>
      </c>
      <c r="D27" s="422">
        <v>200</v>
      </c>
      <c r="E27" s="422">
        <f>ROUND((B$27*D27),0)</f>
        <v>20000</v>
      </c>
      <c r="G27" s="526">
        <f>ROUND(((E27*$T$14/100))+(E27*$V$25/100),2)</f>
        <v>1097</v>
      </c>
      <c r="H27" s="526"/>
      <c r="I27" s="526">
        <f>IF($B$27&lt;51,$B$27*$T$17,IF($B$27&lt;301,$B$27*$T$18+$T$20,$T$21+$T$19*$B$27))+V27</f>
        <v>1774.45</v>
      </c>
      <c r="J27" s="442"/>
      <c r="K27" s="526">
        <f>ROUND((($E27*$V$14/100))+(($E27*$V$26)/100),2)</f>
        <v>1213.5999999999999</v>
      </c>
      <c r="L27" s="526"/>
      <c r="M27" s="526">
        <f>IF($B$27&lt;51,$B$27*$V$17,IF($B$27&lt;301,$B$27*$V$18+$V$20,$V$21+$V$19*$B$27))+V28</f>
        <v>1995.53</v>
      </c>
      <c r="O27" s="425">
        <f>ROUND((K27-G27)/G27,4)</f>
        <v>0.10630000000000001</v>
      </c>
      <c r="P27" s="425"/>
      <c r="Q27" s="425">
        <f>ROUND((M27-I27)/I27,4)</f>
        <v>0.1246</v>
      </c>
      <c r="T27" s="399" t="s">
        <v>356</v>
      </c>
      <c r="V27" s="477">
        <v>9.4499999999999993</v>
      </c>
      <c r="W27" s="399" t="s">
        <v>0</v>
      </c>
    </row>
    <row r="28" spans="2:23">
      <c r="D28" s="422">
        <v>300</v>
      </c>
      <c r="E28" s="422">
        <f>ROUND((B$27*D28),0)</f>
        <v>30000</v>
      </c>
      <c r="G28" s="526">
        <f>ROUND(((E28*$T$14/100))+(E28*$V$25/100),2)</f>
        <v>1645.5</v>
      </c>
      <c r="H28" s="526"/>
      <c r="I28" s="526">
        <f>IF($B$27&lt;51,$B$27*$T$17,IF($B$27&lt;301,$B$27*$T$18+$T$20,$T$21+$T$19*$B$27))+V27</f>
        <v>1774.45</v>
      </c>
      <c r="J28" s="442"/>
      <c r="K28" s="526">
        <f>ROUND((($E28*$V$14/100))+(($E28*$V$26)/100),2)</f>
        <v>1820.4</v>
      </c>
      <c r="L28" s="526"/>
      <c r="M28" s="526">
        <f>IF($B$27&lt;51,$B$27*$V$17,IF($B$27&lt;301,$B$27*$V$18+$V$20,$V$21+$V$19*$B$27))+V28</f>
        <v>1995.53</v>
      </c>
      <c r="O28" s="425">
        <f>ROUND((K28-G28)/G28,4)</f>
        <v>0.10630000000000001</v>
      </c>
      <c r="P28" s="425"/>
      <c r="Q28" s="425">
        <f>ROUND((M28-I28)/I28,4)</f>
        <v>0.1246</v>
      </c>
      <c r="T28" s="399" t="s">
        <v>344</v>
      </c>
      <c r="V28" s="477">
        <f>'Schedule 191 p1'!E19</f>
        <v>11.53</v>
      </c>
    </row>
    <row r="29" spans="2:23">
      <c r="D29" s="422">
        <v>500</v>
      </c>
      <c r="E29" s="422">
        <f>ROUND((B$27*D29),0)</f>
        <v>50000</v>
      </c>
      <c r="G29" s="526">
        <f>ROUND(((E29*$T$14/100))+(E29*$V$25/100),2)</f>
        <v>2742.5</v>
      </c>
      <c r="H29" s="526"/>
      <c r="I29" s="526">
        <f>IF($B$27&lt;51,$B$27*$T$17,IF($B$27&lt;301,$B$27*$T$18+$T$20,$T$21+$T$19*$B$27))+V27</f>
        <v>1774.45</v>
      </c>
      <c r="J29" s="442"/>
      <c r="K29" s="526">
        <f>ROUND((($E29*$V$14/100))+(($E29*$V$26)/100),2)</f>
        <v>3034</v>
      </c>
      <c r="L29" s="526"/>
      <c r="M29" s="526">
        <f>IF($B$27&lt;51,$B$27*$V$17,IF($B$27&lt;301,$B$27*$V$18+$V$20,$V$21+$V$19*$B$27))+V28</f>
        <v>1995.53</v>
      </c>
      <c r="O29" s="425">
        <f>ROUND((K29-G29)/G29,4)</f>
        <v>0.10630000000000001</v>
      </c>
      <c r="P29" s="425"/>
      <c r="Q29" s="425">
        <f>ROUND((M29-I29)/I29,4)</f>
        <v>0.1246</v>
      </c>
    </row>
    <row r="30" spans="2:23">
      <c r="G30" s="526"/>
      <c r="H30" s="526"/>
      <c r="I30" s="526"/>
      <c r="J30" s="442"/>
      <c r="K30" s="526"/>
      <c r="L30" s="526"/>
      <c r="M30" s="526"/>
      <c r="T30" s="399" t="s">
        <v>317</v>
      </c>
      <c r="V30" s="399">
        <v>5.0999999999999997E-2</v>
      </c>
    </row>
    <row r="31" spans="2:23">
      <c r="B31" s="399">
        <v>300</v>
      </c>
      <c r="D31" s="422">
        <v>200</v>
      </c>
      <c r="E31" s="422">
        <f>ROUND((B$31*D31),0)</f>
        <v>60000</v>
      </c>
      <c r="G31" s="526">
        <f>ROUND(((E31*$T$14/100))+(E31*$V$25/100),2)</f>
        <v>3291</v>
      </c>
      <c r="H31" s="526"/>
      <c r="I31" s="526">
        <f>IF($B$31&lt;51,$B$31*$T$17,IF($B$31&lt;301,$B$31*$T$18+$T$20,$T$21+$T$19*$B$31))+V27</f>
        <v>4680.45</v>
      </c>
      <c r="J31" s="442"/>
      <c r="K31" s="526">
        <f>ROUND((($E31*$V$14/100))+(($E31*$V$26)/100),2)</f>
        <v>3640.8</v>
      </c>
      <c r="L31" s="526"/>
      <c r="M31" s="526">
        <f>IF($B$31&lt;51,$B$31*$V$17,IF($B$31&lt;301,$B$31*$V$18+$V$20,$V$21+$V$19*$B$31))+V28</f>
        <v>5259.53</v>
      </c>
      <c r="O31" s="425">
        <f>ROUND((K31-G31)/G31,4)</f>
        <v>0.10630000000000001</v>
      </c>
      <c r="P31" s="425"/>
      <c r="Q31" s="425">
        <f>ROUND((M31-I31)/I31,4)</f>
        <v>0.1237</v>
      </c>
      <c r="T31" s="399" t="s">
        <v>318</v>
      </c>
      <c r="V31" s="399">
        <f>'Rate Spread w bill deter'!AF25</f>
        <v>-0.114</v>
      </c>
    </row>
    <row r="32" spans="2:23">
      <c r="D32" s="422">
        <v>300</v>
      </c>
      <c r="E32" s="422">
        <f>ROUND((B$31*D32),0)</f>
        <v>90000</v>
      </c>
      <c r="G32" s="526">
        <f>ROUND(((E32*$T$14/100))+(E32*$V$25/100),2)</f>
        <v>4936.5</v>
      </c>
      <c r="H32" s="526"/>
      <c r="I32" s="526">
        <f>IF($B$31&lt;51,$B$31*$T$17,IF($B$31&lt;301,$B$31*$T$18+$T$20,$T$21+$T$19*$B$31))+V27</f>
        <v>4680.45</v>
      </c>
      <c r="J32" s="442"/>
      <c r="K32" s="526">
        <f>ROUND((($E32*$V$14/100))+(($E32*$V$26)/100),2)</f>
        <v>5461.2</v>
      </c>
      <c r="L32" s="526"/>
      <c r="M32" s="526">
        <f>IF($B$31&lt;51,$B$31*$V$17,IF($B$31&lt;301,$B$31*$V$18+$V$20,$V$21+$V$19*$B$31))+V28</f>
        <v>5259.53</v>
      </c>
      <c r="O32" s="425">
        <f>ROUND((K32-G32)/G32,4)</f>
        <v>0.10630000000000001</v>
      </c>
      <c r="P32" s="425"/>
      <c r="Q32" s="425">
        <f>ROUND((M32-I32)/I32,4)</f>
        <v>0.1237</v>
      </c>
    </row>
    <row r="33" spans="2:20">
      <c r="D33" s="422">
        <v>500</v>
      </c>
      <c r="E33" s="422">
        <f>ROUND((B$31*D33),0)</f>
        <v>150000</v>
      </c>
      <c r="G33" s="526">
        <f>ROUND(((E33*$T$14/100))+(E33*$V$25/100),2)</f>
        <v>8227.5</v>
      </c>
      <c r="H33" s="526"/>
      <c r="I33" s="526">
        <f>IF($B$31&lt;51,$B$31*$T$17,IF($B$31&lt;301,$B$31*$T$18+$T$20,$T$21+$T$19*$B$31))+V27</f>
        <v>4680.45</v>
      </c>
      <c r="J33" s="442"/>
      <c r="K33" s="526">
        <f>ROUND((($E33*$V$14/100))+(($E33*$V$26)/100),2)</f>
        <v>9102</v>
      </c>
      <c r="L33" s="526"/>
      <c r="M33" s="526">
        <f>IF($B$31&lt;51,$B$31*$V$17,IF($B$31&lt;301,$B$31*$V$18+$V$20,$V$21+$V$19*$B$31))+V28</f>
        <v>5259.53</v>
      </c>
      <c r="O33" s="425">
        <f>ROUND((K33-G33)/G33,4)</f>
        <v>0.10630000000000001</v>
      </c>
      <c r="P33" s="425"/>
      <c r="Q33" s="425">
        <f>ROUND((M33-I33)/I33,4)</f>
        <v>0.1237</v>
      </c>
      <c r="S33" s="433" t="s">
        <v>319</v>
      </c>
      <c r="T33" s="494">
        <f>'Rate Spread w bill deter'!AL25</f>
        <v>0.10694328276969926</v>
      </c>
    </row>
    <row r="34" spans="2:20">
      <c r="B34" s="437"/>
      <c r="C34" s="437"/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37"/>
      <c r="P34" s="437"/>
      <c r="Q34" s="437"/>
    </row>
    <row r="36" spans="2:20">
      <c r="C36" s="440"/>
    </row>
    <row r="37" spans="2:20">
      <c r="B37" s="399" t="s">
        <v>320</v>
      </c>
      <c r="C37" s="440"/>
    </row>
    <row r="38" spans="2:20">
      <c r="B38" s="532" t="s">
        <v>374</v>
      </c>
      <c r="C38" s="440"/>
    </row>
    <row r="39" spans="2:20">
      <c r="B39" s="440" t="s">
        <v>375</v>
      </c>
      <c r="C39" s="440"/>
    </row>
    <row r="40" spans="2:20">
      <c r="B40" s="440"/>
      <c r="C40" s="440"/>
    </row>
    <row r="41" spans="2:20">
      <c r="B41" s="440"/>
      <c r="C41" s="440"/>
    </row>
    <row r="42" spans="2:20">
      <c r="B42" s="440"/>
      <c r="C42" s="440"/>
    </row>
    <row r="43" spans="2:20">
      <c r="B43" s="440"/>
      <c r="C43" s="440"/>
    </row>
    <row r="44" spans="2:20">
      <c r="B44" s="440"/>
      <c r="C44" s="440"/>
    </row>
    <row r="45" spans="2:20">
      <c r="B45" s="440"/>
      <c r="C45" s="440"/>
    </row>
    <row r="46" spans="2:20">
      <c r="B46" s="440"/>
      <c r="C46" s="440"/>
    </row>
    <row r="47" spans="2:20">
      <c r="B47" s="440"/>
      <c r="C47" s="440"/>
    </row>
    <row r="48" spans="2:20">
      <c r="B48" s="440"/>
      <c r="C48" s="440"/>
      <c r="P48" s="442"/>
    </row>
    <row r="49" spans="2:3">
      <c r="B49" s="440"/>
      <c r="C49" s="440"/>
    </row>
    <row r="50" spans="2:3">
      <c r="B50" s="440"/>
      <c r="C50" s="440"/>
    </row>
    <row r="51" spans="2:3">
      <c r="B51" s="440"/>
      <c r="C51" s="440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8"/>
  <sheetViews>
    <sheetView view="pageBreakPreview" zoomScale="60" zoomScaleNormal="100" workbookViewId="0">
      <selection activeCell="B2" sqref="B2"/>
    </sheetView>
  </sheetViews>
  <sheetFormatPr defaultColWidth="8.5" defaultRowHeight="15"/>
  <cols>
    <col min="1" max="1" width="2" style="399" customWidth="1"/>
    <col min="2" max="2" width="8.5" style="399"/>
    <col min="3" max="3" width="8.5" style="399" hidden="1" customWidth="1"/>
    <col min="4" max="4" width="3.25" style="399" customWidth="1"/>
    <col min="5" max="5" width="9.75" style="399" customWidth="1"/>
    <col min="6" max="6" width="3.75" style="399" customWidth="1"/>
    <col min="7" max="7" width="19.875" style="399" customWidth="1"/>
    <col min="8" max="8" width="3.5" style="399" customWidth="1"/>
    <col min="9" max="9" width="19.5" style="399" customWidth="1"/>
    <col min="10" max="10" width="2.875" style="399" customWidth="1"/>
    <col min="11" max="11" width="12.125" style="399" customWidth="1"/>
    <col min="12" max="12" width="3.5" style="533" customWidth="1"/>
    <col min="13" max="13" width="8.5" style="399"/>
    <col min="14" max="14" width="10.125" style="399" customWidth="1"/>
    <col min="15" max="15" width="17.25" style="399" customWidth="1"/>
    <col min="16" max="16" width="5.25" style="399" customWidth="1"/>
    <col min="17" max="17" width="10.25" style="399" customWidth="1"/>
    <col min="18" max="18" width="7.375" style="399" customWidth="1"/>
    <col min="19" max="19" width="3.125" style="399" customWidth="1"/>
    <col min="20" max="16384" width="8.5" style="399"/>
  </cols>
  <sheetData>
    <row r="2" spans="1:18" ht="18.75">
      <c r="B2" s="408"/>
      <c r="C2" s="405"/>
      <c r="D2" s="405"/>
      <c r="E2" s="405"/>
      <c r="F2" s="405"/>
      <c r="G2" s="405"/>
      <c r="H2" s="405"/>
      <c r="I2" s="405"/>
      <c r="J2" s="402" t="s">
        <v>0</v>
      </c>
      <c r="K2" s="511"/>
    </row>
    <row r="3" spans="1:18" ht="18.75">
      <c r="B3" s="404" t="s">
        <v>300</v>
      </c>
      <c r="C3" s="404"/>
      <c r="D3" s="404"/>
      <c r="E3" s="404"/>
      <c r="F3" s="404"/>
      <c r="G3" s="404"/>
      <c r="H3" s="404"/>
      <c r="I3" s="404"/>
      <c r="J3" s="404"/>
      <c r="K3" s="404"/>
    </row>
    <row r="4" spans="1:18" ht="18.75">
      <c r="B4" s="404" t="s">
        <v>301</v>
      </c>
      <c r="C4" s="404"/>
      <c r="D4" s="404"/>
      <c r="E4" s="404"/>
      <c r="F4" s="404"/>
      <c r="G4" s="404"/>
      <c r="H4" s="404"/>
      <c r="I4" s="404"/>
      <c r="J4" s="404"/>
      <c r="K4" s="404"/>
    </row>
    <row r="5" spans="1:18" ht="18.75">
      <c r="B5" s="404" t="s">
        <v>376</v>
      </c>
      <c r="C5" s="404"/>
      <c r="D5" s="404"/>
      <c r="E5" s="404"/>
      <c r="F5" s="404"/>
      <c r="G5" s="404"/>
      <c r="H5" s="404"/>
      <c r="I5" s="404"/>
      <c r="J5" s="404"/>
      <c r="K5" s="404"/>
    </row>
    <row r="6" spans="1:18" ht="18.75">
      <c r="B6" s="404" t="s">
        <v>377</v>
      </c>
      <c r="C6" s="404"/>
      <c r="D6" s="404"/>
      <c r="E6" s="404"/>
      <c r="F6" s="404"/>
      <c r="G6" s="404"/>
      <c r="H6" s="404"/>
      <c r="I6" s="404"/>
      <c r="J6" s="404"/>
      <c r="K6" s="404"/>
    </row>
    <row r="7" spans="1:18" ht="18.75">
      <c r="B7" s="404" t="s">
        <v>0</v>
      </c>
      <c r="C7" s="404"/>
      <c r="D7" s="404"/>
      <c r="E7" s="404"/>
      <c r="F7" s="404"/>
      <c r="G7" s="404"/>
      <c r="H7" s="404"/>
      <c r="I7" s="404"/>
      <c r="J7" s="404"/>
      <c r="K7" s="404"/>
    </row>
    <row r="8" spans="1:18" ht="18.75">
      <c r="A8" s="534"/>
      <c r="B8" s="405"/>
      <c r="C8" s="405"/>
      <c r="D8" s="405"/>
      <c r="E8" s="405"/>
      <c r="F8" s="405"/>
      <c r="G8" s="405"/>
      <c r="H8" s="405"/>
      <c r="I8" s="405"/>
      <c r="J8" s="405"/>
    </row>
    <row r="9" spans="1:18" ht="18.75">
      <c r="A9" s="534"/>
      <c r="B9" s="405"/>
      <c r="C9" s="405"/>
      <c r="D9" s="405"/>
      <c r="E9" s="405"/>
      <c r="F9" s="405"/>
      <c r="G9" s="405"/>
      <c r="H9" s="405"/>
      <c r="I9" s="405"/>
      <c r="J9" s="405"/>
    </row>
    <row r="11" spans="1:18">
      <c r="B11" s="512" t="s">
        <v>325</v>
      </c>
      <c r="G11" s="414" t="s">
        <v>326</v>
      </c>
      <c r="H11" s="414"/>
      <c r="I11" s="414"/>
    </row>
    <row r="12" spans="1:18" ht="15.75" thickBot="1">
      <c r="B12" s="515" t="s">
        <v>328</v>
      </c>
      <c r="C12" s="513" t="s">
        <v>329</v>
      </c>
      <c r="G12" s="405" t="s">
        <v>9</v>
      </c>
      <c r="I12" s="405" t="s">
        <v>15</v>
      </c>
      <c r="K12" s="405" t="s">
        <v>309</v>
      </c>
    </row>
    <row r="13" spans="1:18">
      <c r="B13" s="516" t="s">
        <v>332</v>
      </c>
      <c r="C13" s="517" t="s">
        <v>333</v>
      </c>
      <c r="D13" s="418"/>
      <c r="E13" s="413" t="s">
        <v>41</v>
      </c>
      <c r="F13" s="418"/>
      <c r="G13" s="414" t="s">
        <v>378</v>
      </c>
      <c r="I13" s="414" t="s">
        <v>379</v>
      </c>
      <c r="K13" s="406" t="s">
        <v>118</v>
      </c>
      <c r="M13" s="535" t="s">
        <v>305</v>
      </c>
      <c r="N13" s="500"/>
      <c r="O13" s="501"/>
      <c r="P13" s="467"/>
      <c r="Q13" s="500" t="s">
        <v>306</v>
      </c>
      <c r="R13" s="501"/>
    </row>
    <row r="14" spans="1:18">
      <c r="G14" s="517"/>
      <c r="H14" s="418"/>
      <c r="I14" s="517"/>
      <c r="M14" s="469" t="s">
        <v>336</v>
      </c>
      <c r="N14" s="430"/>
      <c r="O14" s="470"/>
      <c r="P14" s="430"/>
      <c r="Q14" s="430"/>
      <c r="R14" s="470"/>
    </row>
    <row r="15" spans="1:18">
      <c r="B15" s="422">
        <v>1000</v>
      </c>
      <c r="C15" s="399">
        <v>300</v>
      </c>
      <c r="E15" s="422">
        <f>ROUND((B$15*C15),0)</f>
        <v>300000</v>
      </c>
      <c r="F15" s="422"/>
      <c r="G15" s="526">
        <f>ROUND($E15*N$18/100+$B$15*N$17+IF($B$15&lt;3001,$B$15*O$15+N$15,$B$15*O$16+N$16),2)+Q24</f>
        <v>20276</v>
      </c>
      <c r="H15" s="526"/>
      <c r="I15" s="526">
        <f>ROUND($E15*Q$18/100+$B$15*Q$17+IF($B$15&lt;3001,$B$15*R$15+Q$15,$B$15*R$16+Q$16),2)+Q25</f>
        <v>22442.21</v>
      </c>
      <c r="K15" s="425">
        <f>(I15-G15)/G15</f>
        <v>0.1068361609784967</v>
      </c>
      <c r="M15" s="469" t="s">
        <v>380</v>
      </c>
      <c r="N15" s="475">
        <f>'Billing Determinants'!G848</f>
        <v>1215</v>
      </c>
      <c r="O15" s="417">
        <f>'Billing Determinants'!G851</f>
        <v>0.92</v>
      </c>
      <c r="P15" s="476"/>
      <c r="Q15" s="475">
        <f>'Billing Determinants'!J848</f>
        <v>1365</v>
      </c>
      <c r="R15" s="417">
        <f>'Billing Determinants'!J851</f>
        <v>1.04</v>
      </c>
    </row>
    <row r="16" spans="1:18">
      <c r="C16" s="399">
        <v>500</v>
      </c>
      <c r="E16" s="422">
        <f>ROUND((B$15*C16),0)</f>
        <v>500000</v>
      </c>
      <c r="F16" s="422"/>
      <c r="G16" s="526">
        <f>ROUND($E16*N$18/100+$B$15*N$17+IF($B$15&lt;3001,$B$15*O$15+N$15,$B$15*O$16+N$16),2)+Q24</f>
        <v>28120</v>
      </c>
      <c r="H16" s="526"/>
      <c r="I16" s="526">
        <f>ROUND($E16*Q$18/100+$B$15*Q$17+IF($B$15&lt;3001,$B$15*R$15+Q$15,$B$15*R$16+Q$16),2)+Q25</f>
        <v>30994.21</v>
      </c>
      <c r="K16" s="425">
        <f>(I16-G16)/G16</f>
        <v>0.1022123044096728</v>
      </c>
      <c r="M16" s="469" t="s">
        <v>381</v>
      </c>
      <c r="N16" s="475">
        <f>'Billing Determinants'!G849</f>
        <v>1465</v>
      </c>
      <c r="O16" s="417">
        <f>'Billing Determinants'!G852</f>
        <v>0.84</v>
      </c>
      <c r="P16" s="476"/>
      <c r="Q16" s="475">
        <f>'Billing Determinants'!J849</f>
        <v>1650</v>
      </c>
      <c r="R16" s="417">
        <f>'Billing Determinants'!J852</f>
        <v>0.95</v>
      </c>
    </row>
    <row r="17" spans="2:18">
      <c r="C17" s="399">
        <v>700</v>
      </c>
      <c r="E17" s="422">
        <f>ROUND((B$15*C17),0)</f>
        <v>700000</v>
      </c>
      <c r="F17" s="422"/>
      <c r="G17" s="526">
        <f>ROUND($E17*N$18/100+$B$15*N$17+IF($B$15&lt;3001,$B$15*O$15+N$15,$B$15*O$16+N$16),2)+Q24</f>
        <v>35964</v>
      </c>
      <c r="H17" s="526"/>
      <c r="I17" s="526">
        <f>ROUND($E17*Q$18/100+$B$15*Q$17+IF($B$15&lt;3001,$B$15*R$15+Q$15,$B$15*R$16+Q$16),2)+Q25</f>
        <v>39546.21</v>
      </c>
      <c r="K17" s="425">
        <f>(I17-G17)/G17</f>
        <v>9.9605438772105412E-2</v>
      </c>
      <c r="M17" s="469" t="s">
        <v>332</v>
      </c>
      <c r="N17" s="475">
        <f>'Billing Determinants'!G853</f>
        <v>6.22</v>
      </c>
      <c r="O17" s="481"/>
      <c r="P17" s="476"/>
      <c r="Q17" s="475">
        <f>'Billing Determinants'!J853</f>
        <v>7.02</v>
      </c>
      <c r="R17" s="481"/>
    </row>
    <row r="18" spans="2:18">
      <c r="G18" s="526"/>
      <c r="H18" s="526"/>
      <c r="I18" s="526"/>
      <c r="K18" s="425"/>
      <c r="M18" s="469" t="s">
        <v>312</v>
      </c>
      <c r="N18" s="484">
        <f>'Billing Determinants'!G855+Q20+Q27</f>
        <v>3.9219999999999997</v>
      </c>
      <c r="O18" s="481"/>
      <c r="P18" s="476"/>
      <c r="Q18" s="484">
        <f>'Billing Determinants'!J855+Q21+Q27+Q28</f>
        <v>4.2760000000000007</v>
      </c>
      <c r="R18" s="481"/>
    </row>
    <row r="19" spans="2:18" ht="15.75" thickBot="1">
      <c r="B19" s="422">
        <v>2000</v>
      </c>
      <c r="C19" s="399">
        <v>300</v>
      </c>
      <c r="E19" s="422">
        <f>ROUND((B$19*C19),0)</f>
        <v>600000</v>
      </c>
      <c r="F19" s="422"/>
      <c r="G19" s="526">
        <f>ROUND($E19*N$18/100+$B$19*N$17+IF($B$19&lt;3001,$B$19*O$15+N$15,$B$19*O$16+N$16),2)+Q24</f>
        <v>39182</v>
      </c>
      <c r="H19" s="526"/>
      <c r="I19" s="526">
        <f>ROUND($E19*Q$18/100+$B$19*Q$17+IF($B$19&lt;3001,$B$19*R$15+Q$15,$B$19*R$16+Q$16),2)+Q25</f>
        <v>43330.21</v>
      </c>
      <c r="K19" s="425">
        <f>(I19-G19)/G19</f>
        <v>0.10587029758562604</v>
      </c>
      <c r="M19" s="506" t="s">
        <v>0</v>
      </c>
      <c r="N19" s="507" t="s">
        <v>0</v>
      </c>
      <c r="O19" s="487"/>
      <c r="P19" s="486"/>
      <c r="Q19" s="507" t="s">
        <v>0</v>
      </c>
      <c r="R19" s="508"/>
    </row>
    <row r="20" spans="2:18">
      <c r="C20" s="399">
        <v>500</v>
      </c>
      <c r="E20" s="422">
        <f>ROUND((B$19*C20),0)</f>
        <v>1000000</v>
      </c>
      <c r="F20" s="422"/>
      <c r="G20" s="526">
        <f>ROUND($E20*N$18/100+$B$19*N$17+IF($B$19&lt;3001,$B$19*O$15+N$15,$B$19*O$16+N$16),2)+Q24</f>
        <v>54870</v>
      </c>
      <c r="H20" s="526"/>
      <c r="I20" s="526">
        <f>ROUND($E20*Q$18/100+$B$19*Q$17+IF($B$19&lt;3001,$B$19*R$15+Q$15,$B$19*R$16+Q$16),2)+Q25</f>
        <v>60434.21</v>
      </c>
      <c r="K20" s="425">
        <f>(I20-G20)/G20</f>
        <v>0.10140714415892108</v>
      </c>
      <c r="O20" s="428" t="s">
        <v>313</v>
      </c>
      <c r="P20" s="428"/>
      <c r="Q20" s="429">
        <v>0.16600000000000001</v>
      </c>
    </row>
    <row r="21" spans="2:18">
      <c r="C21" s="399">
        <v>700</v>
      </c>
      <c r="E21" s="422">
        <f>ROUND((B$19*C21),0)</f>
        <v>1400000</v>
      </c>
      <c r="F21" s="422"/>
      <c r="G21" s="526">
        <f>ROUND($E21*N$18/100+$B$19*N$17+IF($B$19&lt;3001,$B$19*O$15+N$15,$B$19*O$16+N$16),2)+Q24</f>
        <v>70558</v>
      </c>
      <c r="H21" s="526"/>
      <c r="I21" s="526">
        <f>ROUND($E21*Q$18/100+$B$19*Q$17+IF($B$19&lt;3001,$B$19*R$15+Q$15,$B$19*R$16+Q$16),2)+Q25</f>
        <v>77538.210000000006</v>
      </c>
      <c r="K21" s="425">
        <f>(I21-G21)/G21</f>
        <v>9.8928682785793337E-2</v>
      </c>
      <c r="O21" s="428"/>
      <c r="P21" s="428"/>
      <c r="Q21" s="429">
        <v>0.16600000000000001</v>
      </c>
    </row>
    <row r="22" spans="2:18">
      <c r="G22" s="526"/>
      <c r="H22" s="526"/>
      <c r="I22" s="526"/>
      <c r="K22" s="425"/>
      <c r="O22" s="428"/>
      <c r="P22" s="428"/>
      <c r="Q22" s="432"/>
    </row>
    <row r="23" spans="2:18">
      <c r="B23" s="422">
        <v>4000</v>
      </c>
      <c r="C23" s="399">
        <v>300</v>
      </c>
      <c r="E23" s="422">
        <f>ROUND((B$23*C23),0)</f>
        <v>1200000</v>
      </c>
      <c r="F23" s="422"/>
      <c r="G23" s="526">
        <f>ROUND($E23*N$18/100+$B$23*N$17+IF($B$23&lt;3001,$B$23*O$15+N$15,$B$23*O$16+N$16),2)+Q24</f>
        <v>76924</v>
      </c>
      <c r="H23" s="526"/>
      <c r="I23" s="526">
        <f>ROUND($E23*Q$18/100+$B$23*Q$17+IF($B$23&lt;3001,$B$23*R$15+Q$15,$B$23*R$16+Q$16),2)+Q25</f>
        <v>85031.21</v>
      </c>
      <c r="K23" s="425">
        <f>(I23-G23)/G23</f>
        <v>0.1053924652904166</v>
      </c>
      <c r="O23" s="399" t="s">
        <v>0</v>
      </c>
      <c r="P23" s="399" t="s">
        <v>0</v>
      </c>
      <c r="Q23" s="399" t="s">
        <v>0</v>
      </c>
    </row>
    <row r="24" spans="2:18">
      <c r="C24" s="399">
        <v>500</v>
      </c>
      <c r="E24" s="422">
        <f>ROUND((B$23*C24),0)</f>
        <v>2000000</v>
      </c>
      <c r="F24" s="422"/>
      <c r="G24" s="526">
        <f>ROUND($E24*N$18/100+$B$23*N$17+IF($B$23&lt;3001,$B$23*O$15+N$15,$B$23*O$16+N$16),2)+Q24</f>
        <v>108300</v>
      </c>
      <c r="H24" s="526"/>
      <c r="I24" s="526">
        <f>ROUND($E24*Q$18/100+$B$23*Q$17+IF($B$23&lt;3001,$B$23*R$15+Q$15,$B$23*R$16+Q$16),2)+Q25</f>
        <v>119239.21</v>
      </c>
      <c r="K24" s="425">
        <f>(I24-G24)/G24</f>
        <v>0.10100840258541095</v>
      </c>
      <c r="O24" s="399" t="s">
        <v>356</v>
      </c>
      <c r="Q24" s="477">
        <v>155</v>
      </c>
      <c r="R24" s="399" t="s">
        <v>0</v>
      </c>
    </row>
    <row r="25" spans="2:18">
      <c r="C25" s="399">
        <v>700</v>
      </c>
      <c r="E25" s="422">
        <f>ROUND((B$23*C25),0)</f>
        <v>2800000</v>
      </c>
      <c r="F25" s="422"/>
      <c r="G25" s="526">
        <f>ROUND($E25*N$18/100+$B$23*N$17+IF($B$23&lt;3001,$B$23*O$15+N$15,$B$23*O$16+N$16),2)+Q24</f>
        <v>139676</v>
      </c>
      <c r="H25" s="526"/>
      <c r="I25" s="526">
        <f>ROUND($E25*Q$18/100+$B$23*Q$17+IF($B$23&lt;3001,$B$23*R$15+Q$15,$B$23*R$16+Q$16),2)+Q25</f>
        <v>153447.21</v>
      </c>
      <c r="K25" s="425">
        <f>(I25-G25)/G25</f>
        <v>9.8593960308141645E-2</v>
      </c>
      <c r="O25" s="399" t="s">
        <v>344</v>
      </c>
      <c r="Q25" s="477">
        <f>'Schedule 191 p1'!E21</f>
        <v>189.21</v>
      </c>
    </row>
    <row r="26" spans="2:18">
      <c r="G26" s="526"/>
      <c r="H26" s="526"/>
      <c r="I26" s="526"/>
      <c r="K26" s="425"/>
    </row>
    <row r="27" spans="2:18">
      <c r="B27" s="422">
        <v>6000</v>
      </c>
      <c r="C27" s="399">
        <v>300</v>
      </c>
      <c r="E27" s="422">
        <f>ROUND((B$27*C27),0)</f>
        <v>1800000</v>
      </c>
      <c r="F27" s="422"/>
      <c r="G27" s="526">
        <f>ROUND($E27*N$18/100+$B$27*N$17+IF($B$27&lt;3001,$B$27*O$15+N$15,$B$27*O$16+N$16),2)+Q24</f>
        <v>114576</v>
      </c>
      <c r="H27" s="526"/>
      <c r="I27" s="526">
        <f>ROUND($E27*Q$18/100+$B$27*Q$17+IF($B$27&lt;3001,$B$27*R$15+Q$15,$B$27*R$16+Q$16),2)+Q25</f>
        <v>126627.21</v>
      </c>
      <c r="K27" s="425">
        <f>(I27-G27)/G27</f>
        <v>0.10518092794302478</v>
      </c>
      <c r="O27" s="399" t="s">
        <v>317</v>
      </c>
      <c r="Q27" s="399">
        <v>3.7999999999999999E-2</v>
      </c>
    </row>
    <row r="28" spans="2:18">
      <c r="C28" s="399">
        <v>500</v>
      </c>
      <c r="E28" s="422">
        <f>ROUND((B$27*C28),0)</f>
        <v>3000000</v>
      </c>
      <c r="F28" s="422"/>
      <c r="G28" s="526">
        <f>ROUND($E28*N$18/100+$B$27*N$17+IF($B$27&lt;3001,$B$27*O$15+N$15,$B$27*O$16+N$16),2)+Q24</f>
        <v>161640</v>
      </c>
      <c r="H28" s="526"/>
      <c r="I28" s="526">
        <f>ROUND($E28*Q$18/100+$B$27*Q$17+IF($B$27&lt;3001,$B$27*R$15+Q$15,$B$27*R$16+Q$16),2)+Q25</f>
        <v>177939.21</v>
      </c>
      <c r="K28" s="425">
        <f>(I28-G28)/G28</f>
        <v>0.10083648849294724</v>
      </c>
      <c r="O28" s="399" t="s">
        <v>345</v>
      </c>
      <c r="Q28" s="399">
        <f>'Rate Spread w bill deter'!AF27</f>
        <v>-0.113</v>
      </c>
    </row>
    <row r="29" spans="2:18">
      <c r="C29" s="399">
        <v>700</v>
      </c>
      <c r="E29" s="422">
        <f>ROUND((B$27*C29),0)</f>
        <v>4200000</v>
      </c>
      <c r="F29" s="422"/>
      <c r="G29" s="526">
        <f>ROUND($E29*N$18/100+$B$27*N$17+IF($B$27&lt;3001,$B$27*O$15+N$15,$B$27*O$16+N$16),2)+Q24</f>
        <v>208704</v>
      </c>
      <c r="H29" s="526"/>
      <c r="I29" s="526">
        <f>ROUND($E29*Q$18/100+$B$27*Q$17+IF($B$27&lt;3001,$B$27*R$15+Q$15,$B$27*R$16+Q$16),2)+Q25</f>
        <v>229251.21</v>
      </c>
      <c r="K29" s="425">
        <f>(I29-G29)/G29</f>
        <v>9.8451443192272267E-2</v>
      </c>
    </row>
    <row r="30" spans="2:18">
      <c r="B30" s="437"/>
      <c r="C30" s="437"/>
      <c r="D30" s="437"/>
      <c r="E30" s="437"/>
      <c r="F30" s="437"/>
      <c r="G30" s="437"/>
      <c r="H30" s="437"/>
      <c r="I30" s="437"/>
      <c r="J30" s="437"/>
      <c r="K30" s="437"/>
    </row>
    <row r="32" spans="2:18">
      <c r="M32" s="433" t="s">
        <v>319</v>
      </c>
      <c r="N32" s="494">
        <f>'Rate Spread w bill deter'!AL27</f>
        <v>0.1033756017835047</v>
      </c>
    </row>
    <row r="33" spans="2:16">
      <c r="B33" s="399" t="s">
        <v>320</v>
      </c>
    </row>
    <row r="34" spans="2:16">
      <c r="B34" s="493" t="s">
        <v>357</v>
      </c>
    </row>
    <row r="35" spans="2:16">
      <c r="B35" s="493" t="s">
        <v>323</v>
      </c>
    </row>
    <row r="36" spans="2:16">
      <c r="B36" s="440"/>
    </row>
    <row r="37" spans="2:16">
      <c r="B37" s="440"/>
    </row>
    <row r="38" spans="2:16">
      <c r="B38" s="440"/>
    </row>
    <row r="39" spans="2:16">
      <c r="B39" s="440"/>
    </row>
    <row r="40" spans="2:16">
      <c r="B40" s="440"/>
    </row>
    <row r="41" spans="2:16">
      <c r="B41" s="440"/>
    </row>
    <row r="42" spans="2:16">
      <c r="B42" s="440"/>
    </row>
    <row r="43" spans="2:16">
      <c r="B43" s="440"/>
    </row>
    <row r="44" spans="2:16">
      <c r="B44" s="440"/>
    </row>
    <row r="45" spans="2:16">
      <c r="B45" s="440"/>
    </row>
    <row r="46" spans="2:16">
      <c r="B46" s="440"/>
    </row>
    <row r="48" spans="2:16">
      <c r="P48" s="442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9"/>
  <sheetViews>
    <sheetView view="pageBreakPreview" zoomScale="60" zoomScaleNormal="100" workbookViewId="0">
      <selection activeCell="B2" sqref="B2"/>
    </sheetView>
  </sheetViews>
  <sheetFormatPr defaultColWidth="8.5" defaultRowHeight="15"/>
  <cols>
    <col min="1" max="1" width="2" style="399" customWidth="1"/>
    <col min="2" max="2" width="8.5" style="399"/>
    <col min="3" max="3" width="8.5" style="399" hidden="1" customWidth="1"/>
    <col min="4" max="4" width="3.25" style="399" customWidth="1"/>
    <col min="5" max="5" width="9.75" style="399" customWidth="1"/>
    <col min="6" max="6" width="3.75" style="399" customWidth="1"/>
    <col min="7" max="7" width="19.875" style="399" customWidth="1"/>
    <col min="8" max="8" width="3.5" style="399" customWidth="1"/>
    <col min="9" max="9" width="19.5" style="399" customWidth="1"/>
    <col min="10" max="10" width="2.875" style="399" customWidth="1"/>
    <col min="11" max="11" width="12.125" style="399" customWidth="1"/>
    <col min="12" max="12" width="3.5" style="533" customWidth="1"/>
    <col min="13" max="13" width="8.5" style="399"/>
    <col min="14" max="14" width="10.125" style="399" customWidth="1"/>
    <col min="15" max="15" width="20.375" style="399" customWidth="1"/>
    <col min="16" max="16" width="2.5" style="399" customWidth="1"/>
    <col min="17" max="17" width="9.875" style="399" bestFit="1" customWidth="1"/>
    <col min="18" max="18" width="7.375" style="399" customWidth="1"/>
    <col min="19" max="19" width="2.5" style="399" customWidth="1"/>
    <col min="20" max="16384" width="8.5" style="399"/>
  </cols>
  <sheetData>
    <row r="2" spans="1:18" ht="18.75">
      <c r="B2" s="408"/>
      <c r="C2" s="405"/>
      <c r="D2" s="405"/>
      <c r="E2" s="405"/>
      <c r="F2" s="405"/>
      <c r="G2" s="405"/>
      <c r="H2" s="405"/>
      <c r="I2" s="405"/>
      <c r="J2" s="402" t="s">
        <v>0</v>
      </c>
      <c r="K2" s="511"/>
    </row>
    <row r="3" spans="1:18" ht="18.75">
      <c r="B3" s="404" t="s">
        <v>300</v>
      </c>
      <c r="C3" s="404"/>
      <c r="D3" s="404"/>
      <c r="E3" s="404"/>
      <c r="F3" s="404"/>
      <c r="G3" s="404"/>
      <c r="H3" s="404"/>
      <c r="I3" s="404"/>
      <c r="J3" s="404"/>
      <c r="K3" s="404"/>
    </row>
    <row r="4" spans="1:18" ht="18.75">
      <c r="B4" s="404" t="s">
        <v>301</v>
      </c>
      <c r="C4" s="404"/>
      <c r="D4" s="404"/>
      <c r="E4" s="404"/>
      <c r="F4" s="404"/>
      <c r="G4" s="404"/>
      <c r="H4" s="404"/>
      <c r="I4" s="404"/>
      <c r="J4" s="404"/>
      <c r="K4" s="404"/>
    </row>
    <row r="5" spans="1:18" ht="18.75">
      <c r="B5" s="404" t="s">
        <v>382</v>
      </c>
      <c r="C5" s="404"/>
      <c r="D5" s="404"/>
      <c r="E5" s="404"/>
      <c r="F5" s="404"/>
      <c r="G5" s="404"/>
      <c r="H5" s="404"/>
      <c r="I5" s="404"/>
      <c r="J5" s="404"/>
      <c r="K5" s="404"/>
    </row>
    <row r="6" spans="1:18" ht="18.75">
      <c r="B6" s="404" t="s">
        <v>377</v>
      </c>
      <c r="C6" s="404"/>
      <c r="D6" s="404"/>
      <c r="E6" s="404"/>
      <c r="F6" s="404"/>
      <c r="G6" s="404"/>
      <c r="H6" s="404"/>
      <c r="I6" s="404"/>
      <c r="J6" s="404"/>
      <c r="K6" s="404"/>
    </row>
    <row r="7" spans="1:18" ht="18.75">
      <c r="B7" s="404" t="s">
        <v>0</v>
      </c>
      <c r="C7" s="404"/>
      <c r="D7" s="404"/>
      <c r="E7" s="404"/>
      <c r="F7" s="404"/>
      <c r="G7" s="404"/>
      <c r="H7" s="404"/>
      <c r="I7" s="404"/>
      <c r="J7" s="404"/>
      <c r="K7" s="404"/>
    </row>
    <row r="8" spans="1:18" ht="18.75">
      <c r="A8" s="534"/>
      <c r="B8" s="405"/>
      <c r="C8" s="405"/>
      <c r="D8" s="405"/>
      <c r="E8" s="405"/>
      <c r="F8" s="405"/>
      <c r="G8" s="405"/>
      <c r="H8" s="405"/>
      <c r="I8" s="405"/>
      <c r="J8" s="405"/>
    </row>
    <row r="9" spans="1:18" ht="18.75">
      <c r="A9" s="534"/>
      <c r="B9" s="405"/>
      <c r="C9" s="405"/>
      <c r="D9" s="405"/>
      <c r="E9" s="405"/>
      <c r="F9" s="405"/>
      <c r="G9" s="405"/>
      <c r="H9" s="405"/>
      <c r="I9" s="405"/>
      <c r="J9" s="405"/>
    </row>
    <row r="11" spans="1:18">
      <c r="B11" s="512" t="s">
        <v>325</v>
      </c>
      <c r="G11" s="414" t="s">
        <v>326</v>
      </c>
      <c r="H11" s="414"/>
      <c r="I11" s="414"/>
    </row>
    <row r="12" spans="1:18" ht="15.75" thickBot="1">
      <c r="B12" s="515" t="s">
        <v>328</v>
      </c>
      <c r="C12" s="513" t="s">
        <v>329</v>
      </c>
      <c r="G12" s="405" t="s">
        <v>9</v>
      </c>
      <c r="I12" s="405" t="s">
        <v>10</v>
      </c>
      <c r="K12" s="405" t="s">
        <v>309</v>
      </c>
    </row>
    <row r="13" spans="1:18">
      <c r="B13" s="516" t="s">
        <v>332</v>
      </c>
      <c r="C13" s="517" t="s">
        <v>333</v>
      </c>
      <c r="D13" s="418"/>
      <c r="E13" s="413" t="s">
        <v>41</v>
      </c>
      <c r="F13" s="418"/>
      <c r="G13" s="414" t="s">
        <v>378</v>
      </c>
      <c r="I13" s="414" t="s">
        <v>379</v>
      </c>
      <c r="K13" s="406" t="s">
        <v>118</v>
      </c>
      <c r="M13" s="535" t="s">
        <v>305</v>
      </c>
      <c r="N13" s="500"/>
      <c r="O13" s="501"/>
      <c r="P13" s="467"/>
      <c r="Q13" s="500" t="s">
        <v>306</v>
      </c>
      <c r="R13" s="501"/>
    </row>
    <row r="14" spans="1:18">
      <c r="G14" s="517"/>
      <c r="H14" s="418"/>
      <c r="I14" s="517"/>
      <c r="M14" s="469" t="s">
        <v>336</v>
      </c>
      <c r="N14" s="430"/>
      <c r="O14" s="470"/>
      <c r="P14" s="430"/>
      <c r="Q14" s="430"/>
      <c r="R14" s="470"/>
    </row>
    <row r="15" spans="1:18">
      <c r="B15" s="422">
        <v>1000</v>
      </c>
      <c r="C15" s="399">
        <v>300</v>
      </c>
      <c r="E15" s="422">
        <f>ROUND((B$15*C15),0)</f>
        <v>300000</v>
      </c>
      <c r="F15" s="422"/>
      <c r="G15" s="526">
        <f>ROUND($E15*N$18/100+$B$15*N$17+IF($B$15&lt;3001,$B$15*O$15+N$15,$B$15*O$16+N$16),2)+$Q$24</f>
        <v>19583</v>
      </c>
      <c r="H15" s="526"/>
      <c r="I15" s="526">
        <f>ROUND($E15*Q$18/100+$B$15*Q$17+IF($B$15&lt;3001,$B$15*R$15+Q$15,$B$15*R$16+Q$16),2)+$Q$25</f>
        <v>21662.21</v>
      </c>
      <c r="K15" s="425">
        <f>(I15-G15)/G15</f>
        <v>0.10617423275289788</v>
      </c>
      <c r="M15" s="469" t="s">
        <v>380</v>
      </c>
      <c r="N15" s="475">
        <f>'Billing Determinants'!G931</f>
        <v>1245</v>
      </c>
      <c r="O15" s="417">
        <f>'Billing Determinants'!G934</f>
        <v>0.45</v>
      </c>
      <c r="P15" s="476"/>
      <c r="Q15" s="475">
        <f>'Billing Determinants'!J931</f>
        <v>1400</v>
      </c>
      <c r="R15" s="417">
        <f>'Billing Determinants'!J934</f>
        <v>0.52</v>
      </c>
    </row>
    <row r="16" spans="1:18">
      <c r="C16" s="399">
        <v>500</v>
      </c>
      <c r="E16" s="422">
        <f>ROUND((B$15*C16),0)</f>
        <v>500000</v>
      </c>
      <c r="F16" s="422"/>
      <c r="G16" s="526">
        <f t="shared" ref="G16:G17" si="0">ROUND($E16*N$18/100+$B$15*N$17+IF($B$15&lt;3001,$B$15*O$15+N$15,$B$15*O$16+N$16),2)+$Q$24</f>
        <v>27325</v>
      </c>
      <c r="H16" s="526"/>
      <c r="I16" s="526">
        <f>ROUND($E16*Q$18/100+$B$15*Q$17+IF($B$15&lt;3001,$B$15*R$15+Q$15,$B$15*R$16+Q$16),2)+$Q$25</f>
        <v>30104.21</v>
      </c>
      <c r="K16" s="425">
        <f>(I16-G16)/G16</f>
        <v>0.10170942360475752</v>
      </c>
      <c r="M16" s="469" t="s">
        <v>381</v>
      </c>
      <c r="N16" s="475">
        <f>'Billing Determinants'!G932</f>
        <v>1490</v>
      </c>
      <c r="O16" s="417">
        <f>'Billing Determinants'!G935</f>
        <v>0.38000000000000006</v>
      </c>
      <c r="P16" s="476"/>
      <c r="Q16" s="475">
        <f>'Billing Determinants'!J932</f>
        <v>1680</v>
      </c>
      <c r="R16" s="417">
        <f>'Billing Determinants'!J935</f>
        <v>0.42</v>
      </c>
    </row>
    <row r="17" spans="2:18">
      <c r="C17" s="399">
        <v>700</v>
      </c>
      <c r="E17" s="422">
        <f>ROUND((B$15*C17),0)</f>
        <v>700000</v>
      </c>
      <c r="F17" s="422"/>
      <c r="G17" s="526">
        <f t="shared" si="0"/>
        <v>35067</v>
      </c>
      <c r="H17" s="526"/>
      <c r="I17" s="526">
        <f>ROUND($E17*Q$18/100+$B$15*Q$17+IF($B$15&lt;3001,$B$15*R$15+Q$15,$B$15*R$16+Q$16),2)+$Q$25</f>
        <v>38546.21</v>
      </c>
      <c r="K17" s="425">
        <f>(I17-G17)/G17</f>
        <v>9.9216072090569457E-2</v>
      </c>
      <c r="M17" s="469" t="s">
        <v>332</v>
      </c>
      <c r="N17" s="475">
        <f>'Billing Determinants'!G936</f>
        <v>6.12</v>
      </c>
      <c r="O17" s="481"/>
      <c r="P17" s="476"/>
      <c r="Q17" s="475">
        <f>'Billing Determinants'!J936</f>
        <v>6.89</v>
      </c>
      <c r="R17" s="481"/>
    </row>
    <row r="18" spans="2:18">
      <c r="G18" s="526"/>
      <c r="H18" s="526"/>
      <c r="I18" s="526"/>
      <c r="K18" s="425"/>
      <c r="M18" s="469" t="s">
        <v>312</v>
      </c>
      <c r="N18" s="484">
        <f>'Billing Determinants'!G938+Q20+Q27</f>
        <v>3.8709999999999996</v>
      </c>
      <c r="O18" s="481"/>
      <c r="P18" s="476"/>
      <c r="Q18" s="484">
        <f>'Billing Determinants'!J938+Q21+Q27+Q28</f>
        <v>4.2210000000000001</v>
      </c>
      <c r="R18" s="481"/>
    </row>
    <row r="19" spans="2:18" ht="15.75" thickBot="1">
      <c r="B19" s="422">
        <v>2000</v>
      </c>
      <c r="C19" s="399">
        <v>300</v>
      </c>
      <c r="E19" s="422">
        <f>ROUND((B$19*C19),0)</f>
        <v>600000</v>
      </c>
      <c r="F19" s="422"/>
      <c r="G19" s="526">
        <f>ROUND($E19*N$18/100+$B$19*N$17+IF($B$19&lt;3001,$B$19*O$15+N$15,$B$19*O$16+N$16),2)+$Q$24</f>
        <v>37766</v>
      </c>
      <c r="H19" s="526"/>
      <c r="I19" s="526">
        <f>ROUND($E19*Q$18/100+$B$19*Q$17+IF($B$19&lt;3001,$B$19*R$15+Q$15,$B$19*R$16+Q$16),2)+$Q$25</f>
        <v>41735.21</v>
      </c>
      <c r="K19" s="425">
        <f>(I19-G19)/G19</f>
        <v>0.10510009002806756</v>
      </c>
      <c r="M19" s="506" t="s">
        <v>0</v>
      </c>
      <c r="N19" s="507" t="s">
        <v>0</v>
      </c>
      <c r="O19" s="487"/>
      <c r="P19" s="486"/>
      <c r="Q19" s="507" t="s">
        <v>0</v>
      </c>
      <c r="R19" s="508"/>
    </row>
    <row r="20" spans="2:18">
      <c r="C20" s="399">
        <v>500</v>
      </c>
      <c r="E20" s="422">
        <f>ROUND((B$19*C20),0)</f>
        <v>1000000</v>
      </c>
      <c r="F20" s="422"/>
      <c r="G20" s="526">
        <f t="shared" ref="G20:G21" si="1">ROUND($E20*N$18/100+$B$19*N$17+IF($B$19&lt;3001,$B$19*O$15+N$15,$B$19*O$16+N$16),2)+$Q$24</f>
        <v>53250</v>
      </c>
      <c r="H20" s="526"/>
      <c r="I20" s="526">
        <f>ROUND($E20*Q$18/100+$B$19*Q$17+IF($B$19&lt;3001,$B$19*R$15+Q$15,$B$19*R$16+Q$16),2)+$Q$25</f>
        <v>58619.21</v>
      </c>
      <c r="K20" s="425">
        <f>(I20-G20)/G20</f>
        <v>0.10083023474178403</v>
      </c>
      <c r="O20" s="428" t="s">
        <v>313</v>
      </c>
      <c r="P20" s="428"/>
      <c r="Q20" s="429">
        <v>0.16600000000000001</v>
      </c>
    </row>
    <row r="21" spans="2:18">
      <c r="C21" s="399">
        <v>700</v>
      </c>
      <c r="E21" s="422">
        <f>ROUND((B$19*C21),0)</f>
        <v>1400000</v>
      </c>
      <c r="F21" s="422"/>
      <c r="G21" s="526">
        <f t="shared" si="1"/>
        <v>68734</v>
      </c>
      <c r="H21" s="526"/>
      <c r="I21" s="526">
        <f>ROUND($E21*Q$18/100+$B$19*Q$17+IF($B$19&lt;3001,$B$19*R$15+Q$15,$B$19*R$16+Q$16),2)+$Q$25</f>
        <v>75503.210000000006</v>
      </c>
      <c r="K21" s="425">
        <f>(I21-G21)/G21</f>
        <v>9.8484156312741974E-2</v>
      </c>
      <c r="O21" s="428"/>
      <c r="P21" s="428"/>
      <c r="Q21" s="429">
        <v>0.16600000000000001</v>
      </c>
    </row>
    <row r="22" spans="2:18">
      <c r="G22" s="526"/>
      <c r="H22" s="526"/>
      <c r="I22" s="526"/>
      <c r="K22" s="425"/>
      <c r="O22" s="428"/>
      <c r="P22" s="428"/>
      <c r="Q22" s="432"/>
    </row>
    <row r="23" spans="2:18">
      <c r="B23" s="422">
        <v>4000</v>
      </c>
      <c r="C23" s="399">
        <v>300</v>
      </c>
      <c r="E23" s="422">
        <f>ROUND((B$23*C23),0)</f>
        <v>1200000</v>
      </c>
      <c r="F23" s="422"/>
      <c r="G23" s="526">
        <f>ROUND($E23*N$18/100+$B$23*N$17+IF($B$23&lt;3001,$B$23*O$15+N$15,$B$23*O$16+N$16),2)+$Q$24</f>
        <v>74097</v>
      </c>
      <c r="H23" s="526"/>
      <c r="I23" s="526">
        <f>ROUND($E23*Q$18/100+$B$23*Q$17+IF($B$23&lt;3001,$B$23*R$15+Q$15,$B$23*R$16+Q$16),2)+$Q$25</f>
        <v>81761.210000000006</v>
      </c>
      <c r="K23" s="425">
        <f>(I23-G23)/G23</f>
        <v>0.10343482192261504</v>
      </c>
      <c r="O23" s="399" t="s">
        <v>0</v>
      </c>
      <c r="P23" s="399" t="s">
        <v>0</v>
      </c>
      <c r="Q23" s="399" t="s">
        <v>0</v>
      </c>
    </row>
    <row r="24" spans="2:18">
      <c r="C24" s="399">
        <v>500</v>
      </c>
      <c r="E24" s="422">
        <f>ROUND((B$23*C24),0)</f>
        <v>2000000</v>
      </c>
      <c r="F24" s="422"/>
      <c r="G24" s="526">
        <f t="shared" ref="G24:G25" si="2">ROUND($E24*N$18/100+$B$23*N$17+IF($B$23&lt;3001,$B$23*O$15+N$15,$B$23*O$16+N$16),2)+$Q$24</f>
        <v>105065</v>
      </c>
      <c r="H24" s="526"/>
      <c r="I24" s="526">
        <f>ROUND($E24*Q$18/100+$B$23*Q$17+IF($B$23&lt;3001,$B$23*R$15+Q$15,$B$23*R$16+Q$16),2)+$Q$25</f>
        <v>115529.21</v>
      </c>
      <c r="K24" s="425">
        <f>(I24-G24)/G24</f>
        <v>9.9597487269785429E-2</v>
      </c>
      <c r="O24" s="399" t="s">
        <v>356</v>
      </c>
      <c r="Q24" s="477">
        <v>155</v>
      </c>
      <c r="R24" s="399" t="s">
        <v>0</v>
      </c>
    </row>
    <row r="25" spans="2:18">
      <c r="C25" s="399">
        <v>700</v>
      </c>
      <c r="E25" s="422">
        <f>ROUND((B$23*C25),0)</f>
        <v>2800000</v>
      </c>
      <c r="F25" s="422"/>
      <c r="G25" s="526">
        <f t="shared" si="2"/>
        <v>136033</v>
      </c>
      <c r="H25" s="526"/>
      <c r="I25" s="526">
        <f>ROUND($E25*Q$18/100+$B$23*Q$17+IF($B$23&lt;3001,$B$23*R$15+Q$15,$B$23*R$16+Q$16),2)+$Q$25</f>
        <v>149297.21</v>
      </c>
      <c r="K25" s="425">
        <f>(I25-G25)/G25</f>
        <v>9.7507296023758877E-2</v>
      </c>
      <c r="O25" s="399" t="s">
        <v>344</v>
      </c>
      <c r="P25" s="444"/>
      <c r="Q25" s="477">
        <f>'Schedule 191 p1'!E21</f>
        <v>189.21</v>
      </c>
    </row>
    <row r="26" spans="2:18">
      <c r="G26" s="526" t="s">
        <v>0</v>
      </c>
      <c r="H26" s="526"/>
      <c r="I26" s="526"/>
      <c r="K26" s="425"/>
    </row>
    <row r="27" spans="2:18">
      <c r="B27" s="422">
        <v>6000</v>
      </c>
      <c r="C27" s="399">
        <v>300</v>
      </c>
      <c r="E27" s="422">
        <f>ROUND((B$27*C27),0)</f>
        <v>1800000</v>
      </c>
      <c r="F27" s="422"/>
      <c r="G27" s="526">
        <f>ROUND($E27*N$18/100+$B$27*N$17+IF($B$27&lt;3001,$B$27*O$15+N$15,$B$27*O$16+N$16),2)+$Q$24</f>
        <v>110323</v>
      </c>
      <c r="H27" s="526"/>
      <c r="I27" s="526">
        <f>ROUND($E27*Q$18/100+$B$27*Q$17+IF($B$27&lt;3001,$B$27*R$15+Q$15,$B$27*R$16+Q$16),2)+$Q$25</f>
        <v>121707.21</v>
      </c>
      <c r="K27" s="425">
        <f>(I27-G27)/G27</f>
        <v>0.10318981536035103</v>
      </c>
      <c r="O27" s="399" t="s">
        <v>317</v>
      </c>
      <c r="Q27" s="399">
        <v>3.7999999999999999E-2</v>
      </c>
    </row>
    <row r="28" spans="2:18">
      <c r="C28" s="399">
        <v>500</v>
      </c>
      <c r="E28" s="422">
        <f>ROUND((B$27*C28),0)</f>
        <v>3000000</v>
      </c>
      <c r="F28" s="422"/>
      <c r="G28" s="526">
        <f t="shared" ref="G28:G29" si="3">ROUND($E28*N$18/100+$B$27*N$17+IF($B$27&lt;3001,$B$27*O$15+N$15,$B$27*O$16+N$16),2)+$Q$24</f>
        <v>156775</v>
      </c>
      <c r="H28" s="526"/>
      <c r="I28" s="526">
        <f>ROUND($E28*Q$18/100+$B$27*Q$17+IF($B$27&lt;3001,$B$27*R$15+Q$15,$B$27*R$16+Q$16),2)+$Q$25</f>
        <v>172359.21</v>
      </c>
      <c r="K28" s="425">
        <f>(I28-G28)/G28</f>
        <v>9.9404943390208847E-2</v>
      </c>
      <c r="O28" s="399" t="s">
        <v>345</v>
      </c>
      <c r="Q28" s="399">
        <f>'Rate Spread w bill deter'!AF27</f>
        <v>-0.113</v>
      </c>
    </row>
    <row r="29" spans="2:18">
      <c r="C29" s="399">
        <v>700</v>
      </c>
      <c r="E29" s="422">
        <f>ROUND((B$27*C29),0)</f>
        <v>4200000</v>
      </c>
      <c r="F29" s="422"/>
      <c r="G29" s="526">
        <f t="shared" si="3"/>
        <v>203227</v>
      </c>
      <c r="H29" s="526"/>
      <c r="I29" s="526">
        <f>ROUND($E29*Q$18/100+$B$27*Q$17+IF($B$27&lt;3001,$B$27*R$15+Q$15,$B$27*R$16+Q$16),2)+$Q$25</f>
        <v>223011.21</v>
      </c>
      <c r="K29" s="425">
        <f>(I29-G29)/G29</f>
        <v>9.7350302863300597E-2</v>
      </c>
    </row>
    <row r="30" spans="2:18"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M30" s="433" t="s">
        <v>319</v>
      </c>
      <c r="N30" s="494">
        <f>'Rate Spread w bill deter'!AL27</f>
        <v>0.1033756017835047</v>
      </c>
    </row>
    <row r="33" spans="2:15">
      <c r="B33" s="399" t="s">
        <v>320</v>
      </c>
    </row>
    <row r="34" spans="2:15">
      <c r="B34" s="493" t="s">
        <v>357</v>
      </c>
      <c r="O34" s="399" t="s">
        <v>0</v>
      </c>
    </row>
    <row r="35" spans="2:15">
      <c r="B35" s="493" t="s">
        <v>323</v>
      </c>
    </row>
    <row r="36" spans="2:15">
      <c r="B36" s="440"/>
    </row>
    <row r="37" spans="2:15">
      <c r="B37" s="440"/>
    </row>
    <row r="38" spans="2:15">
      <c r="B38" s="440"/>
    </row>
    <row r="39" spans="2:15">
      <c r="B39" s="440"/>
    </row>
    <row r="40" spans="2:15">
      <c r="B40" s="440"/>
    </row>
    <row r="41" spans="2:15">
      <c r="B41" s="440"/>
    </row>
    <row r="42" spans="2:15">
      <c r="B42" s="440"/>
    </row>
    <row r="43" spans="2:15">
      <c r="B43" s="440"/>
    </row>
    <row r="44" spans="2:15">
      <c r="B44" s="440"/>
    </row>
    <row r="45" spans="2:15">
      <c r="B45" s="440"/>
    </row>
    <row r="46" spans="2:15">
      <c r="B46" s="440"/>
    </row>
    <row r="47" spans="2:15">
      <c r="B47" s="440"/>
    </row>
    <row r="49" spans="16:16">
      <c r="P49" s="442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49"/>
  <sheetViews>
    <sheetView view="pageBreakPreview" zoomScale="60" zoomScaleNormal="100" workbookViewId="0">
      <selection activeCell="B2" sqref="B2"/>
    </sheetView>
  </sheetViews>
  <sheetFormatPr defaultColWidth="8.5" defaultRowHeight="15"/>
  <cols>
    <col min="1" max="1" width="2" style="399" customWidth="1"/>
    <col min="2" max="2" width="8.5" style="399"/>
    <col min="3" max="3" width="8.5" style="399" hidden="1" customWidth="1"/>
    <col min="4" max="4" width="3.25" style="399" customWidth="1"/>
    <col min="5" max="5" width="10.75" style="399" bestFit="1" customWidth="1"/>
    <col min="6" max="6" width="3.75" style="399" customWidth="1"/>
    <col min="7" max="7" width="19.875" style="399" customWidth="1"/>
    <col min="8" max="8" width="3.5" style="399" customWidth="1"/>
    <col min="9" max="9" width="19.5" style="399" customWidth="1"/>
    <col min="10" max="10" width="2.875" style="399" customWidth="1"/>
    <col min="11" max="11" width="12.125" style="399" customWidth="1"/>
    <col min="12" max="12" width="3.5" style="533" customWidth="1"/>
    <col min="13" max="13" width="8.5" style="399"/>
    <col min="14" max="14" width="10.125" style="399" customWidth="1"/>
    <col min="15" max="15" width="20.375" style="399" customWidth="1"/>
    <col min="16" max="16" width="2.5" style="399" customWidth="1"/>
    <col min="17" max="17" width="14.375" style="399" customWidth="1"/>
    <col min="18" max="18" width="10.375" style="399" bestFit="1" customWidth="1"/>
    <col min="19" max="19" width="7.375" style="399" customWidth="1"/>
    <col min="20" max="20" width="2.5" style="399" customWidth="1"/>
    <col min="21" max="16384" width="8.5" style="399"/>
  </cols>
  <sheetData>
    <row r="2" spans="1:19" ht="18.75">
      <c r="B2" s="408"/>
      <c r="C2" s="405"/>
      <c r="D2" s="405"/>
      <c r="E2" s="405"/>
      <c r="F2" s="405"/>
      <c r="G2" s="405"/>
      <c r="H2" s="405"/>
      <c r="I2" s="405"/>
      <c r="J2" s="402" t="s">
        <v>0</v>
      </c>
      <c r="K2" s="511"/>
    </row>
    <row r="3" spans="1:19" ht="18.75">
      <c r="B3" s="404" t="s">
        <v>300</v>
      </c>
      <c r="C3" s="404"/>
      <c r="D3" s="404"/>
      <c r="E3" s="404"/>
      <c r="F3" s="404"/>
      <c r="G3" s="404"/>
      <c r="H3" s="404"/>
      <c r="I3" s="404"/>
      <c r="J3" s="404"/>
      <c r="K3" s="404"/>
    </row>
    <row r="4" spans="1:19" ht="18.75">
      <c r="B4" s="404" t="s">
        <v>301</v>
      </c>
      <c r="C4" s="404"/>
      <c r="D4" s="404"/>
      <c r="E4" s="404"/>
      <c r="F4" s="404"/>
      <c r="G4" s="404"/>
      <c r="H4" s="404"/>
      <c r="I4" s="404"/>
      <c r="J4" s="404"/>
      <c r="K4" s="404"/>
    </row>
    <row r="5" spans="1:19" ht="18.75">
      <c r="B5" s="404" t="s">
        <v>382</v>
      </c>
      <c r="C5" s="404"/>
      <c r="D5" s="404"/>
      <c r="E5" s="404"/>
      <c r="F5" s="404"/>
      <c r="G5" s="404"/>
      <c r="H5" s="404"/>
      <c r="I5" s="404"/>
      <c r="J5" s="404"/>
      <c r="K5" s="404"/>
    </row>
    <row r="6" spans="1:19" ht="18.75">
      <c r="B6" s="404" t="s">
        <v>383</v>
      </c>
      <c r="C6" s="404"/>
      <c r="D6" s="404"/>
      <c r="E6" s="404"/>
      <c r="F6" s="404"/>
      <c r="G6" s="404"/>
      <c r="H6" s="404"/>
      <c r="I6" s="404"/>
      <c r="J6" s="404"/>
      <c r="K6" s="404"/>
    </row>
    <row r="7" spans="1:19" ht="18.75">
      <c r="B7" s="404" t="s">
        <v>384</v>
      </c>
      <c r="C7" s="404"/>
      <c r="D7" s="404"/>
      <c r="E7" s="404"/>
      <c r="F7" s="404"/>
      <c r="G7" s="404"/>
      <c r="H7" s="404"/>
      <c r="I7" s="404"/>
      <c r="J7" s="404"/>
      <c r="K7" s="404"/>
    </row>
    <row r="8" spans="1:19" ht="18.75">
      <c r="A8" s="534"/>
      <c r="B8" s="405"/>
      <c r="C8" s="405"/>
      <c r="D8" s="405"/>
      <c r="E8" s="405"/>
      <c r="F8" s="405"/>
      <c r="G8" s="405"/>
      <c r="H8" s="405"/>
      <c r="I8" s="405"/>
      <c r="J8" s="405"/>
    </row>
    <row r="9" spans="1:19" ht="18.75">
      <c r="A9" s="534"/>
      <c r="B9" s="405"/>
      <c r="C9" s="405"/>
      <c r="D9" s="405"/>
      <c r="E9" s="405"/>
      <c r="F9" s="405"/>
      <c r="G9" s="405"/>
      <c r="H9" s="405"/>
      <c r="I9" s="405"/>
      <c r="J9" s="405"/>
    </row>
    <row r="11" spans="1:19">
      <c r="B11" s="512" t="s">
        <v>325</v>
      </c>
      <c r="G11" s="414" t="s">
        <v>326</v>
      </c>
      <c r="H11" s="414"/>
      <c r="I11" s="414"/>
    </row>
    <row r="12" spans="1:19" ht="15.75" thickBot="1">
      <c r="B12" s="515" t="s">
        <v>328</v>
      </c>
      <c r="C12" s="513" t="s">
        <v>329</v>
      </c>
      <c r="G12" s="405" t="s">
        <v>9</v>
      </c>
      <c r="I12" s="405" t="s">
        <v>15</v>
      </c>
      <c r="K12" s="405" t="s">
        <v>309</v>
      </c>
    </row>
    <row r="13" spans="1:19">
      <c r="B13" s="516" t="s">
        <v>332</v>
      </c>
      <c r="C13" s="517" t="s">
        <v>333</v>
      </c>
      <c r="D13" s="418"/>
      <c r="E13" s="413" t="s">
        <v>41</v>
      </c>
      <c r="F13" s="418"/>
      <c r="G13" s="414" t="s">
        <v>378</v>
      </c>
      <c r="I13" s="414" t="s">
        <v>379</v>
      </c>
      <c r="K13" s="406" t="s">
        <v>118</v>
      </c>
      <c r="M13" s="535" t="s">
        <v>305</v>
      </c>
      <c r="N13" s="500"/>
      <c r="O13" s="501"/>
      <c r="P13" s="467"/>
      <c r="Q13" s="467"/>
      <c r="R13" s="500" t="s">
        <v>306</v>
      </c>
      <c r="S13" s="501"/>
    </row>
    <row r="14" spans="1:19">
      <c r="G14" s="517"/>
      <c r="H14" s="418"/>
      <c r="I14" s="517"/>
      <c r="M14" s="469" t="s">
        <v>336</v>
      </c>
      <c r="N14" s="430"/>
      <c r="O14" s="470"/>
      <c r="P14" s="430"/>
      <c r="Q14" s="430"/>
      <c r="R14" s="430"/>
      <c r="S14" s="470"/>
    </row>
    <row r="15" spans="1:19">
      <c r="B15" s="422">
        <v>30000</v>
      </c>
      <c r="C15" s="399">
        <v>300</v>
      </c>
      <c r="E15" s="422">
        <f>ROUND((B$15*C15),0)</f>
        <v>9000000</v>
      </c>
      <c r="F15" s="422"/>
      <c r="G15" s="526">
        <f>ROUND($E15*N$18/100+$B$15*N$17+IF($B$15&lt;3001,$B$15*O$15+N$15,$B$15*O$16+N$16),2)+$R$24</f>
        <v>538715</v>
      </c>
      <c r="H15" s="526"/>
      <c r="I15" s="526">
        <f>ROUND($E15*R$18/100+$B$15*R$17+IF($B$15&lt;3001,$B$15*S$15+R$15,$B$15*S$16+R$16),2)+$R$25</f>
        <v>595471.21</v>
      </c>
      <c r="K15" s="425">
        <f>(I15-G15)/G15</f>
        <v>0.10535479799151679</v>
      </c>
      <c r="M15" s="469" t="s">
        <v>380</v>
      </c>
      <c r="N15" s="475" t="s">
        <v>0</v>
      </c>
      <c r="O15" s="417" t="s">
        <v>0</v>
      </c>
      <c r="P15" s="476"/>
      <c r="Q15" s="430" t="s">
        <v>0</v>
      </c>
      <c r="R15" s="475" t="s">
        <v>0</v>
      </c>
      <c r="S15" s="417" t="s">
        <v>0</v>
      </c>
    </row>
    <row r="16" spans="1:19">
      <c r="C16" s="399">
        <v>500</v>
      </c>
      <c r="E16" s="422">
        <f>ROUND((B$15*C16),0)</f>
        <v>15000000</v>
      </c>
      <c r="F16" s="422"/>
      <c r="G16" s="526">
        <f t="shared" ref="G16:G17" si="0">ROUND($E16*N$18/100+$B$15*N$17+IF($B$15&lt;3001,$B$15*O$15+N$15,$B$15*O$16+N$16),2)+$R$24</f>
        <v>770555</v>
      </c>
      <c r="H16" s="526"/>
      <c r="I16" s="526">
        <f>ROUND($E16*R$18/100+$B$15*R$17+IF($B$15&lt;3001,$B$15*S$15+R$15,$B$15*S$16+R$16),2)+$R$25</f>
        <v>848851.21</v>
      </c>
      <c r="K16" s="425">
        <f>(I16-G16)/G16</f>
        <v>0.10161015112483854</v>
      </c>
      <c r="M16" s="469" t="s">
        <v>381</v>
      </c>
      <c r="N16" s="475">
        <f>'Billing Determinants'!G1041</f>
        <v>2100</v>
      </c>
      <c r="O16" s="417">
        <f>'Billing Determinants'!G1044</f>
        <v>0.2</v>
      </c>
      <c r="P16" s="476"/>
      <c r="Q16" s="430" t="s">
        <v>385</v>
      </c>
      <c r="R16" s="475">
        <f>'Billing Determinants'!J1041</f>
        <v>2512</v>
      </c>
      <c r="S16" s="417">
        <f>'Billing Determinants'!J1044</f>
        <v>0.23</v>
      </c>
    </row>
    <row r="17" spans="2:19">
      <c r="C17" s="399">
        <v>700</v>
      </c>
      <c r="E17" s="422">
        <f>ROUND((B$15*C17),0)</f>
        <v>21000000</v>
      </c>
      <c r="F17" s="422"/>
      <c r="G17" s="526">
        <f t="shared" si="0"/>
        <v>1002395</v>
      </c>
      <c r="H17" s="526"/>
      <c r="I17" s="526">
        <f>ROUND($E17*R$18/100+$B$15*R$17+IF($B$15&lt;3001,$B$15*S$15+R$15,$B$15*S$16+R$16),2)+$R$25</f>
        <v>1102231.21</v>
      </c>
      <c r="K17" s="425">
        <f>(I17-G17)/G17</f>
        <v>9.9597673571795511E-2</v>
      </c>
      <c r="M17" s="469" t="s">
        <v>332</v>
      </c>
      <c r="N17" s="475">
        <f>'Billing Determinants'!G1045</f>
        <v>6.09</v>
      </c>
      <c r="O17" s="481"/>
      <c r="P17" s="476"/>
      <c r="Q17" s="476"/>
      <c r="R17" s="475">
        <f>'Billing Determinants'!J1045</f>
        <v>6.86</v>
      </c>
      <c r="S17" s="481"/>
    </row>
    <row r="18" spans="2:19">
      <c r="G18" s="526"/>
      <c r="H18" s="526"/>
      <c r="I18" s="526"/>
      <c r="K18" s="425"/>
      <c r="M18" s="469" t="s">
        <v>312</v>
      </c>
      <c r="N18" s="484">
        <f>'Billing Determinants'!G1047+R20+R27</f>
        <v>3.8639999999999999</v>
      </c>
      <c r="O18" s="481"/>
      <c r="P18" s="476"/>
      <c r="Q18" s="476"/>
      <c r="R18" s="484">
        <f>'Billing Determinants'!J1047+R20+R27+R28</f>
        <v>4.2229999999999999</v>
      </c>
      <c r="S18" s="481"/>
    </row>
    <row r="19" spans="2:19" ht="15.75" thickBot="1">
      <c r="B19" s="422">
        <v>40000</v>
      </c>
      <c r="C19" s="399">
        <v>300</v>
      </c>
      <c r="E19" s="422">
        <f>ROUND((B$19*C19),0)</f>
        <v>12000000</v>
      </c>
      <c r="F19" s="422"/>
      <c r="G19" s="526">
        <f>ROUND($E19*N$18/100+$B$19*N$17+IF($B$19&lt;3001,$B$19*O$15+N$15,$B$19*O$16+N$16),2)+$R$24</f>
        <v>717535</v>
      </c>
      <c r="H19" s="526"/>
      <c r="I19" s="526">
        <f>ROUND($E19*R$18/100+$B$19*R$17+IF($B$19&lt;3001,$B$19*S$15+R$15,$B$19*S$16+R$16),2)+$R$25</f>
        <v>793061.21</v>
      </c>
      <c r="K19" s="425">
        <f>(I19-G19)/G19</f>
        <v>0.10525787592242881</v>
      </c>
      <c r="M19" s="506" t="s">
        <v>0</v>
      </c>
      <c r="N19" s="507" t="s">
        <v>0</v>
      </c>
      <c r="O19" s="487"/>
      <c r="P19" s="486"/>
      <c r="Q19" s="486"/>
      <c r="R19" s="507" t="s">
        <v>0</v>
      </c>
      <c r="S19" s="508"/>
    </row>
    <row r="20" spans="2:19">
      <c r="C20" s="399">
        <v>500</v>
      </c>
      <c r="E20" s="422">
        <f>ROUND((B$19*C20),0)</f>
        <v>20000000</v>
      </c>
      <c r="F20" s="422"/>
      <c r="G20" s="526">
        <f t="shared" ref="G20:G21" si="1">ROUND($E20*N$18/100+$B$19*N$17+IF($B$19&lt;3001,$B$19*O$15+N$15,$B$19*O$16+N$16),2)+$R$24</f>
        <v>1026655</v>
      </c>
      <c r="H20" s="526"/>
      <c r="I20" s="526">
        <f>ROUND($E20*R$18/100+$B$19*R$17+IF($B$19&lt;3001,$B$19*S$15+R$15,$B$19*S$16+R$16),2)+$R$25</f>
        <v>1130901.21</v>
      </c>
      <c r="K20" s="425">
        <f>(I20-G20)/G20</f>
        <v>0.10153967009365363</v>
      </c>
      <c r="O20" s="428" t="s">
        <v>313</v>
      </c>
      <c r="P20" s="428"/>
      <c r="Q20" s="428"/>
      <c r="R20" s="429">
        <v>0.16600000000000001</v>
      </c>
    </row>
    <row r="21" spans="2:19">
      <c r="C21" s="399">
        <v>700</v>
      </c>
      <c r="E21" s="422">
        <f>ROUND((B$19*C21),0)</f>
        <v>28000000</v>
      </c>
      <c r="F21" s="422"/>
      <c r="G21" s="526">
        <f t="shared" si="1"/>
        <v>1335775</v>
      </c>
      <c r="H21" s="526"/>
      <c r="I21" s="526">
        <f>ROUND($E21*R$18/100+$B$19*R$17+IF($B$19&lt;3001,$B$19*S$15+R$15,$B$19*S$16+R$16),2)+$R$25</f>
        <v>1468741.21</v>
      </c>
      <c r="K21" s="425">
        <f>(I21-G21)/G21</f>
        <v>9.9542370533959659E-2</v>
      </c>
      <c r="O21" s="428"/>
      <c r="P21" s="428"/>
      <c r="Q21" s="428"/>
      <c r="R21" s="429">
        <v>0.16600000000000001</v>
      </c>
    </row>
    <row r="22" spans="2:19">
      <c r="G22" s="526"/>
      <c r="H22" s="526"/>
      <c r="I22" s="526"/>
      <c r="K22" s="425"/>
      <c r="O22" s="428"/>
      <c r="P22" s="428"/>
      <c r="Q22" s="428"/>
      <c r="R22" s="432"/>
    </row>
    <row r="23" spans="2:19">
      <c r="B23" s="422">
        <v>50000</v>
      </c>
      <c r="C23" s="399">
        <v>300</v>
      </c>
      <c r="E23" s="422">
        <f>ROUND((B$23*C23),0)</f>
        <v>15000000</v>
      </c>
      <c r="F23" s="422"/>
      <c r="G23" s="526">
        <f>ROUND($E23*N$18/100+$B$23*N$17+IF($B$23&lt;3001,$B$23*O$15+N$15,$B$23*O$16+N$16),2)+$R$24</f>
        <v>896355</v>
      </c>
      <c r="H23" s="526"/>
      <c r="I23" s="526">
        <f>ROUND($E23*R$18/100+$B$23*R$17+IF($B$23&lt;3001,$B$23*S$15+R$15,$B$23*S$16+R$16),2)+$R$25</f>
        <v>990651.21</v>
      </c>
      <c r="K23" s="425">
        <f>(I23-G23)/G23</f>
        <v>0.10519962514851812</v>
      </c>
      <c r="O23" s="399" t="s">
        <v>0</v>
      </c>
      <c r="P23" s="399" t="s">
        <v>0</v>
      </c>
      <c r="R23" s="399" t="s">
        <v>0</v>
      </c>
    </row>
    <row r="24" spans="2:19">
      <c r="C24" s="399">
        <v>500</v>
      </c>
      <c r="E24" s="422">
        <f>ROUND((B$23*C24),0)</f>
        <v>25000000</v>
      </c>
      <c r="F24" s="422"/>
      <c r="G24" s="526">
        <f t="shared" ref="G24:G25" si="2">ROUND($E24*N$18/100+$B$23*N$17+IF($B$23&lt;3001,$B$23*O$15+N$15,$B$23*O$16+N$16),2)+$R$24</f>
        <v>1282755</v>
      </c>
      <c r="H24" s="526"/>
      <c r="I24" s="526">
        <f>ROUND($E24*R$18/100+$B$23*R$17+IF($B$23&lt;3001,$B$23*S$15+R$15,$B$23*S$16+R$16),2)+$R$25</f>
        <v>1412951.21</v>
      </c>
      <c r="K24" s="425">
        <f>(I24-G24)/G24</f>
        <v>0.1014973319145121</v>
      </c>
      <c r="O24" s="399" t="s">
        <v>356</v>
      </c>
      <c r="R24" s="477">
        <v>155</v>
      </c>
      <c r="S24" s="399" t="s">
        <v>0</v>
      </c>
    </row>
    <row r="25" spans="2:19">
      <c r="C25" s="399">
        <v>700</v>
      </c>
      <c r="E25" s="422">
        <f>ROUND((B$23*C25),0)</f>
        <v>35000000</v>
      </c>
      <c r="F25" s="422"/>
      <c r="G25" s="526">
        <f t="shared" si="2"/>
        <v>1669155</v>
      </c>
      <c r="H25" s="526"/>
      <c r="I25" s="526">
        <f>ROUND($E25*R$18/100+$B$23*R$17+IF($B$23&lt;3001,$B$23*S$15+R$15,$B$23*S$16+R$16),2)+$R$25</f>
        <v>1835251.21</v>
      </c>
      <c r="K25" s="425">
        <f>(I25-G25)/G25</f>
        <v>9.9509158825872954E-2</v>
      </c>
      <c r="O25" s="399" t="s">
        <v>344</v>
      </c>
      <c r="P25" s="444"/>
      <c r="Q25" s="444"/>
      <c r="R25" s="477">
        <f>'Schedule 191 p1'!E21</f>
        <v>189.21</v>
      </c>
    </row>
    <row r="26" spans="2:19">
      <c r="G26" s="526"/>
      <c r="H26" s="526"/>
      <c r="I26" s="526"/>
      <c r="K26" s="425"/>
    </row>
    <row r="27" spans="2:19">
      <c r="B27" s="422">
        <v>60000</v>
      </c>
      <c r="C27" s="399">
        <v>300</v>
      </c>
      <c r="E27" s="422">
        <f>ROUND((B$27*C27),0)</f>
        <v>18000000</v>
      </c>
      <c r="F27" s="422"/>
      <c r="G27" s="526">
        <f>ROUND($E27*N$18/100+$B$27*N$17+IF($B$27&lt;3001,$B$27*O$15+N$15,$B$27*O$16+N$16),2)+$R$24</f>
        <v>1075175</v>
      </c>
      <c r="H27" s="526"/>
      <c r="I27" s="526">
        <f>ROUND($E27*R$18/100+$B$27*R$17+IF($B$27&lt;3001,$B$27*S$15+R$15,$B$27*S$16+R$16),2)+$R$25</f>
        <v>1188241.21</v>
      </c>
      <c r="K27" s="425">
        <f>(I27-G27)/G27</f>
        <v>0.10516075057548768</v>
      </c>
      <c r="O27" s="399" t="s">
        <v>317</v>
      </c>
      <c r="R27" s="399">
        <v>3.7999999999999999E-2</v>
      </c>
    </row>
    <row r="28" spans="2:19">
      <c r="C28" s="399">
        <v>500</v>
      </c>
      <c r="E28" s="422">
        <f>ROUND((B$27*C28),0)</f>
        <v>30000000</v>
      </c>
      <c r="F28" s="422"/>
      <c r="G28" s="526">
        <f t="shared" ref="G28:G29" si="3">ROUND($E28*N$18/100+$B$27*N$17+IF($B$27&lt;3001,$B$27*O$15+N$15,$B$27*O$16+N$16),2)+$R$24</f>
        <v>1538855</v>
      </c>
      <c r="H28" s="526"/>
      <c r="I28" s="526">
        <f>ROUND($E28*R$18/100+$B$27*R$17+IF($B$27&lt;3001,$B$27*S$15+R$15,$B$27*S$16+R$16),2)+$R$25</f>
        <v>1695001.21</v>
      </c>
      <c r="K28" s="425">
        <f>(I28-G28)/G28</f>
        <v>0.1014690857813114</v>
      </c>
      <c r="O28" s="399" t="s">
        <v>386</v>
      </c>
      <c r="R28" s="399">
        <f>'Rate Spread w bill deter'!AF28</f>
        <v>-0.105</v>
      </c>
    </row>
    <row r="29" spans="2:19">
      <c r="C29" s="399">
        <v>700</v>
      </c>
      <c r="E29" s="422">
        <f>ROUND((B$27*C29),0)</f>
        <v>42000000</v>
      </c>
      <c r="F29" s="422"/>
      <c r="G29" s="526">
        <f t="shared" si="3"/>
        <v>2002535</v>
      </c>
      <c r="H29" s="526"/>
      <c r="I29" s="526">
        <f>ROUND($E29*R$18/100+$B$27*R$17+IF($B$27&lt;3001,$B$27*S$15+R$15,$B$27*S$16+R$16),2)+$R$25</f>
        <v>2201761.21</v>
      </c>
      <c r="K29" s="425">
        <f>(I29-G29)/G29</f>
        <v>9.948700522088251E-2</v>
      </c>
    </row>
    <row r="30" spans="2:19"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M30" s="433" t="s">
        <v>319</v>
      </c>
      <c r="N30" s="494">
        <f>'Rate Spread w bill deter'!AL27</f>
        <v>0.1033756017835047</v>
      </c>
    </row>
    <row r="32" spans="2:19">
      <c r="O32" s="399" t="s">
        <v>0</v>
      </c>
    </row>
    <row r="33" spans="2:2">
      <c r="B33" s="399" t="s">
        <v>320</v>
      </c>
    </row>
    <row r="34" spans="2:2">
      <c r="B34" s="493" t="s">
        <v>357</v>
      </c>
    </row>
    <row r="35" spans="2:2">
      <c r="B35" s="493" t="s">
        <v>323</v>
      </c>
    </row>
    <row r="36" spans="2:2">
      <c r="B36" s="440"/>
    </row>
    <row r="37" spans="2:2">
      <c r="B37" s="440"/>
    </row>
    <row r="38" spans="2:2">
      <c r="B38" s="440"/>
    </row>
    <row r="39" spans="2:2">
      <c r="B39" s="440"/>
    </row>
    <row r="40" spans="2:2">
      <c r="B40" s="440"/>
    </row>
    <row r="41" spans="2:2">
      <c r="B41" s="440"/>
    </row>
    <row r="42" spans="2:2">
      <c r="B42" s="440"/>
    </row>
    <row r="43" spans="2:2">
      <c r="B43" s="440"/>
    </row>
    <row r="44" spans="2:2">
      <c r="B44" s="440"/>
    </row>
    <row r="45" spans="2:2">
      <c r="B45" s="440"/>
    </row>
    <row r="46" spans="2:2">
      <c r="B46" s="440"/>
    </row>
    <row r="47" spans="2:2">
      <c r="B47" s="440"/>
    </row>
    <row r="49" spans="16:17">
      <c r="P49" s="442"/>
      <c r="Q49" s="442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2011-03-30T07:00:00+00:00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4CC5ED-EAEE-470C-AEAD-9BF562E73D29}"/>
</file>

<file path=customXml/itemProps2.xml><?xml version="1.0" encoding="utf-8"?>
<ds:datastoreItem xmlns:ds="http://schemas.openxmlformats.org/officeDocument/2006/customXml" ds:itemID="{B5D28530-3DB7-4E8E-AAAF-3ECDAB5000AD}"/>
</file>

<file path=customXml/itemProps3.xml><?xml version="1.0" encoding="utf-8"?>
<ds:datastoreItem xmlns:ds="http://schemas.openxmlformats.org/officeDocument/2006/customXml" ds:itemID="{1C21604D-FEDD-49F3-8268-685130746665}"/>
</file>

<file path=customXml/itemProps4.xml><?xml version="1.0" encoding="utf-8"?>
<ds:datastoreItem xmlns:ds="http://schemas.openxmlformats.org/officeDocument/2006/customXml" ds:itemID="{0FDF62B6-9C53-4939-B7CA-D9838A8CD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Rate Spread w bill deter</vt:lpstr>
      <vt:lpstr>Billing Determinants</vt:lpstr>
      <vt:lpstr>Bill Comp Sch 16</vt:lpstr>
      <vt:lpstr>Bill Comp Sch 24</vt:lpstr>
      <vt:lpstr>Bill Comp Sch 36</vt:lpstr>
      <vt:lpstr>Bill Comp Sch 40</vt:lpstr>
      <vt:lpstr>Bill Comp Sch 48 Sec</vt:lpstr>
      <vt:lpstr>Bill Comp Sch 48 Pri</vt:lpstr>
      <vt:lpstr>Bill Comp Sch 48 Ded</vt:lpstr>
      <vt:lpstr>Schedule 191 p1</vt:lpstr>
      <vt:lpstr>Schedule 191 p2</vt:lpstr>
      <vt:lpstr>'Bill Comp Sch 16'!Print_Area</vt:lpstr>
      <vt:lpstr>'Bill Comp Sch 24'!Print_Area</vt:lpstr>
      <vt:lpstr>'Bill Comp Sch 36'!Print_Area</vt:lpstr>
      <vt:lpstr>'Bill Comp Sch 40'!Print_Area</vt:lpstr>
      <vt:lpstr>'Bill Comp Sch 48 Ded'!Print_Area</vt:lpstr>
      <vt:lpstr>'Bill Comp Sch 48 Pri'!Print_Area</vt:lpstr>
      <vt:lpstr>'Bill Comp Sch 48 Sec'!Print_Area</vt:lpstr>
      <vt:lpstr>'Billing Determinants'!Print_Area</vt:lpstr>
      <vt:lpstr>'Rate Spread w bill deter'!Print_Area</vt:lpstr>
      <vt:lpstr>'Schedule 191 p1'!Print_Area</vt:lpstr>
      <vt:lpstr>'Schedule 191 p2'!Print_Area</vt:lpstr>
      <vt:lpstr>'Billing Determinants'!Print_Titles</vt:lpstr>
      <vt:lpstr>'Rate Spread w bill deter'!TABLEA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p74933</dc:creator>
  <cp:lastModifiedBy>p74933</cp:lastModifiedBy>
  <dcterms:created xsi:type="dcterms:W3CDTF">2011-03-30T16:55:29Z</dcterms:created>
  <dcterms:modified xsi:type="dcterms:W3CDTF">2011-03-30T17:00:45Z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