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M:\2022\2022 WA Elec and Gas GRC\Rebuttal Testimony\Andrews\misc\drafts backup\Avista Rebuttal\"/>
    </mc:Choice>
  </mc:AlternateContent>
  <xr:revisionPtr revIDLastSave="0" documentId="13_ncr:1_{368CEB83-A84E-4648-901D-E50EBC3477AA}" xr6:coauthVersionLast="46" xr6:coauthVersionMax="46" xr10:uidLastSave="{00000000-0000-0000-0000-000000000000}"/>
  <bookViews>
    <workbookView xWindow="-120" yWindow="-120" windowWidth="29040" windowHeight="15840" xr2:uid="{41FB6F98-9F28-44F8-BE5C-959E52217984}"/>
  </bookViews>
  <sheets>
    <sheet name="PC ROE-ROR" sheetId="167" r:id="rId1"/>
    <sheet name="PC PROPOSED RATES-12.2022" sheetId="168" r:id="rId2"/>
    <sheet name="PC PROPOSED RATES-12.2023" sheetId="169" r:id="rId3"/>
    <sheet name="PCCF" sheetId="170" r:id="rId4"/>
    <sheet name="Settlement ROE-ROR" sheetId="165" r:id="rId5"/>
    <sheet name="PROPOSED RATES-12.2022" sheetId="117" r:id="rId6"/>
    <sheet name="PROPOSED RATES-12.2023" sheetId="161" r:id="rId7"/>
    <sheet name="RR Summary" sheetId="51" r:id="rId8"/>
    <sheet name="CF " sheetId="52" r:id="rId9"/>
    <sheet name="ADJ DETAIL-INPUT" sheetId="1" r:id="rId10"/>
    <sheet name="ADJ SUMMARY" sheetId="3" r:id="rId11"/>
    <sheet name="Acerno_Cache_XXXXX" sheetId="115" state="veryHidden" r:id="rId12"/>
    <sheet name="CF WA Elec" sheetId="160" r:id="rId13"/>
    <sheet name="ROO INPUT 1.00" sheetId="111" r:id="rId14"/>
    <sheet name="DEBT CALC 2.14" sheetId="48" r:id="rId15"/>
    <sheet name="DEBT CALC 2.14 (2)" sheetId="166" r:id="rId16"/>
    <sheet name="Recap Sum Comparison" sheetId="99" r:id="rId17"/>
    <sheet name="Exh. 6 p. 1-2 Elec RY2 Escalatn" sheetId="162" r:id="rId18"/>
    <sheet name="LEAD SHEETS-DO NOT ENTER" sheetId="113" r:id="rId19"/>
    <sheet name="Electric 2022-2024 Summary" sheetId="163" r:id="rId20"/>
    <sheet name="E and G Offsets" sheetId="164" r:id="rId21"/>
    <sheet name="old PROPOSED RATES-Original" sheetId="50" r:id="rId22"/>
    <sheet name="old ADJ Cites to Exh " sheetId="118"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Fill" hidden="1">#REF!</definedName>
    <definedName name="_Key1" hidden="1">#REF!</definedName>
    <definedName name="_Order1" hidden="1">255</definedName>
    <definedName name="_Order2" hidden="1">255</definedName>
    <definedName name="a">#REF!,#REF!</definedName>
    <definedName name="A7E">#REF!</definedName>
    <definedName name="A7G">#REF!</definedName>
    <definedName name="A9E">#REF!</definedName>
    <definedName name="A9G">#REF!</definedName>
    <definedName name="aa">#REF!</definedName>
    <definedName name="Actual" localSheetId="12">#REF!</definedName>
    <definedName name="Actual" localSheetId="2">#REF!</definedName>
    <definedName name="Actual" localSheetId="6">#REF!</definedName>
    <definedName name="Actual">#REF!</definedName>
    <definedName name="Admin_Transfer_Rate">'[1]Global Parameters'!$D$14</definedName>
    <definedName name="Allocation_Categories">OFFSET('[2]Allocation Factors'!$A$4,0,0,COUNTA('[2]Allocation Factors'!$A:$A)-COUNTA('[2]Allocation Factors'!$A$1:$A$3),1)</definedName>
    <definedName name="Allocators">#REF!</definedName>
    <definedName name="Appliance_Center_2011_OH_Rate">'[1]Global Parameters'!$D$10</definedName>
    <definedName name="Appliance_Center_2012_OH_Rate">'[1]Global Parameters'!$E$10</definedName>
    <definedName name="Appliance_Center_2013_OH_Rate">'[1]Global Parameters'!$F$10</definedName>
    <definedName name="ASSUME">#REF!</definedName>
    <definedName name="ASSUME2">#REF!</definedName>
    <definedName name="ASSUME3">#REF!</definedName>
    <definedName name="_xlnm.Auto_Open">#REF!</definedName>
    <definedName name="Base1_Billing2">#REF!</definedName>
    <definedName name="bb">#REF!</definedName>
    <definedName name="BILLINGS">#REF!</definedName>
    <definedName name="BU_2011_Pay_Increase">'[1]Global Parameters'!$D$20</definedName>
    <definedName name="BU_2012_Pay_Increase">'[1]Global Parameters'!$E$20</definedName>
    <definedName name="BU_2013_Pay_Increase">'[1]Global Parameters'!$F$20</definedName>
    <definedName name="bunit">#REF!</definedName>
    <definedName name="bus">#REF!</definedName>
    <definedName name="busunit">#REF!</definedName>
    <definedName name="busunit1">#REF!</definedName>
    <definedName name="C_">#REF!,#REF!</definedName>
    <definedName name="C_AAM_Titles">#REF!,#REF!</definedName>
    <definedName name="C_ADP_Titles">#REF!,#REF!</definedName>
    <definedName name="C_DTX_Titles">#REF!,#REF!</definedName>
    <definedName name="C_GPL_Titles">#REF!,#REF!</definedName>
    <definedName name="C_IPL_Titles">#REF!,#REF!</definedName>
    <definedName name="calc_w_o" localSheetId="12">#REF!</definedName>
    <definedName name="calc_w_o" localSheetId="2">#REF!</definedName>
    <definedName name="calc_w_o" localSheetId="6">#REF!</definedName>
    <definedName name="calc_w_o">#REF!</definedName>
    <definedName name="copy_area">#REF!</definedName>
    <definedName name="crit_cell">#REF!</definedName>
    <definedName name="_xlnm.Criteria">#REF!</definedName>
    <definedName name="data">#REF!</definedName>
    <definedName name="_xlnm.Database">[3]!_xlnm.Database</definedName>
    <definedName name="Down_vars">#REF!</definedName>
    <definedName name="dsfgsdfg">[4]Macro1!$A$43</definedName>
    <definedName name="E_903">#REF!</definedName>
    <definedName name="E_903_Area">#REF!</definedName>
    <definedName name="E_903_Titles">#REF!,#REF!</definedName>
    <definedName name="E_908_Titles">#REF!,#REF!</definedName>
    <definedName name="E_928_Titles">#REF!,#REF!</definedName>
    <definedName name="E_93">#REF!</definedName>
    <definedName name="E_ADP_Titles">#REF!,#REF!</definedName>
    <definedName name="E_ALL">#REF!</definedName>
    <definedName name="E_ALL_Area">#REF!</definedName>
    <definedName name="E_ALL_Titles">#REF!,#REF!</definedName>
    <definedName name="E_APL_Titles">#REF!,#REF!</definedName>
    <definedName name="E_CAM_Titles">#REF!,#REF!</definedName>
    <definedName name="E_DTE_Titles">#REF!,#REF!</definedName>
    <definedName name="E_FIT_Titles">#REF!,#REF!</definedName>
    <definedName name="e_Global_22266">#REF!</definedName>
    <definedName name="E_INDEX_Area">#REF!</definedName>
    <definedName name="e_Jurisdiction_9466">#REF!</definedName>
    <definedName name="e_JurRollup_9866">#REF!</definedName>
    <definedName name="E_OPS_Titles">#REF!,#REF!</definedName>
    <definedName name="E_OTX_Titles">#REF!,#REF!</definedName>
    <definedName name="E_PLT_Titles">#REF!,#REF!</definedName>
    <definedName name="E_ROR_Titles">#REF!,#REF!</definedName>
    <definedName name="E_SCM_Titles">#REF!,#REF!</definedName>
    <definedName name="e_ServiceCodeGLJurisdiction_9066">#REF!</definedName>
    <definedName name="e_State_9473">#REF!</definedName>
    <definedName name="e_SystemTotal_11315">#REF!</definedName>
    <definedName name="earn">#REF!</definedName>
    <definedName name="earncode">[5]Sheet3!$A$2:$B$214</definedName>
    <definedName name="EARNDOLLARS">'[6]Earnings and Job Codes'!$A$2:$C$102</definedName>
    <definedName name="earnhours">'[6]Earnings and Job Codes'!$A$2:$D$102</definedName>
    <definedName name="earnings">#REF!</definedName>
    <definedName name="Elec" localSheetId="12">#REF!</definedName>
    <definedName name="Elec" localSheetId="2">#REF!</definedName>
    <definedName name="Elec" localSheetId="6">#REF!</definedName>
    <definedName name="Elec">#REF!</definedName>
    <definedName name="ElecFranchise" localSheetId="12">#REF!</definedName>
    <definedName name="ElecFranchise" localSheetId="2">#REF!</definedName>
    <definedName name="ElecFranchise" localSheetId="6">#REF!</definedName>
    <definedName name="ElecFranchise">#REF!</definedName>
    <definedName name="Electric_Data_Matrix">#REF!</definedName>
    <definedName name="Energy_Efficiency">'[1]Global Parameters'!#REF!</definedName>
    <definedName name="Etable">#REF!</definedName>
    <definedName name="Executives_2011_OH_Rate">'[1]Global Parameters'!$D$8</definedName>
    <definedName name="Executives_2012_OH_Rate">'[1]Global Parameters'!$E$8</definedName>
    <definedName name="Executives_2013_OH_Rate">'[1]Global Parameters'!$F$8</definedName>
    <definedName name="exhibit" localSheetId="12">#REF!</definedName>
    <definedName name="exhibit" localSheetId="2">#REF!</definedName>
    <definedName name="exhibit" localSheetId="6">#REF!</definedName>
    <definedName name="exhibit">#REF!</definedName>
    <definedName name="extract_area">#REF!</definedName>
    <definedName name="factors">#REF!</definedName>
    <definedName name="Fee_Free_Payment_Options">'[1]Global Parameters'!$H$79</definedName>
    <definedName name="G_804_Titles">#REF!,#REF!</definedName>
    <definedName name="G_807_Titles">#REF!,#REF!</definedName>
    <definedName name="G_928_Titles">#REF!,#REF!</definedName>
    <definedName name="G_93">#REF!</definedName>
    <definedName name="G_ADP_Titles">#REF!,#REF!</definedName>
    <definedName name="G_ALL_Titles">#REF!,#REF!</definedName>
    <definedName name="G_APL_Titles">#REF!,#REF!</definedName>
    <definedName name="G_CAM_Titles">#REF!,#REF!</definedName>
    <definedName name="G_DTE_Titles">#REF!,#REF!</definedName>
    <definedName name="G_FIT_Titles">#REF!,#REF!</definedName>
    <definedName name="G_OPS_Titles">#REF!,#REF!</definedName>
    <definedName name="G_OTX_Titles">#REF!,#REF!</definedName>
    <definedName name="G_PLT_Titles">#REF!,#REF!</definedName>
    <definedName name="G_ROR_Titles">#REF!,#REF!</definedName>
    <definedName name="G_SCM_Titles">#REF!,#REF!</definedName>
    <definedName name="Gas" localSheetId="12">#REF!</definedName>
    <definedName name="Gas" localSheetId="2">#REF!</definedName>
    <definedName name="Gas" localSheetId="6">#REF!</definedName>
    <definedName name="Gas">#REF!</definedName>
    <definedName name="GasFranchise" localSheetId="12">#REF!</definedName>
    <definedName name="GasFranchise" localSheetId="2">#REF!</definedName>
    <definedName name="GasFranchise" localSheetId="6">#REF!</definedName>
    <definedName name="GasFranchise">#REF!</definedName>
    <definedName name="gotit">#REF!</definedName>
    <definedName name="Gtable">#REF!</definedName>
    <definedName name="HEADER">#REF!</definedName>
    <definedName name="ID_Elec" localSheetId="15">'DEBT CALC 2.14 (2)'!$A$110:$F$187</definedName>
    <definedName name="ID_Elec" localSheetId="13">#REF!</definedName>
    <definedName name="ID_Elec">'DEBT CALC 2.14'!$A$98:$F$175</definedName>
    <definedName name="ID_Gas" localSheetId="15">'DEBT CALC 2.14 (2)'!#REF!</definedName>
    <definedName name="ID_Gas" localSheetId="18">'DEBT CALC 2.14'!#REF!</definedName>
    <definedName name="ID_Gas" localSheetId="2">'[7]DEBT CALC'!#REF!</definedName>
    <definedName name="ID_Gas" localSheetId="0">'[8]DEBT CALC'!#REF!</definedName>
    <definedName name="ID_Gas" localSheetId="6">'[7]DEBT CALC'!#REF!</definedName>
    <definedName name="ID_Gas" localSheetId="13">#REF!</definedName>
    <definedName name="ID_Gas" localSheetId="4">'[8]DEBT CALC'!#REF!</definedName>
    <definedName name="ID_Gas">'DEBT CALC 2.14'!#REF!</definedName>
    <definedName name="ID_sorted">#REF!</definedName>
    <definedName name="Incremental_Advertising_Expense">'[1]Global Parameters'!$H$82</definedName>
    <definedName name="Incremental_Increase_to_SIP_Program">'[1]Global Parameters'!$H$81</definedName>
    <definedName name="INDEX">#REF!</definedName>
    <definedName name="INDEX_Area">#REF!</definedName>
    <definedName name="ine" localSheetId="12">#REF!</definedName>
    <definedName name="ine" localSheetId="2">#REF!</definedName>
    <definedName name="ine" localSheetId="6">#REF!</definedName>
    <definedName name="ine">#REF!</definedName>
    <definedName name="Inflation_2012">'[1]Global Parameters'!$E$26</definedName>
    <definedName name="Inflation_2013">'[1]Global Parameters'!$F$26</definedName>
    <definedName name="Inside_Odor_Incremental___Phase_I">'[1]Global Parameters'!$H$83</definedName>
    <definedName name="Inside_Odor_Incremental___Phase_II">'[1]Global Parameters'!$H$84</definedName>
    <definedName name="JurisElec89_90">#REF!</definedName>
    <definedName name="JurisElec93_94">#REF!</definedName>
    <definedName name="JurisGas89_90">#REF!</definedName>
    <definedName name="JurisGas93_94">#REF!</definedName>
    <definedName name="l_JurisdictionAllocators_11269">#REF!</definedName>
    <definedName name="l_JurRollupAllocators_11266">#REF!</definedName>
    <definedName name="l_ResultsofOperationsAverage_5700">#REF!</definedName>
    <definedName name="l_ResultsofOperationsImport_22466">#REF!</definedName>
    <definedName name="l_SystemLevel_22195">#REF!</definedName>
    <definedName name="l_WrkCapAllocators_305274">#REF!</definedName>
    <definedName name="l_WrkCapCombinedWorkingCapitalDetail_305270">#REF!</definedName>
    <definedName name="l_WrkCapCombinedWorkingCapitalSummary_305272">#REF!</definedName>
    <definedName name="l_WrkCapInputandAverage_305274">#REF!</definedName>
    <definedName name="l_WrkCapNonCombinedWorkingCapitalAllocationJurSer_318466">#REF!</definedName>
    <definedName name="l_WrkCapNonCombinedWorkingCapitalAllocationNonOperating_318321">#REF!</definedName>
    <definedName name="l_WrkCapNonCombinedWorkingCapitalAllocationOperating_318323">#REF!</definedName>
    <definedName name="l_WrkCapNonCombinedWorkingCapitalAllocationTotal_318316">#REF!</definedName>
    <definedName name="l_WrkCapNonCombinedWorkingCapitalSummary_305266">#REF!</definedName>
    <definedName name="l_WrkCapProposedWorkingCapitalDetail_354277">#REF!</definedName>
    <definedName name="l_WrkCapProposedWorkingCapitalSummary_355866">#REF!</definedName>
    <definedName name="l_WrkCapSummaryofEarningvsNonEarningAssets_356466">#REF!</definedName>
    <definedName name="Macro1">#REF!</definedName>
    <definedName name="Macro10">#REF!</definedName>
    <definedName name="Macro11">#REF!</definedName>
    <definedName name="Macro12">#REF!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months">[9]Data!$H$2</definedName>
    <definedName name="NBU_2011_Pay_Increase">'[1]Global Parameters'!$D$19</definedName>
    <definedName name="NBU_2012_Pay_Increase">'[1]Global Parameters'!$E$19</definedName>
    <definedName name="NBU_2013_Pay_Increase">'[1]Global Parameters'!$F$19</definedName>
    <definedName name="Non_Executives_2011_OH_Rate">'[1]Global Parameters'!$D$9</definedName>
    <definedName name="Non_Executives_2012_OH_Rate">'[1]Global Parameters'!$E$9</definedName>
    <definedName name="Non_Executives_2013_OH_Rate">'[1]Global Parameters'!$F$9</definedName>
    <definedName name="OANDM">#REF!</definedName>
    <definedName name="offorg">#REF!</definedName>
    <definedName name="OM_Voice_Over">'[1]Global Parameters'!$H$86</definedName>
    <definedName name="option">[10]Decode!$B$1:$E$47</definedName>
    <definedName name="Overtime_OH">'[1]Global Parameters'!$D$12</definedName>
    <definedName name="PAGE1">#REF!</definedName>
    <definedName name="PAGE2">#REF!</definedName>
    <definedName name="Page2.1">#REF!</definedName>
    <definedName name="_xlnm.Print_Area" localSheetId="9">'ADJ DETAIL-INPUT'!$A$1:$BY$83</definedName>
    <definedName name="_xlnm.Print_Area" localSheetId="10">'ADJ SUMMARY'!$A$1:$J$85</definedName>
    <definedName name="_xlnm.Print_Area" localSheetId="8">'CF '!$A$1:$F$26</definedName>
    <definedName name="_xlnm.Print_Area" localSheetId="14">'DEBT CALC 2.14'!$A$1:$I$77</definedName>
    <definedName name="_xlnm.Print_Area" localSheetId="15">'DEBT CALC 2.14 (2)'!$A$1:$I$89</definedName>
    <definedName name="_xlnm.Print_Area" localSheetId="17">'Exh. 6 p. 1-2 Elec RY2 Escalatn'!$A$1:$T$92</definedName>
    <definedName name="_xlnm.Print_Area" localSheetId="18">'LEAD SHEETS-DO NOT ENTER'!$A$2:$BR$81</definedName>
    <definedName name="_xlnm.Print_Area" localSheetId="22">'old ADJ Cites to Exh '!$A$1:$H$67</definedName>
    <definedName name="_xlnm.Print_Area" localSheetId="21">'old PROPOSED RATES-Original'!$A$1:$I$82</definedName>
    <definedName name="_xlnm.Print_Area" localSheetId="1">'PC PROPOSED RATES-12.2022'!$A$1:$K$82</definedName>
    <definedName name="_xlnm.Print_Area" localSheetId="2">'PC PROPOSED RATES-12.2023'!$A$1:$J$82</definedName>
    <definedName name="_xlnm.Print_Area" localSheetId="0">'PC ROE-ROR'!$A$1:$F$29</definedName>
    <definedName name="_xlnm.Print_Area" localSheetId="3">PCCF!$A$1:$F$26</definedName>
    <definedName name="_xlnm.Print_Area" localSheetId="5">'PROPOSED RATES-12.2022'!$A$1:$K$82</definedName>
    <definedName name="_xlnm.Print_Area" localSheetId="6">'PROPOSED RATES-12.2023'!$A$1:$J$82</definedName>
    <definedName name="_xlnm.Print_Area" localSheetId="16">'Recap Sum Comparison'!$A$1:$Q$135</definedName>
    <definedName name="_xlnm.Print_Area" localSheetId="13">'ROO INPUT 1.00'!$A$1:$G$81</definedName>
    <definedName name="_xlnm.Print_Area" localSheetId="7">'RR Summary'!$A$1:$G$33,'RR Summary'!$I$1:$M$17</definedName>
    <definedName name="_xlnm.Print_Area" localSheetId="4">'Settlement ROE-ROR'!$A$1:$F$13</definedName>
    <definedName name="Print_for_CBReport" localSheetId="22">'old ADJ Cites to Exh '!$A$1:$C$68</definedName>
    <definedName name="Print_for_CBReport" localSheetId="16">'Recap Sum Comparison'!$A$10:$H$132</definedName>
    <definedName name="Print_for_CBReport">'ADJ SUMMARY'!$A$1:$G$85</definedName>
    <definedName name="Print_for_Checking" localSheetId="18">'ADJ SUMMARY'!#REF!:'ADJ SUMMARY'!#REF!</definedName>
    <definedName name="Print_for_Checking" localSheetId="22">'old ADJ Cites to Exh '!#REF!:'old ADJ Cites to Exh '!#REF!</definedName>
    <definedName name="Print_for_Checking" localSheetId="2">'[7]1 YR ADJ SUMMARY'!#REF!:'[7]1 YR ADJ SUMMARY'!#REF!</definedName>
    <definedName name="Print_for_Checking" localSheetId="0">'[8]ADJ SUMMARY'!#REF!:'[8]ADJ SUMMARY'!#REF!</definedName>
    <definedName name="Print_for_Checking" localSheetId="6">'[7]1 YR ADJ SUMMARY'!#REF!:'[7]1 YR ADJ SUMMARY'!#REF!</definedName>
    <definedName name="Print_for_Checking" localSheetId="16">'Recap Sum Comparison'!#REF!:'Recap Sum Comparison'!#REF!</definedName>
    <definedName name="Print_for_Checking" localSheetId="13">[11]PFRstmtSheet!$A$1:[11]PFRstmtSheet!#REF!</definedName>
    <definedName name="Print_for_Checking" localSheetId="4">'[8]ADJ SUMMARY'!#REF!:'[8]ADJ SUMMARY'!#REF!</definedName>
    <definedName name="Print_for_Checking">'ADJ SUMMARY'!#REF!:'ADJ SUMMARY'!#REF!</definedName>
    <definedName name="_xlnm.Print_Titles" localSheetId="9">'ADJ DETAIL-INPUT'!$A:$D,'ADJ DETAIL-INPUT'!$1:$9</definedName>
    <definedName name="_xlnm.Print_Titles" localSheetId="18">'LEAD SHEETS-DO NOT ENTER'!$A:$D,'LEAD SHEETS-DO NOT ENTER'!$2:$10</definedName>
    <definedName name="_xlnm.Print_Titles" localSheetId="22">'old ADJ Cites to Exh '!$1:$8</definedName>
    <definedName name="_xlnm.Print_Titles" localSheetId="13">'ROO INPUT 1.00'!$1:$10</definedName>
    <definedName name="PrintAll" localSheetId="12">#REF!</definedName>
    <definedName name="PrintAll" localSheetId="2">#REF!</definedName>
    <definedName name="PrintAll" localSheetId="6">#REF!</definedName>
    <definedName name="PrintAll">#REF!</definedName>
    <definedName name="qry_Step6_CombineInfo">#REF!</definedName>
    <definedName name="Rate_Case_Dependent_FTEs">'[1]Global Parameters'!$H$88</definedName>
    <definedName name="rbcalc">[9]Data!$H$3</definedName>
    <definedName name="rbcalc_heading">[9]Data!$H$5</definedName>
    <definedName name="RC_Data">OFFSET(RC_List,0,0,ROWS(RC_List),COLUMNS([12]Database!$A$3:$G$3))</definedName>
    <definedName name="RC_List">OFFSET([12]Database!$A$3,1,0,COUNTA(OFFSET([12]Database!$A$3,1,0,400,1)),1)</definedName>
    <definedName name="RD_Increase">'[1]Global Parameters'!$H$80</definedName>
    <definedName name="Recover" localSheetId="12">[13]Macro1!$A$85</definedName>
    <definedName name="Recover">[14]Macro1!$A$56</definedName>
    <definedName name="report">#REF!</definedName>
    <definedName name="REVREQ">#REF!</definedName>
    <definedName name="RRC_Adjustment_Print" localSheetId="0">#REF!</definedName>
    <definedName name="RRC_Adjustment_Print" localSheetId="4">#REF!</definedName>
    <definedName name="RRC_Adjustment_Print">#REF!</definedName>
    <definedName name="RRC_Rate_Print" localSheetId="0">#REF!</definedName>
    <definedName name="RRC_Rate_Print" localSheetId="4">#REF!</definedName>
    <definedName name="RRC_Rate_Print">#REF!</definedName>
    <definedName name="Service_Appointment_Windows_O_M">'[1]Global Parameters'!$H$85</definedName>
    <definedName name="so">#REF!</definedName>
    <definedName name="special01D">[5]Sheet2!$B$100:$E$236</definedName>
    <definedName name="spreadsheet">#REF!</definedName>
    <definedName name="start">#REF!</definedName>
    <definedName name="Summary" localSheetId="18">#REF!</definedName>
    <definedName name="Summary" localSheetId="2">#REF!</definedName>
    <definedName name="Summary" localSheetId="0">#REF!</definedName>
    <definedName name="Summary" localSheetId="6">#REF!</definedName>
    <definedName name="Summary" localSheetId="13">#REF!</definedName>
    <definedName name="Summary" localSheetId="4">#REF!</definedName>
    <definedName name="Summary">#REF!</definedName>
    <definedName name="SUPPL">#REF!</definedName>
    <definedName name="TableName">"Dummy"</definedName>
    <definedName name="TB">#N/A</definedName>
    <definedName name="tp_heading">[9]Data!$H$4</definedName>
    <definedName name="UI_Entity_Groups">#REF!</definedName>
    <definedName name="UI_Reports">#REF!</definedName>
    <definedName name="UI_Scenarios">#REF!</definedName>
    <definedName name="unit">#REF!</definedName>
    <definedName name="Unloading_Factor">'[1]Global Parameters'!$D$13</definedName>
    <definedName name="ValidGroups">[15]Groups!$E$1:$E$20</definedName>
    <definedName name="VSH_Rate">'[1]Global Parameters'!$D$11</definedName>
    <definedName name="W_804_Titles">#REF!,#REF!</definedName>
    <definedName name="W_805_Titles">#REF!,#REF!</definedName>
    <definedName name="W_807_Titles">#REF!,#REF!</definedName>
    <definedName name="W_808_Titles">#REF!,#REF!</definedName>
    <definedName name="W_903">#REF!</definedName>
    <definedName name="W_903_Area">#REF!</definedName>
    <definedName name="W_903_Titles">#REF!,#REF!</definedName>
    <definedName name="W_928_Titles">#REF!,#REF!</definedName>
    <definedName name="W_ALL_Titles">#REF!,#REF!</definedName>
    <definedName name="W_APL_Titles">#REF!,#REF!</definedName>
    <definedName name="W_ARR_Titles">#REF!,#REF!</definedName>
    <definedName name="W_DTE_Titles">#REF!,#REF!</definedName>
    <definedName name="W_FIT_Titles">#REF!,#REF!</definedName>
    <definedName name="W_OPS">#REF!</definedName>
    <definedName name="W_OPS_Area">#REF!</definedName>
    <definedName name="W_OPS_Titles">#REF!,#REF!</definedName>
    <definedName name="W_OTX_Titles">#REF!,#REF!</definedName>
    <definedName name="W_PLT">#REF!</definedName>
    <definedName name="W_PLT_Titles">#REF!,#REF!</definedName>
    <definedName name="W_ROR_Titles">#REF!,#REF!</definedName>
    <definedName name="W_SCM_Titles">#REF!,#REF!</definedName>
    <definedName name="WA_Elec" localSheetId="15">'DEBT CALC 2.14 (2)'!$A$1:$F$109</definedName>
    <definedName name="WA_Elec" localSheetId="13">#REF!</definedName>
    <definedName name="WA_Elec">'DEBT CALC 2.14'!$A$1:$F$97</definedName>
    <definedName name="WA_Gas" localSheetId="15">'DEBT CALC 2.14 (2)'!#REF!</definedName>
    <definedName name="WA_Gas" localSheetId="18">'DEBT CALC 2.14'!#REF!</definedName>
    <definedName name="WA_Gas" localSheetId="2">'[7]DEBT CALC'!#REF!</definedName>
    <definedName name="WA_Gas" localSheetId="0">'[8]DEBT CALC'!#REF!</definedName>
    <definedName name="WA_Gas" localSheetId="6">'[7]DEBT CALC'!#REF!</definedName>
    <definedName name="WA_Gas" localSheetId="13">#REF!</definedName>
    <definedName name="WA_Gas" localSheetId="4">'[8]DEBT CALC'!#REF!</definedName>
    <definedName name="WA_Gas">'DEBT CALC 2.14'!#REF!</definedName>
    <definedName name="wks89_90">#REF!</definedName>
    <definedName name="WKS93_94">#REF!</definedName>
    <definedName name="wrn.All._.Sheets." hidden="1">{"IncSt",#N/A,FALSE,"IS";"BalSht",#N/A,FALSE,"BS";"IntCash",#N/A,FALSE,"Int. Cash";"Stats",#N/A,FALSE,"Stats"}</definedName>
    <definedName name="Z_6E1B8C45_B07F_11D2_B0DC_0000832CDFF0_.wvu.Cols" localSheetId="9" hidden="1">'ADJ DETAIL-INPUT'!#REF!,'ADJ DETAIL-INPUT'!$AD:$BH</definedName>
    <definedName name="Z_6E1B8C45_B07F_11D2_B0DC_0000832CDFF0_.wvu.Cols" localSheetId="18" hidden="1">'LEAD SHEETS-DO NOT ENTER'!#REF!,'LEAD SHEETS-DO NOT ENTER'!$AC:$AM</definedName>
    <definedName name="Z_6E1B8C45_B07F_11D2_B0DC_0000832CDFF0_.wvu.PrintArea" localSheetId="9" hidden="1">'ADJ DETAIL-INPUT'!$E:$AC</definedName>
    <definedName name="Z_6E1B8C45_B07F_11D2_B0DC_0000832CDFF0_.wvu.PrintArea" localSheetId="10" hidden="1">'ADJ SUMMARY'!$A$1:$G$85</definedName>
    <definedName name="Z_6E1B8C45_B07F_11D2_B0DC_0000832CDFF0_.wvu.PrintArea" localSheetId="18" hidden="1">'LEAD SHEETS-DO NOT ENTER'!$E:$Z</definedName>
    <definedName name="Z_6E1B8C45_B07F_11D2_B0DC_0000832CDFF0_.wvu.PrintArea" localSheetId="22" hidden="1">'old ADJ Cites to Exh '!$A$1:$C$68</definedName>
    <definedName name="Z_6E1B8C45_B07F_11D2_B0DC_0000832CDFF0_.wvu.PrintArea" localSheetId="16" hidden="1">'Recap Sum Comparison'!$A$10:$H$113</definedName>
    <definedName name="Z_6E1B8C45_B07F_11D2_B0DC_0000832CDFF0_.wvu.PrintArea" localSheetId="13" hidden="1">'ROO INPUT 1.00'!$A$1:$G$80</definedName>
    <definedName name="Z_6E1B8C45_B07F_11D2_B0DC_0000832CDFF0_.wvu.PrintTitles" localSheetId="9" hidden="1">'ADJ DETAIL-INPUT'!$A:$D,'ADJ DETAIL-INPUT'!$1:$9</definedName>
    <definedName name="Z_6E1B8C45_B07F_11D2_B0DC_0000832CDFF0_.wvu.PrintTitles" localSheetId="18" hidden="1">'LEAD SHEETS-DO NOT ENTER'!$A:$D,'LEAD SHEETS-DO NOT ENTER'!$2:$10</definedName>
    <definedName name="Z_6E1B8C45_B07F_11D2_B0DC_0000832CDFF0_.wvu.Rows" localSheetId="10" hidden="1">'ADJ SUMMARY'!#REF!,'ADJ SUMMARY'!$20:$85,'ADJ SUMMARY'!$33:$33,'ADJ SUMMARY'!$45:$85,'ADJ SUMMARY'!#REF!,'ADJ SUMMARY'!#REF!,'ADJ SUMMARY'!#REF!</definedName>
    <definedName name="Z_6E1B8C45_B07F_11D2_B0DC_0000832CDFF0_.wvu.Rows" localSheetId="22" hidden="1">'old ADJ Cites to Exh '!#REF!,'old ADJ Cites to Exh '!$22:$68,'old ADJ Cites to Exh '!#REF!,'old ADJ Cites to Exh '!$46:$68,'old ADJ Cites to Exh '!#REF!,'old ADJ Cites to Exh '!#REF!,'old ADJ Cites to Exh '!#REF!</definedName>
    <definedName name="Z_6E1B8C45_B07F_11D2_B0DC_0000832CDFF0_.wvu.Rows" localSheetId="16" hidden="1">'Recap Sum Comparison'!#REF!,'Recap Sum Comparison'!$22:$61,'Recap Sum Comparison'!$36:$36,'Recap Sum Comparison'!$47:$74,'Recap Sum Comparison'!$105:$105,'Recap Sum Comparison'!$107:$107,'Recap Sum Comparison'!$114:$132</definedName>
    <definedName name="Z_A15D1962_B049_11D2_8670_0000832CEEE8_.wvu.Cols" localSheetId="9" hidden="1">'ADJ DETAIL-INPUT'!$AD:$BH</definedName>
    <definedName name="Z_A15D1962_B049_11D2_8670_0000832CEEE8_.wvu.Cols" localSheetId="18" hidden="1">'LEAD SHEETS-DO NOT ENTER'!$AC:$AM</definedName>
    <definedName name="Z_A15D1962_B049_11D2_8670_0000832CEEE8_.wvu.Rows" localSheetId="10" hidden="1">'ADJ SUMMARY'!$45:$85,'ADJ SUMMARY'!#REF!</definedName>
    <definedName name="Z_A15D1962_B049_11D2_8670_0000832CEEE8_.wvu.Rows" localSheetId="22" hidden="1">'old ADJ Cites to Exh '!$46:$68,'old ADJ Cites to Exh '!#REF!</definedName>
    <definedName name="Z_A15D1962_B049_11D2_8670_0000832CEEE8_.wvu.Rows" localSheetId="16" hidden="1">'Recap Sum Comparison'!$47:$69,'Recap Sum Comparison'!$113:$132</definedName>
  </definedNames>
  <calcPr calcId="191029"/>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169" l="1"/>
  <c r="H42" i="169"/>
  <c r="H37" i="169"/>
  <c r="H34" i="169"/>
  <c r="H35" i="169" s="1"/>
  <c r="H14" i="169"/>
  <c r="E25" i="167"/>
  <c r="E9" i="167"/>
  <c r="I37" i="169"/>
  <c r="I52" i="169"/>
  <c r="I42" i="169"/>
  <c r="I34" i="169"/>
  <c r="I35" i="169" s="1"/>
  <c r="I14" i="169"/>
  <c r="J52" i="168"/>
  <c r="J42" i="168"/>
  <c r="J37" i="168"/>
  <c r="J34" i="168"/>
  <c r="J14" i="168"/>
  <c r="E22" i="170"/>
  <c r="E18" i="170"/>
  <c r="E16" i="170"/>
  <c r="K14" i="170"/>
  <c r="E14" i="170"/>
  <c r="J12" i="170"/>
  <c r="E12" i="170"/>
  <c r="K16" i="170"/>
  <c r="J14" i="170"/>
  <c r="E9" i="170"/>
  <c r="E20" i="170" s="1"/>
  <c r="E24" i="170" s="1"/>
  <c r="G79" i="169"/>
  <c r="J79" i="169" s="1"/>
  <c r="G78" i="169"/>
  <c r="J78" i="169" s="1"/>
  <c r="E78" i="169"/>
  <c r="F78" i="169" s="1"/>
  <c r="G76" i="169"/>
  <c r="I73" i="169"/>
  <c r="H73" i="169"/>
  <c r="G72" i="169"/>
  <c r="G71" i="169"/>
  <c r="G70" i="169"/>
  <c r="G69" i="169"/>
  <c r="G68" i="169"/>
  <c r="I66" i="169"/>
  <c r="I74" i="169" s="1"/>
  <c r="I77" i="169" s="1"/>
  <c r="I81" i="169" s="1"/>
  <c r="H66" i="169"/>
  <c r="H74" i="169" s="1"/>
  <c r="H77" i="169" s="1"/>
  <c r="H81" i="169" s="1"/>
  <c r="G65" i="169"/>
  <c r="J65" i="169" s="1"/>
  <c r="G64" i="169"/>
  <c r="J64" i="169" s="1"/>
  <c r="G63" i="169"/>
  <c r="J63" i="169" s="1"/>
  <c r="G62" i="169"/>
  <c r="J62" i="169" s="1"/>
  <c r="E62" i="169"/>
  <c r="F62" i="169" s="1"/>
  <c r="G61" i="169"/>
  <c r="J61" i="169" s="1"/>
  <c r="G56" i="169"/>
  <c r="E56" i="169"/>
  <c r="G55" i="169"/>
  <c r="G54" i="169"/>
  <c r="G53" i="169"/>
  <c r="H46" i="169"/>
  <c r="G45" i="169"/>
  <c r="G44" i="169"/>
  <c r="G43" i="169"/>
  <c r="G42" i="169"/>
  <c r="G46" i="169" s="1"/>
  <c r="G39" i="169"/>
  <c r="J39" i="169" s="1"/>
  <c r="G38" i="169"/>
  <c r="J38" i="169" s="1"/>
  <c r="G37" i="169"/>
  <c r="G34" i="169"/>
  <c r="G33" i="169"/>
  <c r="G32" i="169"/>
  <c r="J31" i="169"/>
  <c r="G31" i="169"/>
  <c r="I28" i="169"/>
  <c r="H28" i="169"/>
  <c r="G27" i="169"/>
  <c r="J27" i="169" s="1"/>
  <c r="G26" i="169"/>
  <c r="J26" i="169" s="1"/>
  <c r="G25" i="169"/>
  <c r="J24" i="169"/>
  <c r="G24" i="169"/>
  <c r="G23" i="169"/>
  <c r="G18" i="169"/>
  <c r="I17" i="169"/>
  <c r="I19" i="169" s="1"/>
  <c r="G16" i="169"/>
  <c r="J16" i="169" s="1"/>
  <c r="G15" i="169"/>
  <c r="J15" i="169" s="1"/>
  <c r="H17" i="169"/>
  <c r="H19" i="169" s="1"/>
  <c r="G14" i="169"/>
  <c r="I79" i="168"/>
  <c r="K79" i="168" s="1"/>
  <c r="G79" i="168"/>
  <c r="E79" i="168"/>
  <c r="F79" i="168" s="1"/>
  <c r="K78" i="168"/>
  <c r="I78" i="168"/>
  <c r="G78" i="168"/>
  <c r="H78" i="168" s="1"/>
  <c r="F78" i="168"/>
  <c r="E78" i="168"/>
  <c r="I76" i="168"/>
  <c r="K76" i="168" s="1"/>
  <c r="G76" i="168"/>
  <c r="F76" i="168" s="1"/>
  <c r="E76" i="168"/>
  <c r="J73" i="168"/>
  <c r="I72" i="168"/>
  <c r="K72" i="168" s="1"/>
  <c r="H72" i="168"/>
  <c r="G72" i="168"/>
  <c r="F72" i="168" s="1"/>
  <c r="E72" i="168"/>
  <c r="I71" i="168"/>
  <c r="K71" i="168" s="1"/>
  <c r="G71" i="168"/>
  <c r="F71" i="168" s="1"/>
  <c r="E71" i="168"/>
  <c r="I70" i="168"/>
  <c r="K70" i="168" s="1"/>
  <c r="G70" i="168"/>
  <c r="F70" i="168" s="1"/>
  <c r="E70" i="168"/>
  <c r="I69" i="168"/>
  <c r="K69" i="168" s="1"/>
  <c r="G69" i="168"/>
  <c r="E69" i="168"/>
  <c r="I68" i="168"/>
  <c r="K68" i="168" s="1"/>
  <c r="G68" i="168"/>
  <c r="H68" i="168" s="1"/>
  <c r="E68" i="168"/>
  <c r="J66" i="168"/>
  <c r="J74" i="168" s="1"/>
  <c r="J77" i="168" s="1"/>
  <c r="J81" i="168" s="1"/>
  <c r="I65" i="168"/>
  <c r="K65" i="168" s="1"/>
  <c r="H65" i="168"/>
  <c r="G65" i="168"/>
  <c r="E65" i="168"/>
  <c r="F65" i="168" s="1"/>
  <c r="I64" i="168"/>
  <c r="K64" i="168" s="1"/>
  <c r="G64" i="168"/>
  <c r="E64" i="168"/>
  <c r="F64" i="168" s="1"/>
  <c r="K63" i="168"/>
  <c r="I63" i="168"/>
  <c r="E63" i="169" s="1"/>
  <c r="F63" i="169" s="1"/>
  <c r="G63" i="168"/>
  <c r="H63" i="168" s="1"/>
  <c r="F63" i="168"/>
  <c r="E63" i="168"/>
  <c r="I62" i="168"/>
  <c r="K62" i="168" s="1"/>
  <c r="H62" i="168"/>
  <c r="G62" i="168"/>
  <c r="F62" i="168" s="1"/>
  <c r="E62" i="168"/>
  <c r="K61" i="168"/>
  <c r="I61" i="168"/>
  <c r="H61" i="168" s="1"/>
  <c r="G61" i="168"/>
  <c r="F61" i="168"/>
  <c r="E61" i="168"/>
  <c r="E66" i="168" s="1"/>
  <c r="I55" i="168"/>
  <c r="G55" i="168"/>
  <c r="F55" i="168"/>
  <c r="E55" i="168"/>
  <c r="I54" i="168"/>
  <c r="G54" i="168"/>
  <c r="E54" i="168"/>
  <c r="K53" i="168"/>
  <c r="I53" i="168"/>
  <c r="G53" i="168"/>
  <c r="E53" i="168"/>
  <c r="E52" i="168"/>
  <c r="I45" i="168"/>
  <c r="E45" i="169" s="1"/>
  <c r="G45" i="168"/>
  <c r="E45" i="168"/>
  <c r="I44" i="168"/>
  <c r="E44" i="169" s="1"/>
  <c r="G44" i="168"/>
  <c r="E44" i="168"/>
  <c r="I43" i="168"/>
  <c r="E43" i="169" s="1"/>
  <c r="G43" i="168"/>
  <c r="G46" i="168" s="1"/>
  <c r="E43" i="168"/>
  <c r="J46" i="168"/>
  <c r="I42" i="168"/>
  <c r="E42" i="169" s="1"/>
  <c r="G42" i="168"/>
  <c r="E42" i="168"/>
  <c r="F42" i="168" s="1"/>
  <c r="K39" i="168"/>
  <c r="I39" i="168"/>
  <c r="E39" i="169" s="1"/>
  <c r="F39" i="169" s="1"/>
  <c r="G39" i="168"/>
  <c r="H39" i="168" s="1"/>
  <c r="E39" i="168"/>
  <c r="I38" i="168"/>
  <c r="E38" i="169" s="1"/>
  <c r="F38" i="169" s="1"/>
  <c r="G38" i="168"/>
  <c r="E38" i="168"/>
  <c r="F38" i="168" s="1"/>
  <c r="I37" i="168"/>
  <c r="E37" i="169" s="1"/>
  <c r="G37" i="168"/>
  <c r="E37" i="168"/>
  <c r="J35" i="168"/>
  <c r="I34" i="168"/>
  <c r="E34" i="169" s="1"/>
  <c r="G34" i="168"/>
  <c r="E34" i="168"/>
  <c r="I33" i="168"/>
  <c r="E33" i="169" s="1"/>
  <c r="G33" i="168"/>
  <c r="E33" i="168"/>
  <c r="I32" i="168"/>
  <c r="E32" i="169" s="1"/>
  <c r="G32" i="168"/>
  <c r="E32" i="168"/>
  <c r="I31" i="168"/>
  <c r="E31" i="169" s="1"/>
  <c r="F31" i="169" s="1"/>
  <c r="G31" i="168"/>
  <c r="G35" i="168" s="1"/>
  <c r="E31" i="168"/>
  <c r="E35" i="168" s="1"/>
  <c r="J28" i="168"/>
  <c r="I27" i="168"/>
  <c r="E27" i="169" s="1"/>
  <c r="F27" i="169" s="1"/>
  <c r="H27" i="168"/>
  <c r="G27" i="168"/>
  <c r="E27" i="168"/>
  <c r="F27" i="168" s="1"/>
  <c r="I26" i="168"/>
  <c r="E26" i="169" s="1"/>
  <c r="F26" i="169" s="1"/>
  <c r="G26" i="168"/>
  <c r="E26" i="168"/>
  <c r="I25" i="168"/>
  <c r="E25" i="169" s="1"/>
  <c r="G25" i="168"/>
  <c r="E25" i="168"/>
  <c r="F25" i="168" s="1"/>
  <c r="I24" i="168"/>
  <c r="E24" i="169" s="1"/>
  <c r="F24" i="169" s="1"/>
  <c r="G24" i="168"/>
  <c r="E24" i="168"/>
  <c r="K23" i="168"/>
  <c r="I23" i="168"/>
  <c r="E23" i="169" s="1"/>
  <c r="G23" i="168"/>
  <c r="F23" i="168"/>
  <c r="E23" i="168"/>
  <c r="I18" i="168"/>
  <c r="E18" i="169" s="1"/>
  <c r="G18" i="168"/>
  <c r="E18" i="168"/>
  <c r="J17" i="168"/>
  <c r="J19" i="168" s="1"/>
  <c r="I16" i="168"/>
  <c r="E16" i="169" s="1"/>
  <c r="F16" i="169" s="1"/>
  <c r="H16" i="168"/>
  <c r="G16" i="168"/>
  <c r="F16" i="168" s="1"/>
  <c r="E16" i="168"/>
  <c r="K15" i="168"/>
  <c r="I15" i="168"/>
  <c r="E15" i="169" s="1"/>
  <c r="F15" i="169" s="1"/>
  <c r="G15" i="168"/>
  <c r="F15" i="168"/>
  <c r="E15" i="168"/>
  <c r="I14" i="168"/>
  <c r="E14" i="169" s="1"/>
  <c r="G14" i="168"/>
  <c r="G17" i="168" s="1"/>
  <c r="G19" i="168" s="1"/>
  <c r="E14" i="168"/>
  <c r="E17" i="168" s="1"/>
  <c r="E19" i="168" s="1"/>
  <c r="A4" i="168"/>
  <c r="A4" i="169" s="1"/>
  <c r="A3" i="168"/>
  <c r="A3" i="169" s="1"/>
  <c r="A2" i="168"/>
  <c r="A2" i="169" s="1"/>
  <c r="A1" i="168"/>
  <c r="A1" i="169" s="1"/>
  <c r="E26" i="167"/>
  <c r="E21" i="167"/>
  <c r="M11" i="167"/>
  <c r="L11" i="167"/>
  <c r="L12" i="167" s="1"/>
  <c r="N10" i="167"/>
  <c r="E10" i="167"/>
  <c r="N9" i="167"/>
  <c r="N11" i="167" s="1"/>
  <c r="M7" i="167"/>
  <c r="M12" i="167" s="1"/>
  <c r="L7" i="167"/>
  <c r="N6" i="167"/>
  <c r="D6" i="167"/>
  <c r="E6" i="167" s="1"/>
  <c r="N5" i="167"/>
  <c r="N7" i="167" s="1"/>
  <c r="E5" i="167"/>
  <c r="E26" i="165"/>
  <c r="E21" i="165"/>
  <c r="C171" i="166"/>
  <c r="C170" i="166"/>
  <c r="F157" i="166"/>
  <c r="B157" i="166"/>
  <c r="F154" i="166"/>
  <c r="B154" i="166"/>
  <c r="A154" i="166"/>
  <c r="F153" i="166"/>
  <c r="B153" i="166"/>
  <c r="A153" i="166"/>
  <c r="F152" i="166"/>
  <c r="B152" i="166"/>
  <c r="A152" i="166"/>
  <c r="F151" i="166"/>
  <c r="B151" i="166"/>
  <c r="A151" i="166"/>
  <c r="F150" i="166"/>
  <c r="B150" i="166"/>
  <c r="A150" i="166"/>
  <c r="F149" i="166"/>
  <c r="B149" i="166"/>
  <c r="A149" i="166"/>
  <c r="F148" i="166"/>
  <c r="B148" i="166"/>
  <c r="A148" i="166"/>
  <c r="F147" i="166"/>
  <c r="B147" i="166"/>
  <c r="A147" i="166"/>
  <c r="F146" i="166"/>
  <c r="B146" i="166"/>
  <c r="A146" i="166"/>
  <c r="F145" i="166"/>
  <c r="B145" i="166"/>
  <c r="A145" i="166"/>
  <c r="F144" i="166"/>
  <c r="B144" i="166"/>
  <c r="A144" i="166"/>
  <c r="F143" i="166"/>
  <c r="B143" i="166"/>
  <c r="A143" i="166"/>
  <c r="F142" i="166"/>
  <c r="B142" i="166"/>
  <c r="A142" i="166"/>
  <c r="F141" i="166"/>
  <c r="B141" i="166"/>
  <c r="A141" i="166"/>
  <c r="F140" i="166"/>
  <c r="B140" i="166"/>
  <c r="A140" i="166"/>
  <c r="F139" i="166"/>
  <c r="B139" i="166"/>
  <c r="A139" i="166"/>
  <c r="F137" i="166"/>
  <c r="B137" i="166"/>
  <c r="A137" i="166"/>
  <c r="F136" i="166"/>
  <c r="B136" i="166"/>
  <c r="A136" i="166"/>
  <c r="F135" i="166"/>
  <c r="B135" i="166"/>
  <c r="A135" i="166"/>
  <c r="F134" i="166"/>
  <c r="B134" i="166"/>
  <c r="A134" i="166"/>
  <c r="F133" i="166"/>
  <c r="B133" i="166"/>
  <c r="A133" i="166"/>
  <c r="F132" i="166"/>
  <c r="B132" i="166"/>
  <c r="A132" i="166"/>
  <c r="F131" i="166"/>
  <c r="B131" i="166"/>
  <c r="A131" i="166"/>
  <c r="F130" i="166"/>
  <c r="B130" i="166"/>
  <c r="A130" i="166"/>
  <c r="F129" i="166"/>
  <c r="B129" i="166"/>
  <c r="A129" i="166"/>
  <c r="F128" i="166"/>
  <c r="B128" i="166"/>
  <c r="A128" i="166"/>
  <c r="F127" i="166"/>
  <c r="B127" i="166"/>
  <c r="A127" i="166"/>
  <c r="F126" i="166"/>
  <c r="B126" i="166"/>
  <c r="A126" i="166"/>
  <c r="F125" i="166"/>
  <c r="B125" i="166"/>
  <c r="A125" i="166"/>
  <c r="F124" i="166"/>
  <c r="B124" i="166"/>
  <c r="A124" i="166"/>
  <c r="F123" i="166"/>
  <c r="B123" i="166"/>
  <c r="A123" i="166"/>
  <c r="F122" i="166"/>
  <c r="B122" i="166"/>
  <c r="A122" i="166"/>
  <c r="F121" i="166"/>
  <c r="B121" i="166"/>
  <c r="A121" i="166"/>
  <c r="F120" i="166"/>
  <c r="B120" i="166"/>
  <c r="A120" i="166"/>
  <c r="F119" i="166"/>
  <c r="B119" i="166"/>
  <c r="A119" i="166"/>
  <c r="F118" i="166"/>
  <c r="B118" i="166"/>
  <c r="A118" i="166"/>
  <c r="F117" i="166"/>
  <c r="F155" i="166" s="1"/>
  <c r="B117" i="166"/>
  <c r="A117" i="166"/>
  <c r="A111" i="166"/>
  <c r="A110" i="166"/>
  <c r="C108" i="166"/>
  <c r="C186" i="166" s="1"/>
  <c r="C107" i="166"/>
  <c r="C185" i="166" s="1"/>
  <c r="C104" i="166"/>
  <c r="C103" i="166"/>
  <c r="C181" i="166" s="1"/>
  <c r="C100" i="166"/>
  <c r="C178" i="166" s="1"/>
  <c r="C99" i="166"/>
  <c r="C98" i="166"/>
  <c r="C176" i="166" s="1"/>
  <c r="C94" i="166"/>
  <c r="E101" i="166" s="1"/>
  <c r="G82" i="166"/>
  <c r="E78" i="166"/>
  <c r="I10" i="166"/>
  <c r="E8" i="166"/>
  <c r="E88" i="166" s="1"/>
  <c r="A4" i="166"/>
  <c r="A113" i="166" s="1"/>
  <c r="E10" i="165"/>
  <c r="E5" i="165"/>
  <c r="E35" i="165" s="1"/>
  <c r="E37" i="165" s="1"/>
  <c r="E39" i="165"/>
  <c r="D39" i="165"/>
  <c r="M12" i="165"/>
  <c r="L12" i="165"/>
  <c r="N11" i="165"/>
  <c r="N12" i="165" s="1"/>
  <c r="M11" i="165"/>
  <c r="L11" i="165"/>
  <c r="N10" i="165"/>
  <c r="N9" i="165"/>
  <c r="N7" i="165"/>
  <c r="M7" i="165"/>
  <c r="L7" i="165"/>
  <c r="N6" i="165"/>
  <c r="E6" i="165"/>
  <c r="E36" i="165" s="1"/>
  <c r="F36" i="165" s="1"/>
  <c r="D6" i="165"/>
  <c r="D36" i="165" s="1"/>
  <c r="N5" i="165"/>
  <c r="BW41" i="1"/>
  <c r="BG41" i="1"/>
  <c r="BW83" i="1"/>
  <c r="BG83" i="1"/>
  <c r="E17" i="169" l="1"/>
  <c r="E19" i="169" s="1"/>
  <c r="H15" i="168"/>
  <c r="K16" i="168"/>
  <c r="H23" i="168"/>
  <c r="G28" i="168"/>
  <c r="K27" i="168"/>
  <c r="F33" i="168"/>
  <c r="E46" i="168"/>
  <c r="F44" i="168"/>
  <c r="H54" i="168"/>
  <c r="H79" i="168"/>
  <c r="G28" i="169"/>
  <c r="E79" i="169"/>
  <c r="F79" i="169" s="1"/>
  <c r="H25" i="168"/>
  <c r="F26" i="168"/>
  <c r="H31" i="168"/>
  <c r="F32" i="168"/>
  <c r="K37" i="168"/>
  <c r="H38" i="168"/>
  <c r="F39" i="168"/>
  <c r="H42" i="168"/>
  <c r="I66" i="168"/>
  <c r="G66" i="168"/>
  <c r="H64" i="168"/>
  <c r="H66" i="168" s="1"/>
  <c r="E73" i="168"/>
  <c r="E64" i="169"/>
  <c r="F64" i="169" s="1"/>
  <c r="F66" i="168"/>
  <c r="K66" i="168"/>
  <c r="F18" i="168"/>
  <c r="E28" i="168"/>
  <c r="E47" i="168" s="1"/>
  <c r="E49" i="168" s="1"/>
  <c r="E57" i="168" s="1"/>
  <c r="K25" i="168"/>
  <c r="F31" i="168"/>
  <c r="K31" i="168"/>
  <c r="F34" i="168"/>
  <c r="F37" i="168"/>
  <c r="K38" i="168"/>
  <c r="F45" i="168"/>
  <c r="F53" i="168"/>
  <c r="F54" i="168"/>
  <c r="H76" i="168"/>
  <c r="N12" i="167"/>
  <c r="H47" i="169"/>
  <c r="H49" i="169" s="1"/>
  <c r="H57" i="169" s="1"/>
  <c r="J47" i="168"/>
  <c r="J49" i="168" s="1"/>
  <c r="J57" i="168" s="1"/>
  <c r="K12" i="170"/>
  <c r="K18" i="170" s="1"/>
  <c r="K20" i="170" s="1"/>
  <c r="J16" i="170"/>
  <c r="J18" i="170" s="1"/>
  <c r="J20" i="170" s="1"/>
  <c r="E28" i="169"/>
  <c r="F23" i="169"/>
  <c r="E46" i="169"/>
  <c r="F42" i="169"/>
  <c r="G47" i="168"/>
  <c r="G49" i="168" s="1"/>
  <c r="F46" i="168"/>
  <c r="H14" i="168"/>
  <c r="H17" i="168" s="1"/>
  <c r="I17" i="168"/>
  <c r="I19" i="168" s="1"/>
  <c r="K18" i="168"/>
  <c r="F24" i="168"/>
  <c r="F28" i="168" s="1"/>
  <c r="K24" i="168"/>
  <c r="H26" i="168"/>
  <c r="K32" i="168"/>
  <c r="H33" i="168"/>
  <c r="H37" i="168"/>
  <c r="F43" i="168"/>
  <c r="K43" i="168"/>
  <c r="H44" i="168"/>
  <c r="K45" i="168"/>
  <c r="H53" i="168"/>
  <c r="E53" i="169"/>
  <c r="E74" i="168"/>
  <c r="E77" i="168" s="1"/>
  <c r="E81" i="168" s="1"/>
  <c r="F68" i="168"/>
  <c r="G73" i="168"/>
  <c r="G74" i="168" s="1"/>
  <c r="G77" i="168" s="1"/>
  <c r="G81" i="168" s="1"/>
  <c r="F69" i="168"/>
  <c r="F32" i="169"/>
  <c r="G35" i="169"/>
  <c r="J32" i="169"/>
  <c r="F45" i="169"/>
  <c r="J45" i="169"/>
  <c r="J55" i="169"/>
  <c r="E61" i="169"/>
  <c r="E65" i="169"/>
  <c r="F65" i="169" s="1"/>
  <c r="J71" i="169"/>
  <c r="K34" i="168"/>
  <c r="I46" i="168"/>
  <c r="K54" i="168"/>
  <c r="E54" i="169"/>
  <c r="H55" i="168"/>
  <c r="E55" i="169"/>
  <c r="F55" i="169" s="1"/>
  <c r="J14" i="169"/>
  <c r="J17" i="169" s="1"/>
  <c r="F14" i="169"/>
  <c r="F17" i="169" s="1"/>
  <c r="G17" i="169"/>
  <c r="G19" i="169" s="1"/>
  <c r="G47" i="169"/>
  <c r="F25" i="169"/>
  <c r="J25" i="169"/>
  <c r="F33" i="169"/>
  <c r="J33" i="169"/>
  <c r="E35" i="169"/>
  <c r="I46" i="169"/>
  <c r="I47" i="169" s="1"/>
  <c r="I49" i="169" s="1"/>
  <c r="I57" i="169" s="1"/>
  <c r="J42" i="169"/>
  <c r="J66" i="169"/>
  <c r="J68" i="169"/>
  <c r="J72" i="169"/>
  <c r="F14" i="168"/>
  <c r="F17" i="168" s="1"/>
  <c r="F19" i="168" s="1"/>
  <c r="H18" i="168"/>
  <c r="H24" i="168"/>
  <c r="H28" i="168" s="1"/>
  <c r="K26" i="168"/>
  <c r="H32" i="168"/>
  <c r="K33" i="168"/>
  <c r="H34" i="168"/>
  <c r="I35" i="168"/>
  <c r="K42" i="168"/>
  <c r="H43" i="168"/>
  <c r="K44" i="168"/>
  <c r="H45" i="168"/>
  <c r="K55" i="168"/>
  <c r="K73" i="168"/>
  <c r="K74" i="168" s="1"/>
  <c r="H69" i="168"/>
  <c r="E69" i="169"/>
  <c r="F69" i="169" s="1"/>
  <c r="H70" i="168"/>
  <c r="F18" i="169"/>
  <c r="J18" i="169"/>
  <c r="J34" i="169"/>
  <c r="J35" i="169" s="1"/>
  <c r="F34" i="169"/>
  <c r="F43" i="169"/>
  <c r="J43" i="169"/>
  <c r="F53" i="169"/>
  <c r="J53" i="169"/>
  <c r="F56" i="169"/>
  <c r="J56" i="169"/>
  <c r="J69" i="169"/>
  <c r="G73" i="169"/>
  <c r="K14" i="168"/>
  <c r="K17" i="168" s="1"/>
  <c r="K19" i="168" s="1"/>
  <c r="I28" i="168"/>
  <c r="H71" i="168"/>
  <c r="E71" i="169"/>
  <c r="F71" i="169" s="1"/>
  <c r="I73" i="168"/>
  <c r="J37" i="169"/>
  <c r="F37" i="169"/>
  <c r="F44" i="169"/>
  <c r="J44" i="169"/>
  <c r="F54" i="169"/>
  <c r="J54" i="169"/>
  <c r="J70" i="169"/>
  <c r="J76" i="169"/>
  <c r="G66" i="169"/>
  <c r="E68" i="169"/>
  <c r="E70" i="169"/>
  <c r="F70" i="169" s="1"/>
  <c r="E72" i="169"/>
  <c r="F72" i="169" s="1"/>
  <c r="E76" i="169"/>
  <c r="F76" i="169" s="1"/>
  <c r="J23" i="169"/>
  <c r="E22" i="167"/>
  <c r="F6" i="167"/>
  <c r="E7" i="167"/>
  <c r="D22" i="167"/>
  <c r="F159" i="166"/>
  <c r="F163" i="166" s="1"/>
  <c r="F166" i="166" s="1"/>
  <c r="C105" i="166"/>
  <c r="D103" i="166" s="1"/>
  <c r="C101" i="166"/>
  <c r="D99" i="166" s="1"/>
  <c r="E99" i="166" s="1"/>
  <c r="E109" i="166" s="1"/>
  <c r="C109" i="166"/>
  <c r="D107" i="166" s="1"/>
  <c r="D109" i="166" s="1"/>
  <c r="C172" i="166"/>
  <c r="E179" i="166" s="1"/>
  <c r="D98" i="166"/>
  <c r="C187" i="166"/>
  <c r="D186" i="166" s="1"/>
  <c r="F78" i="166"/>
  <c r="D104" i="166"/>
  <c r="D105" i="166" s="1"/>
  <c r="C177" i="166"/>
  <c r="C182" i="166"/>
  <c r="D108" i="166"/>
  <c r="E40" i="165"/>
  <c r="E41" i="165" s="1"/>
  <c r="E42" i="165" s="1"/>
  <c r="F6" i="165"/>
  <c r="D22" i="165"/>
  <c r="F39" i="165"/>
  <c r="E7" i="165"/>
  <c r="E22" i="165"/>
  <c r="F22" i="165" s="1"/>
  <c r="F19" i="169" l="1"/>
  <c r="F35" i="169"/>
  <c r="E82" i="168"/>
  <c r="H73" i="168"/>
  <c r="H74" i="168" s="1"/>
  <c r="H77" i="168" s="1"/>
  <c r="H81" i="168" s="1"/>
  <c r="H46" i="168"/>
  <c r="E73" i="169"/>
  <c r="H35" i="168"/>
  <c r="H47" i="168" s="1"/>
  <c r="K28" i="168"/>
  <c r="F35" i="168"/>
  <c r="F47" i="168" s="1"/>
  <c r="F49" i="168" s="1"/>
  <c r="K35" i="168"/>
  <c r="J22" i="170"/>
  <c r="J24" i="170" s="1"/>
  <c r="J26" i="170" s="1"/>
  <c r="K22" i="170"/>
  <c r="K24" i="170" s="1"/>
  <c r="K26" i="170" s="1"/>
  <c r="J28" i="169"/>
  <c r="K46" i="168"/>
  <c r="J73" i="169"/>
  <c r="J74" i="169" s="1"/>
  <c r="J77" i="169" s="1"/>
  <c r="J81" i="169" s="1"/>
  <c r="G49" i="169"/>
  <c r="I74" i="168"/>
  <c r="I77" i="168" s="1"/>
  <c r="F46" i="169"/>
  <c r="F68" i="169"/>
  <c r="F73" i="169" s="1"/>
  <c r="F61" i="169"/>
  <c r="F66" i="169" s="1"/>
  <c r="F74" i="169" s="1"/>
  <c r="F77" i="169" s="1"/>
  <c r="F81" i="169" s="1"/>
  <c r="E66" i="169"/>
  <c r="E74" i="169" s="1"/>
  <c r="E77" i="169" s="1"/>
  <c r="E81" i="169" s="1"/>
  <c r="F28" i="169"/>
  <c r="F47" i="169" s="1"/>
  <c r="F49" i="169" s="1"/>
  <c r="J19" i="169"/>
  <c r="H19" i="168"/>
  <c r="E47" i="169"/>
  <c r="E49" i="169" s="1"/>
  <c r="G74" i="169"/>
  <c r="G77" i="169" s="1"/>
  <c r="G81" i="169" s="1"/>
  <c r="I47" i="168"/>
  <c r="I49" i="168" s="1"/>
  <c r="J46" i="169"/>
  <c r="F73" i="168"/>
  <c r="F74" i="168" s="1"/>
  <c r="F77" i="168" s="1"/>
  <c r="F81" i="168" s="1"/>
  <c r="F22" i="167"/>
  <c r="E23" i="167"/>
  <c r="D100" i="166"/>
  <c r="E100" i="166" s="1"/>
  <c r="D185" i="166"/>
  <c r="D187" i="166" s="1"/>
  <c r="D101" i="166"/>
  <c r="E98" i="166"/>
  <c r="E105" i="166" s="1"/>
  <c r="E103" i="166" s="1"/>
  <c r="D182" i="166"/>
  <c r="C183" i="166"/>
  <c r="D181" i="166" s="1"/>
  <c r="E108" i="166"/>
  <c r="E107" i="166"/>
  <c r="C179" i="166"/>
  <c r="D177" i="166" s="1"/>
  <c r="E177" i="166" s="1"/>
  <c r="E187" i="166" s="1"/>
  <c r="E23" i="165"/>
  <c r="H49" i="168" l="1"/>
  <c r="K47" i="168"/>
  <c r="K49" i="168" s="1"/>
  <c r="J95" i="169"/>
  <c r="J47" i="169"/>
  <c r="J49" i="169" s="1"/>
  <c r="I81" i="168"/>
  <c r="K77" i="168"/>
  <c r="K81" i="168" s="1"/>
  <c r="E104" i="166"/>
  <c r="E185" i="166"/>
  <c r="E186" i="166"/>
  <c r="D176" i="166"/>
  <c r="D178" i="166"/>
  <c r="E178" i="166" s="1"/>
  <c r="D183" i="166"/>
  <c r="D179" i="166" l="1"/>
  <c r="E176" i="166"/>
  <c r="E183" i="166" s="1"/>
  <c r="E182" i="166" l="1"/>
  <c r="E181" i="166"/>
  <c r="E9" i="165" l="1"/>
  <c r="E25" i="165" l="1"/>
  <c r="E11" i="165"/>
  <c r="E12" i="165" s="1"/>
  <c r="E11" i="167"/>
  <c r="E12" i="167" s="1"/>
  <c r="E27" i="167" l="1"/>
  <c r="E28" i="167" s="1"/>
  <c r="E27" i="165"/>
  <c r="E28" i="165" s="1"/>
  <c r="BW72" i="1" l="1"/>
  <c r="BW65" i="1"/>
  <c r="BW45" i="1"/>
  <c r="BW34" i="1"/>
  <c r="BW27" i="1"/>
  <c r="BW18" i="1"/>
  <c r="BW16" i="1"/>
  <c r="BG72" i="1"/>
  <c r="BG65" i="1"/>
  <c r="BG45" i="1"/>
  <c r="BG34" i="1"/>
  <c r="BG27" i="1"/>
  <c r="BG16" i="1"/>
  <c r="BG18" i="1" s="1"/>
  <c r="K13" i="51"/>
  <c r="BW46" i="1" l="1"/>
  <c r="BW48" i="1" s="1"/>
  <c r="BW51" i="1" s="1"/>
  <c r="BW73" i="1"/>
  <c r="BW76" i="1" s="1"/>
  <c r="BW80" i="1" s="1"/>
  <c r="BW52" i="1" s="1"/>
  <c r="BG46" i="1"/>
  <c r="BG48" i="1" s="1"/>
  <c r="BG73" i="1"/>
  <c r="BG76" i="1" s="1"/>
  <c r="BG80" i="1" s="1"/>
  <c r="L35" i="51"/>
  <c r="L32" i="51"/>
  <c r="K35" i="51"/>
  <c r="J35" i="51"/>
  <c r="BW56" i="1" l="1"/>
  <c r="BW87" i="1" s="1"/>
  <c r="BW88" i="1" s="1"/>
  <c r="BW82" i="1" s="1"/>
  <c r="BG52" i="1"/>
  <c r="BG51" i="1"/>
  <c r="BG56" i="1" s="1"/>
  <c r="BG87" i="1" s="1"/>
  <c r="F8" i="164"/>
  <c r="F6" i="164"/>
  <c r="C8" i="163"/>
  <c r="D8" i="163" s="1"/>
  <c r="AD17" i="1"/>
  <c r="O30" i="163"/>
  <c r="D14" i="163"/>
  <c r="C12" i="163"/>
  <c r="C11" i="163"/>
  <c r="AU45" i="1" l="1"/>
  <c r="O6" i="164" l="1"/>
  <c r="G26" i="164" s="1"/>
  <c r="N6" i="164"/>
  <c r="F26" i="164" s="1"/>
  <c r="O22" i="163"/>
  <c r="N22" i="163"/>
  <c r="G6" i="164"/>
  <c r="O21" i="163"/>
  <c r="P27" i="163"/>
  <c r="N21" i="163"/>
  <c r="H30" i="163"/>
  <c r="N10" i="163"/>
  <c r="BQ33" i="113" l="1"/>
  <c r="BR33" i="113"/>
  <c r="BB33" i="113"/>
  <c r="BC33" i="113"/>
  <c r="BD33" i="113"/>
  <c r="BE33" i="113"/>
  <c r="BF33" i="113"/>
  <c r="BG33" i="113"/>
  <c r="BH33" i="113"/>
  <c r="BI33" i="113"/>
  <c r="BJ33" i="113"/>
  <c r="BK33" i="113"/>
  <c r="BL33" i="113"/>
  <c r="BM33" i="113"/>
  <c r="BN33" i="113"/>
  <c r="BO33" i="113"/>
  <c r="BP33" i="113"/>
  <c r="AV33" i="113"/>
  <c r="AW33" i="113"/>
  <c r="AX33" i="113"/>
  <c r="AY33" i="113"/>
  <c r="AZ33" i="113"/>
  <c r="BA33" i="113"/>
  <c r="AT33" i="113"/>
  <c r="AU33" i="113"/>
  <c r="AS33" i="113"/>
  <c r="R33" i="113"/>
  <c r="S33" i="113"/>
  <c r="T33" i="113"/>
  <c r="U33" i="113"/>
  <c r="V33" i="113"/>
  <c r="W33" i="113"/>
  <c r="X33" i="113"/>
  <c r="Y33" i="113"/>
  <c r="Z33" i="113"/>
  <c r="AA33" i="113"/>
  <c r="AB33" i="113"/>
  <c r="AC33" i="113"/>
  <c r="AD33" i="113"/>
  <c r="AE33" i="113"/>
  <c r="AF33" i="113"/>
  <c r="AG33" i="113"/>
  <c r="AH33" i="113"/>
  <c r="AI33" i="113"/>
  <c r="AJ33" i="113"/>
  <c r="AK33" i="113"/>
  <c r="AL33" i="113"/>
  <c r="AM33" i="113"/>
  <c r="AN33" i="113"/>
  <c r="AO33" i="113"/>
  <c r="AP33" i="113"/>
  <c r="AQ33" i="113"/>
  <c r="AR33" i="113"/>
  <c r="F33" i="113"/>
  <c r="G33" i="113"/>
  <c r="H33" i="113"/>
  <c r="I33" i="113"/>
  <c r="J33" i="113"/>
  <c r="K33" i="113"/>
  <c r="L33" i="113"/>
  <c r="M33" i="113"/>
  <c r="N33" i="113"/>
  <c r="O33" i="113"/>
  <c r="P33" i="113"/>
  <c r="Q33" i="113"/>
  <c r="C33" i="113"/>
  <c r="A33" i="113"/>
  <c r="A34" i="113"/>
  <c r="R37" i="163" l="1"/>
  <c r="O37" i="163"/>
  <c r="P37" i="163"/>
  <c r="N5" i="164"/>
  <c r="F25" i="164" s="1"/>
  <c r="F35" i="164" l="1"/>
  <c r="F15" i="164"/>
  <c r="G15" i="164"/>
  <c r="I15" i="164"/>
  <c r="F39" i="164" l="1"/>
  <c r="F32" i="164" s="1"/>
  <c r="I39" i="164"/>
  <c r="I32" i="164" s="1"/>
  <c r="G39" i="164"/>
  <c r="G32" i="164" s="1"/>
  <c r="I30" i="164"/>
  <c r="F30" i="164"/>
  <c r="G30" i="164"/>
  <c r="H30" i="164" s="1"/>
  <c r="Q5" i="164"/>
  <c r="I25" i="164" s="1"/>
  <c r="H35" i="164"/>
  <c r="P9" i="164"/>
  <c r="N8" i="164"/>
  <c r="B36" i="163"/>
  <c r="D16" i="163"/>
  <c r="F28" i="164" l="1"/>
  <c r="H28" i="164" s="1"/>
  <c r="J28" i="164" s="1"/>
  <c r="H32" i="164"/>
  <c r="J32" i="164" s="1"/>
  <c r="J30" i="164"/>
  <c r="J35" i="164"/>
  <c r="H15" i="164"/>
  <c r="Q7" i="164"/>
  <c r="I27" i="164" s="1"/>
  <c r="Q6" i="164"/>
  <c r="O7" i="164"/>
  <c r="G27" i="164" s="1"/>
  <c r="H27" i="164" s="1"/>
  <c r="O5" i="164"/>
  <c r="H26" i="164" l="1"/>
  <c r="J27" i="164"/>
  <c r="I26" i="164"/>
  <c r="I24" i="164" s="1"/>
  <c r="I34" i="164" s="1"/>
  <c r="Q9" i="164"/>
  <c r="G25" i="164"/>
  <c r="G24" i="164" s="1"/>
  <c r="G34" i="164" s="1"/>
  <c r="O9" i="164"/>
  <c r="N9" i="164"/>
  <c r="R10" i="164" s="1"/>
  <c r="J15" i="164"/>
  <c r="I19" i="164"/>
  <c r="I12" i="164" s="1"/>
  <c r="G19" i="164"/>
  <c r="G12" i="164" s="1"/>
  <c r="F19" i="164"/>
  <c r="F12" i="164" s="1"/>
  <c r="H12" i="164" l="1"/>
  <c r="J12" i="164" s="1"/>
  <c r="F24" i="164"/>
  <c r="F34" i="164" s="1"/>
  <c r="H34" i="164" s="1"/>
  <c r="J34" i="164" s="1"/>
  <c r="R9" i="164"/>
  <c r="H25" i="164"/>
  <c r="J26" i="164"/>
  <c r="J25" i="164" l="1"/>
  <c r="H24" i="164"/>
  <c r="J24" i="164" s="1"/>
  <c r="G7" i="164" l="1"/>
  <c r="H7" i="164" s="1"/>
  <c r="J7" i="164" s="1"/>
  <c r="F5" i="164"/>
  <c r="F4" i="164" s="1"/>
  <c r="H8" i="164" l="1"/>
  <c r="I6" i="164"/>
  <c r="I5" i="164"/>
  <c r="G20" i="164"/>
  <c r="G5" i="164"/>
  <c r="G10" i="164"/>
  <c r="I10" i="164"/>
  <c r="F10" i="164"/>
  <c r="J8" i="164" l="1"/>
  <c r="H4" i="164"/>
  <c r="G4" i="164"/>
  <c r="G14" i="164" s="1"/>
  <c r="I4" i="164"/>
  <c r="I14" i="164" s="1"/>
  <c r="F14" i="164"/>
  <c r="H5" i="164"/>
  <c r="J5" i="164" s="1"/>
  <c r="H10" i="164"/>
  <c r="J10" i="164" s="1"/>
  <c r="H6" i="164"/>
  <c r="J6" i="164" s="1"/>
  <c r="Q30" i="163"/>
  <c r="H14" i="164" l="1"/>
  <c r="J14" i="164" s="1"/>
  <c r="J4" i="164"/>
  <c r="Q34" i="163"/>
  <c r="Q37" i="163" s="1"/>
  <c r="Q36" i="163"/>
  <c r="Q35" i="163"/>
  <c r="O18" i="163" l="1"/>
  <c r="O17" i="163"/>
  <c r="P14" i="163" l="1"/>
  <c r="N3" i="163" l="1"/>
  <c r="N2" i="163"/>
  <c r="P5" i="163"/>
  <c r="O5" i="163"/>
  <c r="I5" i="163"/>
  <c r="J5" i="163"/>
  <c r="B1" i="163"/>
  <c r="B33" i="163" s="1"/>
  <c r="H4" i="163"/>
  <c r="H3" i="163"/>
  <c r="H2" i="163"/>
  <c r="H20" i="163" l="1"/>
  <c r="B34" i="163"/>
  <c r="O47" i="163"/>
  <c r="I6" i="163"/>
  <c r="H23" i="163" s="1"/>
  <c r="H5" i="163"/>
  <c r="H6" i="163" s="1"/>
  <c r="G23" i="163" s="1"/>
  <c r="J6" i="163"/>
  <c r="P6" i="163"/>
  <c r="N5" i="163"/>
  <c r="N6" i="163" s="1"/>
  <c r="O6" i="163"/>
  <c r="O48" i="163" l="1"/>
  <c r="P28" i="163"/>
  <c r="H39" i="163"/>
  <c r="B146" i="99" l="1"/>
  <c r="B145" i="99"/>
  <c r="B144" i="99"/>
  <c r="B143" i="99"/>
  <c r="B142" i="99"/>
  <c r="B141" i="99"/>
  <c r="B140" i="99"/>
  <c r="B139" i="99"/>
  <c r="B138" i="99"/>
  <c r="B137" i="99"/>
  <c r="B136" i="99"/>
  <c r="B135" i="99"/>
  <c r="E147" i="99"/>
  <c r="D147" i="99"/>
  <c r="B134" i="99"/>
  <c r="B67" i="99"/>
  <c r="B59" i="99"/>
  <c r="B58" i="99"/>
  <c r="B55" i="99"/>
  <c r="B54" i="99"/>
  <c r="B50" i="99"/>
  <c r="B46" i="99"/>
  <c r="B35" i="99"/>
  <c r="G66" i="3" l="1"/>
  <c r="BR7" i="113" l="1"/>
  <c r="BF7" i="113"/>
  <c r="BR8" i="113"/>
  <c r="BF8" i="113"/>
  <c r="BR9" i="113"/>
  <c r="BF9" i="113"/>
  <c r="BR11" i="113"/>
  <c r="BF11" i="113"/>
  <c r="BR14" i="113"/>
  <c r="BF14" i="113"/>
  <c r="BR15" i="113"/>
  <c r="BF15" i="113"/>
  <c r="BR16" i="113"/>
  <c r="BF16" i="113"/>
  <c r="BR18" i="113"/>
  <c r="BF18" i="113"/>
  <c r="BR23" i="113"/>
  <c r="BF23" i="113"/>
  <c r="BR24" i="113"/>
  <c r="BF24" i="113"/>
  <c r="BR25" i="113"/>
  <c r="BF25" i="113"/>
  <c r="BR26" i="113"/>
  <c r="BF26" i="113"/>
  <c r="BR27" i="113"/>
  <c r="BF27" i="113"/>
  <c r="BR31" i="113"/>
  <c r="BF31" i="113"/>
  <c r="BR32" i="113"/>
  <c r="BF32" i="113"/>
  <c r="BR34" i="113"/>
  <c r="BF34" i="113"/>
  <c r="BR37" i="113"/>
  <c r="BF37" i="113"/>
  <c r="BR38" i="113"/>
  <c r="BF38" i="113"/>
  <c r="BR39" i="113"/>
  <c r="BF39" i="113"/>
  <c r="BR42" i="113"/>
  <c r="BF42" i="113"/>
  <c r="BR43" i="113"/>
  <c r="BF43" i="113"/>
  <c r="BR44" i="113"/>
  <c r="BF44" i="113"/>
  <c r="BR45" i="113"/>
  <c r="BF45" i="113"/>
  <c r="BR51" i="113"/>
  <c r="BF51" i="113"/>
  <c r="BR54" i="113"/>
  <c r="BF54" i="113"/>
  <c r="BR55" i="113"/>
  <c r="BF55" i="113"/>
  <c r="BR61" i="113"/>
  <c r="BF61" i="113"/>
  <c r="BR62" i="113"/>
  <c r="BF62" i="113"/>
  <c r="BR63" i="113"/>
  <c r="BF63" i="113"/>
  <c r="BR64" i="113"/>
  <c r="BF64" i="113"/>
  <c r="BR65" i="113"/>
  <c r="BF65" i="113"/>
  <c r="BR68" i="113"/>
  <c r="BF68" i="113"/>
  <c r="BR69" i="113"/>
  <c r="BF69" i="113"/>
  <c r="BR70" i="113"/>
  <c r="BF70" i="113"/>
  <c r="BR71" i="113"/>
  <c r="BF71" i="113"/>
  <c r="BR72" i="113"/>
  <c r="BF72" i="113"/>
  <c r="BR76" i="113"/>
  <c r="BF76" i="113"/>
  <c r="BR78" i="113"/>
  <c r="BF78" i="113"/>
  <c r="BR79" i="113"/>
  <c r="BF79" i="113"/>
  <c r="BR80" i="113"/>
  <c r="BF80" i="113"/>
  <c r="BI7" i="113"/>
  <c r="BJ7" i="113"/>
  <c r="BK7" i="113"/>
  <c r="BL7" i="113"/>
  <c r="BM7" i="113"/>
  <c r="BN7" i="113"/>
  <c r="BO7" i="113"/>
  <c r="BP7" i="113"/>
  <c r="BQ7" i="113"/>
  <c r="BI8" i="113"/>
  <c r="BJ8" i="113"/>
  <c r="BK8" i="113"/>
  <c r="BL8" i="113"/>
  <c r="BM8" i="113"/>
  <c r="BN8" i="113"/>
  <c r="BO8" i="113"/>
  <c r="BP8" i="113"/>
  <c r="BQ8" i="113"/>
  <c r="BI9" i="113"/>
  <c r="BJ9" i="113"/>
  <c r="BK9" i="113"/>
  <c r="BL9" i="113"/>
  <c r="BM9" i="113"/>
  <c r="BN9" i="113"/>
  <c r="BO9" i="113"/>
  <c r="BP9" i="113"/>
  <c r="BQ9" i="113"/>
  <c r="BI11" i="113"/>
  <c r="BJ11" i="113"/>
  <c r="BK11" i="113"/>
  <c r="BL11" i="113"/>
  <c r="BM11" i="113"/>
  <c r="BN11" i="113"/>
  <c r="BO11" i="113"/>
  <c r="BP11" i="113"/>
  <c r="BQ11" i="113"/>
  <c r="BI14" i="113"/>
  <c r="BJ14" i="113"/>
  <c r="BK14" i="113"/>
  <c r="BL14" i="113"/>
  <c r="BM14" i="113"/>
  <c r="BN14" i="113"/>
  <c r="BO14" i="113"/>
  <c r="BP14" i="113"/>
  <c r="BQ14" i="113"/>
  <c r="BI15" i="113"/>
  <c r="BJ15" i="113"/>
  <c r="BK15" i="113"/>
  <c r="BL15" i="113"/>
  <c r="BM15" i="113"/>
  <c r="BN15" i="113"/>
  <c r="BO15" i="113"/>
  <c r="BP15" i="113"/>
  <c r="BQ15" i="113"/>
  <c r="BI16" i="113"/>
  <c r="BJ16" i="113"/>
  <c r="BK16" i="113"/>
  <c r="BL16" i="113"/>
  <c r="BM16" i="113"/>
  <c r="BN16" i="113"/>
  <c r="BO16" i="113"/>
  <c r="BP16" i="113"/>
  <c r="BQ16" i="113"/>
  <c r="BI18" i="113"/>
  <c r="BJ18" i="113"/>
  <c r="BK18" i="113"/>
  <c r="BL18" i="113"/>
  <c r="BM18" i="113"/>
  <c r="BN18" i="113"/>
  <c r="BP18" i="113"/>
  <c r="BQ18" i="113"/>
  <c r="BI23" i="113"/>
  <c r="BJ23" i="113"/>
  <c r="BK23" i="113"/>
  <c r="BL23" i="113"/>
  <c r="BN23" i="113"/>
  <c r="BO23" i="113"/>
  <c r="BP23" i="113"/>
  <c r="BQ23" i="113"/>
  <c r="BI24" i="113"/>
  <c r="BJ24" i="113"/>
  <c r="BK24" i="113"/>
  <c r="BL24" i="113"/>
  <c r="BM24" i="113"/>
  <c r="BN24" i="113"/>
  <c r="BO24" i="113"/>
  <c r="BP24" i="113"/>
  <c r="BQ24" i="113"/>
  <c r="BI25" i="113"/>
  <c r="BJ25" i="113"/>
  <c r="BK25" i="113"/>
  <c r="BL25" i="113"/>
  <c r="BM25" i="113"/>
  <c r="BO25" i="113"/>
  <c r="BP25" i="113"/>
  <c r="BI26" i="113"/>
  <c r="BJ26" i="113"/>
  <c r="BK26" i="113"/>
  <c r="BL26" i="113"/>
  <c r="BM26" i="113"/>
  <c r="BN26" i="113"/>
  <c r="BO26" i="113"/>
  <c r="BP26" i="113"/>
  <c r="BQ26" i="113"/>
  <c r="BI27" i="113"/>
  <c r="BJ27" i="113"/>
  <c r="BK27" i="113"/>
  <c r="BL27" i="113"/>
  <c r="BM27" i="113"/>
  <c r="BN27" i="113"/>
  <c r="BO27" i="113"/>
  <c r="BP27" i="113"/>
  <c r="BQ27" i="113"/>
  <c r="BI31" i="113"/>
  <c r="BJ31" i="113"/>
  <c r="BK31" i="113"/>
  <c r="BL31" i="113"/>
  <c r="BN31" i="113"/>
  <c r="BO31" i="113"/>
  <c r="BP31" i="113"/>
  <c r="BQ31" i="113"/>
  <c r="BI32" i="113"/>
  <c r="BJ32" i="113"/>
  <c r="BK32" i="113"/>
  <c r="BL32" i="113"/>
  <c r="BM32" i="113"/>
  <c r="BN32" i="113"/>
  <c r="BO32" i="113"/>
  <c r="BP32" i="113"/>
  <c r="BQ32" i="113"/>
  <c r="BI34" i="113"/>
  <c r="BJ34" i="113"/>
  <c r="BK34" i="113"/>
  <c r="BL34" i="113"/>
  <c r="BM34" i="113"/>
  <c r="BN34" i="113"/>
  <c r="BO34" i="113"/>
  <c r="BP34" i="113"/>
  <c r="BQ34" i="113"/>
  <c r="BI37" i="113"/>
  <c r="BJ37" i="113"/>
  <c r="BK37" i="113"/>
  <c r="BL37" i="113"/>
  <c r="BN37" i="113"/>
  <c r="BO37" i="113"/>
  <c r="BP37" i="113"/>
  <c r="BQ37" i="113"/>
  <c r="BI38" i="113"/>
  <c r="BJ38" i="113"/>
  <c r="BK38" i="113"/>
  <c r="BL38" i="113"/>
  <c r="BN38" i="113"/>
  <c r="BO38" i="113"/>
  <c r="BP38" i="113"/>
  <c r="BQ38" i="113"/>
  <c r="BI39" i="113"/>
  <c r="BJ39" i="113"/>
  <c r="BK39" i="113"/>
  <c r="BL39" i="113"/>
  <c r="BM39" i="113"/>
  <c r="BN39" i="113"/>
  <c r="BO39" i="113"/>
  <c r="BP39" i="113"/>
  <c r="BQ39" i="113"/>
  <c r="BI42" i="113"/>
  <c r="BJ42" i="113"/>
  <c r="BK42" i="113"/>
  <c r="BL42" i="113"/>
  <c r="BN42" i="113"/>
  <c r="BO42" i="113"/>
  <c r="BP42" i="113"/>
  <c r="BQ42" i="113"/>
  <c r="BI43" i="113"/>
  <c r="BJ43" i="113"/>
  <c r="BK43" i="113"/>
  <c r="BL43" i="113"/>
  <c r="BM43" i="113"/>
  <c r="BO43" i="113"/>
  <c r="BQ43" i="113"/>
  <c r="BI44" i="113"/>
  <c r="BJ44" i="113"/>
  <c r="BK44" i="113"/>
  <c r="BL44" i="113"/>
  <c r="BM44" i="113"/>
  <c r="BN44" i="113"/>
  <c r="BO44" i="113"/>
  <c r="BP44" i="113"/>
  <c r="BQ44" i="113"/>
  <c r="BI45" i="113"/>
  <c r="BJ45" i="113"/>
  <c r="BK45" i="113"/>
  <c r="BL45" i="113"/>
  <c r="BM45" i="113"/>
  <c r="BN45" i="113"/>
  <c r="BO45" i="113"/>
  <c r="BP45" i="113"/>
  <c r="BQ45" i="113"/>
  <c r="BI51" i="113"/>
  <c r="BJ51" i="113"/>
  <c r="BK51" i="113"/>
  <c r="BL51" i="113"/>
  <c r="BM51" i="113"/>
  <c r="BN51" i="113"/>
  <c r="BO51" i="113"/>
  <c r="BP51" i="113"/>
  <c r="BQ51" i="113"/>
  <c r="BI54" i="113"/>
  <c r="BJ54" i="113"/>
  <c r="BK54" i="113"/>
  <c r="BL54" i="113"/>
  <c r="BM54" i="113"/>
  <c r="BN54" i="113"/>
  <c r="BO54" i="113"/>
  <c r="BP54" i="113"/>
  <c r="BQ54" i="113"/>
  <c r="BI55" i="113"/>
  <c r="BJ55" i="113"/>
  <c r="BK55" i="113"/>
  <c r="BL55" i="113"/>
  <c r="BM55" i="113"/>
  <c r="BN55" i="113"/>
  <c r="BO55" i="113"/>
  <c r="BP55" i="113"/>
  <c r="BQ55" i="113"/>
  <c r="BI61" i="113"/>
  <c r="BJ61" i="113"/>
  <c r="BK61" i="113"/>
  <c r="BL61" i="113"/>
  <c r="BM61" i="113"/>
  <c r="BN61" i="113"/>
  <c r="BO61" i="113"/>
  <c r="BP61" i="113"/>
  <c r="BQ61" i="113"/>
  <c r="BI62" i="113"/>
  <c r="BJ62" i="113"/>
  <c r="BK62" i="113"/>
  <c r="BL62" i="113"/>
  <c r="BM62" i="113"/>
  <c r="BN62" i="113"/>
  <c r="BO62" i="113"/>
  <c r="BP62" i="113"/>
  <c r="BQ62" i="113"/>
  <c r="BI63" i="113"/>
  <c r="BJ63" i="113"/>
  <c r="BK63" i="113"/>
  <c r="BL63" i="113"/>
  <c r="BM63" i="113"/>
  <c r="BN63" i="113"/>
  <c r="BO63" i="113"/>
  <c r="BP63" i="113"/>
  <c r="BQ63" i="113"/>
  <c r="BI64" i="113"/>
  <c r="BJ64" i="113"/>
  <c r="BK64" i="113"/>
  <c r="BL64" i="113"/>
  <c r="BM64" i="113"/>
  <c r="BN64" i="113"/>
  <c r="BO64" i="113"/>
  <c r="BP64" i="113"/>
  <c r="BQ64" i="113"/>
  <c r="BI65" i="113"/>
  <c r="BJ65" i="113"/>
  <c r="BK65" i="113"/>
  <c r="BL65" i="113"/>
  <c r="BM65" i="113"/>
  <c r="BN65" i="113"/>
  <c r="BO65" i="113"/>
  <c r="BP65" i="113"/>
  <c r="BQ65" i="113"/>
  <c r="BI68" i="113"/>
  <c r="BJ68" i="113"/>
  <c r="BK68" i="113"/>
  <c r="BL68" i="113"/>
  <c r="BM68" i="113"/>
  <c r="BN68" i="113"/>
  <c r="BO68" i="113"/>
  <c r="BP68" i="113"/>
  <c r="BQ68" i="113"/>
  <c r="BI69" i="113"/>
  <c r="BJ69" i="113"/>
  <c r="BK69" i="113"/>
  <c r="BL69" i="113"/>
  <c r="BM69" i="113"/>
  <c r="BN69" i="113"/>
  <c r="BO69" i="113"/>
  <c r="BP69" i="113"/>
  <c r="BQ69" i="113"/>
  <c r="BI70" i="113"/>
  <c r="BJ70" i="113"/>
  <c r="BK70" i="113"/>
  <c r="BL70" i="113"/>
  <c r="BM70" i="113"/>
  <c r="BN70" i="113"/>
  <c r="BO70" i="113"/>
  <c r="BP70" i="113"/>
  <c r="BQ70" i="113"/>
  <c r="BI71" i="113"/>
  <c r="BJ71" i="113"/>
  <c r="BK71" i="113"/>
  <c r="BL71" i="113"/>
  <c r="BM71" i="113"/>
  <c r="BN71" i="113"/>
  <c r="BO71" i="113"/>
  <c r="BP71" i="113"/>
  <c r="BQ71" i="113"/>
  <c r="BI72" i="113"/>
  <c r="BJ72" i="113"/>
  <c r="BK72" i="113"/>
  <c r="BL72" i="113"/>
  <c r="BM72" i="113"/>
  <c r="BN72" i="113"/>
  <c r="BO72" i="113"/>
  <c r="BP72" i="113"/>
  <c r="BQ72" i="113"/>
  <c r="BI76" i="113"/>
  <c r="BJ76" i="113"/>
  <c r="BK76" i="113"/>
  <c r="BL76" i="113"/>
  <c r="BM76" i="113"/>
  <c r="BN76" i="113"/>
  <c r="BO76" i="113"/>
  <c r="BP76" i="113"/>
  <c r="BQ76" i="113"/>
  <c r="BI78" i="113"/>
  <c r="BJ78" i="113"/>
  <c r="BK78" i="113"/>
  <c r="BL78" i="113"/>
  <c r="BM78" i="113"/>
  <c r="BN78" i="113"/>
  <c r="BO78" i="113"/>
  <c r="BP78" i="113"/>
  <c r="BQ78" i="113"/>
  <c r="BI79" i="113"/>
  <c r="BJ79" i="113"/>
  <c r="BK79" i="113"/>
  <c r="BL79" i="113"/>
  <c r="BM79" i="113"/>
  <c r="BN79" i="113"/>
  <c r="BO79" i="113"/>
  <c r="BP79" i="113"/>
  <c r="BQ79" i="113"/>
  <c r="BI80" i="113"/>
  <c r="BJ80" i="113"/>
  <c r="BK80" i="113"/>
  <c r="BL80" i="113"/>
  <c r="BM80" i="113"/>
  <c r="BN80" i="113"/>
  <c r="BO80" i="113"/>
  <c r="BP80" i="113"/>
  <c r="BQ80" i="113"/>
  <c r="AY7" i="113"/>
  <c r="AZ7" i="113"/>
  <c r="BA7" i="113"/>
  <c r="BB7" i="113"/>
  <c r="BC7" i="113"/>
  <c r="BD7" i="113"/>
  <c r="BE7" i="113"/>
  <c r="BG7" i="113"/>
  <c r="BH7" i="113"/>
  <c r="AY8" i="113"/>
  <c r="AZ8" i="113"/>
  <c r="BA8" i="113"/>
  <c r="BB8" i="113"/>
  <c r="BC8" i="113"/>
  <c r="BD8" i="113"/>
  <c r="BE8" i="113"/>
  <c r="BG8" i="113"/>
  <c r="BH8" i="113"/>
  <c r="AY9" i="113"/>
  <c r="AZ9" i="113"/>
  <c r="BA9" i="113"/>
  <c r="BB9" i="113"/>
  <c r="BC9" i="113"/>
  <c r="BD9" i="113"/>
  <c r="BE9" i="113"/>
  <c r="BG9" i="113"/>
  <c r="BH9" i="113"/>
  <c r="AY11" i="113"/>
  <c r="AZ11" i="113"/>
  <c r="BA11" i="113"/>
  <c r="BB11" i="113"/>
  <c r="BC11" i="113"/>
  <c r="BD11" i="113"/>
  <c r="BE11" i="113"/>
  <c r="BG11" i="113"/>
  <c r="BH11" i="113"/>
  <c r="AY14" i="113"/>
  <c r="AZ14" i="113"/>
  <c r="BA14" i="113"/>
  <c r="BB14" i="113"/>
  <c r="BC14" i="113"/>
  <c r="BD14" i="113"/>
  <c r="BE14" i="113"/>
  <c r="BG14" i="113"/>
  <c r="BH14" i="113"/>
  <c r="AY15" i="113"/>
  <c r="AZ15" i="113"/>
  <c r="BA15" i="113"/>
  <c r="BB15" i="113"/>
  <c r="BC15" i="113"/>
  <c r="BD15" i="113"/>
  <c r="BE15" i="113"/>
  <c r="BG15" i="113"/>
  <c r="BH15" i="113"/>
  <c r="AY16" i="113"/>
  <c r="AZ16" i="113"/>
  <c r="BA16" i="113"/>
  <c r="BB16" i="113"/>
  <c r="BC16" i="113"/>
  <c r="BD16" i="113"/>
  <c r="BE16" i="113"/>
  <c r="BG16" i="113"/>
  <c r="BH16" i="113"/>
  <c r="AY18" i="113"/>
  <c r="AZ18" i="113"/>
  <c r="BA18" i="113"/>
  <c r="BB18" i="113"/>
  <c r="BC18" i="113"/>
  <c r="BD18" i="113"/>
  <c r="BE18" i="113"/>
  <c r="BG18" i="113"/>
  <c r="BH18" i="113"/>
  <c r="AY23" i="113"/>
  <c r="AZ23" i="113"/>
  <c r="BA23" i="113"/>
  <c r="BB23" i="113"/>
  <c r="BC23" i="113"/>
  <c r="BD23" i="113"/>
  <c r="BE23" i="113"/>
  <c r="BG23" i="113"/>
  <c r="AY24" i="113"/>
  <c r="AZ24" i="113"/>
  <c r="BA24" i="113"/>
  <c r="BB24" i="113"/>
  <c r="BC24" i="113"/>
  <c r="BD24" i="113"/>
  <c r="BE24" i="113"/>
  <c r="BG24" i="113"/>
  <c r="BH24" i="113"/>
  <c r="AZ25" i="113"/>
  <c r="BA25" i="113"/>
  <c r="BB25" i="113"/>
  <c r="BC25" i="113"/>
  <c r="BE25" i="113"/>
  <c r="BG25" i="113"/>
  <c r="BH25" i="113"/>
  <c r="AY26" i="113"/>
  <c r="AZ26" i="113"/>
  <c r="BA26" i="113"/>
  <c r="BB26" i="113"/>
  <c r="BC26" i="113"/>
  <c r="BD26" i="113"/>
  <c r="BE26" i="113"/>
  <c r="BG26" i="113"/>
  <c r="BH26" i="113"/>
  <c r="AY27" i="113"/>
  <c r="AZ27" i="113"/>
  <c r="BA27" i="113"/>
  <c r="BB27" i="113"/>
  <c r="BC27" i="113"/>
  <c r="BD27" i="113"/>
  <c r="BE27" i="113"/>
  <c r="BG27" i="113"/>
  <c r="BH27" i="113"/>
  <c r="AY31" i="113"/>
  <c r="AZ31" i="113"/>
  <c r="BA31" i="113"/>
  <c r="BB31" i="113"/>
  <c r="BC31" i="113"/>
  <c r="BD31" i="113"/>
  <c r="BE31" i="113"/>
  <c r="BG31" i="113"/>
  <c r="AY32" i="113"/>
  <c r="AZ32" i="113"/>
  <c r="BA32" i="113"/>
  <c r="BB32" i="113"/>
  <c r="BC32" i="113"/>
  <c r="BD32" i="113"/>
  <c r="BE32" i="113"/>
  <c r="BG32" i="113"/>
  <c r="BH32" i="113"/>
  <c r="AY34" i="113"/>
  <c r="AZ34" i="113"/>
  <c r="BA34" i="113"/>
  <c r="BB34" i="113"/>
  <c r="BC34" i="113"/>
  <c r="BD34" i="113"/>
  <c r="BE34" i="113"/>
  <c r="BG34" i="113"/>
  <c r="BH34" i="113"/>
  <c r="AY37" i="113"/>
  <c r="AZ37" i="113"/>
  <c r="BA37" i="113"/>
  <c r="BB37" i="113"/>
  <c r="BC37" i="113"/>
  <c r="BD37" i="113"/>
  <c r="BE37" i="113"/>
  <c r="BG37" i="113"/>
  <c r="AY38" i="113"/>
  <c r="AZ38" i="113"/>
  <c r="BA38" i="113"/>
  <c r="BB38" i="113"/>
  <c r="BC38" i="113"/>
  <c r="BD38" i="113"/>
  <c r="BE38" i="113"/>
  <c r="BG38" i="113"/>
  <c r="AY39" i="113"/>
  <c r="AZ39" i="113"/>
  <c r="BA39" i="113"/>
  <c r="BB39" i="113"/>
  <c r="BC39" i="113"/>
  <c r="BD39" i="113"/>
  <c r="BE39" i="113"/>
  <c r="BG39" i="113"/>
  <c r="BH39" i="113"/>
  <c r="AY42" i="113"/>
  <c r="AZ42" i="113"/>
  <c r="BA42" i="113"/>
  <c r="BB42" i="113"/>
  <c r="BC42" i="113"/>
  <c r="BD42" i="113"/>
  <c r="BE42" i="113"/>
  <c r="BG42" i="113"/>
  <c r="AZ43" i="113"/>
  <c r="BC43" i="113"/>
  <c r="BD43" i="113"/>
  <c r="BE43" i="113"/>
  <c r="BG43" i="113"/>
  <c r="BH43" i="113"/>
  <c r="AY44" i="113"/>
  <c r="AZ44" i="113"/>
  <c r="BA44" i="113"/>
  <c r="BB44" i="113"/>
  <c r="BC44" i="113"/>
  <c r="BD44" i="113"/>
  <c r="BE44" i="113"/>
  <c r="BG44" i="113"/>
  <c r="BH44" i="113"/>
  <c r="AY45" i="113"/>
  <c r="AZ45" i="113"/>
  <c r="BA45" i="113"/>
  <c r="BB45" i="113"/>
  <c r="BC45" i="113"/>
  <c r="BD45" i="113"/>
  <c r="BE45" i="113"/>
  <c r="BG45" i="113"/>
  <c r="BH45" i="113"/>
  <c r="AY51" i="113"/>
  <c r="AZ51" i="113"/>
  <c r="BA51" i="113"/>
  <c r="BB51" i="113"/>
  <c r="BC51" i="113"/>
  <c r="BD51" i="113"/>
  <c r="BE51" i="113"/>
  <c r="BG51" i="113"/>
  <c r="BH51" i="113"/>
  <c r="AY54" i="113"/>
  <c r="AZ54" i="113"/>
  <c r="BA54" i="113"/>
  <c r="BB54" i="113"/>
  <c r="BC54" i="113"/>
  <c r="BD54" i="113"/>
  <c r="BE54" i="113"/>
  <c r="BG54" i="113"/>
  <c r="BH54" i="113"/>
  <c r="AY55" i="113"/>
  <c r="AZ55" i="113"/>
  <c r="BA55" i="113"/>
  <c r="BB55" i="113"/>
  <c r="BC55" i="113"/>
  <c r="BD55" i="113"/>
  <c r="BE55" i="113"/>
  <c r="BG55" i="113"/>
  <c r="BH55" i="113"/>
  <c r="AY61" i="113"/>
  <c r="AZ61" i="113"/>
  <c r="BA61" i="113"/>
  <c r="BB61" i="113"/>
  <c r="BC61" i="113"/>
  <c r="BD61" i="113"/>
  <c r="BE61" i="113"/>
  <c r="BG61" i="113"/>
  <c r="BH61" i="113"/>
  <c r="AY62" i="113"/>
  <c r="AZ62" i="113"/>
  <c r="BA62" i="113"/>
  <c r="BB62" i="113"/>
  <c r="BC62" i="113"/>
  <c r="BD62" i="113"/>
  <c r="BE62" i="113"/>
  <c r="BG62" i="113"/>
  <c r="BH62" i="113"/>
  <c r="AY63" i="113"/>
  <c r="AZ63" i="113"/>
  <c r="BA63" i="113"/>
  <c r="BB63" i="113"/>
  <c r="BC63" i="113"/>
  <c r="BD63" i="113"/>
  <c r="BE63" i="113"/>
  <c r="BG63" i="113"/>
  <c r="BH63" i="113"/>
  <c r="AY64" i="113"/>
  <c r="AZ64" i="113"/>
  <c r="BA64" i="113"/>
  <c r="BB64" i="113"/>
  <c r="BC64" i="113"/>
  <c r="BD64" i="113"/>
  <c r="BE64" i="113"/>
  <c r="BG64" i="113"/>
  <c r="BH64" i="113"/>
  <c r="AY65" i="113"/>
  <c r="AZ65" i="113"/>
  <c r="BA65" i="113"/>
  <c r="BB65" i="113"/>
  <c r="BC65" i="113"/>
  <c r="BD65" i="113"/>
  <c r="BE65" i="113"/>
  <c r="BG65" i="113"/>
  <c r="BH65" i="113"/>
  <c r="AY68" i="113"/>
  <c r="AZ68" i="113"/>
  <c r="BA68" i="113"/>
  <c r="BB68" i="113"/>
  <c r="BC68" i="113"/>
  <c r="BD68" i="113"/>
  <c r="BE68" i="113"/>
  <c r="BG68" i="113"/>
  <c r="BH68" i="113"/>
  <c r="AY69" i="113"/>
  <c r="AZ69" i="113"/>
  <c r="BA69" i="113"/>
  <c r="BB69" i="113"/>
  <c r="BC69" i="113"/>
  <c r="BD69" i="113"/>
  <c r="BE69" i="113"/>
  <c r="BG69" i="113"/>
  <c r="BH69" i="113"/>
  <c r="AY70" i="113"/>
  <c r="AZ70" i="113"/>
  <c r="BA70" i="113"/>
  <c r="BB70" i="113"/>
  <c r="BC70" i="113"/>
  <c r="BD70" i="113"/>
  <c r="BE70" i="113"/>
  <c r="BG70" i="113"/>
  <c r="BH70" i="113"/>
  <c r="AY71" i="113"/>
  <c r="AZ71" i="113"/>
  <c r="BA71" i="113"/>
  <c r="BB71" i="113"/>
  <c r="BC71" i="113"/>
  <c r="BD71" i="113"/>
  <c r="BE71" i="113"/>
  <c r="BG71" i="113"/>
  <c r="BH71" i="113"/>
  <c r="AY72" i="113"/>
  <c r="AZ72" i="113"/>
  <c r="BA72" i="113"/>
  <c r="BB72" i="113"/>
  <c r="BC72" i="113"/>
  <c r="BD72" i="113"/>
  <c r="BE72" i="113"/>
  <c r="BG72" i="113"/>
  <c r="BH72" i="113"/>
  <c r="AY76" i="113"/>
  <c r="AZ76" i="113"/>
  <c r="BA76" i="113"/>
  <c r="BB76" i="113"/>
  <c r="BC76" i="113"/>
  <c r="BD76" i="113"/>
  <c r="BE76" i="113"/>
  <c r="BG76" i="113"/>
  <c r="BH76" i="113"/>
  <c r="AY78" i="113"/>
  <c r="AZ78" i="113"/>
  <c r="BA78" i="113"/>
  <c r="BB78" i="113"/>
  <c r="BC78" i="113"/>
  <c r="BD78" i="113"/>
  <c r="BE78" i="113"/>
  <c r="BG78" i="113"/>
  <c r="BH78" i="113"/>
  <c r="AY79" i="113"/>
  <c r="AZ79" i="113"/>
  <c r="BA79" i="113"/>
  <c r="BB79" i="113"/>
  <c r="BC79" i="113"/>
  <c r="BD79" i="113"/>
  <c r="BE79" i="113"/>
  <c r="BG79" i="113"/>
  <c r="BH79" i="113"/>
  <c r="AY80" i="113"/>
  <c r="AZ80" i="113"/>
  <c r="BA80" i="113"/>
  <c r="BB80" i="113"/>
  <c r="BC80" i="113"/>
  <c r="BD80" i="113"/>
  <c r="BE80" i="113"/>
  <c r="BG80" i="113"/>
  <c r="BH80" i="113"/>
  <c r="AX7" i="113"/>
  <c r="AX8" i="113"/>
  <c r="AX9" i="113"/>
  <c r="AX11" i="113"/>
  <c r="AX14" i="113"/>
  <c r="AX15" i="113"/>
  <c r="AX16" i="113"/>
  <c r="AX18" i="113"/>
  <c r="AX23" i="113"/>
  <c r="AX24" i="113"/>
  <c r="AX26" i="113"/>
  <c r="AX27" i="113"/>
  <c r="AX31" i="113"/>
  <c r="AX32" i="113"/>
  <c r="AX34" i="113"/>
  <c r="AX37" i="113"/>
  <c r="AX38" i="113"/>
  <c r="AX39" i="113"/>
  <c r="AX42" i="113"/>
  <c r="AX44" i="113"/>
  <c r="AX45" i="113"/>
  <c r="AX51" i="113"/>
  <c r="AX54" i="113"/>
  <c r="AX55" i="113"/>
  <c r="AX61" i="113"/>
  <c r="AX62" i="113"/>
  <c r="AX63" i="113"/>
  <c r="AX64" i="113"/>
  <c r="AX65" i="113"/>
  <c r="AX68" i="113"/>
  <c r="AX69" i="113"/>
  <c r="AX70" i="113"/>
  <c r="AX71" i="113"/>
  <c r="AX72" i="113"/>
  <c r="AX76" i="113"/>
  <c r="AX78" i="113"/>
  <c r="AX79" i="113"/>
  <c r="AX80" i="113"/>
  <c r="AT7" i="113"/>
  <c r="AU7" i="113"/>
  <c r="AV7" i="113"/>
  <c r="AW7" i="113"/>
  <c r="AT8" i="113"/>
  <c r="AU8" i="113"/>
  <c r="AV8" i="113"/>
  <c r="AW8" i="113"/>
  <c r="AT9" i="113"/>
  <c r="AU9" i="113"/>
  <c r="AV9" i="113"/>
  <c r="AW9" i="113"/>
  <c r="AT11" i="113"/>
  <c r="AU11" i="113"/>
  <c r="AV11" i="113"/>
  <c r="AW11" i="113"/>
  <c r="AT14" i="113"/>
  <c r="AU14" i="113"/>
  <c r="AV14" i="113"/>
  <c r="AW14" i="113"/>
  <c r="AT15" i="113"/>
  <c r="AU15" i="113"/>
  <c r="AV15" i="113"/>
  <c r="AW15" i="113"/>
  <c r="AT16" i="113"/>
  <c r="AU16" i="113"/>
  <c r="AV16" i="113"/>
  <c r="AW16" i="113"/>
  <c r="AT18" i="113"/>
  <c r="AU18" i="113"/>
  <c r="AV18" i="113"/>
  <c r="AW18" i="113"/>
  <c r="AT23" i="113"/>
  <c r="AV23" i="113"/>
  <c r="AW23" i="113"/>
  <c r="AT24" i="113"/>
  <c r="AU24" i="113"/>
  <c r="AV24" i="113"/>
  <c r="AW24" i="113"/>
  <c r="AT25" i="113"/>
  <c r="AV25" i="113"/>
  <c r="AW25" i="113"/>
  <c r="AT26" i="113"/>
  <c r="AU26" i="113"/>
  <c r="AV26" i="113"/>
  <c r="AW26" i="113"/>
  <c r="AT27" i="113"/>
  <c r="AU27" i="113"/>
  <c r="AV27" i="113"/>
  <c r="AW27" i="113"/>
  <c r="AT31" i="113"/>
  <c r="AU31" i="113"/>
  <c r="AV31" i="113"/>
  <c r="AW31" i="113"/>
  <c r="AT32" i="113"/>
  <c r="AU32" i="113"/>
  <c r="AV32" i="113"/>
  <c r="AW32" i="113"/>
  <c r="AT34" i="113"/>
  <c r="AU34" i="113"/>
  <c r="AV34" i="113"/>
  <c r="AW34" i="113"/>
  <c r="AT37" i="113"/>
  <c r="AU37" i="113"/>
  <c r="AV37" i="113"/>
  <c r="AW37" i="113"/>
  <c r="AT38" i="113"/>
  <c r="AU38" i="113"/>
  <c r="AV38" i="113"/>
  <c r="AW38" i="113"/>
  <c r="AT39" i="113"/>
  <c r="AU39" i="113"/>
  <c r="AV39" i="113"/>
  <c r="AW39" i="113"/>
  <c r="AT42" i="113"/>
  <c r="AU42" i="113"/>
  <c r="AV42" i="113"/>
  <c r="AW42" i="113"/>
  <c r="AT43" i="113"/>
  <c r="AV43" i="113"/>
  <c r="AW43" i="113"/>
  <c r="AT44" i="113"/>
  <c r="AU44" i="113"/>
  <c r="AV44" i="113"/>
  <c r="AW44" i="113"/>
  <c r="AT45" i="113"/>
  <c r="AU45" i="113"/>
  <c r="AV45" i="113"/>
  <c r="AW45" i="113"/>
  <c r="AT51" i="113"/>
  <c r="AU51" i="113"/>
  <c r="AV51" i="113"/>
  <c r="AW51" i="113"/>
  <c r="AT54" i="113"/>
  <c r="AU54" i="113"/>
  <c r="AV54" i="113"/>
  <c r="AW54" i="113"/>
  <c r="AT55" i="113"/>
  <c r="AU55" i="113"/>
  <c r="AV55" i="113"/>
  <c r="AW55" i="113"/>
  <c r="AT61" i="113"/>
  <c r="AU61" i="113"/>
  <c r="AV61" i="113"/>
  <c r="AW61" i="113"/>
  <c r="AT62" i="113"/>
  <c r="AU62" i="113"/>
  <c r="AV62" i="113"/>
  <c r="AW62" i="113"/>
  <c r="AT63" i="113"/>
  <c r="AU63" i="113"/>
  <c r="AV63" i="113"/>
  <c r="AW63" i="113"/>
  <c r="AT64" i="113"/>
  <c r="AU64" i="113"/>
  <c r="AV64" i="113"/>
  <c r="AW64" i="113"/>
  <c r="AT65" i="113"/>
  <c r="AU65" i="113"/>
  <c r="AV65" i="113"/>
  <c r="AW65" i="113"/>
  <c r="AT68" i="113"/>
  <c r="AU68" i="113"/>
  <c r="AV68" i="113"/>
  <c r="AW68" i="113"/>
  <c r="AT69" i="113"/>
  <c r="AU69" i="113"/>
  <c r="AV69" i="113"/>
  <c r="AW69" i="113"/>
  <c r="AT70" i="113"/>
  <c r="AU70" i="113"/>
  <c r="AV70" i="113"/>
  <c r="AW70" i="113"/>
  <c r="AT71" i="113"/>
  <c r="AU71" i="113"/>
  <c r="AV71" i="113"/>
  <c r="AW71" i="113"/>
  <c r="AT72" i="113"/>
  <c r="AU72" i="113"/>
  <c r="AV72" i="113"/>
  <c r="AW72" i="113"/>
  <c r="AT76" i="113"/>
  <c r="AU76" i="113"/>
  <c r="AV76" i="113"/>
  <c r="AW76" i="113"/>
  <c r="AT78" i="113"/>
  <c r="AU78" i="113"/>
  <c r="AV78" i="113"/>
  <c r="AW78" i="113"/>
  <c r="AT79" i="113"/>
  <c r="AU79" i="113"/>
  <c r="AV79" i="113"/>
  <c r="AW79" i="113"/>
  <c r="AT80" i="113"/>
  <c r="AU80" i="113"/>
  <c r="AV80" i="113"/>
  <c r="AW80" i="113"/>
  <c r="AH7" i="113"/>
  <c r="AI7" i="113"/>
  <c r="AJ7" i="113"/>
  <c r="AK7" i="113"/>
  <c r="AL7" i="113"/>
  <c r="AM7" i="113"/>
  <c r="AN7" i="113"/>
  <c r="AO7" i="113"/>
  <c r="AP7" i="113"/>
  <c r="AQ7" i="113"/>
  <c r="AR7" i="113"/>
  <c r="AS7" i="113"/>
  <c r="AH8" i="113"/>
  <c r="AI8" i="113"/>
  <c r="AJ8" i="113"/>
  <c r="AK8" i="113"/>
  <c r="AL8" i="113"/>
  <c r="AM8" i="113"/>
  <c r="AN8" i="113"/>
  <c r="AO8" i="113"/>
  <c r="AP8" i="113"/>
  <c r="AQ8" i="113"/>
  <c r="AR8" i="113"/>
  <c r="AS8" i="113"/>
  <c r="AH9" i="113"/>
  <c r="AI9" i="113"/>
  <c r="AJ9" i="113"/>
  <c r="AK9" i="113"/>
  <c r="AL9" i="113"/>
  <c r="AM9" i="113"/>
  <c r="AN9" i="113"/>
  <c r="AO9" i="113"/>
  <c r="AP9" i="113"/>
  <c r="AQ9" i="113"/>
  <c r="AR9" i="113"/>
  <c r="AS9" i="113"/>
  <c r="AH11" i="113"/>
  <c r="AI11" i="113"/>
  <c r="AJ11" i="113"/>
  <c r="AK11" i="113"/>
  <c r="AL11" i="113"/>
  <c r="AM11" i="113"/>
  <c r="AN11" i="113"/>
  <c r="AO11" i="113"/>
  <c r="AP11" i="113"/>
  <c r="AQ11" i="113"/>
  <c r="AR11" i="113"/>
  <c r="AS11" i="113"/>
  <c r="AH14" i="113"/>
  <c r="AI14" i="113"/>
  <c r="AJ14" i="113"/>
  <c r="AK14" i="113"/>
  <c r="AL14" i="113"/>
  <c r="AM14" i="113"/>
  <c r="AN14" i="113"/>
  <c r="AO14" i="113"/>
  <c r="AP14" i="113"/>
  <c r="AQ14" i="113"/>
  <c r="AR14" i="113"/>
  <c r="AS14" i="113"/>
  <c r="AH15" i="113"/>
  <c r="AI15" i="113"/>
  <c r="AJ15" i="113"/>
  <c r="AK15" i="113"/>
  <c r="AL15" i="113"/>
  <c r="AM15" i="113"/>
  <c r="AN15" i="113"/>
  <c r="AO15" i="113"/>
  <c r="AP15" i="113"/>
  <c r="AQ15" i="113"/>
  <c r="AR15" i="113"/>
  <c r="AS15" i="113"/>
  <c r="AH16" i="113"/>
  <c r="AI16" i="113"/>
  <c r="AJ16" i="113"/>
  <c r="AK16" i="113"/>
  <c r="AL16" i="113"/>
  <c r="AM16" i="113"/>
  <c r="AN16" i="113"/>
  <c r="AO16" i="113"/>
  <c r="AP16" i="113"/>
  <c r="AQ16" i="113"/>
  <c r="AR16" i="113"/>
  <c r="AS16" i="113"/>
  <c r="AH18" i="113"/>
  <c r="AI18" i="113"/>
  <c r="AJ18" i="113"/>
  <c r="AK18" i="113"/>
  <c r="AL18" i="113"/>
  <c r="AM18" i="113"/>
  <c r="AN18" i="113"/>
  <c r="AO18" i="113"/>
  <c r="AP18" i="113"/>
  <c r="AQ18" i="113"/>
  <c r="AR18" i="113"/>
  <c r="AS18" i="113"/>
  <c r="AH23" i="113"/>
  <c r="AI23" i="113"/>
  <c r="AJ23" i="113"/>
  <c r="AL23" i="113"/>
  <c r="AM23" i="113"/>
  <c r="AN23" i="113"/>
  <c r="AO23" i="113"/>
  <c r="AP23" i="113"/>
  <c r="AQ23" i="113"/>
  <c r="AS23" i="113"/>
  <c r="AH24" i="113"/>
  <c r="AI24" i="113"/>
  <c r="AJ24" i="113"/>
  <c r="AK24" i="113"/>
  <c r="AL24" i="113"/>
  <c r="AM24" i="113"/>
  <c r="AN24" i="113"/>
  <c r="AO24" i="113"/>
  <c r="AP24" i="113"/>
  <c r="AQ24" i="113"/>
  <c r="AR24" i="113"/>
  <c r="AS24" i="113"/>
  <c r="AH25" i="113"/>
  <c r="AI25" i="113"/>
  <c r="AJ25" i="113"/>
  <c r="AK25" i="113"/>
  <c r="AL25" i="113"/>
  <c r="AM25" i="113"/>
  <c r="AN25" i="113"/>
  <c r="AO25" i="113"/>
  <c r="AP25" i="113"/>
  <c r="AQ25" i="113"/>
  <c r="AR25" i="113"/>
  <c r="AH26" i="113"/>
  <c r="AJ26" i="113"/>
  <c r="AK26" i="113"/>
  <c r="AL26" i="113"/>
  <c r="AM26" i="113"/>
  <c r="AN26" i="113"/>
  <c r="AO26" i="113"/>
  <c r="AP26" i="113"/>
  <c r="AQ26" i="113"/>
  <c r="AR26" i="113"/>
  <c r="AS26" i="113"/>
  <c r="AH27" i="113"/>
  <c r="AI27" i="113"/>
  <c r="AJ27" i="113"/>
  <c r="AK27" i="113"/>
  <c r="AL27" i="113"/>
  <c r="AM27" i="113"/>
  <c r="AN27" i="113"/>
  <c r="AO27" i="113"/>
  <c r="AP27" i="113"/>
  <c r="AQ27" i="113"/>
  <c r="AR27" i="113"/>
  <c r="AS27" i="113"/>
  <c r="AH31" i="113"/>
  <c r="AI31" i="113"/>
  <c r="AJ31" i="113"/>
  <c r="AL31" i="113"/>
  <c r="AM31" i="113"/>
  <c r="AN31" i="113"/>
  <c r="AO31" i="113"/>
  <c r="AP31" i="113"/>
  <c r="AQ31" i="113"/>
  <c r="AS31" i="113"/>
  <c r="AH32" i="113"/>
  <c r="AI32" i="113"/>
  <c r="AJ32" i="113"/>
  <c r="AK32" i="113"/>
  <c r="AL32" i="113"/>
  <c r="AM32" i="113"/>
  <c r="AN32" i="113"/>
  <c r="AO32" i="113"/>
  <c r="AP32" i="113"/>
  <c r="AQ32" i="113"/>
  <c r="AR32" i="113"/>
  <c r="AS32" i="113"/>
  <c r="AH34" i="113"/>
  <c r="AI34" i="113"/>
  <c r="AJ34" i="113"/>
  <c r="AK34" i="113"/>
  <c r="AL34" i="113"/>
  <c r="AM34" i="113"/>
  <c r="AN34" i="113"/>
  <c r="AO34" i="113"/>
  <c r="AP34" i="113"/>
  <c r="AQ34" i="113"/>
  <c r="AR34" i="113"/>
  <c r="AS34" i="113"/>
  <c r="AH37" i="113"/>
  <c r="AI37" i="113"/>
  <c r="AJ37" i="113"/>
  <c r="AL37" i="113"/>
  <c r="AM37" i="113"/>
  <c r="AN37" i="113"/>
  <c r="AO37" i="113"/>
  <c r="AP37" i="113"/>
  <c r="AQ37" i="113"/>
  <c r="AS37" i="113"/>
  <c r="AH38" i="113"/>
  <c r="AI38" i="113"/>
  <c r="AJ38" i="113"/>
  <c r="AL38" i="113"/>
  <c r="AM38" i="113"/>
  <c r="AN38" i="113"/>
  <c r="AO38" i="113"/>
  <c r="AP38" i="113"/>
  <c r="AQ38" i="113"/>
  <c r="AS38" i="113"/>
  <c r="AH39" i="113"/>
  <c r="AI39" i="113"/>
  <c r="AJ39" i="113"/>
  <c r="AK39" i="113"/>
  <c r="AL39" i="113"/>
  <c r="AM39" i="113"/>
  <c r="AN39" i="113"/>
  <c r="AO39" i="113"/>
  <c r="AP39" i="113"/>
  <c r="AQ39" i="113"/>
  <c r="AR39" i="113"/>
  <c r="AS39" i="113"/>
  <c r="AH42" i="113"/>
  <c r="AI42" i="113"/>
  <c r="AJ42" i="113"/>
  <c r="AL42" i="113"/>
  <c r="AM42" i="113"/>
  <c r="AN42" i="113"/>
  <c r="AO42" i="113"/>
  <c r="AP42" i="113"/>
  <c r="AQ42" i="113"/>
  <c r="AS42" i="113"/>
  <c r="AH43" i="113"/>
  <c r="AI43" i="113"/>
  <c r="AJ43" i="113"/>
  <c r="AK43" i="113"/>
  <c r="AL43" i="113"/>
  <c r="AM43" i="113"/>
  <c r="AN43" i="113"/>
  <c r="AO43" i="113"/>
  <c r="AP43" i="113"/>
  <c r="AQ43" i="113"/>
  <c r="AR43" i="113"/>
  <c r="AH44" i="113"/>
  <c r="AJ44" i="113"/>
  <c r="AK44" i="113"/>
  <c r="AL44" i="113"/>
  <c r="AM44" i="113"/>
  <c r="AN44" i="113"/>
  <c r="AO44" i="113"/>
  <c r="AP44" i="113"/>
  <c r="AQ44" i="113"/>
  <c r="AR44" i="113"/>
  <c r="AS44" i="113"/>
  <c r="AH45" i="113"/>
  <c r="AI45" i="113"/>
  <c r="AJ45" i="113"/>
  <c r="AK45" i="113"/>
  <c r="AL45" i="113"/>
  <c r="AM45" i="113"/>
  <c r="AN45" i="113"/>
  <c r="AO45" i="113"/>
  <c r="AP45" i="113"/>
  <c r="AQ45" i="113"/>
  <c r="AR45" i="113"/>
  <c r="AS45" i="113"/>
  <c r="AH51" i="113"/>
  <c r="AI51" i="113"/>
  <c r="AJ51" i="113"/>
  <c r="AK51" i="113"/>
  <c r="AL51" i="113"/>
  <c r="AM51" i="113"/>
  <c r="AN51" i="113"/>
  <c r="AO51" i="113"/>
  <c r="AP51" i="113"/>
  <c r="AQ51" i="113"/>
  <c r="AR51" i="113"/>
  <c r="AS51" i="113"/>
  <c r="AH54" i="113"/>
  <c r="AI54" i="113"/>
  <c r="AJ54" i="113"/>
  <c r="AK54" i="113"/>
  <c r="AL54" i="113"/>
  <c r="AM54" i="113"/>
  <c r="AN54" i="113"/>
  <c r="AO54" i="113"/>
  <c r="AP54" i="113"/>
  <c r="AQ54" i="113"/>
  <c r="AR54" i="113"/>
  <c r="AS54" i="113"/>
  <c r="AH55" i="113"/>
  <c r="AI55" i="113"/>
  <c r="AJ55" i="113"/>
  <c r="AK55" i="113"/>
  <c r="AL55" i="113"/>
  <c r="AM55" i="113"/>
  <c r="AN55" i="113"/>
  <c r="AO55" i="113"/>
  <c r="AP55" i="113"/>
  <c r="AQ55" i="113"/>
  <c r="AR55" i="113"/>
  <c r="AS55" i="113"/>
  <c r="AH61" i="113"/>
  <c r="AI61" i="113"/>
  <c r="AJ61" i="113"/>
  <c r="AK61" i="113"/>
  <c r="AL61" i="113"/>
  <c r="AM61" i="113"/>
  <c r="AN61" i="113"/>
  <c r="AO61" i="113"/>
  <c r="AP61" i="113"/>
  <c r="AQ61" i="113"/>
  <c r="AR61" i="113"/>
  <c r="AS61" i="113"/>
  <c r="AH62" i="113"/>
  <c r="AI62" i="113"/>
  <c r="AJ62" i="113"/>
  <c r="AK62" i="113"/>
  <c r="AL62" i="113"/>
  <c r="AM62" i="113"/>
  <c r="AN62" i="113"/>
  <c r="AO62" i="113"/>
  <c r="AP62" i="113"/>
  <c r="AQ62" i="113"/>
  <c r="AR62" i="113"/>
  <c r="AS62" i="113"/>
  <c r="AH63" i="113"/>
  <c r="AI63" i="113"/>
  <c r="AJ63" i="113"/>
  <c r="AK63" i="113"/>
  <c r="AL63" i="113"/>
  <c r="AM63" i="113"/>
  <c r="AN63" i="113"/>
  <c r="AO63" i="113"/>
  <c r="AP63" i="113"/>
  <c r="AQ63" i="113"/>
  <c r="AR63" i="113"/>
  <c r="AS63" i="113"/>
  <c r="AH64" i="113"/>
  <c r="AI64" i="113"/>
  <c r="AJ64" i="113"/>
  <c r="AK64" i="113"/>
  <c r="AL64" i="113"/>
  <c r="AM64" i="113"/>
  <c r="AN64" i="113"/>
  <c r="AO64" i="113"/>
  <c r="AP64" i="113"/>
  <c r="AQ64" i="113"/>
  <c r="AR64" i="113"/>
  <c r="AS64" i="113"/>
  <c r="AH65" i="113"/>
  <c r="AI65" i="113"/>
  <c r="AJ65" i="113"/>
  <c r="AK65" i="113"/>
  <c r="AL65" i="113"/>
  <c r="AM65" i="113"/>
  <c r="AN65" i="113"/>
  <c r="AO65" i="113"/>
  <c r="AP65" i="113"/>
  <c r="AQ65" i="113"/>
  <c r="AR65" i="113"/>
  <c r="AS65" i="113"/>
  <c r="AH68" i="113"/>
  <c r="AI68" i="113"/>
  <c r="AJ68" i="113"/>
  <c r="AK68" i="113"/>
  <c r="AL68" i="113"/>
  <c r="AM68" i="113"/>
  <c r="AN68" i="113"/>
  <c r="AO68" i="113"/>
  <c r="AP68" i="113"/>
  <c r="AQ68" i="113"/>
  <c r="AR68" i="113"/>
  <c r="AS68" i="113"/>
  <c r="AH69" i="113"/>
  <c r="AI69" i="113"/>
  <c r="AJ69" i="113"/>
  <c r="AK69" i="113"/>
  <c r="AL69" i="113"/>
  <c r="AM69" i="113"/>
  <c r="AN69" i="113"/>
  <c r="AO69" i="113"/>
  <c r="AP69" i="113"/>
  <c r="AQ69" i="113"/>
  <c r="AR69" i="113"/>
  <c r="AS69" i="113"/>
  <c r="AH70" i="113"/>
  <c r="AI70" i="113"/>
  <c r="AJ70" i="113"/>
  <c r="AK70" i="113"/>
  <c r="AL70" i="113"/>
  <c r="AM70" i="113"/>
  <c r="AN70" i="113"/>
  <c r="AO70" i="113"/>
  <c r="AP70" i="113"/>
  <c r="AQ70" i="113"/>
  <c r="AR70" i="113"/>
  <c r="AS70" i="113"/>
  <c r="AH71" i="113"/>
  <c r="AI71" i="113"/>
  <c r="AJ71" i="113"/>
  <c r="AK71" i="113"/>
  <c r="AL71" i="113"/>
  <c r="AM71" i="113"/>
  <c r="AN71" i="113"/>
  <c r="AO71" i="113"/>
  <c r="AP71" i="113"/>
  <c r="AQ71" i="113"/>
  <c r="AR71" i="113"/>
  <c r="AS71" i="113"/>
  <c r="AH72" i="113"/>
  <c r="AI72" i="113"/>
  <c r="AJ72" i="113"/>
  <c r="AK72" i="113"/>
  <c r="AL72" i="113"/>
  <c r="AM72" i="113"/>
  <c r="AN72" i="113"/>
  <c r="AO72" i="113"/>
  <c r="AP72" i="113"/>
  <c r="AQ72" i="113"/>
  <c r="AR72" i="113"/>
  <c r="AS72" i="113"/>
  <c r="AH76" i="113"/>
  <c r="AI76" i="113"/>
  <c r="AJ76" i="113"/>
  <c r="AK76" i="113"/>
  <c r="AL76" i="113"/>
  <c r="AM76" i="113"/>
  <c r="AN76" i="113"/>
  <c r="AO76" i="113"/>
  <c r="AP76" i="113"/>
  <c r="AQ76" i="113"/>
  <c r="AR76" i="113"/>
  <c r="AS76" i="113"/>
  <c r="AH78" i="113"/>
  <c r="AI78" i="113"/>
  <c r="AJ78" i="113"/>
  <c r="AK78" i="113"/>
  <c r="AL78" i="113"/>
  <c r="AM78" i="113"/>
  <c r="AN78" i="113"/>
  <c r="AO78" i="113"/>
  <c r="AP78" i="113"/>
  <c r="AQ78" i="113"/>
  <c r="AR78" i="113"/>
  <c r="AS78" i="113"/>
  <c r="AH79" i="113"/>
  <c r="AI79" i="113"/>
  <c r="AJ79" i="113"/>
  <c r="AK79" i="113"/>
  <c r="AL79" i="113"/>
  <c r="AM79" i="113"/>
  <c r="AN79" i="113"/>
  <c r="AO79" i="113"/>
  <c r="AP79" i="113"/>
  <c r="AQ79" i="113"/>
  <c r="AR79" i="113"/>
  <c r="AS79" i="113"/>
  <c r="AH80" i="113"/>
  <c r="AI80" i="113"/>
  <c r="AJ80" i="113"/>
  <c r="AK80" i="113"/>
  <c r="AL80" i="113"/>
  <c r="AM80" i="113"/>
  <c r="AN80" i="113"/>
  <c r="AO80" i="113"/>
  <c r="AP80" i="113"/>
  <c r="AQ80" i="113"/>
  <c r="AR80" i="113"/>
  <c r="AS80" i="113"/>
  <c r="AB3" i="113"/>
  <c r="AB7" i="113"/>
  <c r="AB8" i="113"/>
  <c r="AB9" i="113"/>
  <c r="AB11" i="113"/>
  <c r="AB14" i="113"/>
  <c r="AB15" i="113"/>
  <c r="AB16" i="113"/>
  <c r="AB18" i="113"/>
  <c r="AB23" i="113"/>
  <c r="AB24" i="113"/>
  <c r="AB25" i="113"/>
  <c r="AB26" i="113"/>
  <c r="AB27" i="113"/>
  <c r="AB31" i="113"/>
  <c r="AB32" i="113"/>
  <c r="AB34" i="113"/>
  <c r="AB37" i="113"/>
  <c r="AB38" i="113"/>
  <c r="AB39" i="113"/>
  <c r="AB42" i="113"/>
  <c r="AB43" i="113"/>
  <c r="AB44" i="113"/>
  <c r="AB45" i="113"/>
  <c r="AB51" i="113"/>
  <c r="AB54" i="113"/>
  <c r="AB55" i="113"/>
  <c r="AB61" i="113"/>
  <c r="AB62" i="113"/>
  <c r="AB63" i="113"/>
  <c r="AB64" i="113"/>
  <c r="AB65" i="113"/>
  <c r="AB68" i="113"/>
  <c r="AB69" i="113"/>
  <c r="AB70" i="113"/>
  <c r="AB71" i="113"/>
  <c r="AB72" i="113"/>
  <c r="AB76" i="113"/>
  <c r="AB78" i="113"/>
  <c r="AB79" i="113"/>
  <c r="AB80" i="113"/>
  <c r="L24" i="51" l="1"/>
  <c r="K24" i="51"/>
  <c r="M24" i="51"/>
  <c r="M23" i="51"/>
  <c r="M22" i="51"/>
  <c r="M11" i="51" l="1"/>
  <c r="M13" i="51"/>
  <c r="BL41" i="1" l="1"/>
  <c r="BH42" i="113" s="1"/>
  <c r="BL36" i="1"/>
  <c r="BH37" i="113" s="1"/>
  <c r="BL30" i="1"/>
  <c r="BH31" i="113" s="1"/>
  <c r="BL22" i="1"/>
  <c r="BH23" i="113" s="1"/>
  <c r="AL41" i="1"/>
  <c r="AK42" i="113" s="1"/>
  <c r="AL37" i="1"/>
  <c r="AK38" i="113" s="1"/>
  <c r="AL36" i="1"/>
  <c r="AK37" i="113" s="1"/>
  <c r="AL30" i="1"/>
  <c r="AK31" i="113" s="1"/>
  <c r="AL22" i="1"/>
  <c r="AK23" i="113" s="1"/>
  <c r="BQ41" i="1" l="1"/>
  <c r="BM42" i="113" s="1"/>
  <c r="BQ37" i="1"/>
  <c r="BM38" i="113" s="1"/>
  <c r="BQ36" i="1"/>
  <c r="BM37" i="113" s="1"/>
  <c r="BQ30" i="1"/>
  <c r="BM31" i="113" s="1"/>
  <c r="BQ22" i="1"/>
  <c r="BM23" i="113" s="1"/>
  <c r="AS41" i="1"/>
  <c r="AR42" i="113" s="1"/>
  <c r="AS37" i="1"/>
  <c r="AR38" i="113" s="1"/>
  <c r="AS36" i="1"/>
  <c r="AR37" i="113" s="1"/>
  <c r="AS30" i="1"/>
  <c r="AR31" i="113" s="1"/>
  <c r="AS22" i="1"/>
  <c r="AR23" i="113" s="1"/>
  <c r="BL37" i="1" l="1"/>
  <c r="BH38" i="113" s="1"/>
  <c r="J23" i="162" l="1"/>
  <c r="C33" i="3" l="1"/>
  <c r="B33" i="3"/>
  <c r="AB72" i="1"/>
  <c r="AB73" i="113" s="1"/>
  <c r="AB65" i="1"/>
  <c r="AB45" i="1"/>
  <c r="AB46" i="113" s="1"/>
  <c r="AB34" i="1"/>
  <c r="AB35" i="113" s="1"/>
  <c r="AB27" i="1"/>
  <c r="AB28" i="113" s="1"/>
  <c r="AB16" i="1"/>
  <c r="AB17" i="113" s="1"/>
  <c r="B34" i="48" l="1"/>
  <c r="B34" i="166"/>
  <c r="AB18" i="1"/>
  <c r="AB19" i="113" s="1"/>
  <c r="AB73" i="1"/>
  <c r="AB66" i="113"/>
  <c r="AB46" i="1"/>
  <c r="AB76" i="1" l="1"/>
  <c r="AB74" i="113"/>
  <c r="AB48" i="1"/>
  <c r="AB47" i="113"/>
  <c r="AM73" i="162"/>
  <c r="AM66" i="162"/>
  <c r="AL73" i="162"/>
  <c r="AL66" i="162"/>
  <c r="AK73" i="162"/>
  <c r="AF73" i="162"/>
  <c r="AK66" i="162"/>
  <c r="AF66" i="162"/>
  <c r="AF74" i="162" s="1"/>
  <c r="AF77" i="162" s="1"/>
  <c r="AB51" i="1" l="1"/>
  <c r="AB52" i="113" s="1"/>
  <c r="AB49" i="113"/>
  <c r="AB80" i="1"/>
  <c r="AB77" i="113"/>
  <c r="AM74" i="162"/>
  <c r="AM77" i="162" s="1"/>
  <c r="AM79" i="162" s="1"/>
  <c r="AK74" i="162"/>
  <c r="AK77" i="162" s="1"/>
  <c r="AL74" i="162"/>
  <c r="AL77" i="162" s="1"/>
  <c r="AJ17" i="162"/>
  <c r="AJ18" i="162"/>
  <c r="AJ16" i="162"/>
  <c r="H35" i="99" l="1"/>
  <c r="K35" i="99" s="1"/>
  <c r="AB81" i="113"/>
  <c r="E33" i="3"/>
  <c r="AJ19" i="162"/>
  <c r="F34" i="48" l="1"/>
  <c r="G34" i="48" s="1"/>
  <c r="F34" i="166"/>
  <c r="BT42" i="1"/>
  <c r="BP43" i="113" s="1"/>
  <c r="BC42" i="1"/>
  <c r="BB43" i="113" s="1"/>
  <c r="BB42" i="1"/>
  <c r="BA43" i="113" s="1"/>
  <c r="I34" i="166" l="1"/>
  <c r="G34" i="166"/>
  <c r="AV24" i="1"/>
  <c r="AU25" i="113" s="1"/>
  <c r="BR42" i="1" l="1"/>
  <c r="BN43" i="113" s="1"/>
  <c r="BR24" i="1"/>
  <c r="BN25" i="113" s="1"/>
  <c r="AZ42" i="1" l="1"/>
  <c r="AY43" i="113" s="1"/>
  <c r="AZ24" i="1"/>
  <c r="AY25" i="113" s="1"/>
  <c r="AY42" i="1"/>
  <c r="AX43" i="113" s="1"/>
  <c r="AY24" i="1"/>
  <c r="AX25" i="113" s="1"/>
  <c r="AT24" i="1"/>
  <c r="AS25" i="113" s="1"/>
  <c r="C69" i="3" l="1"/>
  <c r="B64" i="166" s="1"/>
  <c r="B69" i="3"/>
  <c r="BJ72" i="1"/>
  <c r="BF73" i="113" s="1"/>
  <c r="BJ65" i="1"/>
  <c r="BJ45" i="1"/>
  <c r="BJ34" i="1"/>
  <c r="BF35" i="113" s="1"/>
  <c r="BJ27" i="1"/>
  <c r="BF28" i="113" s="1"/>
  <c r="BJ16" i="1"/>
  <c r="BJ46" i="1" l="1"/>
  <c r="BF47" i="113" s="1"/>
  <c r="BF46" i="113"/>
  <c r="BJ18" i="1"/>
  <c r="BF19" i="113" s="1"/>
  <c r="BF17" i="113"/>
  <c r="BJ73" i="1"/>
  <c r="BF66" i="113"/>
  <c r="BJ48" i="1" l="1"/>
  <c r="BF49" i="113" s="1"/>
  <c r="BJ76" i="1"/>
  <c r="BF74" i="113"/>
  <c r="BJ51" i="1" l="1"/>
  <c r="BF52" i="113" s="1"/>
  <c r="BJ80" i="1"/>
  <c r="BF77" i="113"/>
  <c r="L76" i="162"/>
  <c r="L72" i="162"/>
  <c r="L71" i="162"/>
  <c r="L70" i="162"/>
  <c r="L69" i="162"/>
  <c r="L68" i="162"/>
  <c r="L65" i="162"/>
  <c r="L64" i="162"/>
  <c r="L63" i="162"/>
  <c r="L62" i="162"/>
  <c r="L61" i="162"/>
  <c r="L45" i="162"/>
  <c r="L43" i="162"/>
  <c r="L42" i="162"/>
  <c r="L38" i="162"/>
  <c r="L37" i="162"/>
  <c r="L34" i="162"/>
  <c r="L32" i="162"/>
  <c r="L31" i="162"/>
  <c r="L27" i="162"/>
  <c r="L25" i="162"/>
  <c r="L23" i="162"/>
  <c r="E69" i="3" l="1"/>
  <c r="F64" i="166" s="1"/>
  <c r="H146" i="99"/>
  <c r="BF81" i="113"/>
  <c r="AT42" i="1"/>
  <c r="AS43" i="113" s="1"/>
  <c r="G64" i="166" l="1"/>
  <c r="I64" i="166"/>
  <c r="K146" i="99"/>
  <c r="AV22" i="1"/>
  <c r="AU23" i="113" s="1"/>
  <c r="C81" i="3" l="1"/>
  <c r="B81" i="3"/>
  <c r="C64" i="3"/>
  <c r="B64" i="3"/>
  <c r="B57" i="3"/>
  <c r="C57" i="3"/>
  <c r="BV72" i="1"/>
  <c r="BR73" i="113" s="1"/>
  <c r="BV65" i="1"/>
  <c r="BR66" i="113" s="1"/>
  <c r="BV45" i="1"/>
  <c r="BR46" i="113" s="1"/>
  <c r="BV34" i="1"/>
  <c r="BR35" i="113" s="1"/>
  <c r="BV27" i="1"/>
  <c r="BR28" i="113" s="1"/>
  <c r="BV16" i="1"/>
  <c r="B63" i="48" l="1"/>
  <c r="B63" i="166"/>
  <c r="B56" i="48"/>
  <c r="B56" i="166"/>
  <c r="BV18" i="1"/>
  <c r="BR19" i="113" s="1"/>
  <c r="BR17" i="113"/>
  <c r="BV73" i="1"/>
  <c r="BV46" i="1"/>
  <c r="BV48" i="1" l="1"/>
  <c r="BR47" i="113"/>
  <c r="BV76" i="1"/>
  <c r="BR74" i="113"/>
  <c r="BV80" i="1" l="1"/>
  <c r="BR77" i="113"/>
  <c r="BV51" i="1"/>
  <c r="BR52" i="113" s="1"/>
  <c r="BR49" i="113"/>
  <c r="BF16" i="1"/>
  <c r="BF27" i="1"/>
  <c r="BE28" i="113" s="1"/>
  <c r="BF34" i="1"/>
  <c r="BE35" i="113" s="1"/>
  <c r="BF45" i="1"/>
  <c r="BE46" i="113" s="1"/>
  <c r="BF65" i="1"/>
  <c r="BE66" i="113" s="1"/>
  <c r="BF72" i="1"/>
  <c r="BE73" i="113" s="1"/>
  <c r="BF18" i="1" l="1"/>
  <c r="BE19" i="113" s="1"/>
  <c r="BE17" i="113"/>
  <c r="H145" i="99"/>
  <c r="BR81" i="113"/>
  <c r="E81" i="3"/>
  <c r="BF73" i="1"/>
  <c r="BF46" i="1"/>
  <c r="K145" i="99" l="1"/>
  <c r="BF76" i="1"/>
  <c r="BE74" i="113"/>
  <c r="BF48" i="1"/>
  <c r="BE47" i="113"/>
  <c r="BF80" i="1" l="1"/>
  <c r="BE77" i="113"/>
  <c r="BF51" i="1"/>
  <c r="BE52" i="113" s="1"/>
  <c r="BE49" i="113"/>
  <c r="AV42" i="1"/>
  <c r="AU43" i="113" s="1"/>
  <c r="H67" i="99" l="1"/>
  <c r="K67" i="99" s="1"/>
  <c r="BE81" i="113"/>
  <c r="E64" i="3"/>
  <c r="AC55" i="1"/>
  <c r="F63" i="48" l="1"/>
  <c r="G63" i="48" s="1"/>
  <c r="F63" i="166"/>
  <c r="BH55" i="1"/>
  <c r="E56" i="161" s="1"/>
  <c r="N73" i="162"/>
  <c r="O66" i="162"/>
  <c r="N66" i="162"/>
  <c r="N46" i="162"/>
  <c r="N35" i="162"/>
  <c r="N28" i="162"/>
  <c r="N17" i="162"/>
  <c r="N19" i="162" s="1"/>
  <c r="M17" i="162"/>
  <c r="M19" i="162" s="1"/>
  <c r="I85" i="162"/>
  <c r="G63" i="166" l="1"/>
  <c r="I63" i="166"/>
  <c r="BX55" i="1"/>
  <c r="G56" i="161" s="1"/>
  <c r="J56" i="161" s="1"/>
  <c r="N74" i="162"/>
  <c r="N77" i="162" s="1"/>
  <c r="N81" i="162" s="1"/>
  <c r="N47" i="162"/>
  <c r="N49" i="162" s="1"/>
  <c r="N52" i="162" s="1"/>
  <c r="BY55" i="1" l="1"/>
  <c r="F56" i="161"/>
  <c r="O24" i="162"/>
  <c r="O16" i="162"/>
  <c r="J18" i="162"/>
  <c r="O18" i="162" s="1"/>
  <c r="O23" i="162" l="1"/>
  <c r="J28" i="162"/>
  <c r="O73" i="162" l="1"/>
  <c r="O46" i="162"/>
  <c r="O35" i="162"/>
  <c r="O17" i="162"/>
  <c r="O19" i="162" s="1"/>
  <c r="O28" i="162"/>
  <c r="O47" i="162" l="1"/>
  <c r="O49" i="162" s="1"/>
  <c r="O74" i="162"/>
  <c r="O77" i="162" s="1"/>
  <c r="O81" i="162" s="1"/>
  <c r="J73" i="162"/>
  <c r="J66" i="162"/>
  <c r="J46" i="162"/>
  <c r="J35" i="162"/>
  <c r="J47" i="162" s="1"/>
  <c r="J17" i="162"/>
  <c r="J19" i="162" s="1"/>
  <c r="L17" i="162"/>
  <c r="L19" i="162" s="1"/>
  <c r="K80" i="162"/>
  <c r="P80" i="162" s="1"/>
  <c r="K67" i="162"/>
  <c r="P67" i="162" s="1"/>
  <c r="K58" i="162"/>
  <c r="P58" i="162" s="1"/>
  <c r="K30" i="162"/>
  <c r="O52" i="162" l="1"/>
  <c r="J49" i="162"/>
  <c r="J74" i="162"/>
  <c r="J77" i="162" s="1"/>
  <c r="J81" i="162" s="1"/>
  <c r="J52" i="162" l="1"/>
  <c r="A4" i="162"/>
  <c r="A3" i="162"/>
  <c r="A2" i="162"/>
  <c r="A1" i="162"/>
  <c r="BS17" i="1" l="1"/>
  <c r="BO18" i="113" s="1"/>
  <c r="BP16" i="1" l="1"/>
  <c r="BP27" i="1"/>
  <c r="BL28" i="113" s="1"/>
  <c r="BP34" i="1"/>
  <c r="BL35" i="113" s="1"/>
  <c r="BP45" i="1"/>
  <c r="BL46" i="113" s="1"/>
  <c r="BP65" i="1"/>
  <c r="BL66" i="113" s="1"/>
  <c r="BP72" i="1"/>
  <c r="BL73" i="113" s="1"/>
  <c r="BP18" i="1" l="1"/>
  <c r="BL19" i="113" s="1"/>
  <c r="BL17" i="113"/>
  <c r="BP73" i="1"/>
  <c r="BP46" i="1"/>
  <c r="BP76" i="1" l="1"/>
  <c r="BL74" i="113"/>
  <c r="BP48" i="1"/>
  <c r="BL49" i="113" s="1"/>
  <c r="BL47" i="113"/>
  <c r="AJ25" i="1"/>
  <c r="AI26" i="113" s="1"/>
  <c r="BP51" i="1" l="1"/>
  <c r="BL52" i="113" s="1"/>
  <c r="BP80" i="1"/>
  <c r="BL77" i="113"/>
  <c r="AJ43" i="1"/>
  <c r="AI44" i="113" s="1"/>
  <c r="H139" i="99" l="1"/>
  <c r="BL81" i="113"/>
  <c r="AD22" i="1"/>
  <c r="K139" i="99" l="1"/>
  <c r="AA22" i="1"/>
  <c r="AA27" i="1" s="1"/>
  <c r="AL65" i="1" l="1"/>
  <c r="AK66" i="113" s="1"/>
  <c r="AL72" i="1"/>
  <c r="AK73" i="113" s="1"/>
  <c r="AL73" i="1" l="1"/>
  <c r="BQ25" i="113"/>
  <c r="BD25" i="113"/>
  <c r="AL76" i="1" l="1"/>
  <c r="AK77" i="113" s="1"/>
  <c r="AK74" i="113"/>
  <c r="AJ72" i="1"/>
  <c r="AI73" i="113" s="1"/>
  <c r="AJ65" i="1"/>
  <c r="AI66" i="113" s="1"/>
  <c r="AJ45" i="1"/>
  <c r="AI46" i="113" s="1"/>
  <c r="AJ34" i="1"/>
  <c r="AI35" i="113" s="1"/>
  <c r="AJ27" i="1"/>
  <c r="AI28" i="113" s="1"/>
  <c r="AJ16" i="1"/>
  <c r="AJ18" i="1" l="1"/>
  <c r="AI19" i="113" s="1"/>
  <c r="AI17" i="113"/>
  <c r="AJ73" i="1"/>
  <c r="AJ46" i="1"/>
  <c r="AJ76" i="1" l="1"/>
  <c r="AI74" i="113"/>
  <c r="AJ48" i="1"/>
  <c r="AI47" i="113"/>
  <c r="X33" i="1"/>
  <c r="AJ51" i="1" l="1"/>
  <c r="AI52" i="113" s="1"/>
  <c r="AI49" i="113"/>
  <c r="AJ80" i="1"/>
  <c r="AI81" i="113" s="1"/>
  <c r="AI77" i="113"/>
  <c r="X36" i="1"/>
  <c r="X41" i="1" l="1"/>
  <c r="BK9" i="1" l="1"/>
  <c r="AG9" i="1"/>
  <c r="AH9" i="1" s="1"/>
  <c r="AI9" i="1" s="1"/>
  <c r="AH10" i="113" s="1"/>
  <c r="AY9" i="1"/>
  <c r="AX10" i="113" s="1"/>
  <c r="A134" i="99" l="1"/>
  <c r="BG10" i="113"/>
  <c r="AZ9" i="1"/>
  <c r="A57" i="3"/>
  <c r="AJ9" i="1"/>
  <c r="A56" i="48" l="1"/>
  <c r="A56" i="166"/>
  <c r="BA9" i="1"/>
  <c r="AY10" i="113"/>
  <c r="AK9" i="1"/>
  <c r="AI10" i="113"/>
  <c r="AL9" i="1" l="1"/>
  <c r="A46" i="99"/>
  <c r="AJ10" i="113"/>
  <c r="BB9" i="1"/>
  <c r="AZ10" i="113"/>
  <c r="BC9" i="1" l="1"/>
  <c r="BA10" i="113"/>
  <c r="AM9" i="1"/>
  <c r="AK10" i="113"/>
  <c r="C76" i="3"/>
  <c r="B71" i="166" s="1"/>
  <c r="B76" i="3"/>
  <c r="C75" i="3"/>
  <c r="B70" i="166" s="1"/>
  <c r="B75" i="3"/>
  <c r="C74" i="3"/>
  <c r="B69" i="166" s="1"/>
  <c r="B74" i="3"/>
  <c r="C73" i="3"/>
  <c r="B68" i="166" s="1"/>
  <c r="B73" i="3"/>
  <c r="C72" i="3"/>
  <c r="B67" i="166" s="1"/>
  <c r="B72" i="3"/>
  <c r="C71" i="3"/>
  <c r="B66" i="166" s="1"/>
  <c r="B71" i="3"/>
  <c r="C70" i="3"/>
  <c r="B65" i="166" s="1"/>
  <c r="B70" i="3"/>
  <c r="C78" i="3"/>
  <c r="B73" i="166" s="1"/>
  <c r="B78" i="3"/>
  <c r="C77" i="3"/>
  <c r="B72" i="166" s="1"/>
  <c r="B77" i="3"/>
  <c r="C80" i="3"/>
  <c r="B75" i="166" s="1"/>
  <c r="B80" i="3"/>
  <c r="B79" i="3"/>
  <c r="C79" i="3"/>
  <c r="B74" i="166" s="1"/>
  <c r="AN9" i="1" l="1"/>
  <c r="AL10" i="113"/>
  <c r="BD9" i="1"/>
  <c r="BB10" i="113"/>
  <c r="BK72" i="1"/>
  <c r="BG73" i="113" s="1"/>
  <c r="BK65" i="1"/>
  <c r="BG66" i="113" s="1"/>
  <c r="BK45" i="1"/>
  <c r="BG46" i="113" s="1"/>
  <c r="BK34" i="1"/>
  <c r="BG35" i="113" s="1"/>
  <c r="BK27" i="1"/>
  <c r="BG28" i="113" s="1"/>
  <c r="BK16" i="1"/>
  <c r="BE9" i="1" l="1"/>
  <c r="BC10" i="113"/>
  <c r="BK18" i="1"/>
  <c r="BG19" i="113" s="1"/>
  <c r="BG17" i="113"/>
  <c r="AO9" i="1"/>
  <c r="AM10" i="113"/>
  <c r="BK73" i="1"/>
  <c r="BK46" i="1"/>
  <c r="I73" i="161"/>
  <c r="H73" i="161"/>
  <c r="I66" i="161"/>
  <c r="H66" i="161"/>
  <c r="H74" i="161" s="1"/>
  <c r="H77" i="161" s="1"/>
  <c r="H81" i="161" s="1"/>
  <c r="I28" i="161"/>
  <c r="H28" i="161"/>
  <c r="BQ72" i="1"/>
  <c r="BM73" i="113" s="1"/>
  <c r="BK48" i="1" l="1"/>
  <c r="BG47" i="113"/>
  <c r="BK76" i="1"/>
  <c r="BG74" i="113"/>
  <c r="AP9" i="1"/>
  <c r="A50" i="99"/>
  <c r="AN10" i="113"/>
  <c r="BF9" i="1"/>
  <c r="BD10" i="113"/>
  <c r="I74" i="161"/>
  <c r="I77" i="161" s="1"/>
  <c r="I81" i="161" s="1"/>
  <c r="A64" i="3" l="1"/>
  <c r="A67" i="99"/>
  <c r="BE10" i="113"/>
  <c r="BK80" i="1"/>
  <c r="BG77" i="113"/>
  <c r="AQ9" i="1"/>
  <c r="AO10" i="113"/>
  <c r="BK51" i="1"/>
  <c r="BG52" i="113" s="1"/>
  <c r="BG49" i="113"/>
  <c r="BQ65" i="1"/>
  <c r="BM66" i="113" s="1"/>
  <c r="BQ45" i="1"/>
  <c r="BM46" i="113" s="1"/>
  <c r="BQ34" i="1"/>
  <c r="BM35" i="113" s="1"/>
  <c r="BQ27" i="1"/>
  <c r="BM28" i="113" s="1"/>
  <c r="BQ16" i="1"/>
  <c r="BN72" i="1"/>
  <c r="BJ73" i="113" s="1"/>
  <c r="BO72" i="1"/>
  <c r="BK73" i="113" s="1"/>
  <c r="BM72" i="1"/>
  <c r="BI73" i="113" s="1"/>
  <c r="BL72" i="1"/>
  <c r="BH73" i="113" s="1"/>
  <c r="BN65" i="1"/>
  <c r="BJ66" i="113" s="1"/>
  <c r="BO65" i="1"/>
  <c r="BK66" i="113" s="1"/>
  <c r="BM65" i="1"/>
  <c r="BI66" i="113" s="1"/>
  <c r="BL65" i="1"/>
  <c r="BH66" i="113" s="1"/>
  <c r="BN45" i="1"/>
  <c r="BJ46" i="113" s="1"/>
  <c r="BO45" i="1"/>
  <c r="BK46" i="113" s="1"/>
  <c r="BM45" i="1"/>
  <c r="BI46" i="113" s="1"/>
  <c r="BL45" i="1"/>
  <c r="BH46" i="113" s="1"/>
  <c r="BN34" i="1"/>
  <c r="BJ35" i="113" s="1"/>
  <c r="BO34" i="1"/>
  <c r="BK35" i="113" s="1"/>
  <c r="BM34" i="1"/>
  <c r="BI35" i="113" s="1"/>
  <c r="BL34" i="1"/>
  <c r="BH35" i="113" s="1"/>
  <c r="BN27" i="1"/>
  <c r="BJ28" i="113" s="1"/>
  <c r="BO27" i="1"/>
  <c r="BK28" i="113" s="1"/>
  <c r="BM27" i="1"/>
  <c r="BI28" i="113" s="1"/>
  <c r="BL27" i="1"/>
  <c r="BH28" i="113" s="1"/>
  <c r="BN16" i="1"/>
  <c r="BO16" i="1"/>
  <c r="BM16" i="1"/>
  <c r="BL16" i="1"/>
  <c r="C56" i="3"/>
  <c r="B56" i="3"/>
  <c r="C55" i="3"/>
  <c r="B55" i="3"/>
  <c r="B55" i="48" l="1"/>
  <c r="B55" i="166"/>
  <c r="B54" i="48"/>
  <c r="B54" i="166"/>
  <c r="A63" i="48"/>
  <c r="A63" i="166"/>
  <c r="BO18" i="1"/>
  <c r="BK19" i="113" s="1"/>
  <c r="BK17" i="113"/>
  <c r="BN18" i="1"/>
  <c r="BJ19" i="113" s="1"/>
  <c r="BJ17" i="113"/>
  <c r="H134" i="99"/>
  <c r="BG81" i="113"/>
  <c r="E70" i="3"/>
  <c r="F65" i="166" s="1"/>
  <c r="BL18" i="1"/>
  <c r="BH19" i="113" s="1"/>
  <c r="BH17" i="113"/>
  <c r="BQ18" i="1"/>
  <c r="BM19" i="113" s="1"/>
  <c r="BM17" i="113"/>
  <c r="AR9" i="1"/>
  <c r="AP10" i="113"/>
  <c r="BM18" i="1"/>
  <c r="BI19" i="113" s="1"/>
  <c r="BI17" i="113"/>
  <c r="BQ73" i="1"/>
  <c r="BQ46" i="1"/>
  <c r="E75" i="3"/>
  <c r="F70" i="166" s="1"/>
  <c r="BM73" i="1"/>
  <c r="BL46" i="1"/>
  <c r="BN46" i="1"/>
  <c r="BL73" i="1"/>
  <c r="BN73" i="1"/>
  <c r="BM46" i="1"/>
  <c r="BO46" i="1"/>
  <c r="BO73" i="1"/>
  <c r="BS72" i="1"/>
  <c r="BO73" i="113" s="1"/>
  <c r="BT72" i="1"/>
  <c r="BP73" i="113" s="1"/>
  <c r="BU72" i="1"/>
  <c r="BQ73" i="113" s="1"/>
  <c r="BS65" i="1"/>
  <c r="BO66" i="113" s="1"/>
  <c r="BT65" i="1"/>
  <c r="BP66" i="113" s="1"/>
  <c r="BU65" i="1"/>
  <c r="BQ66" i="113" s="1"/>
  <c r="BS45" i="1"/>
  <c r="BO46" i="113" s="1"/>
  <c r="BR45" i="1"/>
  <c r="BN46" i="113" s="1"/>
  <c r="BU45" i="1"/>
  <c r="BQ46" i="113" s="1"/>
  <c r="BT45" i="1"/>
  <c r="BP46" i="113" s="1"/>
  <c r="BS34" i="1"/>
  <c r="BO35" i="113" s="1"/>
  <c r="BU34" i="1"/>
  <c r="BQ35" i="113" s="1"/>
  <c r="BR34" i="1"/>
  <c r="BN35" i="113" s="1"/>
  <c r="BT34" i="1"/>
  <c r="BP35" i="113" s="1"/>
  <c r="BS27" i="1"/>
  <c r="BO28" i="113" s="1"/>
  <c r="BR27" i="1"/>
  <c r="BN28" i="113" s="1"/>
  <c r="BU27" i="1"/>
  <c r="BQ28" i="113" s="1"/>
  <c r="BT27" i="1"/>
  <c r="BP28" i="113" s="1"/>
  <c r="BS16" i="1"/>
  <c r="BR16" i="1"/>
  <c r="BU16" i="1"/>
  <c r="BT16" i="1"/>
  <c r="C52" i="3"/>
  <c r="B52" i="3"/>
  <c r="AZ45" i="1"/>
  <c r="AY46" i="113" s="1"/>
  <c r="AZ34" i="1"/>
  <c r="AY35" i="113" s="1"/>
  <c r="AZ27" i="1"/>
  <c r="AY28" i="113" s="1"/>
  <c r="AZ16" i="1"/>
  <c r="BE72" i="1"/>
  <c r="BD73" i="113" s="1"/>
  <c r="BE65" i="1"/>
  <c r="BD66" i="113" s="1"/>
  <c r="BE45" i="1"/>
  <c r="BD46" i="113" s="1"/>
  <c r="BE34" i="1"/>
  <c r="BD35" i="113" s="1"/>
  <c r="BE27" i="1"/>
  <c r="BD28" i="113" s="1"/>
  <c r="BE16" i="1"/>
  <c r="BC72" i="1"/>
  <c r="BB73" i="113" s="1"/>
  <c r="BC65" i="1"/>
  <c r="BB66" i="113" s="1"/>
  <c r="BC45" i="1"/>
  <c r="BB46" i="113" s="1"/>
  <c r="BC34" i="1"/>
  <c r="BB35" i="113" s="1"/>
  <c r="BC27" i="1"/>
  <c r="BB28" i="113" s="1"/>
  <c r="BC16" i="1"/>
  <c r="G70" i="166" l="1"/>
  <c r="I70" i="166"/>
  <c r="B51" i="48"/>
  <c r="B51" i="166"/>
  <c r="G65" i="166"/>
  <c r="I65" i="166"/>
  <c r="BE18" i="1"/>
  <c r="BD19" i="113" s="1"/>
  <c r="BD17" i="113"/>
  <c r="BT18" i="1"/>
  <c r="BP19" i="113" s="1"/>
  <c r="BP17" i="113"/>
  <c r="BL48" i="1"/>
  <c r="BH47" i="113"/>
  <c r="AQ10" i="113"/>
  <c r="AS9" i="1"/>
  <c r="BU18" i="1"/>
  <c r="BQ19" i="113" s="1"/>
  <c r="BQ17" i="113"/>
  <c r="BN76" i="1"/>
  <c r="BJ74" i="113"/>
  <c r="BM76" i="1"/>
  <c r="BI74" i="113"/>
  <c r="BM48" i="1"/>
  <c r="BI49" i="113" s="1"/>
  <c r="BI47" i="113"/>
  <c r="BQ76" i="1"/>
  <c r="BM74" i="113"/>
  <c r="BC18" i="1"/>
  <c r="BB19" i="113" s="1"/>
  <c r="BB17" i="113"/>
  <c r="AZ18" i="1"/>
  <c r="AY19" i="113" s="1"/>
  <c r="AY17" i="113"/>
  <c r="BR18" i="1"/>
  <c r="BN19" i="113" s="1"/>
  <c r="BN17" i="113"/>
  <c r="BO76" i="1"/>
  <c r="BK74" i="113"/>
  <c r="BL76" i="1"/>
  <c r="BH74" i="113"/>
  <c r="BS18" i="1"/>
  <c r="BO19" i="113" s="1"/>
  <c r="BO17" i="113"/>
  <c r="BO48" i="1"/>
  <c r="BK49" i="113" s="1"/>
  <c r="BK47" i="113"/>
  <c r="BN48" i="1"/>
  <c r="BJ47" i="113"/>
  <c r="BQ48" i="1"/>
  <c r="BM49" i="113" s="1"/>
  <c r="BM47" i="113"/>
  <c r="K134" i="99"/>
  <c r="BO51" i="1"/>
  <c r="BK52" i="113" s="1"/>
  <c r="BR65" i="1"/>
  <c r="BN66" i="113" s="1"/>
  <c r="BU73" i="1"/>
  <c r="BS73" i="1"/>
  <c r="BT46" i="1"/>
  <c r="BR72" i="1"/>
  <c r="BN73" i="113" s="1"/>
  <c r="BU46" i="1"/>
  <c r="AZ72" i="1"/>
  <c r="AY73" i="113" s="1"/>
  <c r="BS46" i="1"/>
  <c r="BT73" i="1"/>
  <c r="BR46" i="1"/>
  <c r="BE46" i="1"/>
  <c r="BC46" i="1"/>
  <c r="AZ46" i="1"/>
  <c r="BC73" i="1"/>
  <c r="BE73" i="1"/>
  <c r="AZ65" i="1"/>
  <c r="AY66" i="113" s="1"/>
  <c r="BQ51" i="1" l="1"/>
  <c r="BM52" i="113" s="1"/>
  <c r="BE48" i="1"/>
  <c r="BD47" i="113"/>
  <c r="AT9" i="1"/>
  <c r="A54" i="99"/>
  <c r="AR10" i="113"/>
  <c r="BC76" i="1"/>
  <c r="BB74" i="113"/>
  <c r="BU48" i="1"/>
  <c r="BQ49" i="113" s="1"/>
  <c r="BQ47" i="113"/>
  <c r="BU76" i="1"/>
  <c r="BQ74" i="113"/>
  <c r="BL80" i="1"/>
  <c r="BH77" i="113"/>
  <c r="BN80" i="1"/>
  <c r="BJ77" i="113"/>
  <c r="AZ48" i="1"/>
  <c r="AY47" i="113"/>
  <c r="BT76" i="1"/>
  <c r="BP74" i="113"/>
  <c r="BM51" i="1"/>
  <c r="BI52" i="113" s="1"/>
  <c r="BE76" i="1"/>
  <c r="BD74" i="113"/>
  <c r="BS76" i="1"/>
  <c r="BO74" i="113"/>
  <c r="BR48" i="1"/>
  <c r="BN49" i="113" s="1"/>
  <c r="BN47" i="113"/>
  <c r="BC48" i="1"/>
  <c r="BB49" i="113" s="1"/>
  <c r="BB47" i="113"/>
  <c r="BS48" i="1"/>
  <c r="BO49" i="113" s="1"/>
  <c r="BO47" i="113"/>
  <c r="BT48" i="1"/>
  <c r="BP49" i="113" s="1"/>
  <c r="BP47" i="113"/>
  <c r="BN51" i="1"/>
  <c r="BJ52" i="113" s="1"/>
  <c r="BJ49" i="113"/>
  <c r="BO80" i="1"/>
  <c r="BK77" i="113"/>
  <c r="BQ80" i="1"/>
  <c r="BM77" i="113"/>
  <c r="BM80" i="1"/>
  <c r="BI77" i="113"/>
  <c r="BL51" i="1"/>
  <c r="BH52" i="113" s="1"/>
  <c r="BH49" i="113"/>
  <c r="BR73" i="1"/>
  <c r="AZ73" i="1"/>
  <c r="BR51" i="1" l="1"/>
  <c r="BN52" i="113" s="1"/>
  <c r="BS51" i="1"/>
  <c r="BO52" i="113" s="1"/>
  <c r="BU51" i="1"/>
  <c r="BQ52" i="113" s="1"/>
  <c r="E72" i="3"/>
  <c r="F67" i="166" s="1"/>
  <c r="H136" i="99"/>
  <c r="BI81" i="113"/>
  <c r="E71" i="3"/>
  <c r="F66" i="166" s="1"/>
  <c r="H135" i="99"/>
  <c r="BH81" i="113"/>
  <c r="BS80" i="1"/>
  <c r="BO77" i="113"/>
  <c r="BT51" i="1"/>
  <c r="BP52" i="113" s="1"/>
  <c r="BT80" i="1"/>
  <c r="BP77" i="113"/>
  <c r="E73" i="3"/>
  <c r="F68" i="166" s="1"/>
  <c r="H137" i="99"/>
  <c r="BJ81" i="113"/>
  <c r="BU80" i="1"/>
  <c r="BQ77" i="113"/>
  <c r="BC80" i="1"/>
  <c r="BB81" i="113" s="1"/>
  <c r="BB77" i="113"/>
  <c r="E74" i="3"/>
  <c r="F69" i="166" s="1"/>
  <c r="H138" i="99"/>
  <c r="BK81" i="113"/>
  <c r="AZ51" i="1"/>
  <c r="AY52" i="113" s="1"/>
  <c r="AY49" i="113"/>
  <c r="AZ76" i="1"/>
  <c r="AY74" i="113"/>
  <c r="A55" i="99"/>
  <c r="AS10" i="113"/>
  <c r="AU9" i="1"/>
  <c r="BR76" i="1"/>
  <c r="BN74" i="113"/>
  <c r="E76" i="3"/>
  <c r="F71" i="166" s="1"/>
  <c r="H140" i="99"/>
  <c r="BM81" i="113"/>
  <c r="BC51" i="1"/>
  <c r="BB52" i="113" s="1"/>
  <c r="BE80" i="1"/>
  <c r="BD81" i="113" s="1"/>
  <c r="BD77" i="113"/>
  <c r="BE51" i="1"/>
  <c r="BD52" i="113" s="1"/>
  <c r="BD49" i="113"/>
  <c r="BB16" i="1"/>
  <c r="BB27" i="1"/>
  <c r="BA28" i="113" s="1"/>
  <c r="BB34" i="1"/>
  <c r="BA35" i="113" s="1"/>
  <c r="BB45" i="1"/>
  <c r="BA46" i="113" s="1"/>
  <c r="BB65" i="1"/>
  <c r="BA66" i="113" s="1"/>
  <c r="BB72" i="1"/>
  <c r="BA73" i="113" s="1"/>
  <c r="AX72" i="1"/>
  <c r="AW73" i="113" s="1"/>
  <c r="AX65" i="1"/>
  <c r="AW66" i="113" s="1"/>
  <c r="AX45" i="1"/>
  <c r="AW46" i="113" s="1"/>
  <c r="AX34" i="1"/>
  <c r="AW35" i="113" s="1"/>
  <c r="AX27" i="1"/>
  <c r="AW28" i="113" s="1"/>
  <c r="AX16" i="1"/>
  <c r="AW72" i="1"/>
  <c r="AV73" i="113" s="1"/>
  <c r="AW65" i="1"/>
  <c r="AV66" i="113" s="1"/>
  <c r="AW45" i="1"/>
  <c r="AV46" i="113" s="1"/>
  <c r="AW34" i="1"/>
  <c r="AV35" i="113" s="1"/>
  <c r="AW27" i="1"/>
  <c r="AV28" i="113" s="1"/>
  <c r="AW16" i="1"/>
  <c r="AG16" i="1"/>
  <c r="AG18" i="1" s="1"/>
  <c r="AG27" i="1"/>
  <c r="AG34" i="1"/>
  <c r="AG45" i="1"/>
  <c r="AG65" i="1"/>
  <c r="AG72" i="1"/>
  <c r="G67" i="166" l="1"/>
  <c r="I67" i="166"/>
  <c r="G68" i="166"/>
  <c r="I68" i="166"/>
  <c r="G66" i="166"/>
  <c r="I66" i="166"/>
  <c r="G71" i="166"/>
  <c r="I71" i="166"/>
  <c r="G69" i="166"/>
  <c r="I69" i="166"/>
  <c r="AV9" i="1"/>
  <c r="AT10" i="113"/>
  <c r="K138" i="99"/>
  <c r="BB18" i="1"/>
  <c r="BA19" i="113" s="1"/>
  <c r="BA17" i="113"/>
  <c r="E80" i="3"/>
  <c r="F75" i="166" s="1"/>
  <c r="H144" i="99"/>
  <c r="BQ81" i="113"/>
  <c r="E78" i="3"/>
  <c r="F73" i="166" s="1"/>
  <c r="H142" i="99"/>
  <c r="BO81" i="113"/>
  <c r="AW18" i="1"/>
  <c r="AV19" i="113" s="1"/>
  <c r="AV17" i="113"/>
  <c r="K140" i="99"/>
  <c r="AZ80" i="1"/>
  <c r="AY81" i="113" s="1"/>
  <c r="AY77" i="113"/>
  <c r="AX18" i="1"/>
  <c r="AW19" i="113" s="1"/>
  <c r="AW17" i="113"/>
  <c r="E79" i="3"/>
  <c r="F74" i="166" s="1"/>
  <c r="H143" i="99"/>
  <c r="BP81" i="113"/>
  <c r="K136" i="99"/>
  <c r="BR80" i="1"/>
  <c r="BN77" i="113"/>
  <c r="K137" i="99"/>
  <c r="K135" i="99"/>
  <c r="A70" i="3"/>
  <c r="A65" i="166" s="1"/>
  <c r="BL9" i="1"/>
  <c r="BB73" i="1"/>
  <c r="BB46" i="1"/>
  <c r="AX73" i="1"/>
  <c r="AX46" i="1"/>
  <c r="AW73" i="1"/>
  <c r="AW46" i="1"/>
  <c r="AG73" i="1"/>
  <c r="AG76" i="1" s="1"/>
  <c r="AG80" i="1" s="1"/>
  <c r="AG46" i="1"/>
  <c r="AG48" i="1" s="1"/>
  <c r="AG51" i="1" s="1"/>
  <c r="G75" i="166" l="1"/>
  <c r="I75" i="166"/>
  <c r="G73" i="166"/>
  <c r="I73" i="166"/>
  <c r="G74" i="166"/>
  <c r="I74" i="166"/>
  <c r="AX76" i="1"/>
  <c r="AW74" i="113"/>
  <c r="K144" i="99"/>
  <c r="AW48" i="1"/>
  <c r="AV49" i="113" s="1"/>
  <c r="AV47" i="113"/>
  <c r="K142" i="99"/>
  <c r="BB48" i="1"/>
  <c r="BA49" i="113" s="1"/>
  <c r="BA47" i="113"/>
  <c r="AW76" i="1"/>
  <c r="AV74" i="113"/>
  <c r="BB76" i="1"/>
  <c r="BA74" i="113"/>
  <c r="E77" i="3"/>
  <c r="F72" i="166" s="1"/>
  <c r="H141" i="99"/>
  <c r="BN81" i="113"/>
  <c r="BU97" i="1"/>
  <c r="K143" i="99"/>
  <c r="AX48" i="1"/>
  <c r="AW47" i="113"/>
  <c r="BM9" i="1"/>
  <c r="A135" i="99"/>
  <c r="BH10" i="113"/>
  <c r="AW9" i="1"/>
  <c r="AU10" i="113"/>
  <c r="A71" i="3"/>
  <c r="A66" i="166" s="1"/>
  <c r="AT72" i="1"/>
  <c r="AS73" i="113" s="1"/>
  <c r="AT65" i="1"/>
  <c r="AS66" i="113" s="1"/>
  <c r="AT45" i="1"/>
  <c r="AS46" i="113" s="1"/>
  <c r="AT34" i="1"/>
  <c r="AS35" i="113" s="1"/>
  <c r="AT27" i="1"/>
  <c r="AS28" i="113" s="1"/>
  <c r="AT16" i="1"/>
  <c r="G72" i="166" l="1"/>
  <c r="I72" i="166"/>
  <c r="AW51" i="1"/>
  <c r="AV52" i="113" s="1"/>
  <c r="AX51" i="1"/>
  <c r="AW52" i="113" s="1"/>
  <c r="AW49" i="113"/>
  <c r="BB80" i="1"/>
  <c r="BA81" i="113" s="1"/>
  <c r="BA77" i="113"/>
  <c r="K141" i="99"/>
  <c r="AT18" i="1"/>
  <c r="AS19" i="113" s="1"/>
  <c r="AS17" i="113"/>
  <c r="BN9" i="1"/>
  <c r="A136" i="99"/>
  <c r="BI10" i="113"/>
  <c r="AW80" i="1"/>
  <c r="AV77" i="113"/>
  <c r="BB51" i="1"/>
  <c r="BA52" i="113" s="1"/>
  <c r="AX9" i="1"/>
  <c r="A58" i="99"/>
  <c r="AV10" i="113"/>
  <c r="AX80" i="1"/>
  <c r="AW77" i="113"/>
  <c r="A72" i="3"/>
  <c r="A67" i="166" s="1"/>
  <c r="AT46" i="1"/>
  <c r="AT73" i="1"/>
  <c r="AS74" i="113" s="1"/>
  <c r="C47" i="3"/>
  <c r="B47" i="3"/>
  <c r="B46" i="48" l="1"/>
  <c r="B46" i="166"/>
  <c r="A59" i="99"/>
  <c r="AW10" i="113"/>
  <c r="AT48" i="1"/>
  <c r="AS47" i="113"/>
  <c r="H59" i="99"/>
  <c r="AW81" i="113"/>
  <c r="E56" i="3"/>
  <c r="BO9" i="1"/>
  <c r="A137" i="99"/>
  <c r="BJ10" i="113"/>
  <c r="H58" i="99"/>
  <c r="AV81" i="113"/>
  <c r="E55" i="3"/>
  <c r="AT76" i="1"/>
  <c r="A73" i="3"/>
  <c r="A68" i="166" s="1"/>
  <c r="F78" i="111"/>
  <c r="F79" i="111"/>
  <c r="F64" i="111"/>
  <c r="F45" i="111"/>
  <c r="F31" i="111"/>
  <c r="F26" i="111"/>
  <c r="F14" i="111"/>
  <c r="F18" i="111"/>
  <c r="F44" i="111"/>
  <c r="F514" i="111"/>
  <c r="F515" i="111"/>
  <c r="F348" i="111"/>
  <c r="F343" i="111"/>
  <c r="F320" i="111"/>
  <c r="F319" i="111"/>
  <c r="F314" i="111"/>
  <c r="F315" i="111"/>
  <c r="F316" i="111"/>
  <c r="F317" i="111"/>
  <c r="F311" i="111"/>
  <c r="F308" i="111"/>
  <c r="F219" i="111"/>
  <c r="F216" i="111"/>
  <c r="F54" i="48" l="1"/>
  <c r="G54" i="48" s="1"/>
  <c r="F54" i="166"/>
  <c r="F55" i="48"/>
  <c r="G55" i="48" s="1"/>
  <c r="F55" i="166"/>
  <c r="K58" i="99"/>
  <c r="AT51" i="1"/>
  <c r="AS52" i="113" s="1"/>
  <c r="AS49" i="113"/>
  <c r="A138" i="99"/>
  <c r="BK10" i="113"/>
  <c r="BP9" i="1"/>
  <c r="AT80" i="1"/>
  <c r="AS77" i="113"/>
  <c r="K59" i="99"/>
  <c r="A74" i="3"/>
  <c r="A69" i="166" s="1"/>
  <c r="AO72" i="1"/>
  <c r="AN73" i="113" s="1"/>
  <c r="AO65" i="1"/>
  <c r="AN66" i="113" s="1"/>
  <c r="AO45" i="1"/>
  <c r="AN46" i="113" s="1"/>
  <c r="AO34" i="1"/>
  <c r="AN35" i="113" s="1"/>
  <c r="AO27" i="1"/>
  <c r="AN28" i="113" s="1"/>
  <c r="AO16" i="1"/>
  <c r="B59" i="3"/>
  <c r="C59" i="3"/>
  <c r="G55" i="166" l="1"/>
  <c r="I55" i="166"/>
  <c r="B58" i="48"/>
  <c r="B58" i="166"/>
  <c r="G54" i="166"/>
  <c r="I54" i="166"/>
  <c r="AO18" i="1"/>
  <c r="AN19" i="113" s="1"/>
  <c r="AN17" i="113"/>
  <c r="BQ9" i="1"/>
  <c r="A76" i="3" s="1"/>
  <c r="A71" i="166" s="1"/>
  <c r="A139" i="99"/>
  <c r="BL10" i="113"/>
  <c r="E52" i="3"/>
  <c r="H55" i="99"/>
  <c r="AS81" i="113"/>
  <c r="A75" i="3"/>
  <c r="A70" i="166" s="1"/>
  <c r="AO46" i="1"/>
  <c r="AO73" i="1"/>
  <c r="F51" i="48" l="1"/>
  <c r="G51" i="48" s="1"/>
  <c r="F51" i="166"/>
  <c r="AO76" i="1"/>
  <c r="AN74" i="113"/>
  <c r="K55" i="99"/>
  <c r="BR9" i="1"/>
  <c r="A140" i="99"/>
  <c r="BM10" i="113"/>
  <c r="AO48" i="1"/>
  <c r="AN47" i="113"/>
  <c r="G51" i="166" l="1"/>
  <c r="I51" i="166"/>
  <c r="AO51" i="1"/>
  <c r="AN52" i="113" s="1"/>
  <c r="AN49" i="113"/>
  <c r="A141" i="99"/>
  <c r="BN10" i="113"/>
  <c r="A77" i="3"/>
  <c r="A72" i="166" s="1"/>
  <c r="BS9" i="1"/>
  <c r="AO80" i="1"/>
  <c r="AN77" i="113"/>
  <c r="E14" i="52"/>
  <c r="E9" i="52"/>
  <c r="E30" i="160"/>
  <c r="C42" i="160" s="1"/>
  <c r="E47" i="3" l="1"/>
  <c r="H50" i="99"/>
  <c r="AN81" i="113"/>
  <c r="A142" i="99"/>
  <c r="BO10" i="113"/>
  <c r="A78" i="3"/>
  <c r="A73" i="166" s="1"/>
  <c r="BT9" i="1"/>
  <c r="E9" i="160"/>
  <c r="E12" i="52" s="1"/>
  <c r="D42" i="160"/>
  <c r="E43" i="160" s="1"/>
  <c r="E13" i="160" s="1"/>
  <c r="E16" i="52" s="1"/>
  <c r="F46" i="48" l="1"/>
  <c r="G46" i="48" s="1"/>
  <c r="F46" i="166"/>
  <c r="A143" i="99"/>
  <c r="BP10" i="113"/>
  <c r="BU9" i="1"/>
  <c r="A79" i="3"/>
  <c r="A74" i="166" s="1"/>
  <c r="K50" i="99"/>
  <c r="AF33" i="1"/>
  <c r="AF36" i="1"/>
  <c r="E16" i="160"/>
  <c r="E18" i="160" s="1"/>
  <c r="I46" i="166" l="1"/>
  <c r="G46" i="166"/>
  <c r="A144" i="99"/>
  <c r="BQ10" i="113"/>
  <c r="A80" i="3"/>
  <c r="A75" i="166" s="1"/>
  <c r="BV9" i="1"/>
  <c r="E20" i="160"/>
  <c r="A145" i="99" l="1"/>
  <c r="BR10" i="113"/>
  <c r="A81" i="3"/>
  <c r="E22" i="160"/>
  <c r="E22" i="52"/>
  <c r="A69" i="3" l="1"/>
  <c r="A64" i="166" s="1"/>
  <c r="A146" i="99"/>
  <c r="BF10" i="113"/>
  <c r="B60" i="99"/>
  <c r="A60" i="99"/>
  <c r="AY72" i="1" l="1"/>
  <c r="AX73" i="113" s="1"/>
  <c r="AY65" i="1"/>
  <c r="AX66" i="113" s="1"/>
  <c r="AY45" i="1"/>
  <c r="AX46" i="113" s="1"/>
  <c r="AY34" i="1"/>
  <c r="AX35" i="113" s="1"/>
  <c r="AY27" i="1"/>
  <c r="AX28" i="113" s="1"/>
  <c r="AY16" i="1"/>
  <c r="AY18" i="1" l="1"/>
  <c r="AX19" i="113" s="1"/>
  <c r="AX17" i="113"/>
  <c r="AY73" i="1"/>
  <c r="AY46" i="1"/>
  <c r="B65" i="99"/>
  <c r="A65" i="99"/>
  <c r="C63" i="118"/>
  <c r="B63" i="118"/>
  <c r="A63" i="118"/>
  <c r="C61" i="118"/>
  <c r="B61" i="118"/>
  <c r="A61" i="118"/>
  <c r="C62" i="3"/>
  <c r="B62" i="3"/>
  <c r="A62" i="3"/>
  <c r="B61" i="48" l="1"/>
  <c r="B61" i="166"/>
  <c r="A61" i="48"/>
  <c r="A61" i="166"/>
  <c r="AY48" i="1"/>
  <c r="AX49" i="113" s="1"/>
  <c r="AX47" i="113"/>
  <c r="AY76" i="1"/>
  <c r="AX74" i="113"/>
  <c r="AY51" i="1"/>
  <c r="AX52" i="113" s="1"/>
  <c r="AY80" i="1" l="1"/>
  <c r="AX77" i="113"/>
  <c r="BD72" i="1"/>
  <c r="BC73" i="113" s="1"/>
  <c r="BD65" i="1"/>
  <c r="BC66" i="113" s="1"/>
  <c r="BD45" i="1"/>
  <c r="BC46" i="113" s="1"/>
  <c r="BD34" i="1"/>
  <c r="BC35" i="113" s="1"/>
  <c r="BD27" i="1"/>
  <c r="BC28" i="113" s="1"/>
  <c r="BD16" i="1"/>
  <c r="BD18" i="1" l="1"/>
  <c r="BC19" i="113" s="1"/>
  <c r="BC17" i="113"/>
  <c r="E57" i="3"/>
  <c r="AX81" i="113"/>
  <c r="H60" i="99"/>
  <c r="K60" i="99" s="1"/>
  <c r="BD73" i="1"/>
  <c r="BD46" i="1"/>
  <c r="J73" i="117"/>
  <c r="J66" i="117"/>
  <c r="J28" i="117"/>
  <c r="A4" i="117"/>
  <c r="A4" i="161" s="1"/>
  <c r="A3" i="117"/>
  <c r="A3" i="161" s="1"/>
  <c r="A2" i="117"/>
  <c r="A2" i="161" s="1"/>
  <c r="A1" i="117"/>
  <c r="A1" i="161" s="1"/>
  <c r="F56" i="48" l="1"/>
  <c r="G56" i="48" s="1"/>
  <c r="F56" i="166"/>
  <c r="BD48" i="1"/>
  <c r="BC47" i="113"/>
  <c r="BD76" i="1"/>
  <c r="BC74" i="113"/>
  <c r="J74" i="117"/>
  <c r="J77" i="117" s="1"/>
  <c r="J81" i="117" s="1"/>
  <c r="I56" i="166" l="1"/>
  <c r="G56" i="166"/>
  <c r="BD80" i="1"/>
  <c r="BC77" i="113"/>
  <c r="BD51" i="1"/>
  <c r="BC52" i="113" s="1"/>
  <c r="BC49" i="113"/>
  <c r="B57" i="99"/>
  <c r="B63" i="99"/>
  <c r="B44" i="99"/>
  <c r="B43" i="99"/>
  <c r="B41" i="99"/>
  <c r="A41" i="99"/>
  <c r="B40" i="99"/>
  <c r="A40" i="99"/>
  <c r="BC81" i="113" l="1"/>
  <c r="E62" i="3"/>
  <c r="H65" i="99"/>
  <c r="K65" i="99" s="1"/>
  <c r="W16" i="1"/>
  <c r="W18" i="1" s="1"/>
  <c r="W27" i="1"/>
  <c r="W34" i="1"/>
  <c r="W45" i="1"/>
  <c r="W65" i="1"/>
  <c r="W72" i="1"/>
  <c r="F61" i="48" l="1"/>
  <c r="G61" i="48" s="1"/>
  <c r="F61" i="166"/>
  <c r="W73" i="1"/>
  <c r="W76" i="1" s="1"/>
  <c r="W80" i="1" s="1"/>
  <c r="W46" i="1"/>
  <c r="W48" i="1" s="1"/>
  <c r="I61" i="166" l="1"/>
  <c r="G61" i="166"/>
  <c r="W51" i="1"/>
  <c r="B43" i="3" l="1"/>
  <c r="C43" i="3"/>
  <c r="B42" i="48" l="1"/>
  <c r="B42" i="166"/>
  <c r="AG7" i="113"/>
  <c r="AG8" i="113"/>
  <c r="AG9" i="113"/>
  <c r="AG11" i="113"/>
  <c r="AG14" i="113"/>
  <c r="AG15" i="113"/>
  <c r="AG16" i="113"/>
  <c r="AG18" i="113"/>
  <c r="AG23" i="113"/>
  <c r="AG24" i="113"/>
  <c r="AG25" i="113"/>
  <c r="AG26" i="113"/>
  <c r="AG27" i="113"/>
  <c r="AG31" i="113"/>
  <c r="AG32" i="113"/>
  <c r="AG34" i="113"/>
  <c r="AG37" i="113"/>
  <c r="AG38" i="113"/>
  <c r="AG39" i="113"/>
  <c r="AG42" i="113"/>
  <c r="AG43" i="113"/>
  <c r="AG44" i="113"/>
  <c r="AG45" i="113"/>
  <c r="AG51" i="113"/>
  <c r="AG54" i="113"/>
  <c r="AG55" i="113"/>
  <c r="AG61" i="113"/>
  <c r="AG62" i="113"/>
  <c r="AG63" i="113"/>
  <c r="AG64" i="113"/>
  <c r="AG65" i="113"/>
  <c r="AG68" i="113"/>
  <c r="AG69" i="113"/>
  <c r="AG70" i="113"/>
  <c r="AG71" i="113"/>
  <c r="AG72" i="113"/>
  <c r="AG76" i="113"/>
  <c r="AG78" i="113"/>
  <c r="AG79" i="113"/>
  <c r="AG80" i="113"/>
  <c r="C40" i="3"/>
  <c r="B40" i="3"/>
  <c r="AH72" i="1"/>
  <c r="AG73" i="113" s="1"/>
  <c r="AH65" i="1"/>
  <c r="AG66" i="113" s="1"/>
  <c r="AH45" i="1"/>
  <c r="AG46" i="113" s="1"/>
  <c r="AH34" i="1"/>
  <c r="AG35" i="113" s="1"/>
  <c r="AH27" i="1"/>
  <c r="AG28" i="113" s="1"/>
  <c r="AH16" i="1"/>
  <c r="AG17" i="113" s="1"/>
  <c r="B39" i="48" l="1"/>
  <c r="B39" i="166"/>
  <c r="AH18" i="1"/>
  <c r="AG19" i="113" s="1"/>
  <c r="AH73" i="1"/>
  <c r="AH46" i="1"/>
  <c r="AH76" i="1" l="1"/>
  <c r="AG74" i="113"/>
  <c r="AH48" i="1"/>
  <c r="AG47" i="113"/>
  <c r="AH51" i="1" l="1"/>
  <c r="AG52" i="113" s="1"/>
  <c r="AG49" i="113"/>
  <c r="AH80" i="1"/>
  <c r="H43" i="99" s="1"/>
  <c r="K43" i="99" s="1"/>
  <c r="AG77" i="113"/>
  <c r="E40" i="3" l="1"/>
  <c r="F39" i="166" s="1"/>
  <c r="AG81" i="113"/>
  <c r="AD7" i="113"/>
  <c r="AD8" i="113"/>
  <c r="AD9" i="113"/>
  <c r="AD10" i="113"/>
  <c r="AD11" i="113"/>
  <c r="AD14" i="113"/>
  <c r="AD15" i="113"/>
  <c r="AD16" i="113"/>
  <c r="AD18" i="113"/>
  <c r="AD23" i="113"/>
  <c r="AD24" i="113"/>
  <c r="AD25" i="113"/>
  <c r="AD26" i="113"/>
  <c r="AD27" i="113"/>
  <c r="AD31" i="113"/>
  <c r="AD32" i="113"/>
  <c r="AD38" i="113"/>
  <c r="AD39" i="113"/>
  <c r="AD43" i="113"/>
  <c r="AD44" i="113"/>
  <c r="AD45" i="113"/>
  <c r="AD51" i="113"/>
  <c r="AD54" i="113"/>
  <c r="AD55" i="113"/>
  <c r="AD61" i="113"/>
  <c r="AD62" i="113"/>
  <c r="AD63" i="113"/>
  <c r="AD64" i="113"/>
  <c r="AD65" i="113"/>
  <c r="AD68" i="113"/>
  <c r="AD69" i="113"/>
  <c r="AD70" i="113"/>
  <c r="AD71" i="113"/>
  <c r="AD72" i="113"/>
  <c r="AD76" i="113"/>
  <c r="AD78" i="113"/>
  <c r="AD79" i="113"/>
  <c r="AD80" i="113"/>
  <c r="C37" i="3"/>
  <c r="B37" i="3"/>
  <c r="A37" i="3"/>
  <c r="AE72" i="1"/>
  <c r="AD73" i="113" s="1"/>
  <c r="AE65" i="1"/>
  <c r="AE45" i="1"/>
  <c r="AD37" i="113"/>
  <c r="AE34" i="1"/>
  <c r="AD35" i="113" s="1"/>
  <c r="AE27" i="1"/>
  <c r="AD28" i="113" s="1"/>
  <c r="AE16" i="1"/>
  <c r="AE18" i="1" s="1"/>
  <c r="AD19" i="113" s="1"/>
  <c r="C54" i="3"/>
  <c r="B54" i="3"/>
  <c r="AV72" i="1"/>
  <c r="AU73" i="113" s="1"/>
  <c r="AV65" i="1"/>
  <c r="AU66" i="113" s="1"/>
  <c r="AV45" i="1"/>
  <c r="AU46" i="113" s="1"/>
  <c r="AV34" i="1"/>
  <c r="AU35" i="113" s="1"/>
  <c r="AV27" i="1"/>
  <c r="AU28" i="113" s="1"/>
  <c r="AV16" i="1"/>
  <c r="AU17" i="113" s="1"/>
  <c r="B53" i="48" l="1"/>
  <c r="B53" i="166"/>
  <c r="A36" i="48"/>
  <c r="A36" i="166"/>
  <c r="B36" i="48"/>
  <c r="B36" i="166"/>
  <c r="G39" i="166"/>
  <c r="I39" i="166"/>
  <c r="F39" i="48"/>
  <c r="G39" i="48" s="1"/>
  <c r="AE73" i="1"/>
  <c r="AE76" i="1" s="1"/>
  <c r="AE80" i="1" s="1"/>
  <c r="AV18" i="1"/>
  <c r="AU19" i="113" s="1"/>
  <c r="AV73" i="1"/>
  <c r="AU74" i="113" s="1"/>
  <c r="AD66" i="113"/>
  <c r="AV46" i="1"/>
  <c r="AU47" i="113" s="1"/>
  <c r="AD42" i="113"/>
  <c r="AD17" i="113"/>
  <c r="AE46" i="1"/>
  <c r="AD47" i="113" s="1"/>
  <c r="AD46" i="113"/>
  <c r="AD34" i="113"/>
  <c r="E37" i="3" l="1"/>
  <c r="F36" i="166" s="1"/>
  <c r="H40" i="99"/>
  <c r="K40" i="99" s="1"/>
  <c r="AV76" i="1"/>
  <c r="AU77" i="113" s="1"/>
  <c r="AD74" i="113"/>
  <c r="AD77" i="113"/>
  <c r="AD81" i="113"/>
  <c r="AV48" i="1"/>
  <c r="AE48" i="1"/>
  <c r="AD49" i="113" s="1"/>
  <c r="AE7" i="113"/>
  <c r="AE8" i="113"/>
  <c r="AE9" i="113"/>
  <c r="AE10" i="113"/>
  <c r="AE11" i="113"/>
  <c r="AE14" i="113"/>
  <c r="AE15" i="113"/>
  <c r="AE16" i="113"/>
  <c r="AE18" i="113"/>
  <c r="AE23" i="113"/>
  <c r="AE24" i="113"/>
  <c r="AE25" i="113"/>
  <c r="AE26" i="113"/>
  <c r="AE27" i="113"/>
  <c r="AE31" i="113"/>
  <c r="AE32" i="113"/>
  <c r="AE38" i="113"/>
  <c r="AE39" i="113"/>
  <c r="AE43" i="113"/>
  <c r="AE44" i="113"/>
  <c r="AE45" i="113"/>
  <c r="AE51" i="113"/>
  <c r="AE54" i="113"/>
  <c r="AE55" i="113"/>
  <c r="AE61" i="113"/>
  <c r="AE62" i="113"/>
  <c r="AE63" i="113"/>
  <c r="AE64" i="113"/>
  <c r="AE65" i="113"/>
  <c r="AE68" i="113"/>
  <c r="AE69" i="113"/>
  <c r="AE70" i="113"/>
  <c r="AE71" i="113"/>
  <c r="AE72" i="113"/>
  <c r="AE76" i="113"/>
  <c r="AE78" i="113"/>
  <c r="AE79" i="113"/>
  <c r="AE80" i="113"/>
  <c r="C51" i="3"/>
  <c r="C60" i="3"/>
  <c r="C41" i="3"/>
  <c r="B60" i="3"/>
  <c r="B41" i="3"/>
  <c r="C38" i="3"/>
  <c r="B38" i="3"/>
  <c r="A38" i="3"/>
  <c r="AK72" i="1"/>
  <c r="AJ73" i="113" s="1"/>
  <c r="AK65" i="1"/>
  <c r="AJ66" i="113" s="1"/>
  <c r="AK45" i="1"/>
  <c r="AJ46" i="113" s="1"/>
  <c r="AK34" i="1"/>
  <c r="AJ35" i="113" s="1"/>
  <c r="AK27" i="1"/>
  <c r="AJ28" i="113" s="1"/>
  <c r="AK16" i="1"/>
  <c r="AI72" i="1"/>
  <c r="AH73" i="113" s="1"/>
  <c r="AI65" i="1"/>
  <c r="AH66" i="113" s="1"/>
  <c r="AI45" i="1"/>
  <c r="AH46" i="113" s="1"/>
  <c r="AI34" i="1"/>
  <c r="AH35" i="113" s="1"/>
  <c r="AI27" i="1"/>
  <c r="AH28" i="113" s="1"/>
  <c r="AI16" i="1"/>
  <c r="AH17" i="113" s="1"/>
  <c r="AF72" i="1"/>
  <c r="AE73" i="113" s="1"/>
  <c r="AF65" i="1"/>
  <c r="AF41" i="1"/>
  <c r="AF45" i="1" s="1"/>
  <c r="AE46" i="113" s="1"/>
  <c r="AE37" i="113"/>
  <c r="AF34" i="1"/>
  <c r="AE35" i="113" s="1"/>
  <c r="AF27" i="1"/>
  <c r="AE28" i="113" s="1"/>
  <c r="AF16" i="1"/>
  <c r="AF18" i="1" s="1"/>
  <c r="AE19" i="113" s="1"/>
  <c r="B37" i="48" l="1"/>
  <c r="B37" i="166"/>
  <c r="B59" i="48"/>
  <c r="B59" i="166"/>
  <c r="B50" i="48"/>
  <c r="B50" i="166"/>
  <c r="A37" i="48"/>
  <c r="A37" i="166"/>
  <c r="B40" i="48"/>
  <c r="B40" i="166"/>
  <c r="G36" i="166"/>
  <c r="I36" i="166"/>
  <c r="AV51" i="1"/>
  <c r="AU52" i="113" s="1"/>
  <c r="AU49" i="113"/>
  <c r="AK18" i="1"/>
  <c r="AJ19" i="113" s="1"/>
  <c r="AJ17" i="113"/>
  <c r="F36" i="48"/>
  <c r="G36" i="48" s="1"/>
  <c r="AI18" i="1"/>
  <c r="AH19" i="113" s="1"/>
  <c r="AV80" i="1"/>
  <c r="AI73" i="1"/>
  <c r="AH74" i="113" s="1"/>
  <c r="AF73" i="1"/>
  <c r="AK73" i="1"/>
  <c r="AE51" i="1"/>
  <c r="AD52" i="113" s="1"/>
  <c r="AE34" i="113"/>
  <c r="AK46" i="1"/>
  <c r="AJ47" i="113" s="1"/>
  <c r="AE42" i="113"/>
  <c r="AI46" i="1"/>
  <c r="AH47" i="113" s="1"/>
  <c r="AE66" i="113"/>
  <c r="AE17" i="113"/>
  <c r="AF46" i="1"/>
  <c r="E52" i="1"/>
  <c r="E44" i="1"/>
  <c r="E32" i="1"/>
  <c r="F518" i="111"/>
  <c r="F517" i="111"/>
  <c r="F516" i="111"/>
  <c r="F513" i="111"/>
  <c r="F512" i="111"/>
  <c r="F511" i="111"/>
  <c r="F510" i="111"/>
  <c r="F509" i="111"/>
  <c r="F508" i="111"/>
  <c r="F507" i="111"/>
  <c r="F506" i="111"/>
  <c r="F505" i="111"/>
  <c r="F504" i="111"/>
  <c r="F503" i="111"/>
  <c r="F502" i="111"/>
  <c r="F501" i="111"/>
  <c r="F500" i="11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76" i="111" s="1"/>
  <c r="E75" i="1" s="1"/>
  <c r="F464" i="111"/>
  <c r="F463" i="111"/>
  <c r="F462" i="111"/>
  <c r="F461" i="111"/>
  <c r="F460" i="111"/>
  <c r="F459" i="111"/>
  <c r="F458" i="111"/>
  <c r="F457" i="111"/>
  <c r="F456" i="111"/>
  <c r="F455" i="111"/>
  <c r="F454" i="111"/>
  <c r="F453" i="111"/>
  <c r="F452" i="111"/>
  <c r="F451" i="111"/>
  <c r="F450" i="111"/>
  <c r="F449" i="111"/>
  <c r="F448" i="111"/>
  <c r="F447" i="111"/>
  <c r="F446" i="111"/>
  <c r="F445" i="111"/>
  <c r="F444" i="111"/>
  <c r="F443" i="111"/>
  <c r="F442" i="111"/>
  <c r="F441" i="111"/>
  <c r="F440" i="111"/>
  <c r="F439" i="111"/>
  <c r="F438" i="111"/>
  <c r="F72" i="111" s="1"/>
  <c r="F437" i="111"/>
  <c r="F71" i="111" s="1"/>
  <c r="F436" i="111"/>
  <c r="F70" i="111" s="1"/>
  <c r="F435" i="111"/>
  <c r="F434" i="111"/>
  <c r="F433" i="111"/>
  <c r="F432" i="111"/>
  <c r="F431" i="111"/>
  <c r="F430" i="111"/>
  <c r="F429" i="111"/>
  <c r="F428" i="111"/>
  <c r="F427" i="111"/>
  <c r="F65" i="111" s="1"/>
  <c r="F426" i="111"/>
  <c r="F425" i="111"/>
  <c r="F424" i="111"/>
  <c r="F423" i="111"/>
  <c r="F422" i="111"/>
  <c r="F421" i="111"/>
  <c r="F420" i="111"/>
  <c r="F419" i="111"/>
  <c r="F418" i="111"/>
  <c r="F417" i="111"/>
  <c r="F416" i="111"/>
  <c r="F415" i="111"/>
  <c r="F413" i="111"/>
  <c r="F412" i="111"/>
  <c r="F411" i="111"/>
  <c r="F410" i="111"/>
  <c r="F409" i="111"/>
  <c r="F408" i="111"/>
  <c r="F407" i="111"/>
  <c r="F406" i="111"/>
  <c r="F405" i="111"/>
  <c r="F404" i="111"/>
  <c r="F403" i="111"/>
  <c r="F402" i="111"/>
  <c r="F401" i="111"/>
  <c r="F400" i="111"/>
  <c r="F399" i="111"/>
  <c r="F398" i="111"/>
  <c r="F397" i="111"/>
  <c r="F395" i="111"/>
  <c r="F63" i="111" s="1"/>
  <c r="E62" i="1" s="1"/>
  <c r="F394" i="111"/>
  <c r="F393" i="111"/>
  <c r="F392" i="111"/>
  <c r="F391" i="111"/>
  <c r="F390" i="111"/>
  <c r="F389" i="111"/>
  <c r="F388" i="111"/>
  <c r="F387" i="111"/>
  <c r="F386" i="111"/>
  <c r="F385" i="111"/>
  <c r="F384" i="111"/>
  <c r="F383" i="111"/>
  <c r="F382" i="111"/>
  <c r="F62" i="111" s="1"/>
  <c r="F381" i="111"/>
  <c r="F380" i="111"/>
  <c r="F379" i="111"/>
  <c r="F378" i="111"/>
  <c r="F377" i="111"/>
  <c r="F376" i="111"/>
  <c r="F375" i="111"/>
  <c r="F374" i="111"/>
  <c r="F373" i="111"/>
  <c r="F372" i="111"/>
  <c r="F371" i="111"/>
  <c r="F370" i="111"/>
  <c r="F369" i="111"/>
  <c r="F368" i="111"/>
  <c r="F367" i="111"/>
  <c r="F366" i="111"/>
  <c r="F365" i="111"/>
  <c r="F364" i="111"/>
  <c r="F363" i="111"/>
  <c r="F362" i="111"/>
  <c r="F361" i="111"/>
  <c r="F360" i="111"/>
  <c r="F359" i="111"/>
  <c r="F358" i="111"/>
  <c r="F357" i="111"/>
  <c r="F356" i="111"/>
  <c r="F355" i="111"/>
  <c r="F354" i="111"/>
  <c r="F353" i="111"/>
  <c r="F352" i="111"/>
  <c r="F351" i="111"/>
  <c r="F350" i="111"/>
  <c r="F349" i="111"/>
  <c r="F61" i="111" s="1"/>
  <c r="F347" i="111"/>
  <c r="F346" i="111"/>
  <c r="F345" i="111"/>
  <c r="F344" i="111"/>
  <c r="F342" i="111"/>
  <c r="F341" i="111"/>
  <c r="F340" i="111"/>
  <c r="F339" i="111"/>
  <c r="F338" i="111"/>
  <c r="F337" i="111"/>
  <c r="F336" i="111"/>
  <c r="F335" i="111"/>
  <c r="F334" i="111"/>
  <c r="F333" i="111"/>
  <c r="F332" i="111"/>
  <c r="F331" i="111"/>
  <c r="F55" i="111" s="1"/>
  <c r="E54" i="1" s="1"/>
  <c r="F330" i="111"/>
  <c r="F54" i="111" s="1"/>
  <c r="F329" i="111"/>
  <c r="F52" i="111" s="1"/>
  <c r="F328" i="111"/>
  <c r="F327" i="111"/>
  <c r="F326" i="111"/>
  <c r="F325" i="111"/>
  <c r="F324" i="111"/>
  <c r="F323" i="111"/>
  <c r="F322" i="111"/>
  <c r="F321" i="111"/>
  <c r="F318" i="111"/>
  <c r="F313" i="111"/>
  <c r="F312" i="111"/>
  <c r="F310" i="111"/>
  <c r="F309" i="111"/>
  <c r="F307" i="111"/>
  <c r="F306" i="111"/>
  <c r="F305" i="111"/>
  <c r="F304" i="111"/>
  <c r="F303" i="111"/>
  <c r="F302" i="111"/>
  <c r="F301" i="111"/>
  <c r="F300" i="111"/>
  <c r="F299" i="111"/>
  <c r="F42" i="111" s="1"/>
  <c r="F298" i="111"/>
  <c r="F297" i="111"/>
  <c r="F296" i="111"/>
  <c r="F295" i="111"/>
  <c r="F294" i="111"/>
  <c r="F293" i="111"/>
  <c r="F292" i="111"/>
  <c r="F291" i="111"/>
  <c r="F290" i="111"/>
  <c r="F289" i="111"/>
  <c r="F288" i="111"/>
  <c r="F287" i="111"/>
  <c r="F286" i="111"/>
  <c r="F285" i="111"/>
  <c r="F284" i="111"/>
  <c r="F39" i="111" s="1"/>
  <c r="F283" i="111"/>
  <c r="F282" i="111"/>
  <c r="F281" i="111"/>
  <c r="F280" i="111"/>
  <c r="F279" i="111"/>
  <c r="F278" i="111"/>
  <c r="F38" i="111" s="1"/>
  <c r="E37" i="1" s="1"/>
  <c r="E38" i="162" s="1"/>
  <c r="F277" i="111"/>
  <c r="F276" i="111"/>
  <c r="F275" i="111"/>
  <c r="F274" i="111"/>
  <c r="F273" i="111"/>
  <c r="F272" i="111"/>
  <c r="F37" i="111" s="1"/>
  <c r="F271" i="111"/>
  <c r="F270" i="111"/>
  <c r="F269" i="111"/>
  <c r="F268" i="111"/>
  <c r="F267" i="111"/>
  <c r="F266" i="111"/>
  <c r="F265" i="111"/>
  <c r="F264" i="111"/>
  <c r="F263" i="111"/>
  <c r="F262" i="111"/>
  <c r="F261" i="111"/>
  <c r="F34" i="111" s="1"/>
  <c r="E33" i="1" s="1"/>
  <c r="F260" i="111"/>
  <c r="F259" i="111"/>
  <c r="F258" i="111"/>
  <c r="F257" i="111"/>
  <c r="F256" i="111"/>
  <c r="F255" i="111"/>
  <c r="F254" i="111"/>
  <c r="F253" i="111"/>
  <c r="F252" i="111"/>
  <c r="F251" i="111"/>
  <c r="F250" i="111"/>
  <c r="F249" i="111"/>
  <c r="F248" i="111"/>
  <c r="F247" i="111"/>
  <c r="F246" i="111"/>
  <c r="F245" i="111"/>
  <c r="F244" i="111"/>
  <c r="F243" i="111"/>
  <c r="F242" i="111"/>
  <c r="F241" i="111"/>
  <c r="F240" i="111"/>
  <c r="F239" i="111"/>
  <c r="F238" i="111"/>
  <c r="F237" i="111"/>
  <c r="F236" i="111"/>
  <c r="F235" i="111"/>
  <c r="F234" i="111"/>
  <c r="F233" i="111"/>
  <c r="F232" i="111"/>
  <c r="F231" i="111"/>
  <c r="F230" i="111"/>
  <c r="F229" i="111"/>
  <c r="F228" i="111"/>
  <c r="F27" i="111" s="1"/>
  <c r="F227" i="111"/>
  <c r="F226" i="111"/>
  <c r="F225" i="111"/>
  <c r="F224" i="111"/>
  <c r="F223" i="111"/>
  <c r="F222" i="111"/>
  <c r="F221" i="111"/>
  <c r="F220" i="111"/>
  <c r="F218" i="111"/>
  <c r="F217" i="111"/>
  <c r="F215" i="111"/>
  <c r="F214" i="111"/>
  <c r="F213" i="111"/>
  <c r="F212" i="111"/>
  <c r="F211" i="111"/>
  <c r="F210" i="111"/>
  <c r="F209" i="111"/>
  <c r="F208" i="111"/>
  <c r="F207"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160" i="111"/>
  <c r="F24" i="111" s="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20" i="111"/>
  <c r="F119" i="111"/>
  <c r="F118" i="111"/>
  <c r="F117"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J76" i="111"/>
  <c r="I76" i="111" s="1"/>
  <c r="G76" i="111"/>
  <c r="G72" i="111"/>
  <c r="G71" i="111"/>
  <c r="G70" i="111"/>
  <c r="G69" i="111"/>
  <c r="G68" i="111"/>
  <c r="J67" i="111"/>
  <c r="I67" i="111" s="1"/>
  <c r="H67" i="111"/>
  <c r="J65" i="111"/>
  <c r="I65" i="111" s="1"/>
  <c r="G65" i="111"/>
  <c r="J64" i="111"/>
  <c r="I64" i="111" s="1"/>
  <c r="G64" i="111"/>
  <c r="J63" i="111"/>
  <c r="I63" i="111" s="1"/>
  <c r="G63" i="111"/>
  <c r="J62" i="111"/>
  <c r="G62" i="111"/>
  <c r="J61" i="111"/>
  <c r="I61" i="111" s="1"/>
  <c r="G61" i="111"/>
  <c r="J55" i="111"/>
  <c r="I55" i="111" s="1"/>
  <c r="G55" i="111"/>
  <c r="J54" i="111"/>
  <c r="I54" i="111" s="1"/>
  <c r="G54" i="111"/>
  <c r="J52" i="111"/>
  <c r="I52" i="111" s="1"/>
  <c r="G52" i="111"/>
  <c r="J45" i="111"/>
  <c r="I45" i="111" s="1"/>
  <c r="E45" i="111"/>
  <c r="H45" i="111" s="1"/>
  <c r="G44" i="111"/>
  <c r="J43" i="111"/>
  <c r="I43" i="111" s="1"/>
  <c r="G43" i="111"/>
  <c r="J42" i="111"/>
  <c r="I42" i="111" s="1"/>
  <c r="G42" i="111"/>
  <c r="J39" i="111"/>
  <c r="I39" i="111" s="1"/>
  <c r="G39" i="111"/>
  <c r="J38" i="111"/>
  <c r="I38" i="111" s="1"/>
  <c r="G38" i="111"/>
  <c r="J37" i="111"/>
  <c r="I37" i="111" s="1"/>
  <c r="G37" i="111"/>
  <c r="J34" i="111"/>
  <c r="I34" i="111" s="1"/>
  <c r="G34" i="111"/>
  <c r="J32" i="111"/>
  <c r="I32" i="111" s="1"/>
  <c r="G32" i="111"/>
  <c r="J31" i="111"/>
  <c r="G31" i="111"/>
  <c r="J27" i="111"/>
  <c r="I27" i="111" s="1"/>
  <c r="G27" i="111"/>
  <c r="G26" i="111"/>
  <c r="J25" i="111"/>
  <c r="I25" i="111" s="1"/>
  <c r="G25" i="111"/>
  <c r="J24" i="111"/>
  <c r="I24" i="111" s="1"/>
  <c r="G24" i="111"/>
  <c r="J23" i="111"/>
  <c r="G23" i="111"/>
  <c r="J18" i="111"/>
  <c r="I18" i="111" s="1"/>
  <c r="G18" i="111"/>
  <c r="J16" i="111"/>
  <c r="I16" i="111" s="1"/>
  <c r="G16" i="111"/>
  <c r="J15" i="111"/>
  <c r="I15" i="111" s="1"/>
  <c r="G15" i="111"/>
  <c r="J14" i="111"/>
  <c r="I14" i="111" s="1"/>
  <c r="G14" i="111"/>
  <c r="AC32" i="1" l="1"/>
  <c r="E33" i="50"/>
  <c r="E33" i="117"/>
  <c r="E33" i="113"/>
  <c r="H57" i="99"/>
  <c r="K57" i="99" s="1"/>
  <c r="AU81" i="113"/>
  <c r="AT93" i="1"/>
  <c r="AK76" i="1"/>
  <c r="AJ74" i="113"/>
  <c r="E76" i="117"/>
  <c r="E76" i="162"/>
  <c r="E45" i="117"/>
  <c r="E45" i="162"/>
  <c r="E63" i="117"/>
  <c r="E63" i="162"/>
  <c r="E55" i="117"/>
  <c r="E55" i="162"/>
  <c r="E53" i="117"/>
  <c r="E53" i="162"/>
  <c r="E34" i="117"/>
  <c r="E34" i="162"/>
  <c r="AC37" i="1"/>
  <c r="E38" i="117"/>
  <c r="E54" i="3"/>
  <c r="F53" i="166" s="1"/>
  <c r="E39" i="111"/>
  <c r="H39" i="111" s="1"/>
  <c r="E24" i="111"/>
  <c r="H24" i="111" s="1"/>
  <c r="E54" i="111"/>
  <c r="H54" i="111" s="1"/>
  <c r="E64" i="111"/>
  <c r="H64" i="111" s="1"/>
  <c r="F32" i="111"/>
  <c r="E32" i="111" s="1"/>
  <c r="H32" i="111" s="1"/>
  <c r="J28" i="111"/>
  <c r="E27" i="111"/>
  <c r="H27" i="111" s="1"/>
  <c r="F43" i="111"/>
  <c r="E42" i="1" s="1"/>
  <c r="E53" i="1"/>
  <c r="E61" i="111"/>
  <c r="H61" i="111" s="1"/>
  <c r="J66" i="111"/>
  <c r="J81" i="111" s="1"/>
  <c r="I81" i="111" s="1"/>
  <c r="F69" i="111"/>
  <c r="E68" i="1" s="1"/>
  <c r="E15" i="111"/>
  <c r="H15" i="111" s="1"/>
  <c r="G17" i="111"/>
  <c r="G19" i="111" s="1"/>
  <c r="AK48" i="1"/>
  <c r="AJ49" i="113" s="1"/>
  <c r="AI76" i="1"/>
  <c r="AH77" i="113" s="1"/>
  <c r="I17" i="111"/>
  <c r="I19" i="111" s="1"/>
  <c r="G28" i="111"/>
  <c r="E42" i="111"/>
  <c r="H42" i="111" s="1"/>
  <c r="E65" i="111"/>
  <c r="H65" i="111" s="1"/>
  <c r="AF76" i="1"/>
  <c r="AE74" i="113"/>
  <c r="E37" i="111"/>
  <c r="H37" i="111" s="1"/>
  <c r="E36" i="1"/>
  <c r="F66" i="111"/>
  <c r="E61" i="1"/>
  <c r="E62" i="111"/>
  <c r="H62" i="111" s="1"/>
  <c r="E70" i="111"/>
  <c r="E69" i="1"/>
  <c r="E79" i="111"/>
  <c r="E78" i="1"/>
  <c r="G46" i="111"/>
  <c r="E18" i="111"/>
  <c r="H18" i="111" s="1"/>
  <c r="F25" i="111"/>
  <c r="E25" i="111" s="1"/>
  <c r="H25" i="111" s="1"/>
  <c r="E26" i="111"/>
  <c r="E52" i="111"/>
  <c r="H52" i="111" s="1"/>
  <c r="E63" i="111"/>
  <c r="H63" i="111" s="1"/>
  <c r="E71" i="111"/>
  <c r="E76" i="111"/>
  <c r="H76" i="111" s="1"/>
  <c r="E38" i="1"/>
  <c r="E39" i="162" s="1"/>
  <c r="E63" i="1"/>
  <c r="G73" i="111"/>
  <c r="F17" i="111"/>
  <c r="J17" i="111"/>
  <c r="J19" i="111" s="1"/>
  <c r="E55" i="111"/>
  <c r="H55" i="111" s="1"/>
  <c r="G66" i="111"/>
  <c r="G74" i="111" s="1"/>
  <c r="G77" i="111" s="1"/>
  <c r="G81" i="111" s="1"/>
  <c r="F23" i="111"/>
  <c r="E23" i="111" s="1"/>
  <c r="E38" i="111"/>
  <c r="H38" i="111" s="1"/>
  <c r="E72" i="111"/>
  <c r="F68" i="111"/>
  <c r="E67" i="1" s="1"/>
  <c r="E41" i="1"/>
  <c r="E51" i="1"/>
  <c r="E60" i="1"/>
  <c r="AC60" i="1" s="1"/>
  <c r="E64" i="1"/>
  <c r="E70" i="1"/>
  <c r="AI48" i="1"/>
  <c r="AH49" i="113" s="1"/>
  <c r="G35" i="111"/>
  <c r="E34" i="111"/>
  <c r="H34" i="111" s="1"/>
  <c r="I62" i="111"/>
  <c r="I66" i="111" s="1"/>
  <c r="E71" i="1"/>
  <c r="AF48" i="1"/>
  <c r="AF51" i="1" s="1"/>
  <c r="AE47" i="113"/>
  <c r="E31" i="111"/>
  <c r="I31" i="111"/>
  <c r="I35" i="111" s="1"/>
  <c r="J35" i="111"/>
  <c r="I46" i="111"/>
  <c r="E16" i="111"/>
  <c r="H16" i="111" s="1"/>
  <c r="J46" i="111"/>
  <c r="I23" i="111"/>
  <c r="I28" i="111" s="1"/>
  <c r="G53" i="166" l="1"/>
  <c r="I53" i="166"/>
  <c r="G33" i="117"/>
  <c r="F33" i="117" s="1"/>
  <c r="BH32" i="1"/>
  <c r="AK80" i="1"/>
  <c r="AJ77" i="113"/>
  <c r="F53" i="48"/>
  <c r="G53" i="48" s="1"/>
  <c r="E71" i="117"/>
  <c r="E71" i="162"/>
  <c r="E37" i="117"/>
  <c r="E37" i="162"/>
  <c r="E43" i="117"/>
  <c r="E43" i="162"/>
  <c r="E65" i="117"/>
  <c r="E65" i="162"/>
  <c r="E68" i="117"/>
  <c r="E68" i="162"/>
  <c r="E79" i="117"/>
  <c r="E79" i="162"/>
  <c r="E42" i="117"/>
  <c r="E42" i="162"/>
  <c r="E61" i="117"/>
  <c r="E61" i="162"/>
  <c r="E62" i="117"/>
  <c r="E62" i="162"/>
  <c r="E69" i="117"/>
  <c r="E69" i="162"/>
  <c r="E72" i="117"/>
  <c r="E72" i="162"/>
  <c r="E52" i="117"/>
  <c r="E52" i="162"/>
  <c r="E64" i="117"/>
  <c r="E64" i="162"/>
  <c r="E70" i="117"/>
  <c r="E70" i="162"/>
  <c r="E54" i="117"/>
  <c r="E54" i="162"/>
  <c r="G38" i="117"/>
  <c r="F38" i="117" s="1"/>
  <c r="G38" i="162"/>
  <c r="F38" i="162" s="1"/>
  <c r="AI51" i="1"/>
  <c r="AH52" i="113" s="1"/>
  <c r="AC38" i="1"/>
  <c r="E39" i="117"/>
  <c r="H63" i="99"/>
  <c r="K63" i="99" s="1"/>
  <c r="F35" i="111"/>
  <c r="F19" i="111"/>
  <c r="E43" i="111"/>
  <c r="H43" i="111" s="1"/>
  <c r="AK51" i="1"/>
  <c r="AJ52" i="113" s="1"/>
  <c r="F46" i="111"/>
  <c r="E69" i="111"/>
  <c r="AI80" i="1"/>
  <c r="AH81" i="113" s="1"/>
  <c r="E66" i="111"/>
  <c r="H66" i="111" s="1"/>
  <c r="F28" i="111"/>
  <c r="AF80" i="1"/>
  <c r="H41" i="99" s="1"/>
  <c r="K41" i="99" s="1"/>
  <c r="AE77" i="113"/>
  <c r="G47" i="111"/>
  <c r="G49" i="111" s="1"/>
  <c r="G57" i="111" s="1"/>
  <c r="E65" i="1"/>
  <c r="J47" i="111"/>
  <c r="J49" i="111" s="1"/>
  <c r="J57" i="111" s="1"/>
  <c r="J82" i="111" s="1"/>
  <c r="E14" i="111"/>
  <c r="H14" i="111" s="1"/>
  <c r="E68" i="111"/>
  <c r="E44" i="111"/>
  <c r="E43" i="1"/>
  <c r="E78" i="111"/>
  <c r="E77" i="1"/>
  <c r="F73" i="111"/>
  <c r="F74" i="111" s="1"/>
  <c r="F77" i="111" s="1"/>
  <c r="F81" i="111" s="1"/>
  <c r="AE49" i="113"/>
  <c r="H31" i="111"/>
  <c r="E35" i="111"/>
  <c r="H35" i="111" s="1"/>
  <c r="I47" i="111"/>
  <c r="I49" i="111" s="1"/>
  <c r="I57" i="111" s="1"/>
  <c r="I82" i="111" s="1"/>
  <c r="H23" i="111"/>
  <c r="E28" i="111"/>
  <c r="I33" i="162" l="1"/>
  <c r="K33" i="162" s="1"/>
  <c r="P33" i="162" s="1"/>
  <c r="R33" i="162" s="1"/>
  <c r="G33" i="50"/>
  <c r="BX32" i="1"/>
  <c r="I33" i="117"/>
  <c r="H46" i="99"/>
  <c r="AJ81" i="113"/>
  <c r="E43" i="3"/>
  <c r="E66" i="117"/>
  <c r="E66" i="162"/>
  <c r="E73" i="117"/>
  <c r="G39" i="117"/>
  <c r="F39" i="117" s="1"/>
  <c r="G39" i="162"/>
  <c r="F39" i="162" s="1"/>
  <c r="E44" i="117"/>
  <c r="E46" i="117" s="1"/>
  <c r="E44" i="162"/>
  <c r="E46" i="162" s="1"/>
  <c r="E73" i="162"/>
  <c r="E78" i="117"/>
  <c r="E78" i="162"/>
  <c r="H44" i="99"/>
  <c r="K44" i="99" s="1"/>
  <c r="E46" i="111"/>
  <c r="H46" i="111" s="1"/>
  <c r="F47" i="111"/>
  <c r="F49" i="111" s="1"/>
  <c r="F57" i="111" s="1"/>
  <c r="F82" i="111" s="1"/>
  <c r="E60" i="3"/>
  <c r="F59" i="166" s="1"/>
  <c r="E73" i="111"/>
  <c r="E74" i="111" s="1"/>
  <c r="E77" i="111" s="1"/>
  <c r="E81" i="111" s="1"/>
  <c r="H81" i="111" s="1"/>
  <c r="AE81" i="113"/>
  <c r="E38" i="3"/>
  <c r="F37" i="166" s="1"/>
  <c r="E41" i="3"/>
  <c r="F40" i="166" s="1"/>
  <c r="E17" i="111"/>
  <c r="H17" i="111" s="1"/>
  <c r="AE52" i="113"/>
  <c r="H28" i="111"/>
  <c r="G40" i="166" l="1"/>
  <c r="I40" i="166"/>
  <c r="I37" i="166"/>
  <c r="G37" i="166"/>
  <c r="F42" i="48"/>
  <c r="G42" i="48" s="1"/>
  <c r="F42" i="166"/>
  <c r="G59" i="166"/>
  <c r="I59" i="166"/>
  <c r="F33" i="50"/>
  <c r="I33" i="50"/>
  <c r="K33" i="117"/>
  <c r="H33" i="117"/>
  <c r="E33" i="161"/>
  <c r="G33" i="161"/>
  <c r="J33" i="161" s="1"/>
  <c r="BY32" i="1"/>
  <c r="K46" i="99"/>
  <c r="E74" i="117"/>
  <c r="E77" i="117" s="1"/>
  <c r="E81" i="117" s="1"/>
  <c r="F40" i="48"/>
  <c r="G40" i="48" s="1"/>
  <c r="F59" i="48"/>
  <c r="G59" i="48" s="1"/>
  <c r="F37" i="48"/>
  <c r="G37" i="48" s="1"/>
  <c r="E74" i="162"/>
  <c r="E77" i="162" s="1"/>
  <c r="E81" i="162" s="1"/>
  <c r="E47" i="111"/>
  <c r="H47" i="111" s="1"/>
  <c r="E19" i="111"/>
  <c r="H19" i="111" s="1"/>
  <c r="I42" i="166" l="1"/>
  <c r="G42" i="166"/>
  <c r="F33" i="161"/>
  <c r="E49" i="111"/>
  <c r="H49" i="111" s="1"/>
  <c r="E57" i="111" l="1"/>
  <c r="E82" i="111" s="1"/>
  <c r="H57" i="111" l="1"/>
  <c r="E14" i="99"/>
  <c r="D14" i="99" l="1"/>
  <c r="K7" i="113" l="1"/>
  <c r="K8" i="113"/>
  <c r="K9" i="113"/>
  <c r="K11" i="113"/>
  <c r="K14" i="113"/>
  <c r="K15" i="113"/>
  <c r="K16" i="113"/>
  <c r="K18" i="113"/>
  <c r="K23" i="113"/>
  <c r="K24" i="113"/>
  <c r="K25" i="113"/>
  <c r="K26" i="113"/>
  <c r="K27" i="113"/>
  <c r="K31" i="113"/>
  <c r="K32" i="113"/>
  <c r="K34" i="113"/>
  <c r="K37" i="113"/>
  <c r="K38" i="113"/>
  <c r="K39" i="113"/>
  <c r="K42" i="113"/>
  <c r="K43" i="113"/>
  <c r="K44" i="113"/>
  <c r="K45" i="113"/>
  <c r="K51" i="113"/>
  <c r="K54" i="113"/>
  <c r="K55" i="113"/>
  <c r="K61" i="113"/>
  <c r="K62" i="113"/>
  <c r="K63" i="113"/>
  <c r="K64" i="113"/>
  <c r="K65" i="113"/>
  <c r="K68" i="113"/>
  <c r="K69" i="113"/>
  <c r="K70" i="113"/>
  <c r="K71" i="113"/>
  <c r="K72" i="113"/>
  <c r="K76" i="113"/>
  <c r="K78" i="113"/>
  <c r="K79" i="113"/>
  <c r="K80" i="113"/>
  <c r="AQ72" i="1" l="1"/>
  <c r="AP73" i="113" s="1"/>
  <c r="AQ65" i="1"/>
  <c r="AP66" i="113" s="1"/>
  <c r="AQ45" i="1"/>
  <c r="AP46" i="113" s="1"/>
  <c r="AQ34" i="1"/>
  <c r="AP35" i="113" s="1"/>
  <c r="AQ27" i="1"/>
  <c r="AP28" i="113" s="1"/>
  <c r="AQ16" i="1"/>
  <c r="AQ18" i="1" l="1"/>
  <c r="AP19" i="113" s="1"/>
  <c r="AP17" i="113"/>
  <c r="AQ73" i="1"/>
  <c r="AQ46" i="1"/>
  <c r="R33" i="1"/>
  <c r="AQ76" i="1" l="1"/>
  <c r="AP74" i="113"/>
  <c r="AQ48" i="1"/>
  <c r="AP47" i="113"/>
  <c r="AQ51" i="1" l="1"/>
  <c r="AP52" i="113" s="1"/>
  <c r="AP49" i="113"/>
  <c r="AQ80" i="1"/>
  <c r="AP77" i="113"/>
  <c r="A3" i="50"/>
  <c r="H52" i="99" l="1"/>
  <c r="AP81" i="113"/>
  <c r="A4" i="3"/>
  <c r="A4" i="48"/>
  <c r="A6" i="113"/>
  <c r="F44" i="113" l="1"/>
  <c r="G44" i="113"/>
  <c r="H44" i="113"/>
  <c r="I44" i="113"/>
  <c r="J44" i="113"/>
  <c r="L44" i="113"/>
  <c r="M44" i="113"/>
  <c r="N44" i="113"/>
  <c r="O44" i="113"/>
  <c r="P44" i="113"/>
  <c r="Q44" i="113"/>
  <c r="R44" i="113"/>
  <c r="S44" i="113"/>
  <c r="T44" i="113"/>
  <c r="X44" i="113"/>
  <c r="Y44" i="113"/>
  <c r="U44" i="113"/>
  <c r="Z44" i="113"/>
  <c r="V44" i="113"/>
  <c r="AA44" i="113"/>
  <c r="W44" i="113"/>
  <c r="AC44" i="113"/>
  <c r="AF44" i="113"/>
  <c r="A44" i="113"/>
  <c r="C44" i="113"/>
  <c r="W3" i="113" l="1"/>
  <c r="W7" i="113"/>
  <c r="W8" i="113"/>
  <c r="W9" i="113"/>
  <c r="W11" i="113"/>
  <c r="W14" i="113"/>
  <c r="W15" i="113"/>
  <c r="W16" i="113"/>
  <c r="W18" i="113"/>
  <c r="W23" i="113"/>
  <c r="W24" i="113"/>
  <c r="W26" i="113"/>
  <c r="W27" i="113"/>
  <c r="W31" i="113"/>
  <c r="W32" i="113"/>
  <c r="W34" i="113"/>
  <c r="W37" i="113"/>
  <c r="W38" i="113"/>
  <c r="W39" i="113"/>
  <c r="W42" i="113"/>
  <c r="W45" i="113"/>
  <c r="W51" i="113"/>
  <c r="W54" i="113"/>
  <c r="W55" i="113"/>
  <c r="W61" i="113"/>
  <c r="W62" i="113"/>
  <c r="W63" i="113"/>
  <c r="W64" i="113"/>
  <c r="W65" i="113"/>
  <c r="W68" i="113"/>
  <c r="W69" i="113"/>
  <c r="W70" i="113"/>
  <c r="W71" i="113"/>
  <c r="W72" i="113"/>
  <c r="W76" i="113"/>
  <c r="W78" i="113"/>
  <c r="W79" i="113"/>
  <c r="W80" i="113"/>
  <c r="K15" i="51" l="1"/>
  <c r="AD72" i="1" l="1"/>
  <c r="AD65" i="1"/>
  <c r="AD41" i="1"/>
  <c r="AD45" i="1" s="1"/>
  <c r="AD36" i="1"/>
  <c r="AD33" i="1"/>
  <c r="AD34" i="1" s="1"/>
  <c r="AD27" i="1"/>
  <c r="AD16" i="1"/>
  <c r="AD18" i="1" s="1"/>
  <c r="H45" i="99" l="1"/>
  <c r="H61" i="99"/>
  <c r="AD46" i="1"/>
  <c r="AD48" i="1" s="1"/>
  <c r="AD51" i="1" s="1"/>
  <c r="AD73" i="1"/>
  <c r="AD76" i="1" s="1"/>
  <c r="AD80" i="1" s="1"/>
  <c r="H39" i="99" l="1"/>
  <c r="E18" i="52" l="1"/>
  <c r="E20" i="52" s="1"/>
  <c r="A4" i="51"/>
  <c r="A4" i="52" l="1"/>
  <c r="A4" i="170"/>
  <c r="E24" i="52"/>
  <c r="W25" i="113"/>
  <c r="A63" i="99" l="1"/>
  <c r="A60" i="3"/>
  <c r="E22" i="51"/>
  <c r="F22" i="51" s="1"/>
  <c r="G22" i="51" s="1"/>
  <c r="B51" i="3"/>
  <c r="A59" i="48" l="1"/>
  <c r="A59" i="166"/>
  <c r="W43" i="113"/>
  <c r="AS72" i="1" l="1"/>
  <c r="AR73" i="113" s="1"/>
  <c r="AS65" i="1"/>
  <c r="AR66" i="113" s="1"/>
  <c r="AS45" i="1"/>
  <c r="AR46" i="113" s="1"/>
  <c r="AS34" i="1"/>
  <c r="AR35" i="113" s="1"/>
  <c r="AS27" i="1"/>
  <c r="AR28" i="113" s="1"/>
  <c r="AS16" i="1"/>
  <c r="AR17" i="113" s="1"/>
  <c r="A59" i="3" l="1"/>
  <c r="AS18" i="1"/>
  <c r="AR19" i="113" s="1"/>
  <c r="AS73" i="1"/>
  <c r="AR74" i="113" s="1"/>
  <c r="AS46" i="1"/>
  <c r="AR47" i="113" s="1"/>
  <c r="A58" i="48" l="1"/>
  <c r="A58" i="166"/>
  <c r="AS48" i="1"/>
  <c r="AR49" i="113" s="1"/>
  <c r="AS76" i="1"/>
  <c r="AR77" i="113" s="1"/>
  <c r="AS51" i="1" l="1"/>
  <c r="AR52" i="113" s="1"/>
  <c r="AS80" i="1"/>
  <c r="B30" i="99"/>
  <c r="W73" i="113"/>
  <c r="W66" i="113"/>
  <c r="W46" i="113"/>
  <c r="W35" i="113"/>
  <c r="W28" i="113"/>
  <c r="H54" i="99" l="1"/>
  <c r="AR81" i="113"/>
  <c r="W19" i="113"/>
  <c r="W17" i="113"/>
  <c r="E51" i="3"/>
  <c r="F50" i="166" s="1"/>
  <c r="I50" i="166" l="1"/>
  <c r="G50" i="166"/>
  <c r="K54" i="99"/>
  <c r="F50" i="48"/>
  <c r="G50" i="48" s="1"/>
  <c r="W74" i="113"/>
  <c r="W47" i="113"/>
  <c r="W77" i="113" l="1"/>
  <c r="W52" i="113"/>
  <c r="W49" i="113"/>
  <c r="A2" i="50"/>
  <c r="H30" i="99" l="1"/>
  <c r="K30" i="99" s="1"/>
  <c r="W81" i="113"/>
  <c r="AP72" i="1"/>
  <c r="AO73" i="113" s="1"/>
  <c r="AP65" i="1"/>
  <c r="AO66" i="113" s="1"/>
  <c r="AP45" i="1"/>
  <c r="AO46" i="113" s="1"/>
  <c r="AP34" i="1"/>
  <c r="AO35" i="113" s="1"/>
  <c r="AP27" i="1"/>
  <c r="AO28" i="113" s="1"/>
  <c r="AP16" i="1"/>
  <c r="AN72" i="1"/>
  <c r="AM73" i="113" s="1"/>
  <c r="AN65" i="1"/>
  <c r="AM66" i="113" s="1"/>
  <c r="AN45" i="1"/>
  <c r="AM46" i="113" s="1"/>
  <c r="AN34" i="1"/>
  <c r="AM35" i="113" s="1"/>
  <c r="AN27" i="1"/>
  <c r="AM28" i="113" s="1"/>
  <c r="AN16" i="1"/>
  <c r="AL45" i="1"/>
  <c r="AK46" i="113" s="1"/>
  <c r="AL34" i="1"/>
  <c r="AK35" i="113" s="1"/>
  <c r="AL27" i="1"/>
  <c r="AK28" i="113" s="1"/>
  <c r="AL16" i="1"/>
  <c r="AP18" i="1" l="1"/>
  <c r="AO19" i="113" s="1"/>
  <c r="AO17" i="113"/>
  <c r="AL18" i="1"/>
  <c r="AK19" i="113" s="1"/>
  <c r="AK17" i="113"/>
  <c r="AN18" i="1"/>
  <c r="AM19" i="113" s="1"/>
  <c r="AM17" i="113"/>
  <c r="AP73" i="1"/>
  <c r="AN73" i="1"/>
  <c r="AP46" i="1"/>
  <c r="AL80" i="1"/>
  <c r="AN46" i="1"/>
  <c r="AL46" i="1"/>
  <c r="AL48" i="1" l="1"/>
  <c r="AK47" i="113"/>
  <c r="AP76" i="1"/>
  <c r="AO74" i="113"/>
  <c r="AN76" i="1"/>
  <c r="AM74" i="113"/>
  <c r="H47" i="99"/>
  <c r="AK81" i="113"/>
  <c r="AN48" i="1"/>
  <c r="AM47" i="113"/>
  <c r="AP48" i="1"/>
  <c r="AO47" i="113"/>
  <c r="AA72" i="1"/>
  <c r="AA65" i="1"/>
  <c r="AA45" i="1"/>
  <c r="AA34" i="1"/>
  <c r="AA16" i="1"/>
  <c r="AP51" i="1" l="1"/>
  <c r="AO52" i="113" s="1"/>
  <c r="AO49" i="113"/>
  <c r="AP80" i="1"/>
  <c r="AO77" i="113"/>
  <c r="AN51" i="1"/>
  <c r="AM52" i="113" s="1"/>
  <c r="AM49" i="113"/>
  <c r="AN80" i="1"/>
  <c r="AM77" i="113"/>
  <c r="AL51" i="1"/>
  <c r="AK52" i="113" s="1"/>
  <c r="AK49" i="113"/>
  <c r="AA73" i="1"/>
  <c r="AA76" i="1" s="1"/>
  <c r="AA80" i="1" s="1"/>
  <c r="AA46" i="1"/>
  <c r="AA18" i="1"/>
  <c r="H51" i="99" l="1"/>
  <c r="AO81" i="113"/>
  <c r="H49" i="99"/>
  <c r="AM81" i="113"/>
  <c r="AA48" i="1"/>
  <c r="AA51" i="1" s="1"/>
  <c r="B64" i="99"/>
  <c r="C61" i="3"/>
  <c r="B61" i="3"/>
  <c r="B60" i="48" l="1"/>
  <c r="B60" i="166"/>
  <c r="H64" i="99"/>
  <c r="K64" i="99" s="1"/>
  <c r="E61" i="3"/>
  <c r="F60" i="166" s="1"/>
  <c r="G60" i="166" l="1"/>
  <c r="I60" i="166"/>
  <c r="F60" i="48"/>
  <c r="G60" i="48" s="1"/>
  <c r="B28" i="99"/>
  <c r="B56" i="99"/>
  <c r="B45" i="99"/>
  <c r="H42" i="99" l="1"/>
  <c r="C42" i="3" l="1"/>
  <c r="B42" i="3"/>
  <c r="B41" i="48" l="1"/>
  <c r="B41" i="166"/>
  <c r="C53" i="3"/>
  <c r="B53" i="3"/>
  <c r="C26" i="3"/>
  <c r="B26" i="3"/>
  <c r="U7" i="113"/>
  <c r="U8" i="113"/>
  <c r="U9" i="113"/>
  <c r="U11" i="113"/>
  <c r="U14" i="113"/>
  <c r="U15" i="113"/>
  <c r="U16" i="113"/>
  <c r="U18" i="113"/>
  <c r="U23" i="113"/>
  <c r="U24" i="113"/>
  <c r="U25" i="113"/>
  <c r="U26" i="113"/>
  <c r="U27" i="113"/>
  <c r="U31" i="113"/>
  <c r="U32" i="113"/>
  <c r="U34" i="113"/>
  <c r="U37" i="113"/>
  <c r="U38" i="113"/>
  <c r="U39" i="113"/>
  <c r="U42" i="113"/>
  <c r="U43" i="113"/>
  <c r="U45" i="113"/>
  <c r="U51" i="113"/>
  <c r="U54" i="113"/>
  <c r="U55" i="113"/>
  <c r="U61" i="113"/>
  <c r="U62" i="113"/>
  <c r="U63" i="113"/>
  <c r="U64" i="113"/>
  <c r="U65" i="113"/>
  <c r="U68" i="113"/>
  <c r="U69" i="113"/>
  <c r="U70" i="113"/>
  <c r="U71" i="113"/>
  <c r="U72" i="113"/>
  <c r="U76" i="113"/>
  <c r="U78" i="113"/>
  <c r="U79" i="113"/>
  <c r="U80" i="113"/>
  <c r="U72" i="1"/>
  <c r="U73" i="113" s="1"/>
  <c r="U65" i="1"/>
  <c r="U66" i="113" s="1"/>
  <c r="U45" i="1"/>
  <c r="U46" i="113" s="1"/>
  <c r="U34" i="1"/>
  <c r="U35" i="113" s="1"/>
  <c r="U27" i="1"/>
  <c r="U28" i="113" s="1"/>
  <c r="U16" i="1"/>
  <c r="U17" i="113" s="1"/>
  <c r="B52" i="48" l="1"/>
  <c r="B52" i="166"/>
  <c r="B27" i="48"/>
  <c r="B27" i="166"/>
  <c r="E42" i="3"/>
  <c r="F41" i="166" s="1"/>
  <c r="K45" i="99"/>
  <c r="U18" i="1"/>
  <c r="U19" i="113" s="1"/>
  <c r="U73" i="1"/>
  <c r="U46" i="1"/>
  <c r="U47" i="113" s="1"/>
  <c r="G41" i="166" l="1"/>
  <c r="I41" i="166"/>
  <c r="F41" i="48"/>
  <c r="G41" i="48" s="1"/>
  <c r="U76" i="1"/>
  <c r="U74" i="113"/>
  <c r="U48" i="1"/>
  <c r="U49" i="113" l="1"/>
  <c r="U51" i="1"/>
  <c r="U52" i="113" s="1"/>
  <c r="U80" i="1"/>
  <c r="H28" i="99" s="1"/>
  <c r="U77" i="113"/>
  <c r="K28" i="99" l="1"/>
  <c r="E26" i="3"/>
  <c r="F27" i="166" s="1"/>
  <c r="U81" i="113"/>
  <c r="G27" i="166" l="1"/>
  <c r="I27" i="166"/>
  <c r="F27" i="48"/>
  <c r="G27" i="48" s="1"/>
  <c r="AA3" i="113"/>
  <c r="B53" i="99" l="1"/>
  <c r="B34" i="99"/>
  <c r="AA7" i="113" l="1"/>
  <c r="AA8" i="113"/>
  <c r="AA9" i="113"/>
  <c r="AA11" i="113"/>
  <c r="AA14" i="113"/>
  <c r="AA15" i="113"/>
  <c r="AA16" i="113"/>
  <c r="AA18" i="113"/>
  <c r="AA25" i="113"/>
  <c r="AA26" i="113"/>
  <c r="AA27" i="113"/>
  <c r="AA31" i="113"/>
  <c r="AA32" i="113"/>
  <c r="AA34" i="113"/>
  <c r="AA37" i="113"/>
  <c r="AA38" i="113"/>
  <c r="AA39" i="113"/>
  <c r="AA42" i="113"/>
  <c r="AA43" i="113"/>
  <c r="AA45" i="113"/>
  <c r="AA51" i="113"/>
  <c r="AA54" i="113"/>
  <c r="AA55" i="113"/>
  <c r="AA61" i="113"/>
  <c r="AA62" i="113"/>
  <c r="AA63" i="113"/>
  <c r="AA64" i="113"/>
  <c r="AA65" i="113"/>
  <c r="AA68" i="113"/>
  <c r="AA69" i="113"/>
  <c r="AA70" i="113"/>
  <c r="AA71" i="113"/>
  <c r="AA72" i="113"/>
  <c r="AA76" i="113"/>
  <c r="AA78" i="113"/>
  <c r="AA79" i="113"/>
  <c r="AA80" i="113"/>
  <c r="Z7" i="113"/>
  <c r="Z8" i="113"/>
  <c r="Z9" i="113"/>
  <c r="Z11" i="113"/>
  <c r="Z14" i="113"/>
  <c r="Z15" i="113"/>
  <c r="Z16" i="113"/>
  <c r="Z18" i="113"/>
  <c r="Z23" i="113"/>
  <c r="Z24" i="113"/>
  <c r="Z25" i="113"/>
  <c r="Z26" i="113"/>
  <c r="Z27" i="113"/>
  <c r="Z31" i="113"/>
  <c r="Z32" i="113"/>
  <c r="Z34" i="113"/>
  <c r="Z37" i="113"/>
  <c r="Z38" i="113"/>
  <c r="Z39" i="113"/>
  <c r="Z42" i="113"/>
  <c r="Z43" i="113"/>
  <c r="Z45" i="113"/>
  <c r="Z51" i="113"/>
  <c r="Z54" i="113"/>
  <c r="Z55" i="113"/>
  <c r="Z61" i="113"/>
  <c r="Z62" i="113"/>
  <c r="Z63" i="113"/>
  <c r="Z64" i="113"/>
  <c r="Z65" i="113"/>
  <c r="Z68" i="113"/>
  <c r="Z69" i="113"/>
  <c r="Z70" i="113"/>
  <c r="Z71" i="113"/>
  <c r="Z72" i="113"/>
  <c r="Z76" i="113"/>
  <c r="Z78" i="113"/>
  <c r="Z79" i="113"/>
  <c r="Z80" i="113"/>
  <c r="C50" i="3" l="1"/>
  <c r="B50" i="3"/>
  <c r="C32" i="3"/>
  <c r="B32" i="3"/>
  <c r="AA24" i="113"/>
  <c r="AA23" i="113"/>
  <c r="Q298" i="111"/>
  <c r="B33" i="48" l="1"/>
  <c r="B33" i="166"/>
  <c r="B49" i="48"/>
  <c r="B49" i="166"/>
  <c r="E44" i="113"/>
  <c r="AC43" i="1"/>
  <c r="G44" i="162" s="1"/>
  <c r="F44" i="162" s="1"/>
  <c r="E44" i="50"/>
  <c r="BH43" i="1" l="1"/>
  <c r="BX43" i="1" s="1"/>
  <c r="G44" i="117"/>
  <c r="F44" i="117" s="1"/>
  <c r="I44" i="162" l="1"/>
  <c r="G44" i="50"/>
  <c r="F44" i="50" s="1"/>
  <c r="I44" i="117"/>
  <c r="AR72" i="1"/>
  <c r="AQ73" i="113" s="1"/>
  <c r="AR65" i="1"/>
  <c r="AQ66" i="113" s="1"/>
  <c r="AR45" i="1"/>
  <c r="AQ46" i="113" s="1"/>
  <c r="AR34" i="1"/>
  <c r="AQ35" i="113" s="1"/>
  <c r="AR27" i="1"/>
  <c r="AQ28" i="113" s="1"/>
  <c r="AR16" i="1"/>
  <c r="AQ17" i="113" s="1"/>
  <c r="AA73" i="113"/>
  <c r="AA66" i="113"/>
  <c r="AA46" i="113"/>
  <c r="AA35" i="113"/>
  <c r="AA28" i="113"/>
  <c r="AA17" i="113"/>
  <c r="K44" i="162" l="1"/>
  <c r="H44" i="162"/>
  <c r="H44" i="117"/>
  <c r="E44" i="161"/>
  <c r="I44" i="50"/>
  <c r="K44" i="117"/>
  <c r="AR18" i="1"/>
  <c r="AQ19" i="113" s="1"/>
  <c r="AR73" i="1"/>
  <c r="AQ74" i="113" s="1"/>
  <c r="AR46" i="1"/>
  <c r="AQ47" i="113" s="1"/>
  <c r="AA19" i="113"/>
  <c r="AA47" i="113"/>
  <c r="P44" i="162" l="1"/>
  <c r="R44" i="162" s="1"/>
  <c r="AR48" i="1"/>
  <c r="AR76" i="1"/>
  <c r="AQ77" i="113" s="1"/>
  <c r="AA74" i="113"/>
  <c r="AR51" i="1" l="1"/>
  <c r="AQ52" i="113" s="1"/>
  <c r="AQ49" i="113"/>
  <c r="AA52" i="113"/>
  <c r="AA49" i="113"/>
  <c r="AR80" i="1"/>
  <c r="AQ81" i="113" s="1"/>
  <c r="H34" i="99"/>
  <c r="K34" i="99" s="1"/>
  <c r="AA77" i="113"/>
  <c r="H53" i="99" l="1"/>
  <c r="K53" i="99" s="1"/>
  <c r="E50" i="3"/>
  <c r="F49" i="166" s="1"/>
  <c r="AA81" i="113"/>
  <c r="E32" i="3"/>
  <c r="F33" i="166" s="1"/>
  <c r="I33" i="166" l="1"/>
  <c r="G33" i="166"/>
  <c r="G49" i="166"/>
  <c r="I49" i="166"/>
  <c r="F33" i="48"/>
  <c r="G33" i="48" s="1"/>
  <c r="F49" i="48"/>
  <c r="G49" i="48" s="1"/>
  <c r="A61" i="3"/>
  <c r="A64" i="99"/>
  <c r="A60" i="48" l="1"/>
  <c r="A60" i="166"/>
  <c r="AU72" i="1"/>
  <c r="AT73" i="113" s="1"/>
  <c r="AU65" i="1"/>
  <c r="AT66" i="113" s="1"/>
  <c r="AT46" i="113"/>
  <c r="AU34" i="1"/>
  <c r="AT35" i="113" s="1"/>
  <c r="AU27" i="1"/>
  <c r="AT28" i="113" s="1"/>
  <c r="AU16" i="1"/>
  <c r="AT17" i="113" s="1"/>
  <c r="AU18" i="1" l="1"/>
  <c r="AT19" i="113" s="1"/>
  <c r="AU73" i="1"/>
  <c r="AT74" i="113" s="1"/>
  <c r="AU46" i="1"/>
  <c r="AT47" i="113" l="1"/>
  <c r="AU76" i="1"/>
  <c r="AT77" i="113" s="1"/>
  <c r="AU48" i="1"/>
  <c r="AT49" i="113" l="1"/>
  <c r="AU51" i="1"/>
  <c r="AT52" i="113" s="1"/>
  <c r="AU80" i="1"/>
  <c r="AT81" i="113" s="1"/>
  <c r="H56" i="99" l="1"/>
  <c r="K56" i="99" s="1"/>
  <c r="E53" i="3"/>
  <c r="F52" i="166" s="1"/>
  <c r="B66" i="99"/>
  <c r="G52" i="166" l="1"/>
  <c r="I52" i="166"/>
  <c r="F52" i="48"/>
  <c r="G52" i="48" s="1"/>
  <c r="AC7" i="113"/>
  <c r="AF7" i="113"/>
  <c r="AC8" i="113"/>
  <c r="AF8" i="113"/>
  <c r="AC9" i="113"/>
  <c r="AF9" i="113"/>
  <c r="AC11" i="113"/>
  <c r="AF11" i="113"/>
  <c r="AC14" i="113"/>
  <c r="AF14" i="113"/>
  <c r="AC15" i="113"/>
  <c r="AF15" i="113"/>
  <c r="AC16" i="113"/>
  <c r="AF16" i="113"/>
  <c r="AC18" i="113"/>
  <c r="AF18" i="113"/>
  <c r="AC23" i="113"/>
  <c r="AF23" i="113"/>
  <c r="AC24" i="113"/>
  <c r="AF24" i="113"/>
  <c r="AC25" i="113"/>
  <c r="AF25" i="113"/>
  <c r="AC26" i="113"/>
  <c r="AF26" i="113"/>
  <c r="AC27" i="113"/>
  <c r="AF27" i="113"/>
  <c r="AC31" i="113"/>
  <c r="AF31" i="113"/>
  <c r="AC32" i="113"/>
  <c r="AF32" i="113"/>
  <c r="AC34" i="113"/>
  <c r="AF34" i="113"/>
  <c r="AC37" i="113"/>
  <c r="AF37" i="113"/>
  <c r="AC38" i="113"/>
  <c r="AF38" i="113"/>
  <c r="AC39" i="113"/>
  <c r="AF39" i="113"/>
  <c r="AC42" i="113"/>
  <c r="AF42" i="113"/>
  <c r="AC43" i="113"/>
  <c r="AF43" i="113"/>
  <c r="AC45" i="113"/>
  <c r="AF45" i="113"/>
  <c r="AC51" i="113"/>
  <c r="AF51" i="113"/>
  <c r="AC54" i="113"/>
  <c r="AF54" i="113"/>
  <c r="AC55" i="113"/>
  <c r="AF55" i="113"/>
  <c r="AC61" i="113"/>
  <c r="AF61" i="113"/>
  <c r="AC62" i="113"/>
  <c r="AF62" i="113"/>
  <c r="AC63" i="113"/>
  <c r="AF63" i="113"/>
  <c r="AC64" i="113"/>
  <c r="AF64" i="113"/>
  <c r="AC65" i="113"/>
  <c r="AF65" i="113"/>
  <c r="AC68" i="113"/>
  <c r="AF68" i="113"/>
  <c r="AC69" i="113"/>
  <c r="AF69" i="113"/>
  <c r="AC70" i="113"/>
  <c r="AF70" i="113"/>
  <c r="AC71" i="113"/>
  <c r="AF71" i="113"/>
  <c r="AC72" i="113"/>
  <c r="AF72" i="113"/>
  <c r="AC76" i="113"/>
  <c r="AF76" i="113"/>
  <c r="AC78" i="113"/>
  <c r="AF78" i="113"/>
  <c r="AC79" i="113"/>
  <c r="AF79" i="113"/>
  <c r="AC80" i="113"/>
  <c r="AF80" i="113"/>
  <c r="X7" i="113"/>
  <c r="Y7" i="113"/>
  <c r="V7" i="113"/>
  <c r="X8" i="113"/>
  <c r="Y8" i="113"/>
  <c r="V8" i="113"/>
  <c r="X9" i="113"/>
  <c r="Y9" i="113"/>
  <c r="V9" i="113"/>
  <c r="X11" i="113"/>
  <c r="Y11" i="113"/>
  <c r="V11" i="113"/>
  <c r="X14" i="113"/>
  <c r="Y14" i="113"/>
  <c r="V14" i="113"/>
  <c r="X15" i="113"/>
  <c r="Y15" i="113"/>
  <c r="V15" i="113"/>
  <c r="X16" i="113"/>
  <c r="Y16" i="113"/>
  <c r="V16" i="113"/>
  <c r="X18" i="113"/>
  <c r="Y18" i="113"/>
  <c r="V18" i="113"/>
  <c r="Y23" i="113"/>
  <c r="V23" i="113"/>
  <c r="X24" i="113"/>
  <c r="Y24" i="113"/>
  <c r="V24" i="113"/>
  <c r="X25" i="113"/>
  <c r="Y25" i="113"/>
  <c r="V25" i="113"/>
  <c r="X26" i="113"/>
  <c r="Y26" i="113"/>
  <c r="V26" i="113"/>
  <c r="X27" i="113"/>
  <c r="Y27" i="113"/>
  <c r="V27" i="113"/>
  <c r="X31" i="113"/>
  <c r="Y31" i="113"/>
  <c r="V31" i="113"/>
  <c r="X32" i="113"/>
  <c r="Y32" i="113"/>
  <c r="V32" i="113"/>
  <c r="Y34" i="113"/>
  <c r="V34" i="113"/>
  <c r="Y37" i="113"/>
  <c r="V37" i="113"/>
  <c r="X38" i="113"/>
  <c r="Y38" i="113"/>
  <c r="V38" i="113"/>
  <c r="X39" i="113"/>
  <c r="Y39" i="113"/>
  <c r="V39" i="113"/>
  <c r="Y42" i="113"/>
  <c r="V42" i="113"/>
  <c r="X43" i="113"/>
  <c r="Y43" i="113"/>
  <c r="V43" i="113"/>
  <c r="X45" i="113"/>
  <c r="Y45" i="113"/>
  <c r="V45" i="113"/>
  <c r="X51" i="113"/>
  <c r="Y51" i="113"/>
  <c r="V51" i="113"/>
  <c r="X52" i="113"/>
  <c r="V53" i="113"/>
  <c r="Y54" i="113"/>
  <c r="V54" i="113"/>
  <c r="X55" i="113"/>
  <c r="Y55" i="113"/>
  <c r="V55" i="113"/>
  <c r="X61" i="113"/>
  <c r="Y61" i="113"/>
  <c r="V61" i="113"/>
  <c r="X62" i="113"/>
  <c r="Y62" i="113"/>
  <c r="V62" i="113"/>
  <c r="X63" i="113"/>
  <c r="Y63" i="113"/>
  <c r="V63" i="113"/>
  <c r="X64" i="113"/>
  <c r="Y64" i="113"/>
  <c r="V64" i="113"/>
  <c r="X65" i="113"/>
  <c r="Y65" i="113"/>
  <c r="V65" i="113"/>
  <c r="X68" i="113"/>
  <c r="Y68" i="113"/>
  <c r="V68" i="113"/>
  <c r="X69" i="113"/>
  <c r="Y69" i="113"/>
  <c r="V69" i="113"/>
  <c r="X70" i="113"/>
  <c r="Y70" i="113"/>
  <c r="V70" i="113"/>
  <c r="X71" i="113"/>
  <c r="Y71" i="113"/>
  <c r="V71" i="113"/>
  <c r="X72" i="113"/>
  <c r="Y72" i="113"/>
  <c r="V72" i="113"/>
  <c r="X76" i="113"/>
  <c r="Y76" i="113"/>
  <c r="V76" i="113"/>
  <c r="X78" i="113"/>
  <c r="Y78" i="113"/>
  <c r="V78" i="113"/>
  <c r="X79" i="113"/>
  <c r="Y79" i="113"/>
  <c r="V79" i="113"/>
  <c r="X80" i="113"/>
  <c r="Y80" i="113"/>
  <c r="V80" i="113"/>
  <c r="X23" i="113" l="1"/>
  <c r="BA27" i="1"/>
  <c r="AZ28" i="113" s="1"/>
  <c r="L24" i="1" l="1"/>
  <c r="B33" i="99" l="1"/>
  <c r="C31" i="3"/>
  <c r="B31" i="3"/>
  <c r="B32" i="48" l="1"/>
  <c r="B32" i="166"/>
  <c r="Z72" i="1"/>
  <c r="Z73" i="113" s="1"/>
  <c r="Z65" i="1"/>
  <c r="Z66" i="113" s="1"/>
  <c r="Z45" i="1"/>
  <c r="Z46" i="113" s="1"/>
  <c r="Z34" i="1"/>
  <c r="Z35" i="113" s="1"/>
  <c r="Z27" i="1"/>
  <c r="Z28" i="113" s="1"/>
  <c r="Z16" i="1"/>
  <c r="Z17" i="113" s="1"/>
  <c r="H66" i="99" l="1"/>
  <c r="K66" i="99" s="1"/>
  <c r="Z18" i="1"/>
  <c r="Z19" i="113" s="1"/>
  <c r="Z73" i="1"/>
  <c r="Z74" i="113" s="1"/>
  <c r="Z46" i="1"/>
  <c r="Z47" i="113" s="1"/>
  <c r="Z76" i="1" l="1"/>
  <c r="Z77" i="113" s="1"/>
  <c r="Z48" i="1"/>
  <c r="Z49" i="113" l="1"/>
  <c r="Z51" i="1"/>
  <c r="Z52" i="113" s="1"/>
  <c r="Z80" i="1"/>
  <c r="Z81" i="113" s="1"/>
  <c r="H33" i="99" l="1"/>
  <c r="K33" i="99" s="1"/>
  <c r="E31" i="3"/>
  <c r="F32" i="166" s="1"/>
  <c r="G32" i="166" l="1"/>
  <c r="I32" i="166"/>
  <c r="F32" i="48"/>
  <c r="G32" i="48" s="1"/>
  <c r="X42" i="113"/>
  <c r="X37" i="113"/>
  <c r="X34" i="113"/>
  <c r="S41" i="1"/>
  <c r="S36" i="1"/>
  <c r="R41" i="1"/>
  <c r="R36" i="1"/>
  <c r="AC36" i="1" l="1"/>
  <c r="S33" i="1"/>
  <c r="AC33" i="1" s="1"/>
  <c r="G34" i="117" l="1"/>
  <c r="F34" i="117" s="1"/>
  <c r="G34" i="162"/>
  <c r="F34" i="162" s="1"/>
  <c r="G37" i="117"/>
  <c r="F37" i="117" s="1"/>
  <c r="G37" i="162"/>
  <c r="F37" i="162" s="1"/>
  <c r="B61" i="99"/>
  <c r="C58" i="3" l="1"/>
  <c r="B58" i="3"/>
  <c r="S7" i="113"/>
  <c r="T7" i="113"/>
  <c r="S8" i="113"/>
  <c r="T8" i="113"/>
  <c r="S9" i="113"/>
  <c r="T9" i="113"/>
  <c r="S11" i="113"/>
  <c r="T11" i="113"/>
  <c r="S14" i="113"/>
  <c r="T14" i="113"/>
  <c r="S15" i="113"/>
  <c r="T15" i="113"/>
  <c r="S16" i="113"/>
  <c r="T16" i="113"/>
  <c r="S18" i="113"/>
  <c r="T18" i="113"/>
  <c r="S23" i="113"/>
  <c r="T23" i="113"/>
  <c r="S24" i="113"/>
  <c r="T24" i="113"/>
  <c r="S25" i="113"/>
  <c r="T25" i="113"/>
  <c r="S26" i="113"/>
  <c r="T26" i="113"/>
  <c r="S27" i="113"/>
  <c r="T27" i="113"/>
  <c r="S31" i="113"/>
  <c r="T31" i="113"/>
  <c r="S32" i="113"/>
  <c r="T32" i="113"/>
  <c r="S34" i="113"/>
  <c r="T34" i="113"/>
  <c r="S37" i="113"/>
  <c r="T37" i="113"/>
  <c r="S38" i="113"/>
  <c r="T38" i="113"/>
  <c r="S39" i="113"/>
  <c r="T39" i="113"/>
  <c r="S42" i="113"/>
  <c r="T42" i="113"/>
  <c r="S43" i="113"/>
  <c r="T43" i="113"/>
  <c r="S45" i="113"/>
  <c r="T45" i="113"/>
  <c r="S51" i="113"/>
  <c r="T51" i="113"/>
  <c r="S54" i="113"/>
  <c r="T54" i="113"/>
  <c r="S55" i="113"/>
  <c r="T55" i="113"/>
  <c r="S61" i="113"/>
  <c r="T61" i="113"/>
  <c r="S62" i="113"/>
  <c r="T62" i="113"/>
  <c r="S63" i="113"/>
  <c r="T63" i="113"/>
  <c r="S64" i="113"/>
  <c r="T64" i="113"/>
  <c r="S65" i="113"/>
  <c r="T65" i="113"/>
  <c r="S68" i="113"/>
  <c r="T68" i="113"/>
  <c r="S69" i="113"/>
  <c r="T69" i="113"/>
  <c r="S70" i="113"/>
  <c r="T70" i="113"/>
  <c r="S71" i="113"/>
  <c r="T71" i="113"/>
  <c r="S72" i="113"/>
  <c r="T72" i="113"/>
  <c r="S76" i="113"/>
  <c r="T76" i="113"/>
  <c r="S78" i="113"/>
  <c r="T78" i="113"/>
  <c r="S79" i="113"/>
  <c r="T79" i="113"/>
  <c r="S80" i="113"/>
  <c r="T80" i="113"/>
  <c r="B57" i="48" l="1"/>
  <c r="B57" i="166"/>
  <c r="B26" i="99"/>
  <c r="C24" i="3" l="1"/>
  <c r="B24" i="3"/>
  <c r="S72" i="1"/>
  <c r="S73" i="113" s="1"/>
  <c r="S65" i="1"/>
  <c r="S66" i="113" s="1"/>
  <c r="S45" i="1"/>
  <c r="S46" i="113" s="1"/>
  <c r="S34" i="1"/>
  <c r="S35" i="113" s="1"/>
  <c r="S27" i="1"/>
  <c r="S16" i="1"/>
  <c r="B25" i="48" l="1"/>
  <c r="B25" i="166"/>
  <c r="K61" i="99"/>
  <c r="E58" i="3"/>
  <c r="F57" i="166" s="1"/>
  <c r="S18" i="1"/>
  <c r="S19" i="113" s="1"/>
  <c r="S17" i="113"/>
  <c r="S28" i="113"/>
  <c r="S73" i="1"/>
  <c r="S46" i="1"/>
  <c r="R9" i="113"/>
  <c r="G57" i="166" l="1"/>
  <c r="I57" i="166"/>
  <c r="F57" i="48"/>
  <c r="G57" i="48" s="1"/>
  <c r="S48" i="1"/>
  <c r="S51" i="1" s="1"/>
  <c r="S47" i="113"/>
  <c r="S76" i="1"/>
  <c r="S74" i="113"/>
  <c r="S52" i="113" l="1"/>
  <c r="S49" i="113"/>
  <c r="S80" i="1"/>
  <c r="S81" i="113" s="1"/>
  <c r="S77" i="113"/>
  <c r="G7" i="113" l="1"/>
  <c r="H7" i="113"/>
  <c r="I7" i="113"/>
  <c r="J7" i="113"/>
  <c r="L7" i="113"/>
  <c r="M7" i="113"/>
  <c r="N7" i="113"/>
  <c r="O7" i="113"/>
  <c r="P7" i="113"/>
  <c r="Q7" i="113"/>
  <c r="R7" i="113"/>
  <c r="G8" i="113"/>
  <c r="H8" i="113"/>
  <c r="I8" i="113"/>
  <c r="J8" i="113"/>
  <c r="L8" i="113"/>
  <c r="M8" i="113"/>
  <c r="N8" i="113"/>
  <c r="O8" i="113"/>
  <c r="P8" i="113"/>
  <c r="Q8" i="113"/>
  <c r="R8" i="113"/>
  <c r="G9" i="113"/>
  <c r="H9" i="113"/>
  <c r="I9" i="113"/>
  <c r="J9" i="113"/>
  <c r="L9" i="113"/>
  <c r="M9" i="113"/>
  <c r="N9" i="113"/>
  <c r="O9" i="113"/>
  <c r="P9" i="113"/>
  <c r="Q9" i="113"/>
  <c r="I10" i="113"/>
  <c r="G11" i="113"/>
  <c r="H11" i="113"/>
  <c r="I11" i="113"/>
  <c r="J11" i="113"/>
  <c r="L11" i="113"/>
  <c r="M11" i="113"/>
  <c r="N11" i="113"/>
  <c r="O11" i="113"/>
  <c r="P11" i="113"/>
  <c r="Q11" i="113"/>
  <c r="R11" i="113"/>
  <c r="G14" i="113"/>
  <c r="H14" i="113"/>
  <c r="I14" i="113"/>
  <c r="J14" i="113"/>
  <c r="L14" i="113"/>
  <c r="M14" i="113"/>
  <c r="N14" i="113"/>
  <c r="O14" i="113"/>
  <c r="P14" i="113"/>
  <c r="Q14" i="113"/>
  <c r="R14" i="113"/>
  <c r="G15" i="113"/>
  <c r="H15" i="113"/>
  <c r="I15" i="113"/>
  <c r="J15" i="113"/>
  <c r="L15" i="113"/>
  <c r="M15" i="113"/>
  <c r="N15" i="113"/>
  <c r="O15" i="113"/>
  <c r="P15" i="113"/>
  <c r="Q15" i="113"/>
  <c r="R15" i="113"/>
  <c r="G16" i="113"/>
  <c r="H16" i="113"/>
  <c r="I16" i="113"/>
  <c r="J16" i="113"/>
  <c r="L16" i="113"/>
  <c r="M16" i="113"/>
  <c r="N16" i="113"/>
  <c r="O16" i="113"/>
  <c r="P16" i="113"/>
  <c r="Q16" i="113"/>
  <c r="R16" i="113"/>
  <c r="G18" i="113"/>
  <c r="H18" i="113"/>
  <c r="I18" i="113"/>
  <c r="J18" i="113"/>
  <c r="L18" i="113"/>
  <c r="M18" i="113"/>
  <c r="N18" i="113"/>
  <c r="O18" i="113"/>
  <c r="P18" i="113"/>
  <c r="Q18" i="113"/>
  <c r="R18" i="113"/>
  <c r="G23" i="113"/>
  <c r="H23" i="113"/>
  <c r="I23" i="113"/>
  <c r="J23" i="113"/>
  <c r="L23" i="113"/>
  <c r="M23" i="113"/>
  <c r="N23" i="113"/>
  <c r="O23" i="113"/>
  <c r="P23" i="113"/>
  <c r="Q23" i="113"/>
  <c r="R23" i="113"/>
  <c r="G24" i="113"/>
  <c r="H24" i="113"/>
  <c r="I24" i="113"/>
  <c r="J24" i="113"/>
  <c r="L24" i="113"/>
  <c r="M24" i="113"/>
  <c r="N24" i="113"/>
  <c r="O24" i="113"/>
  <c r="P24" i="113"/>
  <c r="Q24" i="113"/>
  <c r="R24" i="113"/>
  <c r="G25" i="113"/>
  <c r="H25" i="113"/>
  <c r="I25" i="113"/>
  <c r="J25" i="113"/>
  <c r="L25" i="113"/>
  <c r="M25" i="113"/>
  <c r="N25" i="113"/>
  <c r="O25" i="113"/>
  <c r="P25" i="113"/>
  <c r="Q25" i="113"/>
  <c r="R25" i="113"/>
  <c r="G26" i="113"/>
  <c r="H26" i="113"/>
  <c r="I26" i="113"/>
  <c r="J26" i="113"/>
  <c r="L26" i="113"/>
  <c r="M26" i="113"/>
  <c r="N26" i="113"/>
  <c r="O26" i="113"/>
  <c r="P26" i="113"/>
  <c r="Q26" i="113"/>
  <c r="R26" i="113"/>
  <c r="G27" i="113"/>
  <c r="H27" i="113"/>
  <c r="I27" i="113"/>
  <c r="J27" i="113"/>
  <c r="L27" i="113"/>
  <c r="M27" i="113"/>
  <c r="N27" i="113"/>
  <c r="O27" i="113"/>
  <c r="P27" i="113"/>
  <c r="Q27" i="113"/>
  <c r="R27" i="113"/>
  <c r="G31" i="113"/>
  <c r="H31" i="113"/>
  <c r="I31" i="113"/>
  <c r="J31" i="113"/>
  <c r="L31" i="113"/>
  <c r="M31" i="113"/>
  <c r="N31" i="113"/>
  <c r="O31" i="113"/>
  <c r="P31" i="113"/>
  <c r="Q31" i="113"/>
  <c r="R31" i="113"/>
  <c r="G32" i="113"/>
  <c r="H32" i="113"/>
  <c r="I32" i="113"/>
  <c r="J32" i="113"/>
  <c r="L32" i="113"/>
  <c r="M32" i="113"/>
  <c r="N32" i="113"/>
  <c r="O32" i="113"/>
  <c r="P32" i="113"/>
  <c r="Q32" i="113"/>
  <c r="R32" i="113"/>
  <c r="G34" i="113"/>
  <c r="H34" i="113"/>
  <c r="I34" i="113"/>
  <c r="J34" i="113"/>
  <c r="L34" i="113"/>
  <c r="M34" i="113"/>
  <c r="N34" i="113"/>
  <c r="O34" i="113"/>
  <c r="P34" i="113"/>
  <c r="Q34" i="113"/>
  <c r="R34" i="113"/>
  <c r="G37" i="113"/>
  <c r="H37" i="113"/>
  <c r="I37" i="113"/>
  <c r="J37" i="113"/>
  <c r="L37" i="113"/>
  <c r="M37" i="113"/>
  <c r="N37" i="113"/>
  <c r="O37" i="113"/>
  <c r="P37" i="113"/>
  <c r="Q37" i="113"/>
  <c r="R37" i="113"/>
  <c r="G38" i="113"/>
  <c r="H38" i="113"/>
  <c r="I38" i="113"/>
  <c r="J38" i="113"/>
  <c r="L38" i="113"/>
  <c r="M38" i="113"/>
  <c r="N38" i="113"/>
  <c r="O38" i="113"/>
  <c r="P38" i="113"/>
  <c r="Q38" i="113"/>
  <c r="R38" i="113"/>
  <c r="G39" i="113"/>
  <c r="H39" i="113"/>
  <c r="I39" i="113"/>
  <c r="J39" i="113"/>
  <c r="L39" i="113"/>
  <c r="M39" i="113"/>
  <c r="N39" i="113"/>
  <c r="O39" i="113"/>
  <c r="P39" i="113"/>
  <c r="Q39" i="113"/>
  <c r="R39" i="113"/>
  <c r="G42" i="113"/>
  <c r="H42" i="113"/>
  <c r="I42" i="113"/>
  <c r="J42" i="113"/>
  <c r="L42" i="113"/>
  <c r="M42" i="113"/>
  <c r="N42" i="113"/>
  <c r="O42" i="113"/>
  <c r="P42" i="113"/>
  <c r="Q42" i="113"/>
  <c r="R42" i="113"/>
  <c r="G43" i="113"/>
  <c r="H43" i="113"/>
  <c r="I43" i="113"/>
  <c r="J43" i="113"/>
  <c r="L43" i="113"/>
  <c r="M43" i="113"/>
  <c r="N43" i="113"/>
  <c r="O43" i="113"/>
  <c r="P43" i="113"/>
  <c r="Q43" i="113"/>
  <c r="R43" i="113"/>
  <c r="G45" i="113"/>
  <c r="H45" i="113"/>
  <c r="I45" i="113"/>
  <c r="J45" i="113"/>
  <c r="L45" i="113"/>
  <c r="M45" i="113"/>
  <c r="N45" i="113"/>
  <c r="O45" i="113"/>
  <c r="P45" i="113"/>
  <c r="Q45" i="113"/>
  <c r="R45" i="113"/>
  <c r="G51" i="113"/>
  <c r="H51" i="113"/>
  <c r="I51" i="113"/>
  <c r="J51" i="113"/>
  <c r="L51" i="113"/>
  <c r="M51" i="113"/>
  <c r="N51" i="113"/>
  <c r="O51" i="113"/>
  <c r="P51" i="113"/>
  <c r="Q51" i="113"/>
  <c r="R51" i="113"/>
  <c r="N52" i="113"/>
  <c r="G54" i="113"/>
  <c r="H54" i="113"/>
  <c r="I54" i="113"/>
  <c r="J54" i="113"/>
  <c r="L54" i="113"/>
  <c r="M54" i="113"/>
  <c r="N54" i="113"/>
  <c r="O54" i="113"/>
  <c r="P54" i="113"/>
  <c r="Q54" i="113"/>
  <c r="R54" i="113"/>
  <c r="G55" i="113"/>
  <c r="H55" i="113"/>
  <c r="I55" i="113"/>
  <c r="J55" i="113"/>
  <c r="L55" i="113"/>
  <c r="M55" i="113"/>
  <c r="N55" i="113"/>
  <c r="O55" i="113"/>
  <c r="P55" i="113"/>
  <c r="Q55" i="113"/>
  <c r="R55" i="113"/>
  <c r="G61" i="113"/>
  <c r="H61" i="113"/>
  <c r="I61" i="113"/>
  <c r="J61" i="113"/>
  <c r="L61" i="113"/>
  <c r="M61" i="113"/>
  <c r="N61" i="113"/>
  <c r="O61" i="113"/>
  <c r="P61" i="113"/>
  <c r="Q61" i="113"/>
  <c r="R61" i="113"/>
  <c r="G62" i="113"/>
  <c r="H62" i="113"/>
  <c r="I62" i="113"/>
  <c r="J62" i="113"/>
  <c r="L62" i="113"/>
  <c r="M62" i="113"/>
  <c r="N62" i="113"/>
  <c r="O62" i="113"/>
  <c r="P62" i="113"/>
  <c r="Q62" i="113"/>
  <c r="R62" i="113"/>
  <c r="G63" i="113"/>
  <c r="H63" i="113"/>
  <c r="I63" i="113"/>
  <c r="J63" i="113"/>
  <c r="L63" i="113"/>
  <c r="M63" i="113"/>
  <c r="N63" i="113"/>
  <c r="O63" i="113"/>
  <c r="P63" i="113"/>
  <c r="Q63" i="113"/>
  <c r="R63" i="113"/>
  <c r="G64" i="113"/>
  <c r="H64" i="113"/>
  <c r="I64" i="113"/>
  <c r="J64" i="113"/>
  <c r="L64" i="113"/>
  <c r="M64" i="113"/>
  <c r="N64" i="113"/>
  <c r="O64" i="113"/>
  <c r="P64" i="113"/>
  <c r="Q64" i="113"/>
  <c r="R64" i="113"/>
  <c r="G65" i="113"/>
  <c r="H65" i="113"/>
  <c r="I65" i="113"/>
  <c r="J65" i="113"/>
  <c r="L65" i="113"/>
  <c r="M65" i="113"/>
  <c r="N65" i="113"/>
  <c r="O65" i="113"/>
  <c r="P65" i="113"/>
  <c r="Q65" i="113"/>
  <c r="R65" i="113"/>
  <c r="G68" i="113"/>
  <c r="H68" i="113"/>
  <c r="I68" i="113"/>
  <c r="J68" i="113"/>
  <c r="L68" i="113"/>
  <c r="M68" i="113"/>
  <c r="N68" i="113"/>
  <c r="O68" i="113"/>
  <c r="P68" i="113"/>
  <c r="Q68" i="113"/>
  <c r="R68" i="113"/>
  <c r="G69" i="113"/>
  <c r="H69" i="113"/>
  <c r="I69" i="113"/>
  <c r="J69" i="113"/>
  <c r="L69" i="113"/>
  <c r="M69" i="113"/>
  <c r="N69" i="113"/>
  <c r="O69" i="113"/>
  <c r="P69" i="113"/>
  <c r="Q69" i="113"/>
  <c r="R69" i="113"/>
  <c r="G70" i="113"/>
  <c r="H70" i="113"/>
  <c r="I70" i="113"/>
  <c r="J70" i="113"/>
  <c r="L70" i="113"/>
  <c r="M70" i="113"/>
  <c r="N70" i="113"/>
  <c r="O70" i="113"/>
  <c r="P70" i="113"/>
  <c r="Q70" i="113"/>
  <c r="R70" i="113"/>
  <c r="G71" i="113"/>
  <c r="H71" i="113"/>
  <c r="I71" i="113"/>
  <c r="J71" i="113"/>
  <c r="L71" i="113"/>
  <c r="M71" i="113"/>
  <c r="N71" i="113"/>
  <c r="O71" i="113"/>
  <c r="P71" i="113"/>
  <c r="Q71" i="113"/>
  <c r="R71" i="113"/>
  <c r="G72" i="113"/>
  <c r="H72" i="113"/>
  <c r="I72" i="113"/>
  <c r="J72" i="113"/>
  <c r="L72" i="113"/>
  <c r="M72" i="113"/>
  <c r="N72" i="113"/>
  <c r="O72" i="113"/>
  <c r="P72" i="113"/>
  <c r="Q72" i="113"/>
  <c r="R72" i="113"/>
  <c r="G76" i="113"/>
  <c r="H76" i="113"/>
  <c r="I76" i="113"/>
  <c r="J76" i="113"/>
  <c r="L76" i="113"/>
  <c r="M76" i="113"/>
  <c r="N76" i="113"/>
  <c r="O76" i="113"/>
  <c r="P76" i="113"/>
  <c r="Q76" i="113"/>
  <c r="R76" i="113"/>
  <c r="G78" i="113"/>
  <c r="H78" i="113"/>
  <c r="I78" i="113"/>
  <c r="J78" i="113"/>
  <c r="L78" i="113"/>
  <c r="M78" i="113"/>
  <c r="N78" i="113"/>
  <c r="O78" i="113"/>
  <c r="P78" i="113"/>
  <c r="Q78" i="113"/>
  <c r="R78" i="113"/>
  <c r="G79" i="113"/>
  <c r="H79" i="113"/>
  <c r="I79" i="113"/>
  <c r="J79" i="113"/>
  <c r="L79" i="113"/>
  <c r="M79" i="113"/>
  <c r="N79" i="113"/>
  <c r="O79" i="113"/>
  <c r="P79" i="113"/>
  <c r="Q79" i="113"/>
  <c r="R79" i="113"/>
  <c r="G80" i="113"/>
  <c r="H80" i="113"/>
  <c r="I80" i="113"/>
  <c r="J80" i="113"/>
  <c r="L80" i="113"/>
  <c r="M80" i="113"/>
  <c r="N80" i="113"/>
  <c r="O80" i="113"/>
  <c r="P80" i="113"/>
  <c r="Q80" i="113"/>
  <c r="R80" i="113"/>
  <c r="B17" i="99" l="1"/>
  <c r="J9" i="1"/>
  <c r="C15" i="3"/>
  <c r="B15" i="3"/>
  <c r="J72" i="1"/>
  <c r="J73" i="113" s="1"/>
  <c r="J65" i="1"/>
  <c r="J66" i="113" s="1"/>
  <c r="J45" i="1"/>
  <c r="J46" i="113" s="1"/>
  <c r="J34" i="1"/>
  <c r="J35" i="113" s="1"/>
  <c r="J27" i="1"/>
  <c r="J16" i="1"/>
  <c r="B16" i="48" l="1"/>
  <c r="B16" i="166"/>
  <c r="J28" i="113"/>
  <c r="J18" i="1"/>
  <c r="J19" i="113" s="1"/>
  <c r="J17" i="113"/>
  <c r="A17" i="99"/>
  <c r="J10" i="113"/>
  <c r="J73" i="1"/>
  <c r="J74" i="113" s="1"/>
  <c r="K9" i="1"/>
  <c r="A15" i="3"/>
  <c r="J46" i="1"/>
  <c r="J47" i="113" s="1"/>
  <c r="A16" i="48" l="1"/>
  <c r="A16" i="166"/>
  <c r="K10" i="113"/>
  <c r="L9" i="1"/>
  <c r="J48" i="1"/>
  <c r="J76" i="1"/>
  <c r="J77" i="113" s="1"/>
  <c r="L10" i="113" l="1"/>
  <c r="J49" i="113"/>
  <c r="J51" i="1"/>
  <c r="J52" i="113" s="1"/>
  <c r="M9" i="1"/>
  <c r="J80" i="1"/>
  <c r="J81" i="113" s="1"/>
  <c r="M10" i="113" l="1"/>
  <c r="H17" i="99"/>
  <c r="K17" i="99" s="1"/>
  <c r="N9" i="1"/>
  <c r="E15" i="3"/>
  <c r="F16" i="166" s="1"/>
  <c r="I16" i="166" l="1"/>
  <c r="G16" i="166"/>
  <c r="F16" i="48"/>
  <c r="G16" i="48" s="1"/>
  <c r="N10" i="113"/>
  <c r="O9" i="1"/>
  <c r="BA72" i="1"/>
  <c r="AZ73" i="113" s="1"/>
  <c r="O10" i="113" l="1"/>
  <c r="P9" i="1"/>
  <c r="P10" i="113" l="1"/>
  <c r="Q9" i="1"/>
  <c r="N12" i="51"/>
  <c r="B62" i="99"/>
  <c r="F11" i="113"/>
  <c r="F9" i="113"/>
  <c r="F8" i="113"/>
  <c r="F7" i="113"/>
  <c r="BK52" i="1" l="1"/>
  <c r="AB52" i="1"/>
  <c r="BJ52" i="1"/>
  <c r="BV52" i="1"/>
  <c r="BF52" i="1"/>
  <c r="N53" i="162"/>
  <c r="N57" i="162" s="1"/>
  <c r="O53" i="162"/>
  <c r="O57" i="162" s="1"/>
  <c r="J53" i="162"/>
  <c r="J57" i="162" s="1"/>
  <c r="BP52" i="1"/>
  <c r="AJ52" i="1"/>
  <c r="AO52" i="1"/>
  <c r="BN52" i="1"/>
  <c r="BJ53" i="113" s="1"/>
  <c r="BM52" i="1"/>
  <c r="BI53" i="113" s="1"/>
  <c r="BQ52" i="1"/>
  <c r="BM53" i="113" s="1"/>
  <c r="BO52" i="1"/>
  <c r="BS52" i="1"/>
  <c r="BO53" i="113" s="1"/>
  <c r="BL52" i="1"/>
  <c r="BH53" i="113" s="1"/>
  <c r="BU52" i="1"/>
  <c r="BQ53" i="113" s="1"/>
  <c r="BT52" i="1"/>
  <c r="BP53" i="113" s="1"/>
  <c r="BC52" i="1"/>
  <c r="BE52" i="1"/>
  <c r="BR52" i="1"/>
  <c r="BN53" i="113" s="1"/>
  <c r="AZ52" i="1"/>
  <c r="AG52" i="1"/>
  <c r="AG56" i="1" s="1"/>
  <c r="AW52" i="1"/>
  <c r="AV53" i="113" s="1"/>
  <c r="BB52" i="1"/>
  <c r="AX52" i="1"/>
  <c r="AW53" i="113" s="1"/>
  <c r="AT52" i="1"/>
  <c r="Q10" i="113"/>
  <c r="AY52" i="1"/>
  <c r="BD52" i="1"/>
  <c r="W52" i="1"/>
  <c r="W56" i="1" s="1"/>
  <c r="AH52" i="1"/>
  <c r="AG53" i="113" s="1"/>
  <c r="AE52" i="1"/>
  <c r="AV52" i="1"/>
  <c r="AU53" i="113" s="1"/>
  <c r="AK52" i="1"/>
  <c r="AJ53" i="113" s="1"/>
  <c r="AF52" i="1"/>
  <c r="AI52" i="1"/>
  <c r="AH53" i="113" s="1"/>
  <c r="AQ52" i="1"/>
  <c r="R9" i="1"/>
  <c r="BA65" i="1"/>
  <c r="AZ66" i="113" s="1"/>
  <c r="BA45" i="1"/>
  <c r="AZ46" i="113" s="1"/>
  <c r="BA34" i="1"/>
  <c r="AZ35" i="113" s="1"/>
  <c r="BA16" i="1"/>
  <c r="AZ17" i="113" s="1"/>
  <c r="AS53" i="113" l="1"/>
  <c r="AT56" i="1"/>
  <c r="BC56" i="1"/>
  <c r="BB57" i="113" s="1"/>
  <c r="BB53" i="113"/>
  <c r="BV56" i="1"/>
  <c r="BR53" i="113"/>
  <c r="AQ56" i="1"/>
  <c r="AP53" i="113"/>
  <c r="BD56" i="1"/>
  <c r="BC57" i="113" s="1"/>
  <c r="BC53" i="113"/>
  <c r="AZ56" i="1"/>
  <c r="AY57" i="113" s="1"/>
  <c r="AY53" i="113"/>
  <c r="BO56" i="1"/>
  <c r="BK53" i="113"/>
  <c r="AO56" i="1"/>
  <c r="AN53" i="113"/>
  <c r="BJ56" i="1"/>
  <c r="BF53" i="113"/>
  <c r="AY56" i="1"/>
  <c r="AX53" i="113"/>
  <c r="BB56" i="1"/>
  <c r="BA57" i="113" s="1"/>
  <c r="BA53" i="113"/>
  <c r="AJ56" i="1"/>
  <c r="AI57" i="113" s="1"/>
  <c r="AI53" i="113"/>
  <c r="AB56" i="1"/>
  <c r="AB53" i="113"/>
  <c r="BE56" i="1"/>
  <c r="BD57" i="113" s="1"/>
  <c r="BD53" i="113"/>
  <c r="BP56" i="1"/>
  <c r="BL53" i="113"/>
  <c r="BF56" i="1"/>
  <c r="BE53" i="113"/>
  <c r="BK56" i="1"/>
  <c r="BG53" i="113"/>
  <c r="BM56" i="1"/>
  <c r="BU56" i="1"/>
  <c r="BL56" i="1"/>
  <c r="AX56" i="1"/>
  <c r="BN56" i="1"/>
  <c r="BS56" i="1"/>
  <c r="BQ56" i="1"/>
  <c r="BR56" i="1"/>
  <c r="AW56" i="1"/>
  <c r="BT56" i="1"/>
  <c r="AV56" i="1"/>
  <c r="AU57" i="113" s="1"/>
  <c r="D74" i="3"/>
  <c r="S9" i="1"/>
  <c r="S10" i="113" s="1"/>
  <c r="G60" i="99"/>
  <c r="J60" i="99" s="1"/>
  <c r="AI56" i="1"/>
  <c r="AH57" i="113" s="1"/>
  <c r="AH56" i="1"/>
  <c r="AD53" i="113"/>
  <c r="AE56" i="1"/>
  <c r="G40" i="99" s="1"/>
  <c r="J40" i="99" s="1"/>
  <c r="AE53" i="113"/>
  <c r="AF56" i="1"/>
  <c r="G41" i="99" s="1"/>
  <c r="J41" i="99" s="1"/>
  <c r="AK56" i="1"/>
  <c r="BA46" i="1"/>
  <c r="AZ47" i="113" s="1"/>
  <c r="R10" i="113"/>
  <c r="BA18" i="1"/>
  <c r="AZ19" i="113" s="1"/>
  <c r="BA73" i="1"/>
  <c r="AZ74" i="113" s="1"/>
  <c r="T34" i="1"/>
  <c r="T35" i="113" s="1"/>
  <c r="T27" i="1"/>
  <c r="T28" i="113" s="1"/>
  <c r="T16" i="1"/>
  <c r="T17" i="113" s="1"/>
  <c r="G65" i="99" l="1"/>
  <c r="D62" i="3"/>
  <c r="D79" i="3"/>
  <c r="G143" i="99"/>
  <c r="BP57" i="113"/>
  <c r="D78" i="3"/>
  <c r="G142" i="99"/>
  <c r="BO57" i="113"/>
  <c r="D80" i="3"/>
  <c r="G144" i="99"/>
  <c r="BQ57" i="113"/>
  <c r="D55" i="3"/>
  <c r="G58" i="99"/>
  <c r="AV57" i="113"/>
  <c r="D73" i="3"/>
  <c r="G137" i="99"/>
  <c r="BJ57" i="113"/>
  <c r="D72" i="3"/>
  <c r="G136" i="99"/>
  <c r="BI57" i="113"/>
  <c r="D64" i="3"/>
  <c r="G67" i="99"/>
  <c r="J67" i="99" s="1"/>
  <c r="BE57" i="113"/>
  <c r="D57" i="3"/>
  <c r="AX57" i="113"/>
  <c r="D47" i="3"/>
  <c r="G50" i="99"/>
  <c r="AN57" i="113"/>
  <c r="G52" i="99"/>
  <c r="AP57" i="113"/>
  <c r="D77" i="3"/>
  <c r="G141" i="99"/>
  <c r="BN57" i="113"/>
  <c r="D56" i="3"/>
  <c r="G59" i="99"/>
  <c r="AW57" i="113"/>
  <c r="G55" i="99"/>
  <c r="AS57" i="113"/>
  <c r="D43" i="3"/>
  <c r="G46" i="99"/>
  <c r="AJ57" i="113"/>
  <c r="D76" i="3"/>
  <c r="G140" i="99"/>
  <c r="BM57" i="113"/>
  <c r="D71" i="3"/>
  <c r="G135" i="99"/>
  <c r="BH57" i="113"/>
  <c r="D70" i="3"/>
  <c r="G134" i="99"/>
  <c r="BG57" i="113"/>
  <c r="D75" i="3"/>
  <c r="G139" i="99"/>
  <c r="BL57" i="113"/>
  <c r="D33" i="3"/>
  <c r="G35" i="99"/>
  <c r="J35" i="99" s="1"/>
  <c r="AB57" i="113"/>
  <c r="D69" i="3"/>
  <c r="G146" i="99"/>
  <c r="BF57" i="113"/>
  <c r="G138" i="99"/>
  <c r="BK57" i="113"/>
  <c r="D81" i="3"/>
  <c r="G145" i="99"/>
  <c r="BR57" i="113"/>
  <c r="T9" i="1"/>
  <c r="U9" i="1" s="1"/>
  <c r="J65" i="99"/>
  <c r="AG57" i="113"/>
  <c r="G43" i="99"/>
  <c r="J43" i="99" s="1"/>
  <c r="G63" i="99"/>
  <c r="J63" i="99" s="1"/>
  <c r="G57" i="99"/>
  <c r="J57" i="99" s="1"/>
  <c r="G44" i="99"/>
  <c r="J44" i="99" s="1"/>
  <c r="D40" i="3"/>
  <c r="D54" i="3"/>
  <c r="AD57" i="113"/>
  <c r="D37" i="3"/>
  <c r="D41" i="3"/>
  <c r="D60" i="3"/>
  <c r="D38" i="3"/>
  <c r="AE57" i="113"/>
  <c r="A26" i="99"/>
  <c r="A24" i="3"/>
  <c r="BA76" i="1"/>
  <c r="AZ77" i="113" s="1"/>
  <c r="BA48" i="1"/>
  <c r="AZ49" i="113" s="1"/>
  <c r="T18" i="1"/>
  <c r="T19" i="113" s="1"/>
  <c r="A25" i="48" l="1"/>
  <c r="A25" i="166"/>
  <c r="J146" i="99"/>
  <c r="M146" i="99" s="1"/>
  <c r="J134" i="99"/>
  <c r="J55" i="99"/>
  <c r="M55" i="99" s="1"/>
  <c r="J58" i="99"/>
  <c r="M58" i="99" s="1"/>
  <c r="J138" i="99"/>
  <c r="M138" i="99" s="1"/>
  <c r="J139" i="99"/>
  <c r="M139" i="99" s="1"/>
  <c r="J46" i="99"/>
  <c r="M46" i="99" s="1"/>
  <c r="J141" i="99"/>
  <c r="M141" i="99" s="1"/>
  <c r="J137" i="99"/>
  <c r="M137" i="99" s="1"/>
  <c r="J143" i="99"/>
  <c r="M143" i="99" s="1"/>
  <c r="J135" i="99"/>
  <c r="M135" i="99" s="1"/>
  <c r="J144" i="99"/>
  <c r="M144" i="99" s="1"/>
  <c r="J145" i="99"/>
  <c r="M145" i="99" s="1"/>
  <c r="J140" i="99"/>
  <c r="M140" i="99" s="1"/>
  <c r="J59" i="99"/>
  <c r="M59" i="99" s="1"/>
  <c r="J50" i="99"/>
  <c r="M50" i="99" s="1"/>
  <c r="J136" i="99"/>
  <c r="M136" i="99" s="1"/>
  <c r="J142" i="99"/>
  <c r="M142" i="99" s="1"/>
  <c r="A28" i="99"/>
  <c r="U10" i="113"/>
  <c r="A26" i="3"/>
  <c r="V9" i="1"/>
  <c r="W9" i="1" s="1"/>
  <c r="BA51" i="1"/>
  <c r="AZ52" i="113" s="1"/>
  <c r="T10" i="113"/>
  <c r="BA80" i="1"/>
  <c r="A10" i="99"/>
  <c r="B10" i="99"/>
  <c r="E11" i="113"/>
  <c r="A27" i="48" l="1"/>
  <c r="A27" i="166"/>
  <c r="E59" i="3"/>
  <c r="F58" i="166" s="1"/>
  <c r="AZ81" i="113"/>
  <c r="M134" i="99"/>
  <c r="J147" i="99"/>
  <c r="X9" i="1"/>
  <c r="A30" i="99"/>
  <c r="H62" i="99"/>
  <c r="K62" i="99" s="1"/>
  <c r="C10" i="3"/>
  <c r="B11" i="166" s="1"/>
  <c r="B10" i="3"/>
  <c r="A10" i="3"/>
  <c r="A81" i="113"/>
  <c r="A79" i="113"/>
  <c r="A78" i="113"/>
  <c r="A77" i="113"/>
  <c r="A76" i="113"/>
  <c r="A74" i="113"/>
  <c r="A73" i="113"/>
  <c r="A72" i="113"/>
  <c r="A71" i="113"/>
  <c r="A70" i="113"/>
  <c r="A69" i="113"/>
  <c r="A68" i="113"/>
  <c r="A66" i="113"/>
  <c r="A65" i="113"/>
  <c r="A64" i="113"/>
  <c r="A63" i="113"/>
  <c r="A62" i="113"/>
  <c r="A61" i="113"/>
  <c r="A57" i="113"/>
  <c r="A55" i="113"/>
  <c r="A54" i="113"/>
  <c r="A53" i="113"/>
  <c r="A52" i="113"/>
  <c r="A49" i="113"/>
  <c r="A47" i="113"/>
  <c r="A46" i="113"/>
  <c r="A45" i="113"/>
  <c r="A43" i="113"/>
  <c r="A42" i="113"/>
  <c r="A39" i="113"/>
  <c r="A38" i="113"/>
  <c r="A37" i="113"/>
  <c r="A35"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5" i="113"/>
  <c r="C61" i="113"/>
  <c r="C62" i="113"/>
  <c r="C63" i="113"/>
  <c r="C64" i="113"/>
  <c r="C65" i="113"/>
  <c r="C68" i="113"/>
  <c r="C69" i="113"/>
  <c r="C70" i="113"/>
  <c r="C71" i="113"/>
  <c r="C72" i="113"/>
  <c r="C77" i="113"/>
  <c r="C23" i="113"/>
  <c r="B14" i="113"/>
  <c r="B15" i="113"/>
  <c r="B16" i="113"/>
  <c r="B17" i="113"/>
  <c r="B18" i="113"/>
  <c r="B19" i="113"/>
  <c r="B21" i="113"/>
  <c r="B22" i="113"/>
  <c r="B28" i="113"/>
  <c r="B30" i="113"/>
  <c r="B35" i="113"/>
  <c r="B37" i="113"/>
  <c r="B38" i="113"/>
  <c r="B39" i="113"/>
  <c r="B41" i="113"/>
  <c r="B46" i="113"/>
  <c r="B47" i="113"/>
  <c r="B49" i="113"/>
  <c r="B51" i="113"/>
  <c r="B52" i="113"/>
  <c r="B53" i="113"/>
  <c r="B54" i="113"/>
  <c r="B55" i="113"/>
  <c r="B57" i="113"/>
  <c r="B59" i="113"/>
  <c r="B60" i="113"/>
  <c r="B66" i="113"/>
  <c r="B67" i="113"/>
  <c r="B73" i="113"/>
  <c r="B74" i="113"/>
  <c r="B76" i="113"/>
  <c r="B78" i="113"/>
  <c r="B79" i="113"/>
  <c r="B81" i="113"/>
  <c r="B13" i="113"/>
  <c r="F15" i="113"/>
  <c r="F16" i="113"/>
  <c r="F18" i="113"/>
  <c r="F23" i="113"/>
  <c r="F24" i="113"/>
  <c r="F25" i="113"/>
  <c r="F26" i="113"/>
  <c r="F27" i="113"/>
  <c r="F31" i="113"/>
  <c r="F32" i="113"/>
  <c r="F34" i="113"/>
  <c r="F37" i="113"/>
  <c r="F38" i="113"/>
  <c r="F39" i="113"/>
  <c r="F42" i="113"/>
  <c r="F43" i="113"/>
  <c r="F45" i="113"/>
  <c r="F51" i="113"/>
  <c r="F54" i="113"/>
  <c r="F55" i="113"/>
  <c r="F61" i="113"/>
  <c r="F62" i="113"/>
  <c r="F63" i="113"/>
  <c r="F64" i="113"/>
  <c r="F65" i="113"/>
  <c r="F68" i="113"/>
  <c r="F69" i="113"/>
  <c r="F70" i="113"/>
  <c r="F71" i="113"/>
  <c r="F72" i="113"/>
  <c r="F76" i="113"/>
  <c r="F78" i="113"/>
  <c r="F79" i="113"/>
  <c r="F80" i="113"/>
  <c r="F14" i="113"/>
  <c r="E51" i="113"/>
  <c r="E80" i="113"/>
  <c r="A9" i="113"/>
  <c r="A8" i="113"/>
  <c r="A4" i="113"/>
  <c r="A5" i="113"/>
  <c r="A3" i="113"/>
  <c r="F9" i="1"/>
  <c r="F16" i="1"/>
  <c r="F17" i="113" s="1"/>
  <c r="G16" i="1"/>
  <c r="G17" i="113" s="1"/>
  <c r="H16" i="1"/>
  <c r="H17" i="113" s="1"/>
  <c r="I16" i="1"/>
  <c r="I17" i="113" s="1"/>
  <c r="K16" i="1"/>
  <c r="K17" i="113" s="1"/>
  <c r="L16" i="1"/>
  <c r="L17" i="113" s="1"/>
  <c r="M16" i="1"/>
  <c r="M17" i="113" s="1"/>
  <c r="N16" i="1"/>
  <c r="N17" i="113" s="1"/>
  <c r="X16" i="1"/>
  <c r="X17" i="113" s="1"/>
  <c r="Y16" i="1"/>
  <c r="Y17" i="113" s="1"/>
  <c r="O16" i="1"/>
  <c r="O17" i="113" s="1"/>
  <c r="P16" i="1"/>
  <c r="P17" i="113" s="1"/>
  <c r="Q16" i="1"/>
  <c r="Q17" i="113" s="1"/>
  <c r="R16" i="1"/>
  <c r="R17" i="113" s="1"/>
  <c r="V16" i="1"/>
  <c r="V17" i="113" s="1"/>
  <c r="AC17" i="113"/>
  <c r="AM16" i="1"/>
  <c r="AL17" i="113" s="1"/>
  <c r="AF17" i="113"/>
  <c r="BH21" i="1"/>
  <c r="BX21" i="1" s="1"/>
  <c r="F27" i="1"/>
  <c r="G27" i="1"/>
  <c r="G28" i="113" s="1"/>
  <c r="H27" i="1"/>
  <c r="H28" i="113" s="1"/>
  <c r="I27" i="1"/>
  <c r="I28" i="113" s="1"/>
  <c r="K27" i="1"/>
  <c r="K28" i="113" s="1"/>
  <c r="L27" i="1"/>
  <c r="L28" i="113" s="1"/>
  <c r="M27" i="1"/>
  <c r="M28" i="113" s="1"/>
  <c r="N27" i="1"/>
  <c r="N28" i="113" s="1"/>
  <c r="X27" i="1"/>
  <c r="X28" i="113" s="1"/>
  <c r="Y27" i="1"/>
  <c r="O27" i="1"/>
  <c r="O28" i="113" s="1"/>
  <c r="P27" i="1"/>
  <c r="P28" i="113" s="1"/>
  <c r="Q27" i="1"/>
  <c r="Q28" i="113" s="1"/>
  <c r="R27" i="1"/>
  <c r="R28" i="113" s="1"/>
  <c r="V27" i="1"/>
  <c r="AM27" i="1"/>
  <c r="AL28" i="113" s="1"/>
  <c r="AF28" i="113"/>
  <c r="BH29" i="1"/>
  <c r="BX29" i="1" s="1"/>
  <c r="F34" i="1"/>
  <c r="F35" i="113" s="1"/>
  <c r="G34" i="1"/>
  <c r="G35" i="113" s="1"/>
  <c r="H34" i="1"/>
  <c r="H35" i="113" s="1"/>
  <c r="I34" i="1"/>
  <c r="I35" i="113" s="1"/>
  <c r="K34" i="1"/>
  <c r="K35" i="113" s="1"/>
  <c r="L34" i="1"/>
  <c r="L35" i="113" s="1"/>
  <c r="M34" i="1"/>
  <c r="M35" i="113" s="1"/>
  <c r="N34" i="1"/>
  <c r="N35" i="113" s="1"/>
  <c r="X34" i="1"/>
  <c r="X35" i="113" s="1"/>
  <c r="Y34" i="1"/>
  <c r="Y35" i="113" s="1"/>
  <c r="O34" i="1"/>
  <c r="O35" i="113" s="1"/>
  <c r="P34" i="1"/>
  <c r="P35" i="113" s="1"/>
  <c r="Q34" i="1"/>
  <c r="Q35" i="113" s="1"/>
  <c r="R34" i="1"/>
  <c r="R35" i="113" s="1"/>
  <c r="V34" i="1"/>
  <c r="V35" i="113" s="1"/>
  <c r="AC35" i="113"/>
  <c r="AM34" i="1"/>
  <c r="AL35" i="113" s="1"/>
  <c r="AF35" i="113"/>
  <c r="AC44" i="1"/>
  <c r="F45" i="1"/>
  <c r="G45" i="1"/>
  <c r="G46" i="113" s="1"/>
  <c r="H45" i="1"/>
  <c r="H46" i="113" s="1"/>
  <c r="I45" i="1"/>
  <c r="I46" i="113" s="1"/>
  <c r="K45" i="1"/>
  <c r="K46" i="113" s="1"/>
  <c r="L45" i="1"/>
  <c r="L46" i="113" s="1"/>
  <c r="M45" i="1"/>
  <c r="M46" i="113" s="1"/>
  <c r="N45" i="1"/>
  <c r="N46" i="113" s="1"/>
  <c r="X45" i="1"/>
  <c r="X46" i="113" s="1"/>
  <c r="Y45" i="1"/>
  <c r="Y46" i="113" s="1"/>
  <c r="O45" i="1"/>
  <c r="O46" i="113" s="1"/>
  <c r="P45" i="1"/>
  <c r="P46" i="113" s="1"/>
  <c r="Q45" i="1"/>
  <c r="Q46" i="113" s="1"/>
  <c r="R45" i="1"/>
  <c r="T45" i="1"/>
  <c r="T46" i="113" s="1"/>
  <c r="V45" i="1"/>
  <c r="V46" i="113" s="1"/>
  <c r="AC46" i="113"/>
  <c r="AM45" i="1"/>
  <c r="AL46" i="113" s="1"/>
  <c r="AF46" i="113"/>
  <c r="E53" i="113"/>
  <c r="F65" i="1"/>
  <c r="G65" i="1"/>
  <c r="G66" i="113" s="1"/>
  <c r="H65" i="1"/>
  <c r="H66" i="113" s="1"/>
  <c r="I65" i="1"/>
  <c r="I66" i="113" s="1"/>
  <c r="K65" i="1"/>
  <c r="K66" i="113" s="1"/>
  <c r="L65" i="1"/>
  <c r="L66" i="113" s="1"/>
  <c r="M65" i="1"/>
  <c r="M66" i="113" s="1"/>
  <c r="N65" i="1"/>
  <c r="N66" i="113" s="1"/>
  <c r="X65" i="1"/>
  <c r="X66" i="113" s="1"/>
  <c r="Y65" i="1"/>
  <c r="Y66" i="113" s="1"/>
  <c r="O65" i="1"/>
  <c r="O66" i="113" s="1"/>
  <c r="P65" i="1"/>
  <c r="P66" i="113" s="1"/>
  <c r="Q65" i="1"/>
  <c r="Q66" i="113" s="1"/>
  <c r="R65" i="1"/>
  <c r="R66" i="113" s="1"/>
  <c r="T65" i="1"/>
  <c r="T66" i="113" s="1"/>
  <c r="V65" i="1"/>
  <c r="V66" i="113" s="1"/>
  <c r="AC66" i="113"/>
  <c r="AM65" i="1"/>
  <c r="AL66" i="113" s="1"/>
  <c r="AF66" i="113"/>
  <c r="F72" i="1"/>
  <c r="F73" i="113" s="1"/>
  <c r="G72" i="1"/>
  <c r="G73" i="113" s="1"/>
  <c r="H72" i="1"/>
  <c r="H73" i="113" s="1"/>
  <c r="I72" i="1"/>
  <c r="I73" i="113" s="1"/>
  <c r="K72" i="1"/>
  <c r="K73" i="113" s="1"/>
  <c r="L72" i="1"/>
  <c r="L73" i="113" s="1"/>
  <c r="M72" i="1"/>
  <c r="M73" i="113" s="1"/>
  <c r="N72" i="1"/>
  <c r="N73" i="113" s="1"/>
  <c r="X72" i="1"/>
  <c r="X73" i="113" s="1"/>
  <c r="Y72" i="1"/>
  <c r="Y73" i="113" s="1"/>
  <c r="O72" i="1"/>
  <c r="O73" i="113" s="1"/>
  <c r="P72" i="1"/>
  <c r="P73" i="113" s="1"/>
  <c r="Q72" i="1"/>
  <c r="Q73" i="113" s="1"/>
  <c r="R72" i="1"/>
  <c r="R73" i="113" s="1"/>
  <c r="T72" i="1"/>
  <c r="T73" i="113" s="1"/>
  <c r="V72" i="1"/>
  <c r="V73" i="113" s="1"/>
  <c r="AC73" i="113"/>
  <c r="AM72" i="1"/>
  <c r="AL73" i="113" s="1"/>
  <c r="AF73" i="113"/>
  <c r="B63" i="3"/>
  <c r="B39" i="3"/>
  <c r="B46" i="3"/>
  <c r="B45" i="3"/>
  <c r="B44" i="3"/>
  <c r="B36" i="3"/>
  <c r="B27" i="3"/>
  <c r="B49" i="3"/>
  <c r="B25" i="3"/>
  <c r="B23" i="3"/>
  <c r="B22" i="3"/>
  <c r="B21" i="3"/>
  <c r="B20" i="3"/>
  <c r="B28" i="3"/>
  <c r="B30" i="3"/>
  <c r="B29" i="3"/>
  <c r="B19" i="3"/>
  <c r="B18" i="3"/>
  <c r="B17" i="3"/>
  <c r="B16" i="3"/>
  <c r="B48" i="3"/>
  <c r="B14" i="3"/>
  <c r="B13" i="3"/>
  <c r="B12" i="3"/>
  <c r="B11" i="3"/>
  <c r="G58" i="166" l="1"/>
  <c r="I58" i="166"/>
  <c r="A11" i="48"/>
  <c r="A11" i="166"/>
  <c r="F58" i="48"/>
  <c r="G58" i="48" s="1"/>
  <c r="M147" i="99"/>
  <c r="G45" i="117"/>
  <c r="F45" i="117" s="1"/>
  <c r="G45" i="162"/>
  <c r="F45" i="162" s="1"/>
  <c r="R46" i="113"/>
  <c r="R46" i="1"/>
  <c r="R47" i="113" s="1"/>
  <c r="Y9" i="1"/>
  <c r="X10" i="113"/>
  <c r="AC28" i="113"/>
  <c r="Y28" i="113"/>
  <c r="V28" i="113"/>
  <c r="AF74" i="113"/>
  <c r="AM73" i="1"/>
  <c r="AL74" i="113" s="1"/>
  <c r="AC74" i="113"/>
  <c r="P73" i="1"/>
  <c r="P74" i="113" s="1"/>
  <c r="K73" i="1"/>
  <c r="K74" i="113" s="1"/>
  <c r="Q73" i="1"/>
  <c r="Q74" i="113" s="1"/>
  <c r="L73" i="1"/>
  <c r="L74" i="113" s="1"/>
  <c r="H73" i="1"/>
  <c r="H74" i="113" s="1"/>
  <c r="V73" i="1"/>
  <c r="V74" i="113" s="1"/>
  <c r="T73" i="1"/>
  <c r="T74" i="113" s="1"/>
  <c r="O73" i="1"/>
  <c r="O74" i="113" s="1"/>
  <c r="N73" i="1"/>
  <c r="N74" i="113" s="1"/>
  <c r="G73" i="1"/>
  <c r="G74" i="113" s="1"/>
  <c r="X73" i="1"/>
  <c r="X74" i="113" s="1"/>
  <c r="Y73" i="1"/>
  <c r="Y74" i="113" s="1"/>
  <c r="R73" i="1"/>
  <c r="R74" i="113" s="1"/>
  <c r="M73" i="1"/>
  <c r="M74" i="113" s="1"/>
  <c r="I73" i="1"/>
  <c r="I74" i="113" s="1"/>
  <c r="F66" i="113"/>
  <c r="F73" i="1"/>
  <c r="N18" i="1"/>
  <c r="N19" i="113" s="1"/>
  <c r="O18" i="1"/>
  <c r="O19" i="113" s="1"/>
  <c r="F28" i="113"/>
  <c r="V18" i="1"/>
  <c r="V19" i="113" s="1"/>
  <c r="G9" i="1"/>
  <c r="F10" i="113"/>
  <c r="P18" i="1"/>
  <c r="P19" i="113" s="1"/>
  <c r="G18" i="1"/>
  <c r="G19" i="113" s="1"/>
  <c r="X46" i="1"/>
  <c r="X18" i="1"/>
  <c r="X19" i="113" s="1"/>
  <c r="M46" i="1"/>
  <c r="M47" i="113" s="1"/>
  <c r="I46" i="1"/>
  <c r="I47" i="113" s="1"/>
  <c r="F46" i="1"/>
  <c r="F47" i="113" s="1"/>
  <c r="K18" i="1"/>
  <c r="K19" i="113" s="1"/>
  <c r="I18" i="1"/>
  <c r="I19" i="113" s="1"/>
  <c r="R18" i="1"/>
  <c r="F18" i="1"/>
  <c r="F19" i="113" s="1"/>
  <c r="M18" i="1"/>
  <c r="M19" i="113" s="1"/>
  <c r="AF47" i="113"/>
  <c r="Q46" i="1"/>
  <c r="Q47" i="113" s="1"/>
  <c r="L46" i="1"/>
  <c r="L47" i="113" s="1"/>
  <c r="AM46" i="1"/>
  <c r="AL47" i="113" s="1"/>
  <c r="AM18" i="1"/>
  <c r="AL19" i="113" s="1"/>
  <c r="Q18" i="1"/>
  <c r="Q19" i="113" s="1"/>
  <c r="Y18" i="1"/>
  <c r="Y19" i="113" s="1"/>
  <c r="L18" i="1"/>
  <c r="L19" i="113" s="1"/>
  <c r="H18" i="1"/>
  <c r="H19" i="113" s="1"/>
  <c r="Y46" i="1"/>
  <c r="Y47" i="113" s="1"/>
  <c r="H46" i="1"/>
  <c r="H47" i="113" s="1"/>
  <c r="AC47" i="113"/>
  <c r="P46" i="1"/>
  <c r="P47" i="113" s="1"/>
  <c r="K46" i="1"/>
  <c r="K47" i="113" s="1"/>
  <c r="BH44" i="1"/>
  <c r="I45" i="162" s="1"/>
  <c r="V46" i="1"/>
  <c r="V47" i="113" s="1"/>
  <c r="T46" i="1"/>
  <c r="T47" i="113" s="1"/>
  <c r="O46" i="1"/>
  <c r="O47" i="113" s="1"/>
  <c r="N46" i="1"/>
  <c r="N47" i="113" s="1"/>
  <c r="G46" i="1"/>
  <c r="G47" i="113" s="1"/>
  <c r="AF19" i="113"/>
  <c r="AC19" i="113"/>
  <c r="A11" i="3"/>
  <c r="E45" i="113"/>
  <c r="F46" i="113"/>
  <c r="I10" i="48"/>
  <c r="G70" i="48"/>
  <c r="E23" i="1"/>
  <c r="E26" i="1"/>
  <c r="E27" i="162" s="1"/>
  <c r="E38" i="113"/>
  <c r="E39" i="113"/>
  <c r="AC41" i="1"/>
  <c r="AC42" i="1"/>
  <c r="BH42" i="1" s="1"/>
  <c r="BX42" i="1" s="1"/>
  <c r="AC54" i="1"/>
  <c r="A12" i="48" l="1"/>
  <c r="A12" i="166"/>
  <c r="G55" i="117"/>
  <c r="F55" i="117" s="1"/>
  <c r="G55" i="162"/>
  <c r="F55" i="162" s="1"/>
  <c r="R19" i="113"/>
  <c r="R48" i="1"/>
  <c r="R51" i="1" s="1"/>
  <c r="G43" i="117"/>
  <c r="F43" i="117" s="1"/>
  <c r="G43" i="162"/>
  <c r="F43" i="162" s="1"/>
  <c r="H45" i="162"/>
  <c r="K45" i="162"/>
  <c r="G42" i="117"/>
  <c r="G46" i="117" s="1"/>
  <c r="G42" i="162"/>
  <c r="E24" i="117"/>
  <c r="E24" i="162"/>
  <c r="X47" i="113"/>
  <c r="X48" i="1"/>
  <c r="G10" i="113"/>
  <c r="Z9" i="1"/>
  <c r="Y10" i="113"/>
  <c r="AC26" i="1"/>
  <c r="E27" i="117"/>
  <c r="I45" i="117"/>
  <c r="G45" i="50"/>
  <c r="BX44" i="1"/>
  <c r="G45" i="161" s="1"/>
  <c r="J45" i="161" s="1"/>
  <c r="E17" i="1"/>
  <c r="E52" i="113"/>
  <c r="V10" i="113"/>
  <c r="E25" i="1"/>
  <c r="E14" i="1"/>
  <c r="E15" i="162" s="1"/>
  <c r="E13" i="1"/>
  <c r="AM76" i="1"/>
  <c r="AL77" i="113" s="1"/>
  <c r="AC77" i="113"/>
  <c r="H76" i="1"/>
  <c r="H77" i="113" s="1"/>
  <c r="AF77" i="113"/>
  <c r="N76" i="1"/>
  <c r="N77" i="113" s="1"/>
  <c r="Y76" i="1"/>
  <c r="Y77" i="113" s="1"/>
  <c r="Q76" i="1"/>
  <c r="Q77" i="113" s="1"/>
  <c r="L76" i="1"/>
  <c r="L77" i="113" s="1"/>
  <c r="AC23" i="1"/>
  <c r="E24" i="113"/>
  <c r="E54" i="113"/>
  <c r="E45" i="1"/>
  <c r="E46" i="113" s="1"/>
  <c r="E42" i="113"/>
  <c r="E43" i="113"/>
  <c r="M48" i="1"/>
  <c r="I43" i="162"/>
  <c r="AC45" i="1"/>
  <c r="BH45" i="1" s="1"/>
  <c r="E37" i="113"/>
  <c r="T76" i="1"/>
  <c r="T77" i="113" s="1"/>
  <c r="BH36" i="1"/>
  <c r="BH41" i="1"/>
  <c r="I42" i="162" s="1"/>
  <c r="E55" i="113"/>
  <c r="I48" i="1"/>
  <c r="BH33" i="1"/>
  <c r="P48" i="1"/>
  <c r="E34" i="113"/>
  <c r="E27" i="113"/>
  <c r="K76" i="1"/>
  <c r="K77" i="113" s="1"/>
  <c r="K48" i="1"/>
  <c r="K49" i="113" s="1"/>
  <c r="X76" i="1"/>
  <c r="X77" i="113" s="1"/>
  <c r="H9" i="1"/>
  <c r="AM48" i="1"/>
  <c r="P76" i="1"/>
  <c r="P77" i="113" s="1"/>
  <c r="F48" i="1"/>
  <c r="F51" i="1" s="1"/>
  <c r="V76" i="1"/>
  <c r="V77" i="113" s="1"/>
  <c r="O76" i="1"/>
  <c r="O77" i="113" s="1"/>
  <c r="G76" i="1"/>
  <c r="G77" i="113" s="1"/>
  <c r="Y48" i="1"/>
  <c r="F74" i="113"/>
  <c r="F76" i="1"/>
  <c r="R76" i="1"/>
  <c r="R77" i="113" s="1"/>
  <c r="L48" i="1"/>
  <c r="H48" i="1"/>
  <c r="M76" i="1"/>
  <c r="M77" i="113" s="1"/>
  <c r="Q48" i="1"/>
  <c r="I76" i="1"/>
  <c r="I77" i="113" s="1"/>
  <c r="AF49" i="113"/>
  <c r="N48" i="1"/>
  <c r="N49" i="113" s="1"/>
  <c r="AC49" i="113"/>
  <c r="V48" i="1"/>
  <c r="V49" i="113" s="1"/>
  <c r="G48" i="1"/>
  <c r="G51" i="1" s="1"/>
  <c r="T48" i="1"/>
  <c r="O48" i="1"/>
  <c r="E22" i="1"/>
  <c r="E29" i="1" s="1"/>
  <c r="A1" i="3"/>
  <c r="A1" i="50"/>
  <c r="A4" i="50"/>
  <c r="AM51" i="1" l="1"/>
  <c r="AL52" i="113" s="1"/>
  <c r="AL49" i="113"/>
  <c r="I37" i="162"/>
  <c r="F42" i="117"/>
  <c r="F46" i="117" s="1"/>
  <c r="M45" i="162"/>
  <c r="P45" i="162" s="1"/>
  <c r="E18" i="117"/>
  <c r="E18" i="162"/>
  <c r="G27" i="117"/>
  <c r="F27" i="117" s="1"/>
  <c r="G27" i="162"/>
  <c r="F27" i="162" s="1"/>
  <c r="E26" i="117"/>
  <c r="E26" i="162"/>
  <c r="E23" i="117"/>
  <c r="E23" i="162"/>
  <c r="BX33" i="1"/>
  <c r="BY33" i="1" s="1"/>
  <c r="I34" i="162"/>
  <c r="K42" i="162"/>
  <c r="H42" i="162"/>
  <c r="I46" i="162"/>
  <c r="G24" i="117"/>
  <c r="F24" i="117" s="1"/>
  <c r="G24" i="162"/>
  <c r="F24" i="162" s="1"/>
  <c r="F42" i="162"/>
  <c r="F46" i="162" s="1"/>
  <c r="G46" i="162"/>
  <c r="K37" i="162"/>
  <c r="H37" i="162"/>
  <c r="H43" i="162"/>
  <c r="K43" i="162"/>
  <c r="E14" i="117"/>
  <c r="E14" i="162"/>
  <c r="BY44" i="1"/>
  <c r="H45" i="117"/>
  <c r="E45" i="161"/>
  <c r="AA9" i="1"/>
  <c r="AB9" i="1" s="1"/>
  <c r="Z10" i="113"/>
  <c r="BH26" i="1"/>
  <c r="X49" i="113"/>
  <c r="I34" i="117"/>
  <c r="K45" i="117"/>
  <c r="I43" i="117"/>
  <c r="E15" i="113"/>
  <c r="E15" i="117"/>
  <c r="I42" i="117"/>
  <c r="I37" i="117"/>
  <c r="G34" i="50"/>
  <c r="G42" i="50"/>
  <c r="BX41" i="1"/>
  <c r="G42" i="161" s="1"/>
  <c r="G37" i="50"/>
  <c r="BX36" i="1"/>
  <c r="G37" i="161" s="1"/>
  <c r="G43" i="50"/>
  <c r="G43" i="161"/>
  <c r="J43" i="161" s="1"/>
  <c r="Y49" i="113"/>
  <c r="Y51" i="1"/>
  <c r="Y52" i="113" s="1"/>
  <c r="P49" i="113"/>
  <c r="P51" i="1"/>
  <c r="P52" i="113" s="1"/>
  <c r="K51" i="1"/>
  <c r="K52" i="113" s="1"/>
  <c r="M49" i="113"/>
  <c r="M51" i="1"/>
  <c r="M52" i="113" s="1"/>
  <c r="L49" i="113"/>
  <c r="L51" i="1"/>
  <c r="O49" i="113"/>
  <c r="O51" i="1"/>
  <c r="O52" i="113" s="1"/>
  <c r="R49" i="113"/>
  <c r="R52" i="113"/>
  <c r="Q49" i="113"/>
  <c r="Q51" i="1"/>
  <c r="Q52" i="113" s="1"/>
  <c r="T49" i="113"/>
  <c r="T51" i="1"/>
  <c r="T52" i="113" s="1"/>
  <c r="H49" i="113"/>
  <c r="H51" i="1"/>
  <c r="H52" i="113" s="1"/>
  <c r="I49" i="113"/>
  <c r="I51" i="1"/>
  <c r="I52" i="113" s="1"/>
  <c r="H10" i="113"/>
  <c r="X54" i="113"/>
  <c r="AC14" i="1"/>
  <c r="G15" i="162" s="1"/>
  <c r="F15" i="162" s="1"/>
  <c r="G49" i="113"/>
  <c r="G52" i="113"/>
  <c r="AM80" i="1"/>
  <c r="AL81" i="113" s="1"/>
  <c r="AC81" i="113"/>
  <c r="Q80" i="1"/>
  <c r="Q81" i="113" s="1"/>
  <c r="BH37" i="1"/>
  <c r="L80" i="1"/>
  <c r="L81" i="113" s="1"/>
  <c r="Y80" i="1"/>
  <c r="Y81" i="113" s="1"/>
  <c r="N80" i="1"/>
  <c r="H80" i="1"/>
  <c r="AF81" i="113"/>
  <c r="BH38" i="1"/>
  <c r="I39" i="162" s="1"/>
  <c r="AC13" i="1"/>
  <c r="BH13" i="1" s="1"/>
  <c r="E14" i="113"/>
  <c r="BH23" i="1"/>
  <c r="I24" i="162" s="1"/>
  <c r="AC25" i="1"/>
  <c r="E26" i="113"/>
  <c r="AC17" i="1"/>
  <c r="E18" i="113"/>
  <c r="AC22" i="1"/>
  <c r="G23" i="162" s="1"/>
  <c r="E23" i="113"/>
  <c r="F49" i="113"/>
  <c r="E24" i="1"/>
  <c r="E25" i="162" s="1"/>
  <c r="T80" i="1"/>
  <c r="T81" i="113" s="1"/>
  <c r="G80" i="1"/>
  <c r="G81" i="113" s="1"/>
  <c r="X80" i="1"/>
  <c r="X81" i="113" s="1"/>
  <c r="P80" i="1"/>
  <c r="K80" i="1"/>
  <c r="K81" i="113" s="1"/>
  <c r="O80" i="1"/>
  <c r="O81" i="113" s="1"/>
  <c r="V80" i="1"/>
  <c r="V81" i="113" s="1"/>
  <c r="M80" i="1"/>
  <c r="M81" i="113" s="1"/>
  <c r="R80" i="1"/>
  <c r="R81" i="113" s="1"/>
  <c r="I80" i="1"/>
  <c r="I81" i="113" s="1"/>
  <c r="F77" i="113"/>
  <c r="F80" i="1"/>
  <c r="F52" i="1" s="1"/>
  <c r="F52" i="113"/>
  <c r="AC52" i="113"/>
  <c r="AF52" i="113"/>
  <c r="H73" i="50"/>
  <c r="A35" i="99" l="1"/>
  <c r="AB10" i="113"/>
  <c r="A33" i="3"/>
  <c r="I38" i="162"/>
  <c r="K38" i="162" s="1"/>
  <c r="G34" i="161"/>
  <c r="M37" i="162"/>
  <c r="P37" i="162" s="1"/>
  <c r="E28" i="162"/>
  <c r="M43" i="162"/>
  <c r="P43" i="162" s="1"/>
  <c r="R45" i="162"/>
  <c r="F23" i="162"/>
  <c r="I14" i="162"/>
  <c r="G14" i="162"/>
  <c r="BX26" i="1"/>
  <c r="I27" i="162"/>
  <c r="H46" i="162"/>
  <c r="G26" i="117"/>
  <c r="F26" i="117" s="1"/>
  <c r="G26" i="162"/>
  <c r="F26" i="162" s="1"/>
  <c r="K46" i="162"/>
  <c r="M42" i="162"/>
  <c r="G18" i="117"/>
  <c r="F18" i="117" s="1"/>
  <c r="G18" i="162"/>
  <c r="F18" i="162" s="1"/>
  <c r="K24" i="162"/>
  <c r="H24" i="162"/>
  <c r="K34" i="162"/>
  <c r="H34" i="162"/>
  <c r="K39" i="162"/>
  <c r="H39" i="162"/>
  <c r="BY42" i="1"/>
  <c r="H37" i="117"/>
  <c r="E37" i="161"/>
  <c r="F37" i="161" s="1"/>
  <c r="H34" i="117"/>
  <c r="E34" i="161"/>
  <c r="H42" i="117"/>
  <c r="E42" i="161"/>
  <c r="H43" i="117"/>
  <c r="E43" i="161"/>
  <c r="F43" i="161" s="1"/>
  <c r="BY36" i="1"/>
  <c r="BY41" i="1"/>
  <c r="G27" i="50"/>
  <c r="I27" i="117"/>
  <c r="AA10" i="113"/>
  <c r="A32" i="3"/>
  <c r="A34" i="99"/>
  <c r="BH22" i="1"/>
  <c r="BX22" i="1" s="1"/>
  <c r="G23" i="117"/>
  <c r="G14" i="117"/>
  <c r="BH14" i="1"/>
  <c r="G15" i="117"/>
  <c r="F15" i="117" s="1"/>
  <c r="K43" i="117"/>
  <c r="I24" i="117"/>
  <c r="I38" i="117"/>
  <c r="E27" i="1"/>
  <c r="E28" i="113" s="1"/>
  <c r="E25" i="117"/>
  <c r="I46" i="117"/>
  <c r="I39" i="117"/>
  <c r="H48" i="99"/>
  <c r="K48" i="99" s="1"/>
  <c r="G24" i="50"/>
  <c r="BX23" i="1"/>
  <c r="G38" i="50"/>
  <c r="BX37" i="1"/>
  <c r="G38" i="161" s="1"/>
  <c r="J38" i="161" s="1"/>
  <c r="G39" i="50"/>
  <c r="BX38" i="1"/>
  <c r="G39" i="161" s="1"/>
  <c r="J39" i="161" s="1"/>
  <c r="H81" i="113"/>
  <c r="N81" i="113"/>
  <c r="L52" i="113"/>
  <c r="AC53" i="1"/>
  <c r="G54" i="162" s="1"/>
  <c r="F54" i="162" s="1"/>
  <c r="P81" i="113"/>
  <c r="E21" i="3"/>
  <c r="F22" i="166" s="1"/>
  <c r="H26" i="99"/>
  <c r="K26" i="99" s="1"/>
  <c r="E24" i="3"/>
  <c r="F25" i="166" s="1"/>
  <c r="K47" i="99"/>
  <c r="K49" i="99"/>
  <c r="K39" i="99"/>
  <c r="K42" i="99"/>
  <c r="E13" i="3"/>
  <c r="F14" i="166" s="1"/>
  <c r="H13" i="99"/>
  <c r="H24" i="99"/>
  <c r="K24" i="99" s="1"/>
  <c r="H32" i="99"/>
  <c r="K32" i="99" s="1"/>
  <c r="E12" i="3"/>
  <c r="F13" i="166" s="1"/>
  <c r="K52" i="99"/>
  <c r="H19" i="99"/>
  <c r="K19" i="99" s="1"/>
  <c r="H21" i="99"/>
  <c r="K21" i="99" s="1"/>
  <c r="H12" i="99"/>
  <c r="K12" i="99" s="1"/>
  <c r="H27" i="99"/>
  <c r="K27" i="99" s="1"/>
  <c r="E25" i="113"/>
  <c r="AC24" i="1"/>
  <c r="BH17" i="1"/>
  <c r="I18" i="162" s="1"/>
  <c r="BH25" i="1"/>
  <c r="I26" i="162" s="1"/>
  <c r="H18" i="99"/>
  <c r="K18" i="99" s="1"/>
  <c r="H23" i="99"/>
  <c r="K23" i="99" s="1"/>
  <c r="H31" i="99"/>
  <c r="K31" i="99" s="1"/>
  <c r="K51" i="99"/>
  <c r="H29" i="99"/>
  <c r="K29" i="99" s="1"/>
  <c r="H22" i="99"/>
  <c r="K22" i="99" s="1"/>
  <c r="H11" i="99"/>
  <c r="K11" i="99" s="1"/>
  <c r="H16" i="99"/>
  <c r="K16" i="99" s="1"/>
  <c r="H25" i="99"/>
  <c r="K25" i="99" s="1"/>
  <c r="H20" i="99"/>
  <c r="K20" i="99" s="1"/>
  <c r="F81" i="113"/>
  <c r="H28" i="50"/>
  <c r="H66" i="50"/>
  <c r="H74" i="50" s="1"/>
  <c r="E53" i="50"/>
  <c r="I22" i="166" l="1"/>
  <c r="G22" i="166"/>
  <c r="I13" i="166"/>
  <c r="G13" i="166"/>
  <c r="I14" i="166"/>
  <c r="G14" i="166"/>
  <c r="A34" i="48"/>
  <c r="A34" i="166"/>
  <c r="I25" i="166"/>
  <c r="G25" i="166"/>
  <c r="A33" i="48"/>
  <c r="A33" i="166"/>
  <c r="H38" i="162"/>
  <c r="F25" i="48"/>
  <c r="G25" i="48" s="1"/>
  <c r="F22" i="48"/>
  <c r="G22" i="48" s="1"/>
  <c r="F13" i="48"/>
  <c r="G13" i="48" s="1"/>
  <c r="F14" i="48"/>
  <c r="G14" i="48" s="1"/>
  <c r="F34" i="161"/>
  <c r="I14" i="117"/>
  <c r="E14" i="161" s="1"/>
  <c r="G27" i="161"/>
  <c r="BY26" i="1"/>
  <c r="M46" i="162"/>
  <c r="P24" i="162"/>
  <c r="R24" i="162" s="1"/>
  <c r="R43" i="162"/>
  <c r="M39" i="162"/>
  <c r="P39" i="162" s="1"/>
  <c r="M38" i="162"/>
  <c r="P38" i="162" s="1"/>
  <c r="P42" i="162"/>
  <c r="P46" i="162" s="1"/>
  <c r="R37" i="162"/>
  <c r="K26" i="162"/>
  <c r="H26" i="162"/>
  <c r="F14" i="162"/>
  <c r="K18" i="162"/>
  <c r="P18" i="162" s="1"/>
  <c r="H18" i="162"/>
  <c r="G25" i="117"/>
  <c r="G28" i="117" s="1"/>
  <c r="G25" i="162"/>
  <c r="H27" i="162"/>
  <c r="K27" i="162"/>
  <c r="K14" i="162"/>
  <c r="P14" i="162" s="1"/>
  <c r="R14" i="162" s="1"/>
  <c r="H14" i="162"/>
  <c r="I15" i="117"/>
  <c r="E15" i="161" s="1"/>
  <c r="I15" i="162"/>
  <c r="I23" i="117"/>
  <c r="I23" i="162"/>
  <c r="BX13" i="1"/>
  <c r="BY13" i="1" s="1"/>
  <c r="M34" i="162"/>
  <c r="P34" i="162" s="1"/>
  <c r="H46" i="117"/>
  <c r="H38" i="117"/>
  <c r="E38" i="161"/>
  <c r="F38" i="161" s="1"/>
  <c r="BY38" i="1"/>
  <c r="BY23" i="1"/>
  <c r="G24" i="161"/>
  <c r="J24" i="161" s="1"/>
  <c r="H27" i="117"/>
  <c r="E27" i="161"/>
  <c r="H39" i="117"/>
  <c r="E39" i="161"/>
  <c r="H24" i="117"/>
  <c r="E24" i="161"/>
  <c r="E26" i="51"/>
  <c r="BY37" i="1"/>
  <c r="E46" i="161"/>
  <c r="F42" i="161"/>
  <c r="K27" i="117"/>
  <c r="W10" i="113"/>
  <c r="G23" i="161"/>
  <c r="G23" i="50"/>
  <c r="G14" i="50"/>
  <c r="BX14" i="1"/>
  <c r="G15" i="50"/>
  <c r="F23" i="117"/>
  <c r="BH53" i="1"/>
  <c r="G54" i="117"/>
  <c r="F54" i="117" s="1"/>
  <c r="F14" i="117"/>
  <c r="E28" i="117"/>
  <c r="I18" i="117"/>
  <c r="K39" i="117"/>
  <c r="K24" i="117"/>
  <c r="I26" i="117"/>
  <c r="K38" i="117"/>
  <c r="G18" i="50"/>
  <c r="BX17" i="1"/>
  <c r="G26" i="50"/>
  <c r="BX25" i="1"/>
  <c r="K13" i="99"/>
  <c r="BH24" i="1"/>
  <c r="I25" i="162" s="1"/>
  <c r="AC27" i="1"/>
  <c r="H77" i="50"/>
  <c r="H81" i="50" s="1"/>
  <c r="J27" i="161" l="1"/>
  <c r="H14" i="117"/>
  <c r="E23" i="161"/>
  <c r="F23" i="161" s="1"/>
  <c r="R34" i="162"/>
  <c r="F27" i="161"/>
  <c r="F25" i="117"/>
  <c r="H23" i="117"/>
  <c r="K23" i="117"/>
  <c r="R42" i="162"/>
  <c r="R46" i="162" s="1"/>
  <c r="M27" i="162"/>
  <c r="P27" i="162" s="1"/>
  <c r="AC28" i="162" s="1"/>
  <c r="P26" i="162"/>
  <c r="R26" i="162" s="1"/>
  <c r="R38" i="162"/>
  <c r="R18" i="162"/>
  <c r="R39" i="162"/>
  <c r="F25" i="162"/>
  <c r="F28" i="162" s="1"/>
  <c r="G28" i="162"/>
  <c r="I54" i="162"/>
  <c r="K23" i="162"/>
  <c r="I28" i="162"/>
  <c r="H23" i="162"/>
  <c r="H25" i="162"/>
  <c r="K25" i="162"/>
  <c r="H15" i="117"/>
  <c r="K15" i="117"/>
  <c r="G14" i="161"/>
  <c r="F14" i="161" s="1"/>
  <c r="K15" i="162"/>
  <c r="H15" i="162"/>
  <c r="BY14" i="1"/>
  <c r="G15" i="161"/>
  <c r="J23" i="161"/>
  <c r="G26" i="161"/>
  <c r="BY25" i="1"/>
  <c r="F39" i="161"/>
  <c r="G18" i="161"/>
  <c r="BY17" i="1"/>
  <c r="H26" i="117"/>
  <c r="E26" i="161"/>
  <c r="H18" i="117"/>
  <c r="E18" i="161"/>
  <c r="F24" i="161"/>
  <c r="BY22" i="1"/>
  <c r="I54" i="117"/>
  <c r="BX53" i="1"/>
  <c r="G54" i="161" s="1"/>
  <c r="G54" i="50"/>
  <c r="F28" i="117"/>
  <c r="I25" i="117"/>
  <c r="K18" i="117"/>
  <c r="K26" i="117"/>
  <c r="G25" i="50"/>
  <c r="BX24" i="1"/>
  <c r="AC10" i="113"/>
  <c r="C63" i="3"/>
  <c r="C39" i="3"/>
  <c r="C46" i="3"/>
  <c r="C45" i="3"/>
  <c r="C44" i="3"/>
  <c r="C36" i="3"/>
  <c r="B35" i="48" l="1"/>
  <c r="B35" i="166"/>
  <c r="B62" i="48"/>
  <c r="B62" i="166"/>
  <c r="B44" i="48"/>
  <c r="B44" i="166"/>
  <c r="B43" i="48"/>
  <c r="B43" i="166"/>
  <c r="B45" i="48"/>
  <c r="B45" i="166"/>
  <c r="B38" i="48"/>
  <c r="B38" i="166"/>
  <c r="M25" i="162"/>
  <c r="P25" i="162" s="1"/>
  <c r="P15" i="162"/>
  <c r="R15" i="162" s="1"/>
  <c r="R27" i="162"/>
  <c r="K54" i="162"/>
  <c r="H54" i="162"/>
  <c r="H28" i="162"/>
  <c r="M23" i="162"/>
  <c r="P23" i="162" s="1"/>
  <c r="K28" i="162"/>
  <c r="J26" i="161"/>
  <c r="F26" i="161"/>
  <c r="K54" i="117"/>
  <c r="E54" i="161"/>
  <c r="J18" i="161"/>
  <c r="F18" i="161"/>
  <c r="G25" i="161"/>
  <c r="BY24" i="1"/>
  <c r="BY27" i="1" s="1"/>
  <c r="H25" i="117"/>
  <c r="H28" i="117" s="1"/>
  <c r="E25" i="161"/>
  <c r="E28" i="161" s="1"/>
  <c r="BY53" i="1"/>
  <c r="J15" i="161"/>
  <c r="F15" i="161"/>
  <c r="H54" i="117"/>
  <c r="K25" i="117"/>
  <c r="I28" i="117"/>
  <c r="E55" i="50"/>
  <c r="E54" i="50"/>
  <c r="E26" i="50"/>
  <c r="A36" i="3"/>
  <c r="A35" i="48" l="1"/>
  <c r="A35" i="166"/>
  <c r="K28" i="117"/>
  <c r="P28" i="162"/>
  <c r="P54" i="162"/>
  <c r="R54" i="162" s="1"/>
  <c r="M28" i="162"/>
  <c r="R25" i="162"/>
  <c r="R23" i="162"/>
  <c r="J25" i="161"/>
  <c r="J28" i="161" s="1"/>
  <c r="F25" i="161"/>
  <c r="F28" i="161" s="1"/>
  <c r="G28" i="161"/>
  <c r="A61" i="99"/>
  <c r="A58" i="3"/>
  <c r="E45" i="50"/>
  <c r="A57" i="48" l="1"/>
  <c r="A57" i="166"/>
  <c r="R28" i="162"/>
  <c r="I26" i="50"/>
  <c r="F26" i="50"/>
  <c r="A66" i="99" l="1"/>
  <c r="A63" i="3"/>
  <c r="A62" i="48" l="1"/>
  <c r="A62" i="166"/>
  <c r="A62" i="99"/>
  <c r="E8" i="48" l="1"/>
  <c r="E76" i="48" s="1"/>
  <c r="A33" i="99" l="1"/>
  <c r="A31" i="3"/>
  <c r="A32" i="48" l="1"/>
  <c r="A32" i="166"/>
  <c r="B52" i="99"/>
  <c r="C49" i="3"/>
  <c r="B29" i="99"/>
  <c r="B13" i="99"/>
  <c r="A13" i="99"/>
  <c r="C13" i="3"/>
  <c r="A13" i="3"/>
  <c r="D37" i="99"/>
  <c r="D69" i="99" s="1"/>
  <c r="A101" i="48"/>
  <c r="C82" i="48"/>
  <c r="E89" i="48" s="1"/>
  <c r="A98" i="48"/>
  <c r="A99" i="48"/>
  <c r="A142" i="48"/>
  <c r="B142" i="48"/>
  <c r="F142" i="48"/>
  <c r="B145" i="48"/>
  <c r="F145" i="48"/>
  <c r="C158" i="48"/>
  <c r="C159" i="48"/>
  <c r="B11" i="48"/>
  <c r="C11" i="3"/>
  <c r="A12" i="3"/>
  <c r="C12" i="3"/>
  <c r="A14" i="3"/>
  <c r="C14" i="3"/>
  <c r="C48" i="3"/>
  <c r="A16" i="3"/>
  <c r="C16" i="3"/>
  <c r="A17" i="3"/>
  <c r="C17" i="3"/>
  <c r="A18" i="3"/>
  <c r="C18" i="3"/>
  <c r="A19" i="3"/>
  <c r="C19" i="3"/>
  <c r="A29" i="3"/>
  <c r="C29" i="3"/>
  <c r="A30" i="3"/>
  <c r="C30" i="3"/>
  <c r="C28" i="3"/>
  <c r="C20" i="3"/>
  <c r="C21" i="3"/>
  <c r="C22" i="3"/>
  <c r="C23" i="3"/>
  <c r="C25" i="3"/>
  <c r="C27" i="3"/>
  <c r="A105" i="48"/>
  <c r="B105" i="48"/>
  <c r="A106" i="48"/>
  <c r="B106" i="48"/>
  <c r="A107" i="48"/>
  <c r="B107" i="48"/>
  <c r="A108" i="48"/>
  <c r="B108" i="48"/>
  <c r="A109" i="48"/>
  <c r="B109" i="48"/>
  <c r="A110" i="48"/>
  <c r="B110" i="48"/>
  <c r="A111" i="48"/>
  <c r="B111" i="48"/>
  <c r="A112" i="48"/>
  <c r="B112" i="48"/>
  <c r="A113" i="48"/>
  <c r="B113" i="48"/>
  <c r="A114" i="48"/>
  <c r="B114" i="48"/>
  <c r="A115" i="48"/>
  <c r="B115" i="48"/>
  <c r="A116" i="48"/>
  <c r="B116" i="48"/>
  <c r="A117" i="48"/>
  <c r="B117" i="48"/>
  <c r="A118" i="48"/>
  <c r="B118" i="48"/>
  <c r="A119" i="48"/>
  <c r="B119" i="48"/>
  <c r="A120" i="48"/>
  <c r="B120" i="48"/>
  <c r="A121" i="48"/>
  <c r="B121" i="48"/>
  <c r="A122" i="48"/>
  <c r="B122" i="48"/>
  <c r="A123" i="48"/>
  <c r="B123" i="48"/>
  <c r="A124" i="48"/>
  <c r="B124" i="48"/>
  <c r="A125" i="48"/>
  <c r="B125" i="48"/>
  <c r="A127" i="48"/>
  <c r="B127" i="48"/>
  <c r="A128" i="48"/>
  <c r="B128" i="48"/>
  <c r="A129" i="48"/>
  <c r="B129" i="48"/>
  <c r="A130" i="48"/>
  <c r="B130" i="48"/>
  <c r="A131" i="48"/>
  <c r="B131" i="48"/>
  <c r="A132" i="48"/>
  <c r="B132" i="48"/>
  <c r="A133" i="48"/>
  <c r="B133" i="48"/>
  <c r="A134" i="48"/>
  <c r="B134" i="48"/>
  <c r="A135" i="48"/>
  <c r="B135" i="48"/>
  <c r="A136" i="48"/>
  <c r="B136" i="48"/>
  <c r="A137" i="48"/>
  <c r="B137" i="48"/>
  <c r="A138" i="48"/>
  <c r="B138" i="48"/>
  <c r="A139" i="48"/>
  <c r="B139" i="48"/>
  <c r="A140" i="48"/>
  <c r="B140" i="48"/>
  <c r="A141" i="48"/>
  <c r="B141" i="48"/>
  <c r="E39" i="50"/>
  <c r="E42" i="50"/>
  <c r="M9" i="99"/>
  <c r="T15" i="51"/>
  <c r="T17" i="51"/>
  <c r="A11" i="99"/>
  <c r="B11" i="99"/>
  <c r="A12" i="99"/>
  <c r="B12" i="99"/>
  <c r="A16" i="99"/>
  <c r="B16" i="99"/>
  <c r="B51" i="99"/>
  <c r="A18" i="99"/>
  <c r="B18" i="99"/>
  <c r="A19" i="99"/>
  <c r="B19" i="99"/>
  <c r="A20" i="99"/>
  <c r="B20" i="99"/>
  <c r="A21" i="99"/>
  <c r="B21" i="99"/>
  <c r="A31" i="99"/>
  <c r="B31" i="99"/>
  <c r="A32" i="99"/>
  <c r="B32" i="99"/>
  <c r="B22" i="99"/>
  <c r="B23" i="99"/>
  <c r="B24" i="99"/>
  <c r="B25" i="99"/>
  <c r="B27" i="99"/>
  <c r="B47" i="99"/>
  <c r="B48" i="99"/>
  <c r="A39" i="99"/>
  <c r="B39" i="99"/>
  <c r="B49" i="99"/>
  <c r="B42" i="99"/>
  <c r="A84" i="99"/>
  <c r="B84" i="99"/>
  <c r="A85" i="99"/>
  <c r="B85" i="99"/>
  <c r="A86" i="99"/>
  <c r="B86" i="99"/>
  <c r="A87" i="99"/>
  <c r="B87" i="99"/>
  <c r="A88" i="99"/>
  <c r="B88" i="99"/>
  <c r="A89" i="99"/>
  <c r="B89" i="99"/>
  <c r="A90" i="99"/>
  <c r="B90" i="99"/>
  <c r="A91" i="99"/>
  <c r="B91" i="99"/>
  <c r="A96" i="99"/>
  <c r="B96" i="99"/>
  <c r="A97" i="99"/>
  <c r="B97" i="99"/>
  <c r="A98" i="99"/>
  <c r="B98" i="99"/>
  <c r="A99" i="99"/>
  <c r="B99" i="99"/>
  <c r="A100" i="99"/>
  <c r="B100" i="99"/>
  <c r="A101" i="99"/>
  <c r="B101" i="99"/>
  <c r="A102" i="99"/>
  <c r="B102" i="99"/>
  <c r="A103" i="99"/>
  <c r="B103" i="99"/>
  <c r="A104" i="99"/>
  <c r="B104" i="99"/>
  <c r="A105" i="99"/>
  <c r="B105" i="99"/>
  <c r="A106" i="99"/>
  <c r="B106" i="99"/>
  <c r="A107" i="99"/>
  <c r="B107" i="99"/>
  <c r="A108" i="99"/>
  <c r="B108" i="99"/>
  <c r="A109" i="99"/>
  <c r="B109" i="99"/>
  <c r="A114" i="99"/>
  <c r="B114" i="99"/>
  <c r="A115" i="99"/>
  <c r="B115" i="99"/>
  <c r="A116" i="99"/>
  <c r="B116" i="99"/>
  <c r="A117" i="99"/>
  <c r="B117" i="99"/>
  <c r="A118" i="99"/>
  <c r="B118" i="99"/>
  <c r="A119" i="99"/>
  <c r="B119" i="99"/>
  <c r="A120" i="99"/>
  <c r="B120" i="99"/>
  <c r="A121" i="99"/>
  <c r="B121" i="99"/>
  <c r="A122" i="99"/>
  <c r="B122" i="99"/>
  <c r="A123" i="99"/>
  <c r="B123" i="99"/>
  <c r="A124" i="99"/>
  <c r="B124" i="99"/>
  <c r="A125" i="99"/>
  <c r="B125" i="99"/>
  <c r="A126" i="99"/>
  <c r="B126" i="99"/>
  <c r="A127" i="99"/>
  <c r="B127" i="99"/>
  <c r="A128" i="99"/>
  <c r="B128" i="99"/>
  <c r="A129" i="99"/>
  <c r="B129" i="99"/>
  <c r="F141" i="48"/>
  <c r="F140" i="48"/>
  <c r="C96" i="48"/>
  <c r="C174" i="48" s="1"/>
  <c r="C88" i="48"/>
  <c r="C166" i="48" s="1"/>
  <c r="C92" i="48"/>
  <c r="C170" i="48" s="1"/>
  <c r="C91" i="48"/>
  <c r="C169" i="48" s="1"/>
  <c r="C87" i="48"/>
  <c r="C165" i="48" s="1"/>
  <c r="C95" i="48"/>
  <c r="C173" i="48" s="1"/>
  <c r="C86" i="48"/>
  <c r="C164" i="48" s="1"/>
  <c r="F123" i="48"/>
  <c r="F137" i="48"/>
  <c r="F139" i="48"/>
  <c r="F129" i="48"/>
  <c r="F113" i="48"/>
  <c r="F121" i="48"/>
  <c r="F135" i="48"/>
  <c r="F129" i="99"/>
  <c r="F133" i="48"/>
  <c r="F136" i="48"/>
  <c r="F108" i="48"/>
  <c r="F117" i="48"/>
  <c r="F124" i="99"/>
  <c r="F115" i="48"/>
  <c r="F119" i="48"/>
  <c r="F130" i="48"/>
  <c r="F107" i="99"/>
  <c r="F123" i="99"/>
  <c r="F126" i="99"/>
  <c r="F138" i="48"/>
  <c r="F118" i="48"/>
  <c r="F134" i="48"/>
  <c r="F109" i="48"/>
  <c r="F112" i="48"/>
  <c r="F116" i="48"/>
  <c r="F114" i="48"/>
  <c r="F120" i="48"/>
  <c r="F131" i="48"/>
  <c r="F120" i="99"/>
  <c r="F125" i="99"/>
  <c r="F114" i="99"/>
  <c r="F111" i="48"/>
  <c r="F124" i="48"/>
  <c r="F132" i="48"/>
  <c r="F106" i="99"/>
  <c r="F127" i="99"/>
  <c r="F116" i="99"/>
  <c r="F117" i="99"/>
  <c r="F125" i="48"/>
  <c r="F105" i="48"/>
  <c r="F143" i="48" s="1"/>
  <c r="F106" i="48"/>
  <c r="F110" i="48"/>
  <c r="F96" i="99"/>
  <c r="F105" i="99"/>
  <c r="F119" i="99"/>
  <c r="F127" i="48"/>
  <c r="F107" i="48"/>
  <c r="F84" i="99"/>
  <c r="F94" i="99" s="1"/>
  <c r="F102" i="99"/>
  <c r="F122" i="48"/>
  <c r="F128" i="99"/>
  <c r="F122" i="99"/>
  <c r="F104" i="99"/>
  <c r="F97" i="99"/>
  <c r="F101" i="99"/>
  <c r="F109" i="99"/>
  <c r="F108" i="99"/>
  <c r="F121" i="99"/>
  <c r="F118" i="99"/>
  <c r="F88" i="99"/>
  <c r="F86" i="99"/>
  <c r="F85" i="99"/>
  <c r="F91" i="99"/>
  <c r="F100" i="99"/>
  <c r="F99" i="99"/>
  <c r="F89" i="99"/>
  <c r="F98" i="99"/>
  <c r="F90" i="99"/>
  <c r="F87" i="99"/>
  <c r="F103" i="99"/>
  <c r="F128" i="48"/>
  <c r="F115" i="99"/>
  <c r="E24" i="50"/>
  <c r="E37" i="99"/>
  <c r="E69" i="99" s="1"/>
  <c r="B23" i="48" l="1"/>
  <c r="B23" i="166"/>
  <c r="B31" i="48"/>
  <c r="B31" i="166"/>
  <c r="B20" i="48"/>
  <c r="B20" i="166"/>
  <c r="B18" i="48"/>
  <c r="B18" i="166"/>
  <c r="B47" i="48"/>
  <c r="B47" i="166"/>
  <c r="A13" i="48"/>
  <c r="A13" i="166"/>
  <c r="B14" i="48"/>
  <c r="B14" i="166"/>
  <c r="B48" i="48"/>
  <c r="B48" i="166"/>
  <c r="B28" i="48"/>
  <c r="B28" i="166"/>
  <c r="B22" i="48"/>
  <c r="B22" i="166"/>
  <c r="A31" i="48"/>
  <c r="A31" i="166"/>
  <c r="A20" i="48"/>
  <c r="A20" i="166"/>
  <c r="A18" i="48"/>
  <c r="A18" i="166"/>
  <c r="B15" i="48"/>
  <c r="B15" i="166"/>
  <c r="B12" i="48"/>
  <c r="B12" i="166"/>
  <c r="B26" i="48"/>
  <c r="B26" i="166"/>
  <c r="B21" i="48"/>
  <c r="B21" i="166"/>
  <c r="B30" i="48"/>
  <c r="B30" i="166"/>
  <c r="B19" i="48"/>
  <c r="B19" i="166"/>
  <c r="B17" i="48"/>
  <c r="B17" i="166"/>
  <c r="A15" i="48"/>
  <c r="A15" i="166"/>
  <c r="B24" i="48"/>
  <c r="B24" i="166"/>
  <c r="B29" i="48"/>
  <c r="B29" i="166"/>
  <c r="A30" i="48"/>
  <c r="A30" i="166"/>
  <c r="A19" i="48"/>
  <c r="A19" i="166"/>
  <c r="A17" i="48"/>
  <c r="A17" i="166"/>
  <c r="B13" i="48"/>
  <c r="B13" i="166"/>
  <c r="A14" i="48"/>
  <c r="A14" i="166"/>
  <c r="M35" i="99"/>
  <c r="M67" i="99"/>
  <c r="M60" i="99"/>
  <c r="M65" i="99"/>
  <c r="M40" i="99"/>
  <c r="M43" i="99"/>
  <c r="M44" i="99"/>
  <c r="M57" i="99"/>
  <c r="M63" i="99"/>
  <c r="M41" i="99"/>
  <c r="C93" i="48"/>
  <c r="D92" i="48" s="1"/>
  <c r="C167" i="48"/>
  <c r="D164" i="48" s="1"/>
  <c r="C97" i="48"/>
  <c r="D95" i="48" s="1"/>
  <c r="D97" i="48" s="1"/>
  <c r="E14" i="50"/>
  <c r="F14" i="50" s="1"/>
  <c r="E52" i="50"/>
  <c r="E27" i="50"/>
  <c r="E34" i="50"/>
  <c r="E43" i="50"/>
  <c r="E46" i="50" s="1"/>
  <c r="E25" i="50"/>
  <c r="E38" i="50"/>
  <c r="E37" i="50"/>
  <c r="E18" i="50"/>
  <c r="E15" i="50"/>
  <c r="F112" i="99"/>
  <c r="C171" i="48"/>
  <c r="D169" i="48" s="1"/>
  <c r="C160" i="48"/>
  <c r="E167" i="48" s="1"/>
  <c r="C175" i="48"/>
  <c r="D173" i="48" s="1"/>
  <c r="C89" i="48"/>
  <c r="D86" i="48" s="1"/>
  <c r="F147" i="48"/>
  <c r="F151" i="48" s="1"/>
  <c r="F154" i="48" s="1"/>
  <c r="D91" i="48" l="1"/>
  <c r="D93" i="48" s="1"/>
  <c r="D170" i="48"/>
  <c r="D171" i="48" s="1"/>
  <c r="A28" i="3"/>
  <c r="D165" i="48"/>
  <c r="E165" i="48" s="1"/>
  <c r="E175" i="48" s="1"/>
  <c r="E173" i="48" s="1"/>
  <c r="D166" i="48"/>
  <c r="E166" i="48" s="1"/>
  <c r="D96" i="48"/>
  <c r="E23" i="50"/>
  <c r="E28" i="50" s="1"/>
  <c r="F131" i="99"/>
  <c r="D175" i="48"/>
  <c r="E86" i="48"/>
  <c r="E93" i="48" s="1"/>
  <c r="D174" i="48"/>
  <c r="D88" i="48"/>
  <c r="E88" i="48" s="1"/>
  <c r="D87" i="48"/>
  <c r="E87" i="48" s="1"/>
  <c r="E97" i="48" s="1"/>
  <c r="E164" i="48"/>
  <c r="E171" i="48" s="1"/>
  <c r="A29" i="48" l="1"/>
  <c r="A29" i="166"/>
  <c r="E86" i="1"/>
  <c r="F34" i="50"/>
  <c r="A20" i="3"/>
  <c r="A22" i="99"/>
  <c r="F37" i="50"/>
  <c r="I15" i="50"/>
  <c r="D167" i="48"/>
  <c r="E174" i="48"/>
  <c r="E95" i="48"/>
  <c r="E96" i="48"/>
  <c r="E92" i="48"/>
  <c r="E91" i="48"/>
  <c r="D89" i="48"/>
  <c r="E169" i="48"/>
  <c r="E170" i="48"/>
  <c r="A21" i="48" l="1"/>
  <c r="A21" i="166"/>
  <c r="F15" i="50"/>
  <c r="E18" i="3"/>
  <c r="F19" i="166" s="1"/>
  <c r="G46" i="50"/>
  <c r="F42" i="50"/>
  <c r="I27" i="50"/>
  <c r="F27" i="50"/>
  <c r="I43" i="50"/>
  <c r="F43" i="50"/>
  <c r="I39" i="50"/>
  <c r="F39" i="50"/>
  <c r="A23" i="99"/>
  <c r="A21" i="3"/>
  <c r="I24" i="50"/>
  <c r="F24" i="50"/>
  <c r="I25" i="50"/>
  <c r="F25" i="50"/>
  <c r="I54" i="50"/>
  <c r="F54" i="50"/>
  <c r="F18" i="50"/>
  <c r="I18" i="50"/>
  <c r="I45" i="50"/>
  <c r="F45" i="50"/>
  <c r="I38" i="50"/>
  <c r="F38" i="50"/>
  <c r="E17" i="3"/>
  <c r="F18" i="166" s="1"/>
  <c r="E46" i="3"/>
  <c r="F45" i="166" s="1"/>
  <c r="E44" i="3"/>
  <c r="F43" i="166" s="1"/>
  <c r="E28" i="3"/>
  <c r="F29" i="166" s="1"/>
  <c r="E27" i="3"/>
  <c r="E14" i="3"/>
  <c r="F15" i="166" s="1"/>
  <c r="E49" i="3"/>
  <c r="F48" i="166" s="1"/>
  <c r="G48" i="166" l="1"/>
  <c r="I48" i="166"/>
  <c r="I45" i="166"/>
  <c r="G45" i="166"/>
  <c r="G19" i="166"/>
  <c r="I19" i="166"/>
  <c r="G18" i="166"/>
  <c r="I18" i="166"/>
  <c r="G15" i="166"/>
  <c r="I15" i="166"/>
  <c r="F28" i="48"/>
  <c r="G28" i="48" s="1"/>
  <c r="F28" i="166"/>
  <c r="I29" i="166"/>
  <c r="G29" i="166"/>
  <c r="A22" i="48"/>
  <c r="A22" i="166"/>
  <c r="G43" i="166"/>
  <c r="I43" i="166"/>
  <c r="F48" i="48"/>
  <c r="G48" i="48" s="1"/>
  <c r="F29" i="48"/>
  <c r="G29" i="48" s="1"/>
  <c r="F43" i="48"/>
  <c r="G43" i="48" s="1"/>
  <c r="F15" i="48"/>
  <c r="G15" i="48" s="1"/>
  <c r="F45" i="48"/>
  <c r="G45" i="48" s="1"/>
  <c r="F19" i="48"/>
  <c r="G19" i="48" s="1"/>
  <c r="F18" i="48"/>
  <c r="G18" i="48" s="1"/>
  <c r="E45" i="3"/>
  <c r="F44" i="166" s="1"/>
  <c r="E23" i="3"/>
  <c r="F24" i="166" s="1"/>
  <c r="E16" i="3"/>
  <c r="F17" i="166" s="1"/>
  <c r="E36" i="3"/>
  <c r="F35" i="166" s="1"/>
  <c r="E20" i="3"/>
  <c r="F21" i="166" s="1"/>
  <c r="E63" i="3"/>
  <c r="F62" i="166" s="1"/>
  <c r="E39" i="3"/>
  <c r="F38" i="166" s="1"/>
  <c r="E29" i="3"/>
  <c r="F30" i="166" s="1"/>
  <c r="E19" i="3"/>
  <c r="F20" i="166" s="1"/>
  <c r="E25" i="3"/>
  <c r="F26" i="166" s="1"/>
  <c r="F46" i="50"/>
  <c r="E30" i="3"/>
  <c r="F31" i="166" s="1"/>
  <c r="A22" i="3"/>
  <c r="A24" i="99"/>
  <c r="E22" i="3"/>
  <c r="F23" i="166" s="1"/>
  <c r="E11" i="3"/>
  <c r="F12" i="166" s="1"/>
  <c r="E48" i="3"/>
  <c r="F47" i="166" s="1"/>
  <c r="G12" i="166" l="1"/>
  <c r="F76" i="166"/>
  <c r="F80" i="166" s="1"/>
  <c r="F84" i="166" s="1"/>
  <c r="F87" i="166" s="1"/>
  <c r="I12" i="166"/>
  <c r="G31" i="166"/>
  <c r="I31" i="166"/>
  <c r="G23" i="166"/>
  <c r="I23" i="166"/>
  <c r="I38" i="166"/>
  <c r="G38" i="166"/>
  <c r="I17" i="166"/>
  <c r="G17" i="166"/>
  <c r="G28" i="166"/>
  <c r="I28" i="166"/>
  <c r="I26" i="166"/>
  <c r="G26" i="166"/>
  <c r="G24" i="166"/>
  <c r="I24" i="166"/>
  <c r="I62" i="166"/>
  <c r="G62" i="166"/>
  <c r="G47" i="166"/>
  <c r="I47" i="166"/>
  <c r="A23" i="48"/>
  <c r="A23" i="166"/>
  <c r="G20" i="166"/>
  <c r="I20" i="166"/>
  <c r="I21" i="166"/>
  <c r="G21" i="166"/>
  <c r="G44" i="166"/>
  <c r="I44" i="166"/>
  <c r="I30" i="166"/>
  <c r="G30" i="166"/>
  <c r="G35" i="166"/>
  <c r="I35" i="166"/>
  <c r="F26" i="48"/>
  <c r="G26" i="48" s="1"/>
  <c r="F62" i="48"/>
  <c r="G62" i="48" s="1"/>
  <c r="F24" i="48"/>
  <c r="G24" i="48" s="1"/>
  <c r="F47" i="48"/>
  <c r="G47" i="48" s="1"/>
  <c r="F21" i="48"/>
  <c r="G21" i="48" s="1"/>
  <c r="F44" i="48"/>
  <c r="G44" i="48" s="1"/>
  <c r="F20" i="48"/>
  <c r="G20" i="48" s="1"/>
  <c r="F12" i="48"/>
  <c r="G12" i="48" s="1"/>
  <c r="F31" i="48"/>
  <c r="G31" i="48" s="1"/>
  <c r="F30" i="48"/>
  <c r="G30" i="48" s="1"/>
  <c r="F35" i="48"/>
  <c r="G35" i="48" s="1"/>
  <c r="F23" i="48"/>
  <c r="G23" i="48" s="1"/>
  <c r="F38" i="48"/>
  <c r="G38" i="48" s="1"/>
  <c r="F17" i="48"/>
  <c r="G17" i="48" s="1"/>
  <c r="A25" i="99"/>
  <c r="A23" i="3"/>
  <c r="A24" i="48" l="1"/>
  <c r="A24" i="166"/>
  <c r="F64" i="48"/>
  <c r="A25" i="3"/>
  <c r="A27" i="99"/>
  <c r="A26" i="48" l="1"/>
  <c r="A26" i="166"/>
  <c r="A27" i="3"/>
  <c r="A28" i="48" l="1"/>
  <c r="A28" i="166"/>
  <c r="A29" i="99"/>
  <c r="M15" i="51" l="1"/>
  <c r="I84" i="162" l="1"/>
  <c r="N97" i="162" s="1"/>
  <c r="N98" i="162" s="1"/>
  <c r="G7" i="3"/>
  <c r="J97" i="162"/>
  <c r="J98" i="162" s="1"/>
  <c r="O97" i="162"/>
  <c r="O98" i="162" s="1"/>
  <c r="F14" i="51"/>
  <c r="E14" i="51"/>
  <c r="AP52" i="1"/>
  <c r="AL52" i="1"/>
  <c r="Z52" i="1"/>
  <c r="Z53" i="113" s="1"/>
  <c r="T52" i="1"/>
  <c r="T53" i="113" s="1"/>
  <c r="P52" i="1"/>
  <c r="P53" i="113" s="1"/>
  <c r="H52" i="1"/>
  <c r="H53" i="113" s="1"/>
  <c r="K52" i="1"/>
  <c r="K53" i="113" s="1"/>
  <c r="AS52" i="1"/>
  <c r="AR53" i="113" s="1"/>
  <c r="AD52" i="1"/>
  <c r="AD56" i="1" s="1"/>
  <c r="G39" i="99" s="1"/>
  <c r="U52" i="1"/>
  <c r="S52" i="1"/>
  <c r="O52" i="1"/>
  <c r="O53" i="113" s="1"/>
  <c r="L52" i="1"/>
  <c r="L53" i="113" s="1"/>
  <c r="AU52" i="1"/>
  <c r="AN52" i="1"/>
  <c r="Y52" i="1"/>
  <c r="Y53" i="113" s="1"/>
  <c r="R52" i="1"/>
  <c r="R53" i="113" s="1"/>
  <c r="N52" i="1"/>
  <c r="N53" i="113" s="1"/>
  <c r="I52" i="1"/>
  <c r="I53" i="113" s="1"/>
  <c r="M52" i="1"/>
  <c r="M53" i="113" s="1"/>
  <c r="AR52" i="1"/>
  <c r="AQ53" i="113" s="1"/>
  <c r="AM52" i="1"/>
  <c r="AL53" i="113" s="1"/>
  <c r="AA52" i="1"/>
  <c r="AA56" i="1" s="1"/>
  <c r="X52" i="1"/>
  <c r="Q52" i="1"/>
  <c r="Q53" i="113" s="1"/>
  <c r="G52" i="1"/>
  <c r="G53" i="113" s="1"/>
  <c r="J52" i="1"/>
  <c r="J53" i="113" s="1"/>
  <c r="F53" i="113"/>
  <c r="BA52" i="1"/>
  <c r="AZ53" i="113" s="1"/>
  <c r="G45" i="99"/>
  <c r="G42" i="99"/>
  <c r="E66" i="48"/>
  <c r="N9" i="99"/>
  <c r="F62" i="3" l="1"/>
  <c r="G42" i="163" s="1"/>
  <c r="F74" i="3"/>
  <c r="S6" i="163" s="1"/>
  <c r="I28" i="163" s="1"/>
  <c r="F70" i="3"/>
  <c r="S2" i="163" s="1"/>
  <c r="I20" i="163" s="1"/>
  <c r="F73" i="3"/>
  <c r="S5" i="163" s="1"/>
  <c r="I27" i="163" s="1"/>
  <c r="F55" i="3"/>
  <c r="G35" i="163" s="1"/>
  <c r="F33" i="3"/>
  <c r="F72" i="3"/>
  <c r="S4" i="163" s="1"/>
  <c r="I25" i="163" s="1"/>
  <c r="F54" i="3"/>
  <c r="G34" i="163" s="1"/>
  <c r="F80" i="3"/>
  <c r="F57" i="3"/>
  <c r="G37" i="163" s="1"/>
  <c r="F64" i="3"/>
  <c r="F75" i="3"/>
  <c r="S7" i="163" s="1"/>
  <c r="I33" i="163" s="1"/>
  <c r="F79" i="3"/>
  <c r="F37" i="3"/>
  <c r="G16" i="163" s="1"/>
  <c r="F76" i="3"/>
  <c r="S8" i="163" s="1"/>
  <c r="I30" i="163" s="1"/>
  <c r="F78" i="3"/>
  <c r="S10" i="163" s="1"/>
  <c r="I39" i="163" s="1"/>
  <c r="R27" i="163" s="1"/>
  <c r="F69" i="3"/>
  <c r="S1" i="163" s="1"/>
  <c r="F81" i="3"/>
  <c r="F43" i="3"/>
  <c r="G22" i="163" s="1"/>
  <c r="F40" i="3"/>
  <c r="G19" i="163" s="1"/>
  <c r="F38" i="3"/>
  <c r="G17" i="163" s="1"/>
  <c r="F56" i="3"/>
  <c r="G36" i="163" s="1"/>
  <c r="F41" i="3"/>
  <c r="G20" i="163" s="1"/>
  <c r="F71" i="3"/>
  <c r="S3" i="163" s="1"/>
  <c r="I23" i="163" s="1"/>
  <c r="F77" i="3"/>
  <c r="S9" i="163" s="1"/>
  <c r="I38" i="163" s="1"/>
  <c r="F47" i="3"/>
  <c r="G26" i="163" s="1"/>
  <c r="F60" i="3"/>
  <c r="G40" i="163" s="1"/>
  <c r="N146" i="99"/>
  <c r="N145" i="99"/>
  <c r="N139" i="99"/>
  <c r="N134" i="99"/>
  <c r="N138" i="99"/>
  <c r="N137" i="99"/>
  <c r="N135" i="99"/>
  <c r="N136" i="99"/>
  <c r="N140" i="99"/>
  <c r="N144" i="99"/>
  <c r="N142" i="99"/>
  <c r="N143" i="99"/>
  <c r="N141" i="99"/>
  <c r="N59" i="99"/>
  <c r="N58" i="99"/>
  <c r="N55" i="99"/>
  <c r="N50" i="99"/>
  <c r="N46" i="99"/>
  <c r="N54" i="99"/>
  <c r="O134" i="99"/>
  <c r="O58" i="99"/>
  <c r="O139" i="99"/>
  <c r="O141" i="99"/>
  <c r="O143" i="99"/>
  <c r="O144" i="99"/>
  <c r="O140" i="99"/>
  <c r="O50" i="99"/>
  <c r="O142" i="99"/>
  <c r="O146" i="99"/>
  <c r="O55" i="99"/>
  <c r="O138" i="99"/>
  <c r="O46" i="99"/>
  <c r="O137" i="99"/>
  <c r="O135" i="99"/>
  <c r="O145" i="99"/>
  <c r="O59" i="99"/>
  <c r="O136" i="99"/>
  <c r="AN56" i="1"/>
  <c r="AM53" i="113"/>
  <c r="AT53" i="113"/>
  <c r="AU56" i="1"/>
  <c r="AT57" i="113" s="1"/>
  <c r="AL56" i="1"/>
  <c r="AK53" i="113"/>
  <c r="AP56" i="1"/>
  <c r="AO53" i="113"/>
  <c r="O67" i="99"/>
  <c r="N67" i="99"/>
  <c r="O35" i="99"/>
  <c r="N35" i="99"/>
  <c r="I60" i="48"/>
  <c r="I63" i="48"/>
  <c r="I62" i="48"/>
  <c r="I61" i="48"/>
  <c r="I37" i="48"/>
  <c r="I53" i="48"/>
  <c r="I57" i="48"/>
  <c r="I44" i="48"/>
  <c r="I41" i="48"/>
  <c r="I52" i="48"/>
  <c r="I56" i="48"/>
  <c r="I45" i="48"/>
  <c r="I59" i="48"/>
  <c r="I43" i="48"/>
  <c r="I50" i="48"/>
  <c r="I40" i="48"/>
  <c r="I55" i="48"/>
  <c r="I39" i="48"/>
  <c r="I46" i="48"/>
  <c r="I49" i="48"/>
  <c r="I51" i="48"/>
  <c r="I58" i="48"/>
  <c r="I42" i="48"/>
  <c r="I48" i="48"/>
  <c r="I47" i="48"/>
  <c r="I54" i="48"/>
  <c r="I38" i="48"/>
  <c r="I12" i="48"/>
  <c r="I34" i="48"/>
  <c r="I30" i="48"/>
  <c r="I31" i="48"/>
  <c r="I17" i="48"/>
  <c r="I20" i="48"/>
  <c r="I29" i="48"/>
  <c r="I19" i="48"/>
  <c r="I13" i="48"/>
  <c r="I26" i="48"/>
  <c r="I18" i="48"/>
  <c r="I36" i="48"/>
  <c r="I32" i="48"/>
  <c r="I15" i="48"/>
  <c r="I27" i="48"/>
  <c r="I25" i="48"/>
  <c r="I24" i="48"/>
  <c r="I16" i="48"/>
  <c r="I35" i="48"/>
  <c r="I28" i="48"/>
  <c r="I21" i="48"/>
  <c r="I22" i="48"/>
  <c r="I14" i="48"/>
  <c r="I33" i="48"/>
  <c r="I23" i="48"/>
  <c r="E84" i="1"/>
  <c r="AN79" i="162"/>
  <c r="BA56" i="1"/>
  <c r="X53" i="113"/>
  <c r="X56" i="1"/>
  <c r="X57" i="113" s="1"/>
  <c r="O60" i="99"/>
  <c r="N60" i="99"/>
  <c r="N65" i="99"/>
  <c r="O65" i="99"/>
  <c r="N57" i="99"/>
  <c r="N41" i="99"/>
  <c r="O57" i="99"/>
  <c r="O63" i="99"/>
  <c r="O43" i="99"/>
  <c r="N44" i="99"/>
  <c r="O44" i="99"/>
  <c r="O41" i="99"/>
  <c r="N43" i="99"/>
  <c r="N63" i="99"/>
  <c r="O40" i="99"/>
  <c r="N40" i="99"/>
  <c r="AC53" i="113"/>
  <c r="W53" i="113"/>
  <c r="AS56" i="1"/>
  <c r="N30" i="99"/>
  <c r="G64" i="99"/>
  <c r="D42" i="3"/>
  <c r="F42" i="3" s="1"/>
  <c r="G21" i="163" s="1"/>
  <c r="N28" i="99"/>
  <c r="N64" i="99"/>
  <c r="N56" i="99"/>
  <c r="N45" i="99"/>
  <c r="N56" i="1"/>
  <c r="N57" i="113" s="1"/>
  <c r="U53" i="113"/>
  <c r="U56" i="1"/>
  <c r="G28" i="99" s="1"/>
  <c r="AR56" i="1"/>
  <c r="AQ57" i="113" s="1"/>
  <c r="N53" i="99"/>
  <c r="AA53" i="113"/>
  <c r="N34" i="99"/>
  <c r="N24" i="99"/>
  <c r="N33" i="99"/>
  <c r="N47" i="99"/>
  <c r="N16" i="99"/>
  <c r="N62" i="99"/>
  <c r="N51" i="99"/>
  <c r="N13" i="99"/>
  <c r="N21" i="99"/>
  <c r="N29" i="99"/>
  <c r="N66" i="99"/>
  <c r="N49" i="99"/>
  <c r="N31" i="99"/>
  <c r="N11" i="99"/>
  <c r="N26" i="99"/>
  <c r="N25" i="99"/>
  <c r="N61" i="99"/>
  <c r="N48" i="99"/>
  <c r="N23" i="99"/>
  <c r="N39" i="99"/>
  <c r="N18" i="99"/>
  <c r="N27" i="99"/>
  <c r="N42" i="99"/>
  <c r="N20" i="99"/>
  <c r="N17" i="99"/>
  <c r="N32" i="99"/>
  <c r="N12" i="99"/>
  <c r="N22" i="99"/>
  <c r="N19" i="99"/>
  <c r="N52" i="99"/>
  <c r="AF53" i="113"/>
  <c r="Z56" i="1"/>
  <c r="Z57" i="113" s="1"/>
  <c r="S56" i="1"/>
  <c r="S57" i="113" s="1"/>
  <c r="S53" i="113"/>
  <c r="I56" i="1"/>
  <c r="I57" i="113" s="1"/>
  <c r="AM56" i="1"/>
  <c r="R56" i="1"/>
  <c r="R57" i="113" s="1"/>
  <c r="K56" i="1"/>
  <c r="K57" i="113" s="1"/>
  <c r="O56" i="1"/>
  <c r="O57" i="113" s="1"/>
  <c r="Y56" i="1"/>
  <c r="Y57" i="113" s="1"/>
  <c r="J56" i="1"/>
  <c r="L56" i="1"/>
  <c r="L57" i="113" s="1"/>
  <c r="P56" i="1"/>
  <c r="P57" i="113" s="1"/>
  <c r="T56" i="1"/>
  <c r="T57" i="113" s="1"/>
  <c r="M56" i="1"/>
  <c r="M57" i="113" s="1"/>
  <c r="AF57" i="113"/>
  <c r="Q56" i="1"/>
  <c r="Q57" i="113" s="1"/>
  <c r="H56" i="1"/>
  <c r="AC52" i="1"/>
  <c r="G53" i="162" s="1"/>
  <c r="F53" i="162" s="1"/>
  <c r="F56" i="1"/>
  <c r="AC57" i="113"/>
  <c r="G56" i="1"/>
  <c r="G57" i="113" s="1"/>
  <c r="F66" i="48"/>
  <c r="O15" i="99"/>
  <c r="O38" i="99"/>
  <c r="BO87" i="1" l="1"/>
  <c r="BO88" i="1" s="1"/>
  <c r="BO82" i="1" s="1"/>
  <c r="BG88" i="1"/>
  <c r="BG82" i="1" s="1"/>
  <c r="N147" i="99"/>
  <c r="N148" i="99" s="1"/>
  <c r="N150" i="99" s="1"/>
  <c r="N152" i="99" s="1"/>
  <c r="Q141" i="99"/>
  <c r="P141" i="99"/>
  <c r="Q138" i="99"/>
  <c r="P138" i="99"/>
  <c r="AQ87" i="1"/>
  <c r="AQ88" i="1" s="1"/>
  <c r="AQ82" i="1" s="1"/>
  <c r="O147" i="99"/>
  <c r="Q55" i="99"/>
  <c r="P55" i="99"/>
  <c r="Q143" i="99"/>
  <c r="P143" i="99"/>
  <c r="P136" i="99"/>
  <c r="Q136" i="99"/>
  <c r="P134" i="99"/>
  <c r="Q134" i="99"/>
  <c r="O24" i="3"/>
  <c r="H44" i="163"/>
  <c r="Q50" i="99"/>
  <c r="P50" i="99"/>
  <c r="Q140" i="99"/>
  <c r="P140" i="99"/>
  <c r="P146" i="99"/>
  <c r="Q146" i="99"/>
  <c r="AE87" i="1"/>
  <c r="AE88" i="1" s="1"/>
  <c r="AE92" i="1" s="1"/>
  <c r="Q58" i="99"/>
  <c r="P58" i="99"/>
  <c r="P142" i="99"/>
  <c r="Q142" i="99"/>
  <c r="Q135" i="99"/>
  <c r="P135" i="99"/>
  <c r="Q139" i="99"/>
  <c r="P139" i="99"/>
  <c r="P24" i="3"/>
  <c r="S13" i="163"/>
  <c r="I44" i="163" s="1"/>
  <c r="P46" i="99"/>
  <c r="Q46" i="99"/>
  <c r="Q59" i="99"/>
  <c r="P59" i="99"/>
  <c r="Q144" i="99"/>
  <c r="P144" i="99"/>
  <c r="Q137" i="99"/>
  <c r="P137" i="99"/>
  <c r="Q145" i="99"/>
  <c r="P145" i="99"/>
  <c r="I19" i="163"/>
  <c r="P23" i="3"/>
  <c r="S11" i="163"/>
  <c r="I41" i="163" s="1"/>
  <c r="P25" i="3"/>
  <c r="S12" i="163"/>
  <c r="I43" i="163" s="1"/>
  <c r="AD87" i="1"/>
  <c r="AD88" i="1" s="1"/>
  <c r="BE87" i="1"/>
  <c r="BE88" i="1" s="1"/>
  <c r="BE82" i="1" s="1"/>
  <c r="BU87" i="1"/>
  <c r="BU88" i="1" s="1"/>
  <c r="BU82" i="1" s="1"/>
  <c r="BN87" i="1"/>
  <c r="BN88" i="1" s="1"/>
  <c r="BN82" i="1" s="1"/>
  <c r="G49" i="99"/>
  <c r="AM57" i="113"/>
  <c r="AZ87" i="1"/>
  <c r="AZ88" i="1" s="1"/>
  <c r="AZ82" i="1" s="1"/>
  <c r="BQ87" i="1"/>
  <c r="BQ88" i="1" s="1"/>
  <c r="BQ82" i="1" s="1"/>
  <c r="AK87" i="1"/>
  <c r="AK88" i="1" s="1"/>
  <c r="AW87" i="1"/>
  <c r="AW88" i="1" s="1"/>
  <c r="AW82" i="1" s="1"/>
  <c r="BC87" i="1"/>
  <c r="BC88" i="1" s="1"/>
  <c r="BC82" i="1" s="1"/>
  <c r="D59" i="3"/>
  <c r="F59" i="3" s="1"/>
  <c r="G39" i="163" s="1"/>
  <c r="O27" i="163" s="1"/>
  <c r="AZ57" i="113"/>
  <c r="G51" i="99"/>
  <c r="AO57" i="113"/>
  <c r="G54" i="99"/>
  <c r="AR57" i="113"/>
  <c r="AV87" i="1"/>
  <c r="AV88" i="1" s="1"/>
  <c r="AV82" i="1" s="1"/>
  <c r="AG87" i="1"/>
  <c r="AG88" i="1" s="1"/>
  <c r="AG82" i="1" s="1"/>
  <c r="G47" i="99"/>
  <c r="AK57" i="113"/>
  <c r="AI87" i="1"/>
  <c r="AI88" i="1" s="1"/>
  <c r="AI82" i="1" s="1"/>
  <c r="BD87" i="1"/>
  <c r="BD88" i="1" s="1"/>
  <c r="BD82" i="1" s="1"/>
  <c r="AY87" i="1"/>
  <c r="AY88" i="1" s="1"/>
  <c r="BT87" i="1"/>
  <c r="BT88" i="1" s="1"/>
  <c r="BT82" i="1" s="1"/>
  <c r="G48" i="99"/>
  <c r="AL57" i="113"/>
  <c r="AF87" i="1"/>
  <c r="AF88" i="1" s="1"/>
  <c r="AF82" i="1" s="1"/>
  <c r="AH87" i="1"/>
  <c r="AH88" i="1" s="1"/>
  <c r="AH82" i="1" s="1"/>
  <c r="BB87" i="1"/>
  <c r="BB88" i="1" s="1"/>
  <c r="BS87" i="1"/>
  <c r="BS88" i="1" s="1"/>
  <c r="BS82" i="1" s="1"/>
  <c r="BM87" i="1"/>
  <c r="BM88" i="1" s="1"/>
  <c r="BM82" i="1" s="1"/>
  <c r="Q67" i="99"/>
  <c r="P67" i="99"/>
  <c r="P35" i="99"/>
  <c r="Q35" i="99"/>
  <c r="AJ87" i="1"/>
  <c r="AJ88" i="1" s="1"/>
  <c r="AJ82" i="1" s="1"/>
  <c r="W87" i="1"/>
  <c r="W88" i="1" s="1"/>
  <c r="W82" i="1" s="1"/>
  <c r="BF87" i="1"/>
  <c r="BF88" i="1" s="1"/>
  <c r="BV87" i="1"/>
  <c r="BV88" i="1" s="1"/>
  <c r="BV82" i="1" s="1"/>
  <c r="AO87" i="1"/>
  <c r="AO88" i="1" s="1"/>
  <c r="AO82" i="1" s="1"/>
  <c r="AX87" i="1"/>
  <c r="AX88" i="1" s="1"/>
  <c r="AX82" i="1" s="1"/>
  <c r="BR87" i="1"/>
  <c r="BR88" i="1" s="1"/>
  <c r="BR82" i="1" s="1"/>
  <c r="BL87" i="1"/>
  <c r="BL88" i="1" s="1"/>
  <c r="BL82" i="1" s="1"/>
  <c r="BK87" i="1"/>
  <c r="BK88" i="1" s="1"/>
  <c r="BK82" i="1" s="1"/>
  <c r="BP87" i="1"/>
  <c r="BP88" i="1" s="1"/>
  <c r="BP82" i="1" s="1"/>
  <c r="BJ87" i="1"/>
  <c r="BJ88" i="1" s="1"/>
  <c r="BJ82" i="1" s="1"/>
  <c r="AB87" i="1"/>
  <c r="AB88" i="1" s="1"/>
  <c r="AB82" i="1" s="1"/>
  <c r="G53" i="99"/>
  <c r="BB82" i="1"/>
  <c r="AY82" i="1"/>
  <c r="P60" i="99"/>
  <c r="Q60" i="99"/>
  <c r="Q65" i="99"/>
  <c r="P65" i="99"/>
  <c r="BH52" i="1"/>
  <c r="G53" i="117"/>
  <c r="F53" i="117" s="1"/>
  <c r="G62" i="99"/>
  <c r="G56" i="99"/>
  <c r="G66" i="99"/>
  <c r="J66" i="99" s="1"/>
  <c r="M66" i="99" s="1"/>
  <c r="Q66" i="99" s="1"/>
  <c r="P63" i="99"/>
  <c r="Q63" i="99"/>
  <c r="P44" i="99"/>
  <c r="Q44" i="99"/>
  <c r="P43" i="99"/>
  <c r="Q43" i="99"/>
  <c r="Q41" i="99"/>
  <c r="P41" i="99"/>
  <c r="Q57" i="99"/>
  <c r="P57" i="99"/>
  <c r="Q40" i="99"/>
  <c r="P40" i="99"/>
  <c r="H57" i="113"/>
  <c r="H87" i="1"/>
  <c r="H88" i="1" s="1"/>
  <c r="F68" i="48"/>
  <c r="D51" i="3"/>
  <c r="F51" i="3" s="1"/>
  <c r="G30" i="163" s="1"/>
  <c r="G30" i="99"/>
  <c r="W57" i="113"/>
  <c r="AS87" i="1"/>
  <c r="AS88" i="1" s="1"/>
  <c r="AS82" i="1" s="1"/>
  <c r="AP87" i="1"/>
  <c r="AL87" i="1"/>
  <c r="AN87" i="1"/>
  <c r="D61" i="3"/>
  <c r="F61" i="3" s="1"/>
  <c r="AA87" i="1"/>
  <c r="J28" i="99"/>
  <c r="M28" i="99" s="1"/>
  <c r="O28" i="99"/>
  <c r="D19" i="3"/>
  <c r="F19" i="3" s="1"/>
  <c r="G21" i="99"/>
  <c r="J21" i="99" s="1"/>
  <c r="M21" i="99" s="1"/>
  <c r="U57" i="113"/>
  <c r="D26" i="3"/>
  <c r="F26" i="3" s="1"/>
  <c r="D53" i="3"/>
  <c r="F53" i="3" s="1"/>
  <c r="G33" i="163" s="1"/>
  <c r="U87" i="1"/>
  <c r="G34" i="99"/>
  <c r="AA57" i="113"/>
  <c r="D32" i="3"/>
  <c r="F32" i="3" s="1"/>
  <c r="D50" i="3"/>
  <c r="F50" i="3" s="1"/>
  <c r="G29" i="163" s="1"/>
  <c r="AR87" i="1"/>
  <c r="AU87" i="1"/>
  <c r="AU88" i="1" s="1"/>
  <c r="AU82" i="1" s="1"/>
  <c r="G33" i="99"/>
  <c r="J33" i="99" s="1"/>
  <c r="M33" i="99" s="1"/>
  <c r="Q33" i="99" s="1"/>
  <c r="D31" i="3"/>
  <c r="F31" i="3" s="1"/>
  <c r="Z87" i="1"/>
  <c r="G26" i="99"/>
  <c r="D24" i="3"/>
  <c r="F24" i="3" s="1"/>
  <c r="D14" i="3"/>
  <c r="F14" i="3" s="1"/>
  <c r="G16" i="99"/>
  <c r="S87" i="1"/>
  <c r="N87" i="1"/>
  <c r="I87" i="1"/>
  <c r="J87" i="1"/>
  <c r="J57" i="113"/>
  <c r="D16" i="3"/>
  <c r="F16" i="3" s="1"/>
  <c r="D44" i="3"/>
  <c r="F44" i="3" s="1"/>
  <c r="G1" i="163" s="1"/>
  <c r="K87" i="1"/>
  <c r="G18" i="99"/>
  <c r="D30" i="3"/>
  <c r="F30" i="3" s="1"/>
  <c r="G20" i="99"/>
  <c r="O87" i="1"/>
  <c r="D13" i="3"/>
  <c r="F13" i="3" s="1"/>
  <c r="AM87" i="1"/>
  <c r="G25" i="99"/>
  <c r="D45" i="3"/>
  <c r="F45" i="3" s="1"/>
  <c r="G24" i="163" s="1"/>
  <c r="D23" i="3"/>
  <c r="F23" i="3" s="1"/>
  <c r="R87" i="1"/>
  <c r="M87" i="1"/>
  <c r="D12" i="3"/>
  <c r="F12" i="3" s="1"/>
  <c r="D20" i="3"/>
  <c r="F20" i="3" s="1"/>
  <c r="Y87" i="1"/>
  <c r="D18" i="3"/>
  <c r="F18" i="3" s="1"/>
  <c r="G22" i="99"/>
  <c r="G13" i="99"/>
  <c r="G32" i="99"/>
  <c r="G24" i="99"/>
  <c r="D49" i="3"/>
  <c r="F49" i="3" s="1"/>
  <c r="G28" i="163" s="1"/>
  <c r="D46" i="3"/>
  <c r="F46" i="3" s="1"/>
  <c r="G25" i="163" s="1"/>
  <c r="G23" i="99"/>
  <c r="G31" i="99"/>
  <c r="P87" i="1"/>
  <c r="D11" i="3"/>
  <c r="F11" i="3" s="1"/>
  <c r="Q87" i="1"/>
  <c r="T87" i="1"/>
  <c r="G27" i="99"/>
  <c r="D28" i="3"/>
  <c r="F28" i="3" s="1"/>
  <c r="G14" i="163" s="1"/>
  <c r="D48" i="3"/>
  <c r="F48" i="3" s="1"/>
  <c r="G27" i="163" s="1"/>
  <c r="D22" i="3"/>
  <c r="F22" i="3" s="1"/>
  <c r="D21" i="3"/>
  <c r="F21" i="3" s="1"/>
  <c r="G19" i="99"/>
  <c r="J19" i="99" s="1"/>
  <c r="M19" i="99" s="1"/>
  <c r="Q19" i="99" s="1"/>
  <c r="G11" i="99"/>
  <c r="F87" i="1"/>
  <c r="F57" i="113"/>
  <c r="D15" i="3"/>
  <c r="F15" i="3" s="1"/>
  <c r="G17" i="99"/>
  <c r="J17" i="99" s="1"/>
  <c r="M17" i="99" s="1"/>
  <c r="Q17" i="99" s="1"/>
  <c r="G87" i="1"/>
  <c r="X87" i="1"/>
  <c r="D25" i="3"/>
  <c r="F25" i="3" s="1"/>
  <c r="D63" i="3"/>
  <c r="F63" i="3" s="1"/>
  <c r="D17" i="3"/>
  <c r="F17" i="3" s="1"/>
  <c r="L87" i="1"/>
  <c r="D39" i="3"/>
  <c r="F39" i="3" s="1"/>
  <c r="G18" i="163" s="1"/>
  <c r="G12" i="99"/>
  <c r="D36" i="3"/>
  <c r="F36" i="3" s="1"/>
  <c r="G15" i="163" s="1"/>
  <c r="D29" i="3"/>
  <c r="F29" i="3" s="1"/>
  <c r="BA87" i="1"/>
  <c r="R29" i="163" l="1"/>
  <c r="AE82" i="1"/>
  <c r="S14" i="163"/>
  <c r="Q147" i="99"/>
  <c r="AD92" i="1"/>
  <c r="AD96" i="1" s="1"/>
  <c r="BU98" i="1"/>
  <c r="R28" i="163"/>
  <c r="I46" i="163"/>
  <c r="P147" i="99"/>
  <c r="B20" i="163"/>
  <c r="B19" i="163"/>
  <c r="H41" i="163"/>
  <c r="O23" i="3"/>
  <c r="F30" i="163"/>
  <c r="B24" i="163" s="1"/>
  <c r="H43" i="163"/>
  <c r="O25" i="3"/>
  <c r="B27" i="163"/>
  <c r="AK82" i="1"/>
  <c r="BF82" i="1"/>
  <c r="BH93" i="1"/>
  <c r="J54" i="99"/>
  <c r="M54" i="99" s="1"/>
  <c r="O54" i="99"/>
  <c r="I53" i="162"/>
  <c r="AD82" i="1"/>
  <c r="BX52" i="1"/>
  <c r="G53" i="161" s="1"/>
  <c r="G53" i="50"/>
  <c r="I53" i="117"/>
  <c r="F72" i="48"/>
  <c r="F75" i="48" s="1"/>
  <c r="J30" i="99"/>
  <c r="M30" i="99" s="1"/>
  <c r="O30" i="99"/>
  <c r="Q88" i="1"/>
  <c r="Q82" i="1" s="1"/>
  <c r="Y88" i="1"/>
  <c r="Y82" i="1" s="1"/>
  <c r="H82" i="1"/>
  <c r="O88" i="1"/>
  <c r="O82" i="1" s="1"/>
  <c r="K88" i="1"/>
  <c r="K82" i="1" s="1"/>
  <c r="N88" i="1"/>
  <c r="N82" i="1" s="1"/>
  <c r="L88" i="1"/>
  <c r="L82" i="1" s="1"/>
  <c r="M88" i="1"/>
  <c r="M82" i="1" s="1"/>
  <c r="J88" i="1"/>
  <c r="J82" i="1" s="1"/>
  <c r="S88" i="1"/>
  <c r="S82" i="1" s="1"/>
  <c r="U88" i="1"/>
  <c r="U82" i="1" s="1"/>
  <c r="AN88" i="1"/>
  <c r="AN82" i="1" s="1"/>
  <c r="X88" i="1"/>
  <c r="X82" i="1" s="1"/>
  <c r="P88" i="1"/>
  <c r="P82" i="1" s="1"/>
  <c r="R88" i="1"/>
  <c r="R82" i="1" s="1"/>
  <c r="AM88" i="1"/>
  <c r="AM82" i="1" s="1"/>
  <c r="Z88" i="1"/>
  <c r="Z82" i="1" s="1"/>
  <c r="AR88" i="1"/>
  <c r="AR82" i="1" s="1"/>
  <c r="AL88" i="1"/>
  <c r="AL82" i="1" s="1"/>
  <c r="BA88" i="1"/>
  <c r="BA82" i="1" s="1"/>
  <c r="G88" i="1"/>
  <c r="G82" i="1" s="1"/>
  <c r="F88" i="1"/>
  <c r="F82" i="1" s="1"/>
  <c r="T88" i="1"/>
  <c r="T82" i="1" s="1"/>
  <c r="I88" i="1"/>
  <c r="I82" i="1" s="1"/>
  <c r="AA88" i="1"/>
  <c r="AA82" i="1" s="1"/>
  <c r="AP88" i="1"/>
  <c r="AP82" i="1" s="1"/>
  <c r="P28" i="99"/>
  <c r="Q28" i="99"/>
  <c r="P21" i="99"/>
  <c r="Q21" i="99"/>
  <c r="J64" i="99"/>
  <c r="M64" i="99" s="1"/>
  <c r="O64" i="99"/>
  <c r="J45" i="99"/>
  <c r="M45" i="99" s="1"/>
  <c r="O45" i="99"/>
  <c r="J56" i="99"/>
  <c r="M56" i="99" s="1"/>
  <c r="O56" i="99"/>
  <c r="O21" i="99"/>
  <c r="J34" i="99"/>
  <c r="M34" i="99" s="1"/>
  <c r="O34" i="99"/>
  <c r="J53" i="99"/>
  <c r="M53" i="99" s="1"/>
  <c r="O53" i="99"/>
  <c r="J51" i="99"/>
  <c r="M51" i="99" s="1"/>
  <c r="J22" i="99"/>
  <c r="M22" i="99" s="1"/>
  <c r="J25" i="99"/>
  <c r="M25" i="99" s="1"/>
  <c r="J39" i="99"/>
  <c r="M39" i="99" s="1"/>
  <c r="J27" i="99"/>
  <c r="M27" i="99" s="1"/>
  <c r="J23" i="99"/>
  <c r="M23" i="99" s="1"/>
  <c r="J24" i="99"/>
  <c r="M24" i="99" s="1"/>
  <c r="J52" i="99"/>
  <c r="M52" i="99" s="1"/>
  <c r="J49" i="99"/>
  <c r="M49" i="99" s="1"/>
  <c r="J47" i="99"/>
  <c r="M47" i="99" s="1"/>
  <c r="J16" i="99"/>
  <c r="M16" i="99" s="1"/>
  <c r="J12" i="99"/>
  <c r="M12" i="99" s="1"/>
  <c r="J31" i="99"/>
  <c r="M31" i="99" s="1"/>
  <c r="J32" i="99"/>
  <c r="M32" i="99" s="1"/>
  <c r="J20" i="99"/>
  <c r="M20" i="99" s="1"/>
  <c r="J42" i="99"/>
  <c r="M42" i="99" s="1"/>
  <c r="J26" i="99"/>
  <c r="M26" i="99" s="1"/>
  <c r="J62" i="99"/>
  <c r="M62" i="99" s="1"/>
  <c r="O11" i="99"/>
  <c r="J11" i="99"/>
  <c r="M11" i="99" s="1"/>
  <c r="Q11" i="99" s="1"/>
  <c r="J13" i="99"/>
  <c r="J18" i="99"/>
  <c r="M18" i="99" s="1"/>
  <c r="J48" i="99"/>
  <c r="M48" i="99" s="1"/>
  <c r="P66" i="99"/>
  <c r="O66" i="99"/>
  <c r="P33" i="99"/>
  <c r="O33" i="99"/>
  <c r="O26" i="99"/>
  <c r="O16" i="99"/>
  <c r="O18" i="99"/>
  <c r="O47" i="99"/>
  <c r="O48" i="99"/>
  <c r="O20" i="99"/>
  <c r="O25" i="99"/>
  <c r="O13" i="99"/>
  <c r="O51" i="99"/>
  <c r="O52" i="99"/>
  <c r="O49" i="99"/>
  <c r="O32" i="99"/>
  <c r="O22" i="99"/>
  <c r="O27" i="99"/>
  <c r="O62" i="99"/>
  <c r="O42" i="99"/>
  <c r="O24" i="99"/>
  <c r="O23" i="99"/>
  <c r="O31" i="99"/>
  <c r="O39" i="99"/>
  <c r="P19" i="99"/>
  <c r="O19" i="99"/>
  <c r="O12" i="99"/>
  <c r="P17" i="99"/>
  <c r="O17" i="99"/>
  <c r="R31" i="163" l="1"/>
  <c r="B21" i="163"/>
  <c r="AE93" i="1"/>
  <c r="AE96" i="1" s="1"/>
  <c r="Q27" i="163"/>
  <c r="AT95" i="1"/>
  <c r="Q54" i="99"/>
  <c r="P54" i="99"/>
  <c r="H53" i="162"/>
  <c r="K53" i="162"/>
  <c r="H53" i="117"/>
  <c r="E53" i="161"/>
  <c r="F54" i="161"/>
  <c r="J54" i="161"/>
  <c r="BY52" i="1"/>
  <c r="K53" i="117"/>
  <c r="M13" i="99"/>
  <c r="P30" i="99"/>
  <c r="Q30" i="99"/>
  <c r="P18" i="99"/>
  <c r="Q18" i="99"/>
  <c r="P32" i="99"/>
  <c r="Q32" i="99"/>
  <c r="P24" i="99"/>
  <c r="Q24" i="99"/>
  <c r="P25" i="99"/>
  <c r="Q25" i="99"/>
  <c r="P26" i="99"/>
  <c r="Q26" i="99"/>
  <c r="P31" i="99"/>
  <c r="Q31" i="99"/>
  <c r="P49" i="99"/>
  <c r="Q49" i="99"/>
  <c r="P23" i="99"/>
  <c r="Q23" i="99"/>
  <c r="P22" i="99"/>
  <c r="Q22" i="99"/>
  <c r="P53" i="99"/>
  <c r="Q53" i="99"/>
  <c r="P56" i="99"/>
  <c r="Q56" i="99"/>
  <c r="P64" i="99"/>
  <c r="Q64" i="99"/>
  <c r="P42" i="99"/>
  <c r="Q42" i="99"/>
  <c r="P12" i="99"/>
  <c r="Q12" i="99"/>
  <c r="P52" i="99"/>
  <c r="Q52" i="99"/>
  <c r="P27" i="99"/>
  <c r="Q27" i="99"/>
  <c r="P51" i="99"/>
  <c r="Q51" i="99"/>
  <c r="P62" i="99"/>
  <c r="Q62" i="99"/>
  <c r="P47" i="99"/>
  <c r="Q47" i="99"/>
  <c r="P48" i="99"/>
  <c r="Q48" i="99"/>
  <c r="P20" i="99"/>
  <c r="Q20" i="99"/>
  <c r="P16" i="99"/>
  <c r="Q16" i="99"/>
  <c r="P39" i="99"/>
  <c r="Q39" i="99"/>
  <c r="P34" i="99"/>
  <c r="Q34" i="99"/>
  <c r="P45" i="99"/>
  <c r="Q45" i="99"/>
  <c r="P11" i="99"/>
  <c r="Q13" i="99" l="1"/>
  <c r="P13" i="99"/>
  <c r="F53" i="50"/>
  <c r="I53" i="50" l="1"/>
  <c r="BH27" i="1" l="1"/>
  <c r="BX27" i="1" l="1"/>
  <c r="G28" i="50"/>
  <c r="F23" i="50"/>
  <c r="F28" i="50" s="1"/>
  <c r="I23" i="50"/>
  <c r="I28" i="50" s="1"/>
  <c r="E78" i="113" l="1"/>
  <c r="E63" i="113"/>
  <c r="E76" i="113"/>
  <c r="E70" i="113"/>
  <c r="E69" i="50"/>
  <c r="E64" i="113"/>
  <c r="E65" i="113"/>
  <c r="AC70" i="1"/>
  <c r="G71" i="162" s="1"/>
  <c r="F71" i="162" s="1"/>
  <c r="E68" i="50"/>
  <c r="BH70" i="1" l="1"/>
  <c r="G71" i="117"/>
  <c r="F71" i="117" s="1"/>
  <c r="E15" i="1"/>
  <c r="E16" i="162" s="1"/>
  <c r="E17" i="162" s="1"/>
  <c r="E19" i="162" s="1"/>
  <c r="E64" i="50"/>
  <c r="E70" i="50"/>
  <c r="AC63" i="1"/>
  <c r="E71" i="113"/>
  <c r="AC62" i="1"/>
  <c r="G63" i="162" s="1"/>
  <c r="F63" i="162" s="1"/>
  <c r="AC69" i="1"/>
  <c r="AC75" i="1"/>
  <c r="G76" i="162" s="1"/>
  <c r="F76" i="162" s="1"/>
  <c r="E69" i="113"/>
  <c r="E68" i="113"/>
  <c r="AC67" i="1"/>
  <c r="G68" i="162" s="1"/>
  <c r="E65" i="50"/>
  <c r="AC64" i="1"/>
  <c r="G65" i="162" s="1"/>
  <c r="F65" i="162" s="1"/>
  <c r="AC61" i="1"/>
  <c r="E62" i="113"/>
  <c r="E62" i="50"/>
  <c r="E79" i="50"/>
  <c r="AC78" i="1"/>
  <c r="G79" i="162" s="1"/>
  <c r="F79" i="162" s="1"/>
  <c r="E79" i="113"/>
  <c r="G61" i="162"/>
  <c r="E61" i="50"/>
  <c r="E61" i="113"/>
  <c r="E72" i="113"/>
  <c r="E72" i="50"/>
  <c r="AC71" i="1"/>
  <c r="G72" i="162" s="1"/>
  <c r="F72" i="162" s="1"/>
  <c r="AC68" i="1"/>
  <c r="G69" i="162" s="1"/>
  <c r="F69" i="162" s="1"/>
  <c r="E71" i="50"/>
  <c r="E78" i="50"/>
  <c r="E76" i="50"/>
  <c r="E63" i="50"/>
  <c r="E72" i="1"/>
  <c r="E73" i="113" s="1"/>
  <c r="AC77" i="1"/>
  <c r="G78" i="162" s="1"/>
  <c r="F78" i="162" s="1"/>
  <c r="G70" i="162" l="1"/>
  <c r="F70" i="162" s="1"/>
  <c r="BH69" i="1"/>
  <c r="F61" i="162"/>
  <c r="G64" i="117"/>
  <c r="F64" i="117" s="1"/>
  <c r="G64" i="162"/>
  <c r="F64" i="162" s="1"/>
  <c r="G62" i="117"/>
  <c r="F62" i="117" s="1"/>
  <c r="G62" i="162"/>
  <c r="F62" i="162" s="1"/>
  <c r="F68" i="162"/>
  <c r="G73" i="162"/>
  <c r="I71" i="162"/>
  <c r="BX70" i="1"/>
  <c r="G71" i="50"/>
  <c r="I71" i="117"/>
  <c r="BH78" i="1"/>
  <c r="G79" i="117"/>
  <c r="F79" i="117" s="1"/>
  <c r="BH62" i="1"/>
  <c r="G63" i="117"/>
  <c r="F63" i="117" s="1"/>
  <c r="BH71" i="1"/>
  <c r="G72" i="117"/>
  <c r="F72" i="117" s="1"/>
  <c r="BH64" i="1"/>
  <c r="G65" i="117"/>
  <c r="F65" i="117" s="1"/>
  <c r="BH68" i="1"/>
  <c r="G69" i="117"/>
  <c r="F69" i="117" s="1"/>
  <c r="BH77" i="1"/>
  <c r="G78" i="117"/>
  <c r="F78" i="117" s="1"/>
  <c r="BH60" i="1"/>
  <c r="BX60" i="1" s="1"/>
  <c r="G61" i="117"/>
  <c r="BH75" i="1"/>
  <c r="G76" i="117"/>
  <c r="F76" i="117" s="1"/>
  <c r="BH67" i="1"/>
  <c r="G68" i="117"/>
  <c r="G70" i="117"/>
  <c r="F70" i="117" s="1"/>
  <c r="E16" i="113"/>
  <c r="E16" i="117"/>
  <c r="BH63" i="1"/>
  <c r="I64" i="162" s="1"/>
  <c r="BH61" i="1"/>
  <c r="I62" i="162" s="1"/>
  <c r="AC15" i="1"/>
  <c r="G16" i="162" s="1"/>
  <c r="E16" i="50"/>
  <c r="E17" i="50" s="1"/>
  <c r="E19" i="50" s="1"/>
  <c r="E16" i="1"/>
  <c r="E18" i="1" s="1"/>
  <c r="E73" i="50"/>
  <c r="AC72" i="1"/>
  <c r="BH72" i="1" s="1"/>
  <c r="BX72" i="1" s="1"/>
  <c r="E66" i="113"/>
  <c r="E73" i="1"/>
  <c r="AC65" i="1"/>
  <c r="E66" i="50"/>
  <c r="F73" i="162" l="1"/>
  <c r="G70" i="50"/>
  <c r="I70" i="162"/>
  <c r="I78" i="117"/>
  <c r="E78" i="161" s="1"/>
  <c r="I78" i="162"/>
  <c r="G63" i="50"/>
  <c r="I63" i="162"/>
  <c r="F16" i="162"/>
  <c r="F17" i="162" s="1"/>
  <c r="F19" i="162" s="1"/>
  <c r="G17" i="162"/>
  <c r="G19" i="162" s="1"/>
  <c r="I68" i="117"/>
  <c r="E68" i="161" s="1"/>
  <c r="I68" i="162"/>
  <c r="I61" i="162"/>
  <c r="I69" i="162"/>
  <c r="I72" i="162"/>
  <c r="I79" i="117"/>
  <c r="E79" i="161" s="1"/>
  <c r="I79" i="162"/>
  <c r="K71" i="162"/>
  <c r="H71" i="162"/>
  <c r="G66" i="162"/>
  <c r="G74" i="162" s="1"/>
  <c r="G77" i="162" s="1"/>
  <c r="G81" i="162" s="1"/>
  <c r="K64" i="162"/>
  <c r="H64" i="162"/>
  <c r="I76" i="162"/>
  <c r="I65" i="162"/>
  <c r="K62" i="162"/>
  <c r="H62" i="162"/>
  <c r="F66" i="162"/>
  <c r="H71" i="117"/>
  <c r="E71" i="161"/>
  <c r="G71" i="161"/>
  <c r="BY70" i="1"/>
  <c r="BX78" i="1"/>
  <c r="BX67" i="1"/>
  <c r="I70" i="117"/>
  <c r="K71" i="117"/>
  <c r="BX64" i="1"/>
  <c r="I65" i="117"/>
  <c r="BX75" i="1"/>
  <c r="G68" i="50"/>
  <c r="BX71" i="1"/>
  <c r="G79" i="50"/>
  <c r="I72" i="117"/>
  <c r="E72" i="161" s="1"/>
  <c r="BX68" i="1"/>
  <c r="I69" i="117"/>
  <c r="G69" i="50"/>
  <c r="I69" i="50" s="1"/>
  <c r="I61" i="117"/>
  <c r="G76" i="50"/>
  <c r="I76" i="50" s="1"/>
  <c r="G65" i="50"/>
  <c r="F65" i="50" s="1"/>
  <c r="I63" i="117"/>
  <c r="I76" i="117"/>
  <c r="BX69" i="1"/>
  <c r="BX77" i="1"/>
  <c r="BX62" i="1"/>
  <c r="G78" i="50"/>
  <c r="I78" i="50" s="1"/>
  <c r="G61" i="50"/>
  <c r="G72" i="50"/>
  <c r="I72" i="50" s="1"/>
  <c r="AC16" i="1"/>
  <c r="AC18" i="1" s="1"/>
  <c r="G16" i="117"/>
  <c r="G17" i="117" s="1"/>
  <c r="G19" i="117" s="1"/>
  <c r="G73" i="117"/>
  <c r="F68" i="117"/>
  <c r="F73" i="117" s="1"/>
  <c r="G66" i="117"/>
  <c r="F61" i="117"/>
  <c r="F66" i="117" s="1"/>
  <c r="E17" i="117"/>
  <c r="E19" i="117" s="1"/>
  <c r="I62" i="117"/>
  <c r="K68" i="117"/>
  <c r="I64" i="117"/>
  <c r="G62" i="50"/>
  <c r="I62" i="50" s="1"/>
  <c r="BX61" i="1"/>
  <c r="G64" i="50"/>
  <c r="BX63" i="1"/>
  <c r="F71" i="50"/>
  <c r="I71" i="50"/>
  <c r="BH15" i="1"/>
  <c r="I16" i="162" s="1"/>
  <c r="E17" i="113"/>
  <c r="E74" i="50"/>
  <c r="E77" i="50" s="1"/>
  <c r="E81" i="50" s="1"/>
  <c r="E74" i="113"/>
  <c r="E76" i="1"/>
  <c r="AC73" i="1"/>
  <c r="AC76" i="1" s="1"/>
  <c r="AC80" i="1" s="1"/>
  <c r="BH65" i="1"/>
  <c r="BX65" i="1" s="1"/>
  <c r="BX73" i="1" s="1"/>
  <c r="E19" i="113"/>
  <c r="K79" i="117" l="1"/>
  <c r="H79" i="117"/>
  <c r="F74" i="162"/>
  <c r="F77" i="162" s="1"/>
  <c r="F81" i="162" s="1"/>
  <c r="H78" i="117"/>
  <c r="H68" i="117"/>
  <c r="M71" i="162"/>
  <c r="P71" i="162" s="1"/>
  <c r="M62" i="162"/>
  <c r="P62" i="162" s="1"/>
  <c r="M64" i="162"/>
  <c r="P64" i="162" s="1"/>
  <c r="H72" i="162"/>
  <c r="K72" i="162"/>
  <c r="K61" i="162"/>
  <c r="H61" i="162"/>
  <c r="I66" i="162"/>
  <c r="K78" i="162"/>
  <c r="P78" i="162" s="1"/>
  <c r="H78" i="162"/>
  <c r="K79" i="162"/>
  <c r="H79" i="162"/>
  <c r="K69" i="162"/>
  <c r="H69" i="162"/>
  <c r="H68" i="162"/>
  <c r="K68" i="162"/>
  <c r="I73" i="162"/>
  <c r="K63" i="162"/>
  <c r="H63" i="162"/>
  <c r="K70" i="162"/>
  <c r="H70" i="162"/>
  <c r="K16" i="162"/>
  <c r="P16" i="162" s="1"/>
  <c r="H16" i="162"/>
  <c r="H17" i="162" s="1"/>
  <c r="H19" i="162" s="1"/>
  <c r="I17" i="162"/>
  <c r="I19" i="162" s="1"/>
  <c r="K65" i="162"/>
  <c r="H65" i="162"/>
  <c r="K78" i="117"/>
  <c r="K76" i="162"/>
  <c r="H76" i="162"/>
  <c r="G65" i="161"/>
  <c r="BY64" i="1"/>
  <c r="BY67" i="1"/>
  <c r="G68" i="161"/>
  <c r="G70" i="161"/>
  <c r="BY69" i="1"/>
  <c r="G61" i="161"/>
  <c r="BY60" i="1"/>
  <c r="BY75" i="1"/>
  <c r="G76" i="161"/>
  <c r="G79" i="161"/>
  <c r="BY78" i="1"/>
  <c r="BY61" i="1"/>
  <c r="G62" i="161"/>
  <c r="H76" i="117"/>
  <c r="E76" i="161"/>
  <c r="H69" i="117"/>
  <c r="E69" i="161"/>
  <c r="G64" i="161"/>
  <c r="BY63" i="1"/>
  <c r="G78" i="161"/>
  <c r="BY77" i="1"/>
  <c r="H64" i="117"/>
  <c r="E64" i="161"/>
  <c r="H62" i="117"/>
  <c r="E62" i="161"/>
  <c r="G63" i="161"/>
  <c r="BY62" i="1"/>
  <c r="H63" i="117"/>
  <c r="E63" i="161"/>
  <c r="H61" i="117"/>
  <c r="E61" i="161"/>
  <c r="G69" i="161"/>
  <c r="BY68" i="1"/>
  <c r="BY71" i="1"/>
  <c r="G72" i="161"/>
  <c r="H65" i="117"/>
  <c r="E65" i="161"/>
  <c r="H70" i="117"/>
  <c r="E70" i="161"/>
  <c r="F71" i="161"/>
  <c r="J71" i="161"/>
  <c r="K70" i="117"/>
  <c r="K69" i="117"/>
  <c r="K65" i="117"/>
  <c r="K76" i="117"/>
  <c r="F16" i="117"/>
  <c r="F17" i="117" s="1"/>
  <c r="K61" i="117"/>
  <c r="G74" i="117"/>
  <c r="G77" i="117" s="1"/>
  <c r="G81" i="117" s="1"/>
  <c r="I73" i="117"/>
  <c r="K72" i="117"/>
  <c r="H72" i="117"/>
  <c r="K63" i="117"/>
  <c r="F74" i="117"/>
  <c r="F77" i="117" s="1"/>
  <c r="F81" i="117" s="1"/>
  <c r="I66" i="117"/>
  <c r="I16" i="117"/>
  <c r="K64" i="117"/>
  <c r="K62" i="117"/>
  <c r="G16" i="50"/>
  <c r="BX15" i="1"/>
  <c r="F70" i="50"/>
  <c r="F63" i="50"/>
  <c r="F64" i="50"/>
  <c r="I64" i="50"/>
  <c r="F62" i="50"/>
  <c r="F69" i="50"/>
  <c r="I65" i="50"/>
  <c r="F72" i="50"/>
  <c r="I70" i="50"/>
  <c r="I63" i="50"/>
  <c r="I61" i="50"/>
  <c r="BH73" i="1"/>
  <c r="E77" i="113"/>
  <c r="E80" i="1"/>
  <c r="P17" i="162" l="1"/>
  <c r="P19" i="162" s="1"/>
  <c r="R16" i="162"/>
  <c r="M69" i="162"/>
  <c r="P69" i="162" s="1"/>
  <c r="R78" i="162"/>
  <c r="M72" i="162"/>
  <c r="P72" i="162" s="1"/>
  <c r="M76" i="162"/>
  <c r="P76" i="162" s="1"/>
  <c r="AC31" i="162" s="1"/>
  <c r="M70" i="162"/>
  <c r="P70" i="162" s="1"/>
  <c r="R62" i="162"/>
  <c r="M65" i="162"/>
  <c r="P65" i="162" s="1"/>
  <c r="H73" i="162"/>
  <c r="P79" i="162"/>
  <c r="R79" i="162" s="1"/>
  <c r="M63" i="162"/>
  <c r="P63" i="162" s="1"/>
  <c r="R64" i="162"/>
  <c r="R71" i="162"/>
  <c r="H66" i="162"/>
  <c r="K17" i="162"/>
  <c r="K19" i="162" s="1"/>
  <c r="M61" i="162"/>
  <c r="P61" i="162" s="1"/>
  <c r="K66" i="162"/>
  <c r="K73" i="162"/>
  <c r="M68" i="162"/>
  <c r="I74" i="162"/>
  <c r="I77" i="162" s="1"/>
  <c r="I81" i="162" s="1"/>
  <c r="H66" i="117"/>
  <c r="BY65" i="1"/>
  <c r="F70" i="161"/>
  <c r="J70" i="161"/>
  <c r="G16" i="161"/>
  <c r="BY15" i="1"/>
  <c r="BY16" i="1" s="1"/>
  <c r="BY18" i="1" s="1"/>
  <c r="E66" i="161"/>
  <c r="F64" i="161"/>
  <c r="J64" i="161"/>
  <c r="F76" i="161"/>
  <c r="J76" i="161"/>
  <c r="J61" i="161"/>
  <c r="F61" i="161"/>
  <c r="G66" i="161"/>
  <c r="F72" i="161"/>
  <c r="J72" i="161"/>
  <c r="J78" i="161"/>
  <c r="F78" i="161"/>
  <c r="G73" i="161"/>
  <c r="F68" i="161"/>
  <c r="J68" i="161"/>
  <c r="J65" i="161"/>
  <c r="F65" i="161"/>
  <c r="J69" i="161"/>
  <c r="F69" i="161"/>
  <c r="H16" i="117"/>
  <c r="E16" i="161"/>
  <c r="BY72" i="1"/>
  <c r="J63" i="161"/>
  <c r="F63" i="161"/>
  <c r="E73" i="161"/>
  <c r="J62" i="161"/>
  <c r="F62" i="161"/>
  <c r="J79" i="161"/>
  <c r="F79" i="161"/>
  <c r="K73" i="117"/>
  <c r="H73" i="117"/>
  <c r="I74" i="117"/>
  <c r="I77" i="117" s="1"/>
  <c r="K77" i="117" s="1"/>
  <c r="K81" i="117" s="1"/>
  <c r="F19" i="117"/>
  <c r="K66" i="117"/>
  <c r="K16" i="117"/>
  <c r="H17" i="117"/>
  <c r="H19" i="117" s="1"/>
  <c r="I17" i="117"/>
  <c r="I19" i="117" s="1"/>
  <c r="F76" i="50"/>
  <c r="F79" i="50"/>
  <c r="I79" i="50"/>
  <c r="G73" i="50"/>
  <c r="I68" i="50"/>
  <c r="I73" i="50" s="1"/>
  <c r="F68" i="50"/>
  <c r="F73" i="50" s="1"/>
  <c r="G66" i="50"/>
  <c r="I66" i="50"/>
  <c r="F61" i="50"/>
  <c r="F66" i="50" s="1"/>
  <c r="BH76" i="1"/>
  <c r="BG84" i="1" s="1"/>
  <c r="E81" i="113"/>
  <c r="E10" i="3"/>
  <c r="E11" i="166" s="1"/>
  <c r="H10" i="99"/>
  <c r="H14" i="99" s="1"/>
  <c r="D5" i="167" l="1"/>
  <c r="D5" i="165"/>
  <c r="G11" i="166"/>
  <c r="G76" i="166" s="1"/>
  <c r="I11" i="166"/>
  <c r="I80" i="166" s="1"/>
  <c r="I87" i="166" s="1"/>
  <c r="E76" i="166"/>
  <c r="E80" i="166" s="1"/>
  <c r="E34" i="3"/>
  <c r="H74" i="162"/>
  <c r="H77" i="162" s="1"/>
  <c r="H81" i="162" s="1"/>
  <c r="M73" i="162"/>
  <c r="R63" i="162"/>
  <c r="P68" i="162"/>
  <c r="R68" i="162" s="1"/>
  <c r="R76" i="162"/>
  <c r="M66" i="162"/>
  <c r="R65" i="162"/>
  <c r="R70" i="162"/>
  <c r="R72" i="162"/>
  <c r="R69" i="162"/>
  <c r="R61" i="162"/>
  <c r="R17" i="162"/>
  <c r="R19" i="162" s="1"/>
  <c r="K74" i="162"/>
  <c r="K77" i="162" s="1"/>
  <c r="K81" i="162" s="1"/>
  <c r="BY73" i="1"/>
  <c r="BY76" i="1" s="1"/>
  <c r="BY80" i="1" s="1"/>
  <c r="F73" i="161"/>
  <c r="J66" i="161"/>
  <c r="F16" i="161"/>
  <c r="F17" i="161" s="1"/>
  <c r="F19" i="161" s="1"/>
  <c r="E17" i="161"/>
  <c r="E19" i="161" s="1"/>
  <c r="E74" i="161"/>
  <c r="E77" i="161" s="1"/>
  <c r="E81" i="161" s="1"/>
  <c r="G74" i="161"/>
  <c r="G77" i="161" s="1"/>
  <c r="G81" i="161" s="1"/>
  <c r="F66" i="161"/>
  <c r="J73" i="161"/>
  <c r="J16" i="161"/>
  <c r="G17" i="161"/>
  <c r="G19" i="161" s="1"/>
  <c r="K74" i="117"/>
  <c r="I81" i="117"/>
  <c r="H74" i="117"/>
  <c r="H77" i="117" s="1"/>
  <c r="BH80" i="1"/>
  <c r="BX76" i="1"/>
  <c r="I74" i="50"/>
  <c r="G74" i="50"/>
  <c r="G77" i="50" s="1"/>
  <c r="I77" i="50" s="1"/>
  <c r="G17" i="50"/>
  <c r="G19" i="50" s="1"/>
  <c r="K10" i="99"/>
  <c r="F74" i="50"/>
  <c r="F77" i="50" s="1"/>
  <c r="E11" i="48"/>
  <c r="E64" i="48" s="1"/>
  <c r="E65" i="3"/>
  <c r="E82" i="3" s="1"/>
  <c r="K76" i="166" l="1"/>
  <c r="D35" i="165"/>
  <c r="F5" i="165"/>
  <c r="F7" i="165" s="1"/>
  <c r="D7" i="165"/>
  <c r="E84" i="166"/>
  <c r="G80" i="166"/>
  <c r="F5" i="167"/>
  <c r="F7" i="167" s="1"/>
  <c r="D7" i="167"/>
  <c r="BL99" i="1"/>
  <c r="BX83" i="1"/>
  <c r="P73" i="162"/>
  <c r="AC30" i="162" s="1"/>
  <c r="M74" i="162"/>
  <c r="M77" i="162" s="1"/>
  <c r="M81" i="162" s="1"/>
  <c r="M53" i="162" s="1"/>
  <c r="P53" i="162" s="1"/>
  <c r="R53" i="162" s="1"/>
  <c r="R66" i="162"/>
  <c r="R73" i="162"/>
  <c r="P66" i="162"/>
  <c r="AC29" i="162" s="1"/>
  <c r="F74" i="161"/>
  <c r="F77" i="161" s="1"/>
  <c r="F81" i="161" s="1"/>
  <c r="J74" i="161"/>
  <c r="J77" i="161" s="1"/>
  <c r="J81" i="161" s="1"/>
  <c r="H81" i="117"/>
  <c r="BX80" i="1"/>
  <c r="E12" i="51"/>
  <c r="I11" i="48"/>
  <c r="I68" i="48" s="1"/>
  <c r="E68" i="48"/>
  <c r="G68" i="48" s="1"/>
  <c r="N10" i="99"/>
  <c r="N14" i="99" s="1"/>
  <c r="N37" i="99" s="1"/>
  <c r="N69" i="99" s="1"/>
  <c r="K14" i="99"/>
  <c r="K37" i="99" s="1"/>
  <c r="K69" i="99" s="1"/>
  <c r="I16" i="50"/>
  <c r="F16" i="50"/>
  <c r="F17" i="50" s="1"/>
  <c r="F19" i="50" s="1"/>
  <c r="H37" i="99"/>
  <c r="H69" i="99" s="1"/>
  <c r="H147" i="99" s="1"/>
  <c r="G11" i="48"/>
  <c r="G64" i="48" s="1"/>
  <c r="D10" i="167" l="1"/>
  <c r="F10" i="167" s="1"/>
  <c r="D10" i="165"/>
  <c r="D26" i="165"/>
  <c r="F26" i="165" s="1"/>
  <c r="D26" i="167"/>
  <c r="F26" i="167" s="1"/>
  <c r="D37" i="165"/>
  <c r="F35" i="165"/>
  <c r="F37" i="165" s="1"/>
  <c r="J95" i="161"/>
  <c r="D21" i="165"/>
  <c r="D21" i="167"/>
  <c r="E87" i="166"/>
  <c r="G87" i="166" s="1"/>
  <c r="G84" i="166"/>
  <c r="AC32" i="162"/>
  <c r="P74" i="162"/>
  <c r="P77" i="162" s="1"/>
  <c r="P81" i="162" s="1"/>
  <c r="AC35" i="162" s="1"/>
  <c r="R74" i="162"/>
  <c r="R77" i="162" s="1"/>
  <c r="R81" i="162" s="1"/>
  <c r="F12" i="51"/>
  <c r="F16" i="51" s="1"/>
  <c r="K64" i="48"/>
  <c r="E72" i="48"/>
  <c r="D23" i="165" l="1"/>
  <c r="F21" i="165"/>
  <c r="F23" i="165" s="1"/>
  <c r="D40" i="165"/>
  <c r="F10" i="165"/>
  <c r="F21" i="167"/>
  <c r="F23" i="167" s="1"/>
  <c r="D23" i="167"/>
  <c r="E75" i="48"/>
  <c r="E16" i="51"/>
  <c r="G72" i="48"/>
  <c r="D41" i="165" l="1"/>
  <c r="D42" i="165" s="1"/>
  <c r="F40" i="165"/>
  <c r="F41" i="165" s="1"/>
  <c r="F42" i="165" s="1"/>
  <c r="I75" i="48"/>
  <c r="V51" i="1"/>
  <c r="K87" i="166" s="1"/>
  <c r="F78" i="50"/>
  <c r="F81" i="50" s="1"/>
  <c r="I81" i="50"/>
  <c r="G81" i="50"/>
  <c r="G75" i="48"/>
  <c r="K75" i="48" l="1"/>
  <c r="V52" i="113"/>
  <c r="AC51" i="1"/>
  <c r="V56" i="1"/>
  <c r="G52" i="162" l="1"/>
  <c r="G52" i="168"/>
  <c r="F52" i="162"/>
  <c r="V57" i="113"/>
  <c r="BH51" i="1"/>
  <c r="G52" i="117"/>
  <c r="G29" i="99"/>
  <c r="J29" i="99" s="1"/>
  <c r="M29" i="99" s="1"/>
  <c r="Q29" i="99" s="1"/>
  <c r="D27" i="3"/>
  <c r="F27" i="3" s="1"/>
  <c r="V87" i="1"/>
  <c r="F52" i="168" l="1"/>
  <c r="F57" i="168" s="1"/>
  <c r="G57" i="168"/>
  <c r="G82" i="168" s="1"/>
  <c r="BX51" i="1"/>
  <c r="G52" i="169" s="1"/>
  <c r="I52" i="168"/>
  <c r="I52" i="117"/>
  <c r="E52" i="161" s="1"/>
  <c r="I52" i="162"/>
  <c r="F52" i="117"/>
  <c r="V88" i="1"/>
  <c r="V82" i="1" s="1"/>
  <c r="O29" i="99"/>
  <c r="E52" i="169" l="1"/>
  <c r="K52" i="168"/>
  <c r="K57" i="168" s="1"/>
  <c r="H52" i="168"/>
  <c r="H57" i="168" s="1"/>
  <c r="I57" i="168"/>
  <c r="I82" i="168" s="1"/>
  <c r="J52" i="169"/>
  <c r="J57" i="169" s="1"/>
  <c r="G57" i="169"/>
  <c r="G82" i="169" s="1"/>
  <c r="H52" i="117"/>
  <c r="K52" i="162"/>
  <c r="H52" i="162"/>
  <c r="P29" i="99"/>
  <c r="D25" i="167" l="1"/>
  <c r="J82" i="169"/>
  <c r="J94" i="169" s="1"/>
  <c r="J96" i="169" s="1"/>
  <c r="F52" i="169"/>
  <c r="F57" i="169" s="1"/>
  <c r="E57" i="169"/>
  <c r="E82" i="169" s="1"/>
  <c r="D9" i="167"/>
  <c r="K82" i="168"/>
  <c r="BH16" i="1"/>
  <c r="D11" i="167" l="1"/>
  <c r="D12" i="167" s="1"/>
  <c r="F9" i="167"/>
  <c r="F11" i="167" s="1"/>
  <c r="F12" i="167" s="1"/>
  <c r="D27" i="167"/>
  <c r="D28" i="167" s="1"/>
  <c r="F25" i="167"/>
  <c r="F27" i="167" s="1"/>
  <c r="F28" i="167" s="1"/>
  <c r="BX16" i="1"/>
  <c r="BH18" i="1"/>
  <c r="BX18" i="1" l="1"/>
  <c r="G52" i="50"/>
  <c r="F52" i="50" l="1"/>
  <c r="E30" i="1"/>
  <c r="E31" i="117" l="1"/>
  <c r="E31" i="162"/>
  <c r="E31" i="1"/>
  <c r="E32" i="162" s="1"/>
  <c r="AC30" i="1"/>
  <c r="E31" i="113"/>
  <c r="E31" i="50"/>
  <c r="E35" i="162" l="1"/>
  <c r="E47" i="162" s="1"/>
  <c r="E49" i="162" s="1"/>
  <c r="E57" i="162" s="1"/>
  <c r="E82" i="162" s="1"/>
  <c r="G31" i="117"/>
  <c r="F31" i="117" s="1"/>
  <c r="G31" i="162"/>
  <c r="AC31" i="1"/>
  <c r="E32" i="117"/>
  <c r="E34" i="1"/>
  <c r="E46" i="1" s="1"/>
  <c r="E32" i="113"/>
  <c r="E32" i="50"/>
  <c r="E35" i="50" s="1"/>
  <c r="E47" i="50" s="1"/>
  <c r="E49" i="50" s="1"/>
  <c r="E57" i="50" s="1"/>
  <c r="E82" i="50" s="1"/>
  <c r="BH30" i="1"/>
  <c r="I31" i="162" s="1"/>
  <c r="F31" i="162" l="1"/>
  <c r="H31" i="162"/>
  <c r="K31" i="162"/>
  <c r="G32" i="117"/>
  <c r="G35" i="117" s="1"/>
  <c r="G47" i="117" s="1"/>
  <c r="G49" i="117" s="1"/>
  <c r="G32" i="162"/>
  <c r="F32" i="162" s="1"/>
  <c r="AC34" i="1"/>
  <c r="BH34" i="1" s="1"/>
  <c r="BH31" i="1"/>
  <c r="E35" i="117"/>
  <c r="E47" i="117" s="1"/>
  <c r="E49" i="117" s="1"/>
  <c r="I31" i="117"/>
  <c r="G31" i="50"/>
  <c r="BX30" i="1"/>
  <c r="G31" i="161" s="1"/>
  <c r="E35" i="113"/>
  <c r="E47" i="113"/>
  <c r="E48" i="1"/>
  <c r="E56" i="1" s="1"/>
  <c r="G57" i="117" l="1"/>
  <c r="G82" i="117" s="1"/>
  <c r="E57" i="117"/>
  <c r="E82" i="117" s="1"/>
  <c r="F32" i="117"/>
  <c r="F35" i="117" s="1"/>
  <c r="G35" i="162"/>
  <c r="G47" i="162" s="1"/>
  <c r="G49" i="162" s="1"/>
  <c r="G57" i="162" s="1"/>
  <c r="G82" i="162" s="1"/>
  <c r="I32" i="162"/>
  <c r="M31" i="162"/>
  <c r="P31" i="162" s="1"/>
  <c r="AC27" i="162" s="1"/>
  <c r="F35" i="162"/>
  <c r="F47" i="162" s="1"/>
  <c r="F49" i="162" s="1"/>
  <c r="F57" i="162" s="1"/>
  <c r="J31" i="161"/>
  <c r="H31" i="117"/>
  <c r="E31" i="161"/>
  <c r="F31" i="161" s="1"/>
  <c r="BY30" i="1"/>
  <c r="AC46" i="1"/>
  <c r="BH46" i="1" s="1"/>
  <c r="BX31" i="1"/>
  <c r="I32" i="117"/>
  <c r="G32" i="50"/>
  <c r="F32" i="50" s="1"/>
  <c r="K31" i="117"/>
  <c r="BX34" i="1"/>
  <c r="E49" i="113"/>
  <c r="R31" i="162" l="1"/>
  <c r="E81" i="1"/>
  <c r="E87" i="1"/>
  <c r="E88" i="1" s="1"/>
  <c r="E82" i="1" s="1"/>
  <c r="K32" i="162"/>
  <c r="H32" i="162"/>
  <c r="H35" i="162" s="1"/>
  <c r="H47" i="162" s="1"/>
  <c r="H49" i="162" s="1"/>
  <c r="I35" i="162"/>
  <c r="H32" i="117"/>
  <c r="H35" i="117" s="1"/>
  <c r="H47" i="117" s="1"/>
  <c r="H49" i="117" s="1"/>
  <c r="E32" i="161"/>
  <c r="E35" i="161" s="1"/>
  <c r="E47" i="161" s="1"/>
  <c r="E49" i="161" s="1"/>
  <c r="G32" i="161"/>
  <c r="BY31" i="1"/>
  <c r="BY34" i="1" s="1"/>
  <c r="AC48" i="1"/>
  <c r="AC56" i="1" s="1"/>
  <c r="I35" i="117"/>
  <c r="I47" i="117" s="1"/>
  <c r="I49" i="117" s="1"/>
  <c r="I32" i="50"/>
  <c r="K32" i="117"/>
  <c r="F47" i="117"/>
  <c r="D10" i="3"/>
  <c r="E57" i="113"/>
  <c r="G10" i="99"/>
  <c r="G14" i="99" s="1"/>
  <c r="I47" i="162" l="1"/>
  <c r="I49" i="162" s="1"/>
  <c r="D34" i="3"/>
  <c r="F10" i="3"/>
  <c r="F34" i="3" s="1"/>
  <c r="G13" i="163" s="1"/>
  <c r="BH56" i="1"/>
  <c r="BX56" i="1" s="1"/>
  <c r="M32" i="162"/>
  <c r="P32" i="162" s="1"/>
  <c r="AC26" i="162" s="1"/>
  <c r="K35" i="162"/>
  <c r="K47" i="162" s="1"/>
  <c r="K49" i="162" s="1"/>
  <c r="F32" i="161"/>
  <c r="F35" i="161" s="1"/>
  <c r="J32" i="161"/>
  <c r="G35" i="161"/>
  <c r="BH48" i="1"/>
  <c r="F49" i="117"/>
  <c r="F57" i="117" s="1"/>
  <c r="I31" i="50"/>
  <c r="G35" i="50"/>
  <c r="G47" i="50" s="1"/>
  <c r="G49" i="50" s="1"/>
  <c r="F31" i="50"/>
  <c r="F35" i="50" s="1"/>
  <c r="F47" i="50" s="1"/>
  <c r="F49" i="50" s="1"/>
  <c r="G10" i="3"/>
  <c r="AC87" i="1"/>
  <c r="O10" i="99"/>
  <c r="J10" i="99"/>
  <c r="J14" i="99" s="1"/>
  <c r="O28" i="163" l="1"/>
  <c r="B16" i="163"/>
  <c r="O50" i="163"/>
  <c r="M35" i="162"/>
  <c r="M47" i="162" s="1"/>
  <c r="M49" i="162" s="1"/>
  <c r="AC88" i="1"/>
  <c r="G34" i="3"/>
  <c r="G37" i="99"/>
  <c r="O14" i="99"/>
  <c r="J37" i="99"/>
  <c r="M10" i="99"/>
  <c r="Q28" i="163" l="1"/>
  <c r="M52" i="162"/>
  <c r="P52" i="162" s="1"/>
  <c r="R52" i="162" s="1"/>
  <c r="AC82" i="1"/>
  <c r="BH97" i="1"/>
  <c r="R32" i="162"/>
  <c r="R35" i="162" s="1"/>
  <c r="P35" i="162"/>
  <c r="P47" i="162" s="1"/>
  <c r="P49" i="162" s="1"/>
  <c r="Q10" i="99"/>
  <c r="M14" i="99"/>
  <c r="M37" i="99" s="1"/>
  <c r="O37" i="99"/>
  <c r="P10" i="99"/>
  <c r="M57" i="162" l="1"/>
  <c r="M97" i="162" s="1"/>
  <c r="M98" i="162" s="1"/>
  <c r="R47" i="162"/>
  <c r="R49" i="162" s="1"/>
  <c r="BH54" i="1"/>
  <c r="I55" i="162" l="1"/>
  <c r="I57" i="162" s="1"/>
  <c r="I55" i="117"/>
  <c r="I57" i="117" s="1"/>
  <c r="G61" i="99"/>
  <c r="G55" i="50"/>
  <c r="F55" i="50" s="1"/>
  <c r="F57" i="50" s="1"/>
  <c r="BX54" i="1"/>
  <c r="G55" i="161" s="1"/>
  <c r="J55" i="161" s="1"/>
  <c r="D58" i="3"/>
  <c r="F58" i="3" s="1"/>
  <c r="H38" i="163" s="1"/>
  <c r="K55" i="162" l="1"/>
  <c r="H55" i="162"/>
  <c r="H57" i="162" s="1"/>
  <c r="P29" i="163"/>
  <c r="P31" i="163" s="1"/>
  <c r="H45" i="163"/>
  <c r="P55" i="162"/>
  <c r="P57" i="162" s="1"/>
  <c r="K57" i="162"/>
  <c r="I86" i="162"/>
  <c r="I87" i="162" s="1"/>
  <c r="I82" i="162"/>
  <c r="H55" i="117"/>
  <c r="H57" i="117" s="1"/>
  <c r="E55" i="161"/>
  <c r="E57" i="161" s="1"/>
  <c r="BY54" i="1"/>
  <c r="K55" i="117"/>
  <c r="I82" i="117"/>
  <c r="I55" i="50"/>
  <c r="G57" i="50"/>
  <c r="G82" i="50" s="1"/>
  <c r="O61" i="99"/>
  <c r="J61" i="99"/>
  <c r="G69" i="99"/>
  <c r="G147" i="99" s="1"/>
  <c r="K82" i="162" l="1"/>
  <c r="R55" i="162"/>
  <c r="F55" i="161"/>
  <c r="E82" i="161"/>
  <c r="M61" i="99"/>
  <c r="J69" i="99"/>
  <c r="R57" i="162" l="1"/>
  <c r="P97" i="162"/>
  <c r="P98" i="162" s="1"/>
  <c r="P82" i="162"/>
  <c r="M69" i="99"/>
  <c r="N70" i="99" s="1"/>
  <c r="P61" i="99"/>
  <c r="P69" i="99" s="1"/>
  <c r="Q61" i="99"/>
  <c r="N72" i="99" l="1"/>
  <c r="N74" i="99" s="1"/>
  <c r="R86" i="162"/>
  <c r="R87" i="162" s="1"/>
  <c r="G44" i="161"/>
  <c r="J44" i="161" l="1"/>
  <c r="F44" i="161"/>
  <c r="BY43" i="1"/>
  <c r="BY45" i="1" s="1"/>
  <c r="BY46" i="1" s="1"/>
  <c r="BY48" i="1" s="1"/>
  <c r="BX45" i="1"/>
  <c r="F45" i="161" l="1"/>
  <c r="F46" i="161" s="1"/>
  <c r="F47" i="161" s="1"/>
  <c r="F49" i="161" s="1"/>
  <c r="G46" i="161"/>
  <c r="G47" i="161" s="1"/>
  <c r="G49" i="161" s="1"/>
  <c r="BX46" i="1"/>
  <c r="BX48" i="1" l="1"/>
  <c r="G52" i="161" l="1"/>
  <c r="G57" i="161" l="1"/>
  <c r="G82" i="161" s="1"/>
  <c r="F52" i="161"/>
  <c r="J53" i="161"/>
  <c r="F53" i="161"/>
  <c r="BY51" i="1"/>
  <c r="BY56" i="1" s="1"/>
  <c r="F57" i="161" l="1"/>
  <c r="BY87" i="1"/>
  <c r="BY88" i="1" s="1"/>
  <c r="BY82" i="1" s="1"/>
  <c r="A55" i="3" l="1"/>
  <c r="AF10" i="113"/>
  <c r="A42" i="99"/>
  <c r="A40" i="3"/>
  <c r="A39" i="3"/>
  <c r="A39" i="48" l="1"/>
  <c r="A39" i="166"/>
  <c r="A38" i="48"/>
  <c r="A38" i="166"/>
  <c r="A54" i="48"/>
  <c r="A54" i="166"/>
  <c r="A43" i="99"/>
  <c r="A56" i="3"/>
  <c r="AG10" i="113"/>
  <c r="A55" i="48" l="1"/>
  <c r="A55" i="166"/>
  <c r="A44" i="99"/>
  <c r="A41" i="3"/>
  <c r="A40" i="48" l="1"/>
  <c r="A40" i="166"/>
  <c r="A42" i="3"/>
  <c r="A45" i="99"/>
  <c r="A41" i="48" l="1"/>
  <c r="A41" i="166"/>
  <c r="A44" i="3"/>
  <c r="A47" i="99"/>
  <c r="A43" i="48" l="1"/>
  <c r="A43" i="166"/>
  <c r="A45" i="3"/>
  <c r="A48" i="99"/>
  <c r="A44" i="48" l="1"/>
  <c r="A44" i="166"/>
  <c r="A46" i="3"/>
  <c r="A49" i="99"/>
  <c r="A45" i="48" l="1"/>
  <c r="A45" i="166"/>
  <c r="A47" i="3"/>
  <c r="A46" i="48" l="1"/>
  <c r="A46" i="166"/>
  <c r="A48" i="3"/>
  <c r="A51" i="99"/>
  <c r="A47" i="48" l="1"/>
  <c r="A47" i="166"/>
  <c r="A49" i="3"/>
  <c r="A52" i="99"/>
  <c r="A48" i="48" l="1"/>
  <c r="A48" i="166"/>
  <c r="A53" i="99"/>
  <c r="A50" i="3"/>
  <c r="A49" i="48" l="1"/>
  <c r="A49" i="166"/>
  <c r="A51" i="3"/>
  <c r="A50" i="48" l="1"/>
  <c r="A50" i="166"/>
  <c r="A53" i="3"/>
  <c r="A56" i="99"/>
  <c r="A52" i="48" l="1"/>
  <c r="A52" i="166"/>
  <c r="A43" i="3"/>
  <c r="A42" i="48" l="1"/>
  <c r="A42" i="166"/>
  <c r="A57" i="99"/>
  <c r="A52" i="3"/>
  <c r="A54" i="3"/>
  <c r="A51" i="48" l="1"/>
  <c r="A51" i="166"/>
  <c r="A53" i="48"/>
  <c r="A53" i="166"/>
  <c r="E18" i="51"/>
  <c r="E20" i="51" s="1"/>
  <c r="E24" i="51" s="1"/>
  <c r="J27" i="170" s="1"/>
  <c r="BH87" i="1"/>
  <c r="BH88" i="1" s="1"/>
  <c r="BH82" i="1" s="1"/>
  <c r="AT87" i="1"/>
  <c r="AT88" i="1" s="1"/>
  <c r="AT94" i="1" s="1"/>
  <c r="D52" i="3"/>
  <c r="J31" i="51" l="1"/>
  <c r="J33" i="51" s="1"/>
  <c r="J36" i="51" s="1"/>
  <c r="E37" i="51"/>
  <c r="G10" i="163"/>
  <c r="G30" i="51"/>
  <c r="D65" i="3"/>
  <c r="D82" i="3" s="1"/>
  <c r="G82" i="3" s="1"/>
  <c r="F52" i="3"/>
  <c r="E32" i="51"/>
  <c r="AT82" i="1"/>
  <c r="BH94" i="1"/>
  <c r="BH95" i="1" s="1"/>
  <c r="F18" i="51"/>
  <c r="F20" i="51" s="1"/>
  <c r="BX87" i="1"/>
  <c r="BX88" i="1" s="1"/>
  <c r="BX82" i="1" s="1"/>
  <c r="J9" i="52"/>
  <c r="N132" i="99"/>
  <c r="R132" i="99" s="1"/>
  <c r="G26" i="51"/>
  <c r="E28" i="51"/>
  <c r="G65" i="3" l="1"/>
  <c r="F65" i="3"/>
  <c r="F82" i="3" s="1"/>
  <c r="F83" i="3" s="1"/>
  <c r="G31" i="163"/>
  <c r="H14" i="161"/>
  <c r="H17" i="161" s="1"/>
  <c r="H19" i="161" s="1"/>
  <c r="J12" i="52"/>
  <c r="J16" i="52"/>
  <c r="J14" i="117"/>
  <c r="J14" i="52"/>
  <c r="H14" i="50"/>
  <c r="F24" i="51"/>
  <c r="G20" i="51"/>
  <c r="B26" i="163" l="1"/>
  <c r="B29" i="163" s="1"/>
  <c r="O29" i="163"/>
  <c r="E7" i="163"/>
  <c r="G45" i="163"/>
  <c r="H46" i="163" s="1"/>
  <c r="G24" i="51"/>
  <c r="K27" i="170" s="1"/>
  <c r="AF94" i="162"/>
  <c r="AF92" i="162"/>
  <c r="AF93" i="162"/>
  <c r="H34" i="161"/>
  <c r="H35" i="161" s="1"/>
  <c r="J34" i="117"/>
  <c r="H34" i="50"/>
  <c r="J17" i="117"/>
  <c r="J19" i="117" s="1"/>
  <c r="K14" i="117"/>
  <c r="K17" i="117" s="1"/>
  <c r="K19" i="117" s="1"/>
  <c r="H17" i="50"/>
  <c r="H19" i="50" s="1"/>
  <c r="I14" i="50"/>
  <c r="I17" i="50" s="1"/>
  <c r="I19" i="50" s="1"/>
  <c r="H37" i="50"/>
  <c r="I37" i="50" s="1"/>
  <c r="J37" i="117"/>
  <c r="K37" i="117" s="1"/>
  <c r="J18" i="52"/>
  <c r="J20" i="52" s="1"/>
  <c r="H37" i="161"/>
  <c r="H42" i="161"/>
  <c r="H46" i="161" s="1"/>
  <c r="H42" i="50"/>
  <c r="J42" i="117"/>
  <c r="K31" i="51" l="1"/>
  <c r="K33" i="51" s="1"/>
  <c r="K36" i="51" s="1"/>
  <c r="G37" i="51"/>
  <c r="G56" i="163"/>
  <c r="Q29" i="163"/>
  <c r="Q31" i="163" s="1"/>
  <c r="O31" i="163"/>
  <c r="I10" i="163"/>
  <c r="G32" i="51"/>
  <c r="N153" i="99"/>
  <c r="S153" i="99" s="1"/>
  <c r="G28" i="51"/>
  <c r="K9" i="52"/>
  <c r="K12" i="52" s="1"/>
  <c r="R89" i="162"/>
  <c r="R91" i="162" s="1"/>
  <c r="H47" i="161"/>
  <c r="H49" i="161" s="1"/>
  <c r="H46" i="50"/>
  <c r="I42" i="50"/>
  <c r="I46" i="50" s="1"/>
  <c r="H35" i="50"/>
  <c r="I34" i="50"/>
  <c r="I35" i="50" s="1"/>
  <c r="J35" i="117"/>
  <c r="K34" i="117"/>
  <c r="K35" i="117" s="1"/>
  <c r="J46" i="117"/>
  <c r="K42" i="117"/>
  <c r="K46" i="117" s="1"/>
  <c r="J22" i="52"/>
  <c r="J24" i="52" s="1"/>
  <c r="J26" i="52" s="1"/>
  <c r="J27" i="52" s="1"/>
  <c r="L31" i="51" l="1"/>
  <c r="L33" i="51" s="1"/>
  <c r="L36" i="51" s="1"/>
  <c r="K14" i="52"/>
  <c r="I42" i="161" s="1"/>
  <c r="J42" i="161" s="1"/>
  <c r="I14" i="161"/>
  <c r="I17" i="161" s="1"/>
  <c r="I19" i="161" s="1"/>
  <c r="K16" i="52"/>
  <c r="I34" i="161" s="1"/>
  <c r="I35" i="161" s="1"/>
  <c r="H47" i="50"/>
  <c r="H49" i="50" s="1"/>
  <c r="I47" i="50"/>
  <c r="I49" i="50" s="1"/>
  <c r="I37" i="161"/>
  <c r="J37" i="161" s="1"/>
  <c r="K47" i="117"/>
  <c r="K49" i="117" s="1"/>
  <c r="H52" i="161"/>
  <c r="H57" i="161" s="1"/>
  <c r="J52" i="117"/>
  <c r="K52" i="117" s="1"/>
  <c r="H52" i="50"/>
  <c r="I52" i="50" s="1"/>
  <c r="J47" i="117"/>
  <c r="J49" i="117" s="1"/>
  <c r="J14" i="161" l="1"/>
  <c r="J17" i="161" s="1"/>
  <c r="J19" i="161" s="1"/>
  <c r="I46" i="161"/>
  <c r="I47" i="161" s="1"/>
  <c r="I49" i="161" s="1"/>
  <c r="J34" i="161"/>
  <c r="J35" i="161" s="1"/>
  <c r="K18" i="52"/>
  <c r="K20" i="52" s="1"/>
  <c r="K22" i="52" s="1"/>
  <c r="I52" i="161" s="1"/>
  <c r="J52" i="161" s="1"/>
  <c r="AE14" i="162"/>
  <c r="J46" i="161"/>
  <c r="J57" i="117"/>
  <c r="K57" i="117"/>
  <c r="I57" i="50"/>
  <c r="I82" i="50" s="1"/>
  <c r="H57" i="50"/>
  <c r="K82" i="117" l="1"/>
  <c r="D9" i="165"/>
  <c r="J47" i="161"/>
  <c r="J49" i="161" s="1"/>
  <c r="J57" i="161" s="1"/>
  <c r="I57" i="161"/>
  <c r="K24" i="52"/>
  <c r="K26" i="52" s="1"/>
  <c r="K27" i="52" s="1"/>
  <c r="J82" i="161" l="1"/>
  <c r="J94" i="161" s="1"/>
  <c r="J96" i="161" s="1"/>
  <c r="D25" i="165"/>
  <c r="D11" i="165"/>
  <c r="D12" i="165" s="1"/>
  <c r="F9" i="165"/>
  <c r="F11" i="165" s="1"/>
  <c r="F12" i="165" s="1"/>
  <c r="P10" i="163"/>
  <c r="D27" i="165" l="1"/>
  <c r="D28" i="165" s="1"/>
  <c r="F25" i="165"/>
  <c r="F27" i="165" s="1"/>
  <c r="F28" i="1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kznwdg</author>
  </authors>
  <commentList>
    <comment ref="B8" authorId="0" shapeId="0" xr:uid="{6457101D-3698-469B-A4D0-4179098DB082}">
      <text>
        <r>
          <rPr>
            <b/>
            <sz val="8"/>
            <color indexed="81"/>
            <rFont val="Tahoma"/>
            <family val="2"/>
          </rPr>
          <t>kznwdg:</t>
        </r>
        <r>
          <rPr>
            <sz val="8"/>
            <color indexed="81"/>
            <rFont val="Tahoma"/>
            <family val="2"/>
          </rPr>
          <t xml:space="preserve">
After Taxes (FIT Calc = Taxable Income x .35)</t>
        </r>
      </text>
    </comment>
    <comment ref="J8" authorId="0" shapeId="0" xr:uid="{46DED551-F337-4B4F-9A7B-6B1162C61BAB}">
      <text>
        <r>
          <rPr>
            <b/>
            <sz val="8"/>
            <color indexed="81"/>
            <rFont val="Tahoma"/>
            <family val="2"/>
          </rPr>
          <t>kznwdg:</t>
        </r>
        <r>
          <rPr>
            <sz val="8"/>
            <color indexed="81"/>
            <rFont val="Tahoma"/>
            <family val="2"/>
          </rPr>
          <t xml:space="preserve">
After Taxes (FIT Calc = Taxable Income x .35)</t>
        </r>
      </text>
    </comment>
    <comment ref="B24" authorId="0" shapeId="0" xr:uid="{AC3AF6E2-C07E-4BCB-B60B-C0FE7429E476}">
      <text>
        <r>
          <rPr>
            <b/>
            <sz val="8"/>
            <color indexed="81"/>
            <rFont val="Tahoma"/>
            <family val="2"/>
          </rPr>
          <t>kznwdg:</t>
        </r>
        <r>
          <rPr>
            <sz val="8"/>
            <color indexed="81"/>
            <rFont val="Tahoma"/>
            <family val="2"/>
          </rPr>
          <t xml:space="preserve">
After Taxes (FIT Calc = Taxable Income x .35)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kznwdg</author>
  </authors>
  <commentList>
    <comment ref="B8" authorId="0" shapeId="0" xr:uid="{5F4C8088-89E4-4ECC-901F-3F68F74FBBBA}">
      <text>
        <r>
          <rPr>
            <b/>
            <sz val="8"/>
            <color indexed="81"/>
            <rFont val="Tahoma"/>
            <family val="2"/>
          </rPr>
          <t>kznwdg:</t>
        </r>
        <r>
          <rPr>
            <sz val="8"/>
            <color indexed="81"/>
            <rFont val="Tahoma"/>
            <family val="2"/>
          </rPr>
          <t xml:space="preserve">
After Taxes (FIT Calc = Taxable Income x .35)</t>
        </r>
      </text>
    </comment>
    <comment ref="J8" authorId="0" shapeId="0" xr:uid="{C15A713F-EBCF-4B66-9C2C-593643DD533B}">
      <text>
        <r>
          <rPr>
            <b/>
            <sz val="8"/>
            <color indexed="81"/>
            <rFont val="Tahoma"/>
            <family val="2"/>
          </rPr>
          <t>kznwdg:</t>
        </r>
        <r>
          <rPr>
            <sz val="8"/>
            <color indexed="81"/>
            <rFont val="Tahoma"/>
            <family val="2"/>
          </rPr>
          <t xml:space="preserve">
After Taxes (FIT Calc = Taxable Income x .35)</t>
        </r>
      </text>
    </comment>
    <comment ref="B24" authorId="0" shapeId="0" xr:uid="{4AC6BF3D-B2BD-4228-AC21-AD4995C306FB}">
      <text>
        <r>
          <rPr>
            <b/>
            <sz val="8"/>
            <color indexed="81"/>
            <rFont val="Tahoma"/>
            <family val="2"/>
          </rPr>
          <t>kznwdg:</t>
        </r>
        <r>
          <rPr>
            <sz val="8"/>
            <color indexed="81"/>
            <rFont val="Tahoma"/>
            <family val="2"/>
          </rPr>
          <t xml:space="preserve">
After Taxes (FIT Calc = Taxable Income x .35)</t>
        </r>
      </text>
    </comment>
    <comment ref="B38" authorId="0" shapeId="0" xr:uid="{AD8B0713-2003-4D13-9C44-C15AA4AFAFC5}">
      <text>
        <r>
          <rPr>
            <b/>
            <sz val="8"/>
            <color indexed="81"/>
            <rFont val="Tahoma"/>
            <family val="2"/>
          </rPr>
          <t>kznwdg:</t>
        </r>
        <r>
          <rPr>
            <sz val="8"/>
            <color indexed="81"/>
            <rFont val="Tahoma"/>
            <family val="2"/>
          </rPr>
          <t xml:space="preserve">
After Taxes (FIT Calc = Taxable Income x .35)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Joe Miller</author>
  </authors>
  <commentList>
    <comment ref="E30" authorId="0" shapeId="0" xr:uid="{00000000-0006-0000-0100-000001000000}">
      <text>
        <r>
          <rPr>
            <b/>
            <sz val="9"/>
            <color indexed="81"/>
            <rFont val="Tahoma"/>
            <family val="2"/>
          </rPr>
          <t>Joe Miller:</t>
        </r>
        <r>
          <rPr>
            <sz val="9"/>
            <color indexed="81"/>
            <rFont val="Tahoma"/>
            <family val="2"/>
          </rPr>
          <t xml:space="preserve">
From Miller 6/30/2020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Andrews, Liz</author>
    <author>Liz Andrews</author>
  </authors>
  <commentList>
    <comment ref="AV22" authorId="0" shapeId="0" xr:uid="{00000000-0006-0000-0400-000001000000}">
      <text>
        <r>
          <rPr>
            <b/>
            <sz val="9"/>
            <color indexed="81"/>
            <rFont val="Tahoma"/>
            <family val="2"/>
          </rPr>
          <t>Andrews, Liz:</t>
        </r>
        <r>
          <rPr>
            <sz val="9"/>
            <color indexed="81"/>
            <rFont val="Tahoma"/>
            <family val="2"/>
          </rPr>
          <t xml:space="preserve">
Operating expenses include incremental labor $1,194k, IT/CAISO/Utilicast incremental expenses above test period = $246k = WA Share totals $944k</t>
        </r>
      </text>
    </comment>
    <comment ref="N51" authorId="1" shapeId="0" xr:uid="{00000000-0006-0000-0400-000002000000}">
      <text>
        <r>
          <rPr>
            <b/>
            <sz val="8"/>
            <color indexed="81"/>
            <rFont val="Tahoma"/>
            <family val="2"/>
          </rPr>
          <t>Liz Andrews:</t>
        </r>
        <r>
          <rPr>
            <sz val="8"/>
            <color indexed="81"/>
            <rFont val="Tahoma"/>
            <family val="2"/>
          </rPr>
          <t xml:space="preserve">
Per adjustment, no current tax here, no formula in this column.</t>
        </r>
      </text>
    </comment>
    <comment ref="V51" authorId="1" shapeId="0" xr:uid="{00000000-0006-0000-0400-000003000000}">
      <text>
        <r>
          <rPr>
            <b/>
            <sz val="8"/>
            <color indexed="81"/>
            <rFont val="Tahoma"/>
            <family val="2"/>
          </rPr>
          <t>Liz Andrews:</t>
        </r>
        <r>
          <rPr>
            <sz val="8"/>
            <color indexed="81"/>
            <rFont val="Tahoma"/>
            <family val="2"/>
          </rPr>
          <t xml:space="preserve">
per Debt calc.</t>
        </r>
      </text>
    </comment>
    <comment ref="X51" authorId="1"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 - Revenue</t>
        </r>
      </text>
    </comment>
    <comment ref="X53" authorId="1" shapeId="0" xr:uid="{00000000-0006-0000-0400-000005000000}">
      <text>
        <r>
          <rPr>
            <b/>
            <sz val="9"/>
            <color indexed="81"/>
            <rFont val="Tahoma"/>
            <family val="2"/>
          </rPr>
          <t xml:space="preserve">Annette Brandon:
</t>
        </r>
        <r>
          <rPr>
            <sz val="9"/>
            <color indexed="81"/>
            <rFont val="Tahoma"/>
            <family val="2"/>
          </rPr>
          <t>use ERM worksheet to input</t>
        </r>
      </text>
    </comment>
    <comment ref="AK67" authorId="0" shapeId="0" xr:uid="{614C603C-BEB7-4474-A384-8EFC539D2FBE}">
      <text>
        <r>
          <rPr>
            <b/>
            <sz val="9"/>
            <color indexed="81"/>
            <rFont val="Tahoma"/>
            <family val="2"/>
          </rPr>
          <t>Andrews, Liz:</t>
        </r>
        <r>
          <rPr>
            <sz val="9"/>
            <color indexed="81"/>
            <rFont val="Tahoma"/>
            <family val="2"/>
          </rPr>
          <t xml:space="preserve">
A/D positive because of retirements - see tabs for Exh. EMA-11 file support</t>
        </r>
      </text>
    </comment>
    <comment ref="AO67" authorId="0" shapeId="0" xr:uid="{62A17D95-5BD3-4272-A285-AB351CDB0EBC}">
      <text>
        <r>
          <rPr>
            <b/>
            <sz val="9"/>
            <color indexed="81"/>
            <rFont val="Tahoma"/>
            <family val="2"/>
          </rPr>
          <t>Andrews, Liz:</t>
        </r>
        <r>
          <rPr>
            <sz val="9"/>
            <color indexed="81"/>
            <rFont val="Tahoma"/>
            <family val="2"/>
          </rPr>
          <t xml:space="preserve">
A/D positive because of retirements - see tabs for Exh. EMA-11 file support</t>
        </r>
      </text>
    </comment>
    <comment ref="BA68" authorId="0" shapeId="0" xr:uid="{2B08D377-F229-4C63-831B-BEFCBC295421}">
      <text>
        <r>
          <rPr>
            <b/>
            <sz val="9"/>
            <color indexed="81"/>
            <rFont val="Tahoma"/>
            <family val="2"/>
          </rPr>
          <t xml:space="preserve">Andrews, Liz:
</t>
        </r>
        <r>
          <rPr>
            <sz val="9"/>
            <color indexed="81"/>
            <rFont val="Tahoma"/>
            <family val="2"/>
          </rPr>
          <t>A/D positive because of retirements - see tabs for Exh. EMA-11 file support</t>
        </r>
      </text>
    </comment>
    <comment ref="BS68" authorId="0" shapeId="0" xr:uid="{30C5BF01-EC85-44BD-8CF6-8ACF86AC0AD9}">
      <text>
        <r>
          <rPr>
            <b/>
            <sz val="9"/>
            <color indexed="81"/>
            <rFont val="Tahoma"/>
            <family val="2"/>
          </rPr>
          <t xml:space="preserve">Andrews, Liz:
</t>
        </r>
        <r>
          <rPr>
            <sz val="9"/>
            <color indexed="81"/>
            <rFont val="Tahoma"/>
            <family val="2"/>
          </rPr>
          <t>A/D positive because of retirements - see tabs for Exh. EMA-11 file support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700-000001000000}">
      <text>
        <r>
          <rPr>
            <b/>
            <sz val="10"/>
            <color indexed="81"/>
            <rFont val="Tahoma"/>
            <family val="2"/>
          </rPr>
          <t>revenue from Montana Noxon customers is included in Idaho.  Is reversed out for Commission Basis reports</t>
        </r>
      </text>
    </comment>
    <comment ref="B104" authorId="0"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54" authorId="1" shapeId="0" xr:uid="{00000000-0006-0000-0700-000003000000}">
      <text>
        <r>
          <rPr>
            <b/>
            <sz val="8"/>
            <color indexed="81"/>
            <rFont val="Tahoma"/>
            <family val="2"/>
          </rPr>
          <t>2/6/04 Account 182.31 is fully offset by 283.17</t>
        </r>
        <r>
          <rPr>
            <sz val="8"/>
            <color indexed="81"/>
            <rFont val="Tahoma"/>
            <family val="2"/>
          </rPr>
          <t xml:space="preserve">
</t>
        </r>
      </text>
    </comment>
    <comment ref="A476" authorId="2" shapeId="0" xr:uid="{00000000-0006-0000-0700-000004000000}">
      <text>
        <r>
          <rPr>
            <sz val="9"/>
            <color indexed="81"/>
            <rFont val="Tahoma"/>
            <family val="2"/>
          </rPr>
          <t>Acct 0108.02  System amount is from input matrix.  WA and ID amounts are hard coded, and do not change.</t>
        </r>
      </text>
    </comment>
    <comment ref="B478" authorId="1" shapeId="0" xr:uid="{0CE038BD-0685-49ED-B10B-F488C02BF393}">
      <text>
        <r>
          <rPr>
            <sz val="8"/>
            <color indexed="81"/>
            <rFont val="Tahoma"/>
            <family val="2"/>
          </rPr>
          <t xml:space="preserve">Write-off recorded 9/04 as the results of the Idaho General Rate Case
</t>
        </r>
      </text>
    </comment>
    <comment ref="B479" authorId="1" shapeId="0" xr:uid="{3CA230AE-DDE7-4AB8-8ECB-40F18023C427}">
      <text>
        <r>
          <rPr>
            <sz val="8"/>
            <color indexed="81"/>
            <rFont val="Tahoma"/>
            <family val="2"/>
          </rPr>
          <t xml:space="preserve">Write-off recorded 9/04 as the results of the Idaho General Rate Case
</t>
        </r>
      </text>
    </comment>
    <comment ref="B480" authorId="1" shapeId="0" xr:uid="{3F5D69EC-5308-4D22-9AE9-E89FC3FE661C}">
      <text>
        <r>
          <rPr>
            <sz val="8"/>
            <color indexed="81"/>
            <rFont val="Tahoma"/>
            <family val="2"/>
          </rPr>
          <t xml:space="preserve">Write-off recorded 9/04 as the results of the Idaho General Rate Case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79"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45"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91" authorId="0" shapeId="0" xr:uid="{62486746-D0AD-462B-970B-25BDD929A421}">
      <text>
        <r>
          <rPr>
            <b/>
            <sz val="8"/>
            <color indexed="81"/>
            <rFont val="Tahoma"/>
            <family val="2"/>
          </rPr>
          <t xml:space="preserve">rzk7kq: </t>
        </r>
        <r>
          <rPr>
            <sz val="8"/>
            <color indexed="81"/>
            <rFont val="Tahoma"/>
            <family val="2"/>
          </rPr>
          <t xml:space="preserve">
AFUDC Equity - all 419100 accounts
AFUDC Debt - all 432000 accounts</t>
        </r>
      </text>
    </comment>
    <comment ref="F157" authorId="0" shapeId="0" xr:uid="{B76CFCE9-E51E-4624-97C0-81504C2A3CDB}">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Andrews, Liz</author>
  </authors>
  <commentList>
    <comment ref="N10" authorId="0" shapeId="0" xr:uid="{2ACB6797-489C-48E4-B823-6240D861A0C8}">
      <text>
        <r>
          <rPr>
            <b/>
            <sz val="9"/>
            <color indexed="81"/>
            <rFont val="Tahoma"/>
            <family val="2"/>
          </rPr>
          <t xml:space="preserve">Andrews, Liz:
</t>
        </r>
        <r>
          <rPr>
            <sz val="9"/>
            <color indexed="81"/>
            <rFont val="Tahoma"/>
            <family val="2"/>
          </rPr>
          <t>update during process of case. Revenue for gas updated</t>
        </r>
      </text>
    </comment>
    <comment ref="P10" authorId="0" shapeId="0" xr:uid="{0380B869-FBF5-4392-8F36-B976C11CC141}">
      <text>
        <r>
          <rPr>
            <b/>
            <sz val="9"/>
            <color indexed="81"/>
            <rFont val="Tahoma"/>
            <family val="2"/>
          </rPr>
          <t>Andrews, Liz:</t>
        </r>
        <r>
          <rPr>
            <sz val="9"/>
            <color indexed="81"/>
            <rFont val="Tahoma"/>
            <family val="2"/>
          </rPr>
          <t xml:space="preserve">
update during process of case. Revenue for gas updated</t>
        </r>
      </text>
    </comment>
  </commentList>
</comments>
</file>

<file path=xl/sharedStrings.xml><?xml version="1.0" encoding="utf-8"?>
<sst xmlns="http://schemas.openxmlformats.org/spreadsheetml/2006/main" count="2686" uniqueCount="1277">
  <si>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</si>
  <si>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</si>
  <si>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</si>
  <si>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</si>
  <si>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</si>
  <si>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</si>
  <si>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</si>
  <si>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</si>
  <si>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</si>
  <si>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</si>
  <si>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</si>
  <si>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</si>
  <si>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</si>
  <si>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</si>
  <si>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</si>
  <si>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</si>
  <si>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</si>
  <si>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</si>
  <si>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</si>
  <si>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</si>
  <si>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</si>
  <si>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</si>
  <si>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</si>
  <si>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</si>
  <si>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</si>
  <si>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</si>
  <si>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</si>
  <si>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</si>
  <si>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</si>
  <si>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</si>
  <si>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</si>
  <si>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</si>
  <si>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</si>
  <si>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</si>
  <si>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</si>
  <si>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</si>
  <si>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</si>
  <si>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</si>
  <si>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</si>
  <si>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</si>
  <si>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</si>
  <si>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</si>
  <si>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</si>
  <si>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</si>
  <si>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</si>
  <si>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</si>
  <si>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</si>
  <si>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</si>
  <si>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</si>
  <si>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</si>
  <si>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</si>
  <si>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</si>
  <si>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</si>
  <si>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</si>
  <si>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</si>
  <si>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</si>
  <si>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</si>
  <si>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</si>
  <si>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</si>
  <si>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</si>
  <si>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</si>
  <si>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</si>
  <si>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</si>
  <si>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</si>
  <si>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</si>
  <si>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</si>
  <si>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</si>
  <si>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</si>
  <si>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</si>
  <si>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</si>
  <si>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</si>
  <si>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</si>
  <si>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</si>
  <si>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</si>
  <si>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</si>
  <si>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</si>
  <si>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</si>
  <si>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</si>
  <si>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</si>
  <si>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</si>
  <si>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</si>
  <si>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</si>
  <si>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</si>
  <si>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</si>
  <si>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</si>
  <si>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</si>
  <si>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</si>
  <si>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</si>
  <si>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</si>
  <si>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</si>
  <si>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</si>
  <si>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</si>
  <si>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</si>
  <si>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</si>
  <si>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</si>
  <si>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</si>
  <si>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</si>
  <si>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</si>
  <si>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</si>
  <si>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</si>
  <si>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</si>
  <si>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</si>
  <si>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</si>
  <si>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</si>
  <si>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</si>
  <si>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</si>
  <si>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</si>
  <si>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</si>
  <si>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</si>
  <si>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</si>
  <si>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</si>
  <si>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</si>
  <si>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</si>
  <si>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</si>
  <si>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</si>
  <si>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</si>
  <si>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</si>
  <si>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</si>
  <si>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</si>
  <si>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</si>
  <si>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</si>
  <si>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</si>
  <si>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</si>
  <si>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</si>
  <si>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</si>
  <si>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</si>
  <si>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</si>
  <si>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</si>
  <si>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</si>
  <si>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</si>
  <si>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</si>
  <si>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</si>
  <si>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</si>
  <si>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</si>
  <si>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</si>
  <si>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</si>
  <si>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</si>
  <si>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</si>
  <si>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</si>
  <si>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</si>
  <si>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</si>
  <si>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</si>
  <si>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</si>
  <si>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</si>
  <si>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</si>
  <si>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</si>
  <si>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</si>
  <si>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</si>
  <si>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</si>
  <si>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</si>
  <si>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</si>
  <si>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</si>
  <si>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</si>
  <si>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</si>
  <si>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</si>
  <si>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</si>
  <si>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</si>
  <si>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</si>
  <si>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</si>
  <si>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</si>
  <si>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</si>
  <si>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</si>
  <si>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</si>
  <si>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</si>
  <si>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</si>
  <si>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</si>
  <si>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</si>
  <si>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</si>
  <si>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</si>
  <si>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</si>
  <si>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</si>
  <si>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</si>
  <si>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</si>
  <si>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</si>
  <si>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</si>
  <si>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</si>
  <si>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</si>
  <si>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</si>
  <si>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</si>
  <si>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</si>
  <si>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</si>
  <si>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</si>
  <si>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</si>
  <si>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</si>
  <si>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</si>
  <si>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</si>
  <si>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</si>
  <si>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</si>
  <si>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</si>
  <si>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</si>
  <si>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</si>
  <si>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</si>
  <si>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</si>
  <si>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</si>
  <si>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</si>
  <si>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</si>
  <si>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</si>
  <si>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</si>
  <si>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</si>
  <si>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</si>
  <si>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</si>
  <si>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</si>
  <si>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</si>
  <si>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</si>
  <si>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</si>
  <si>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</si>
  <si>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</si>
  <si>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</si>
  <si>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</si>
  <si>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</si>
  <si>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</si>
  <si>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</si>
  <si>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</si>
  <si>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</si>
  <si>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</si>
  <si>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</si>
  <si>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</si>
  <si>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</si>
  <si>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</si>
  <si>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</si>
  <si>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</si>
  <si>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</si>
  <si>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</si>
  <si>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</si>
  <si>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</si>
  <si>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</si>
  <si>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</si>
  <si>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</si>
  <si>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</si>
  <si>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</si>
  <si>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</si>
  <si>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</si>
  <si>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</si>
  <si>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</si>
  <si>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</si>
  <si>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</si>
  <si>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</si>
  <si>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 xml:space="preserve">Employee </t>
  </si>
  <si>
    <t>Benefits</t>
  </si>
  <si>
    <t>WASHINGTON ELECTRIC</t>
  </si>
  <si>
    <t>IMPACT ON</t>
  </si>
  <si>
    <t>DIFFERENCE</t>
  </si>
  <si>
    <t>REVENUE REQUIREMENT</t>
  </si>
  <si>
    <t>NOI</t>
  </si>
  <si>
    <t>Restatement Summary Washington Electric</t>
  </si>
  <si>
    <t>Total Revenue Requirement Difference</t>
  </si>
  <si>
    <t xml:space="preserve">Adjusted Revenue Requirement </t>
  </si>
  <si>
    <t>Comparison of Revenue Requirement Revised Adjustments</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</si>
  <si>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</si>
  <si>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</si>
  <si>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</si>
  <si>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</si>
  <si>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</si>
  <si>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</si>
  <si>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</si>
  <si>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</si>
  <si>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</si>
  <si>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</si>
  <si>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</si>
  <si>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</si>
  <si>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</si>
  <si>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</si>
  <si>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Total Accumulated Depreciation</t>
  </si>
  <si>
    <t xml:space="preserve">NET PLANT </t>
  </si>
  <si>
    <t xml:space="preserve">DEFERRED DEBITS AND CREDITS </t>
  </si>
  <si>
    <t>DEFERRED DEBITS AND CREDITS</t>
  </si>
  <si>
    <t xml:space="preserve">      Total Accumulated Depreciation</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</si>
  <si>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</si>
  <si>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</si>
  <si>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</si>
  <si>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</si>
  <si>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</si>
  <si>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</si>
  <si>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</si>
  <si>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</si>
  <si>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</si>
  <si>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</si>
  <si>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</si>
  <si>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</si>
  <si>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</si>
  <si>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</si>
  <si>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</si>
  <si>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</si>
  <si>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</si>
  <si>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</si>
  <si>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</si>
  <si>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</si>
  <si>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</si>
  <si>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</si>
  <si>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</si>
  <si>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</si>
  <si>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</si>
  <si>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</si>
  <si>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</si>
  <si>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</si>
  <si>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</si>
  <si>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</si>
  <si>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</si>
  <si>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</si>
  <si>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</si>
  <si>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</si>
  <si>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</si>
  <si>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</si>
  <si>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</si>
  <si>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</si>
  <si>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</si>
  <si>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</si>
  <si>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</si>
  <si>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</si>
  <si>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</si>
  <si>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</si>
  <si>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</si>
  <si>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</si>
  <si>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</si>
  <si>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</si>
  <si>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</si>
  <si>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</si>
  <si>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</si>
  <si>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</si>
  <si>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</si>
  <si>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</si>
  <si>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</si>
  <si>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</si>
  <si>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</si>
  <si>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</si>
  <si>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</si>
  <si>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</si>
  <si>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</si>
  <si>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</si>
  <si>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</si>
  <si>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</si>
  <si>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</si>
  <si>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</si>
  <si>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</si>
  <si>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</si>
  <si>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</si>
  <si>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</si>
  <si>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</si>
  <si>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</si>
  <si>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</si>
  <si>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</si>
  <si>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</si>
  <si>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</si>
  <si>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</si>
  <si>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</si>
  <si>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</si>
  <si>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</si>
  <si>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</si>
  <si>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</si>
  <si>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</si>
  <si>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</si>
  <si>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</si>
  <si>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</si>
  <si>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</si>
  <si>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</si>
  <si>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</si>
  <si>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</si>
  <si>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</si>
  <si>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</si>
  <si>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</si>
  <si>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</si>
  <si>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</si>
  <si>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</si>
  <si>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</si>
  <si>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</si>
  <si>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</si>
  <si>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</si>
  <si>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</si>
  <si>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</si>
  <si>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</si>
  <si>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</si>
  <si>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</si>
  <si>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</si>
  <si>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</si>
  <si>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</si>
  <si>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</si>
  <si>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</si>
  <si>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</si>
  <si>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</si>
  <si>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</si>
  <si>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</si>
  <si>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</si>
  <si>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</si>
  <si>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</si>
  <si>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</si>
  <si>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</si>
  <si>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</si>
  <si>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</si>
  <si>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</si>
  <si>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</si>
  <si>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</si>
  <si>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</si>
  <si>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</si>
  <si>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</si>
  <si>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</si>
  <si>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</si>
  <si>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</si>
  <si>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</si>
  <si>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</si>
  <si>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</si>
  <si>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</si>
  <si>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</si>
  <si>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</si>
  <si>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</si>
  <si>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</si>
  <si>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</si>
  <si>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</si>
  <si>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</si>
  <si>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</si>
  <si>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</si>
  <si>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</si>
  <si>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</si>
  <si>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</si>
  <si>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</si>
  <si>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</si>
  <si>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</si>
  <si>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</si>
  <si>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</si>
  <si>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</si>
  <si>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</si>
  <si>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</si>
  <si>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</si>
  <si>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</si>
  <si>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</si>
  <si>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</si>
  <si>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</si>
  <si>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</si>
  <si>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</si>
  <si>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</si>
  <si>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</si>
  <si>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</si>
  <si>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</si>
  <si>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</si>
  <si>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</si>
  <si>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</si>
  <si>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</si>
  <si>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</si>
  <si>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</si>
  <si>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</si>
  <si>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</si>
  <si>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</si>
  <si>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</si>
  <si>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</si>
  <si>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</si>
  <si>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</si>
  <si>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</si>
  <si>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</si>
  <si>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</si>
  <si>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</si>
  <si>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</si>
  <si>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</si>
  <si>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</si>
  <si>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</si>
  <si>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</si>
  <si>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</si>
  <si>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</si>
  <si>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</si>
  <si>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</si>
  <si>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</si>
  <si>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</si>
  <si>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</si>
  <si>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</si>
  <si>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</si>
  <si>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</si>
  <si>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</si>
  <si>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</si>
  <si>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</si>
  <si>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</si>
  <si>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</si>
  <si>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</si>
  <si>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</si>
  <si>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</si>
  <si>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</si>
  <si>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</si>
  <si>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</si>
  <si>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</si>
  <si>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</si>
  <si>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</si>
  <si>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</si>
  <si>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</si>
  <si>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</si>
  <si>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</si>
  <si>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</si>
  <si>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</si>
  <si>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</si>
  <si>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</si>
  <si>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</si>
  <si>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</si>
  <si>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</si>
  <si>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</si>
  <si>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</si>
  <si>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</si>
  <si>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</si>
  <si>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</si>
  <si>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</si>
  <si>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</si>
  <si>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</si>
  <si>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</si>
  <si>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</si>
  <si>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</si>
  <si>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</si>
  <si>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</si>
  <si>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</si>
  <si>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</si>
  <si>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</si>
  <si>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</si>
  <si>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</si>
  <si>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</si>
  <si>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</si>
  <si>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</si>
  <si>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</si>
  <si>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</si>
  <si>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</si>
  <si>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</si>
  <si>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</si>
  <si>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</si>
  <si>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</si>
  <si>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</si>
  <si>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</si>
  <si>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</si>
  <si>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</si>
  <si>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</si>
  <si>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</si>
  <si>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</si>
  <si>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</si>
  <si>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</si>
  <si>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</si>
  <si>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</si>
  <si>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</si>
  <si>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</si>
  <si>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</si>
  <si>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</si>
  <si>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</si>
  <si>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</si>
  <si>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</si>
  <si>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</si>
  <si>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</si>
  <si>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</si>
  <si>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</si>
  <si>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</si>
  <si>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</si>
  <si>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</si>
  <si>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</si>
  <si>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</si>
  <si>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</si>
  <si>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</si>
  <si>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</si>
  <si>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</si>
  <si>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</si>
  <si>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</si>
  <si>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</si>
  <si>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</si>
  <si>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</si>
  <si>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</si>
  <si>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</si>
  <si>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</si>
  <si>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</si>
  <si>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</si>
  <si>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</si>
  <si>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</si>
  <si>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</si>
  <si>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</si>
  <si>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</si>
  <si>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</si>
  <si>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</si>
  <si>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</si>
  <si>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</si>
  <si>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</si>
  <si>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</si>
  <si>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</si>
  <si>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</si>
  <si>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</si>
  <si>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</si>
  <si>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</si>
  <si>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</si>
  <si>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</si>
  <si>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</si>
  <si>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</si>
  <si>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</si>
  <si>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</si>
  <si>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</si>
  <si>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</si>
  <si>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</si>
  <si>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</si>
  <si>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Totals</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</si>
  <si>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</si>
  <si>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</si>
  <si>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</si>
  <si>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</si>
  <si>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</si>
  <si>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</si>
  <si>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</si>
  <si>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</si>
  <si>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</si>
  <si>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</si>
  <si>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</si>
  <si>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</si>
  <si>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</si>
  <si>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</si>
  <si>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</si>
  <si>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</si>
  <si>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</si>
  <si>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</si>
  <si>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</si>
  <si>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</si>
  <si>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</si>
  <si>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</si>
  <si>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</si>
  <si>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</si>
  <si>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</si>
  <si>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 xml:space="preserve">REVENUE REQUIREMENT </t>
  </si>
  <si>
    <t>PROPOSED COST OF CAPITAL</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</si>
  <si>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</si>
  <si>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</si>
  <si>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</si>
  <si>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</si>
  <si>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</si>
  <si>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</si>
  <si>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</si>
  <si>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</si>
  <si>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</si>
  <si>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</si>
  <si>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</si>
  <si>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</si>
  <si>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</si>
  <si>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</si>
  <si>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</si>
  <si>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</si>
  <si>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</si>
  <si>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</si>
  <si>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</si>
  <si>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</si>
  <si>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</si>
  <si>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</si>
  <si>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</si>
  <si>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E-PRA</t>
  </si>
  <si>
    <t>Restating Adjustments</t>
  </si>
  <si>
    <t>Non-Utility</t>
  </si>
  <si>
    <t>Misc. Restating</t>
  </si>
  <si>
    <t>Normalize</t>
  </si>
  <si>
    <t>CS2/Colstrip</t>
  </si>
  <si>
    <t>x</t>
  </si>
  <si>
    <t xml:space="preserve">Revenue Requirement </t>
  </si>
  <si>
    <t>Total General Business Revenues</t>
  </si>
  <si>
    <t>Adjusted</t>
  </si>
  <si>
    <t>Total (1)</t>
  </si>
  <si>
    <t>Major Maint</t>
  </si>
  <si>
    <t xml:space="preserve">Authorized </t>
  </si>
  <si>
    <t>IS/IT</t>
  </si>
  <si>
    <t>E-APS</t>
  </si>
  <si>
    <t>Joel</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</si>
  <si>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</si>
  <si>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</si>
  <si>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</si>
  <si>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</si>
  <si>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</si>
  <si>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</si>
  <si>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</si>
  <si>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</si>
  <si>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</si>
  <si>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Incentives</t>
  </si>
  <si>
    <t>PF-SubTtl</t>
  </si>
  <si>
    <t>Non-Util / Non-</t>
  </si>
  <si>
    <t>Recurring Expenses</t>
  </si>
  <si>
    <t xml:space="preserve">Restating </t>
  </si>
  <si>
    <t>Requested</t>
  </si>
  <si>
    <t xml:space="preserve">WASHINGTON ELECTRIC RESULTS </t>
  </si>
  <si>
    <t>Sum Impact</t>
  </si>
  <si>
    <t>AMA Rate</t>
  </si>
  <si>
    <t>Base to EOP</t>
  </si>
  <si>
    <t xml:space="preserve">  Federal Income Tax @ 21%</t>
  </si>
  <si>
    <t>CALCULATION OF REQUESTED GENERAL REVENUE REQUIREMENT</t>
  </si>
  <si>
    <t>E-AMI</t>
  </si>
  <si>
    <t xml:space="preserve">Revenue Conversion Factor </t>
  </si>
  <si>
    <t>Amortization</t>
  </si>
  <si>
    <t>E-PIT</t>
  </si>
  <si>
    <t>E-PCOL</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</si>
  <si>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</si>
  <si>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</si>
  <si>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</si>
  <si>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</si>
  <si>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</si>
  <si>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</si>
  <si>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</si>
  <si>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</si>
  <si>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</si>
  <si>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</si>
  <si>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</si>
  <si>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</si>
  <si>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</si>
  <si>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</si>
  <si>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</si>
  <si>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</si>
  <si>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</si>
  <si>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Proposed Capital Structure</t>
  </si>
  <si>
    <t>Gains &amp;</t>
  </si>
  <si>
    <t>E-PFEE</t>
  </si>
  <si>
    <t>E-PINS</t>
  </si>
  <si>
    <t>Liz</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</si>
  <si>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</si>
  <si>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</si>
  <si>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</si>
  <si>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</si>
  <si>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</si>
  <si>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</si>
  <si>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</si>
  <si>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</si>
  <si>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</si>
  <si>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</si>
  <si>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</si>
  <si>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</si>
  <si>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</si>
  <si>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</si>
  <si>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</si>
  <si>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</si>
  <si>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</si>
  <si>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</si>
  <si>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TWELVE MONTHS ENDED DECEMBER 31, 2019</t>
  </si>
  <si>
    <t>E-EOP19</t>
  </si>
  <si>
    <t>WITH 09.2021 PROPOSED RATES</t>
  </si>
  <si>
    <t xml:space="preserve">Power </t>
  </si>
  <si>
    <t xml:space="preserve">AMI </t>
  </si>
  <si>
    <t>E-WF</t>
  </si>
  <si>
    <t>E-PEIM</t>
  </si>
  <si>
    <t>3.00P</t>
  </si>
  <si>
    <t>3.00T</t>
  </si>
  <si>
    <t>Revenue/Expense</t>
  </si>
  <si>
    <t>E-PPS</t>
  </si>
  <si>
    <t>E-PTRAN</t>
  </si>
  <si>
    <t>E-ARAM</t>
  </si>
  <si>
    <t>E-PCAP1</t>
  </si>
  <si>
    <t>E-CAP2</t>
  </si>
  <si>
    <t>E-CAP3</t>
  </si>
  <si>
    <t>E-CAP4</t>
  </si>
  <si>
    <t>E-CAP5</t>
  </si>
  <si>
    <t>October 1, 2021</t>
  </si>
  <si>
    <t>10.2021</t>
  </si>
  <si>
    <t>E-RDFIT</t>
  </si>
  <si>
    <t>E-Tax</t>
  </si>
  <si>
    <t>4.00T</t>
  </si>
  <si>
    <t>INFORMATIONAL ONLY</t>
  </si>
  <si>
    <t>After Tariff #  Strategic Tax Return</t>
  </si>
  <si>
    <t>COC</t>
  </si>
  <si>
    <t>Pro Forma Revenue Normalization</t>
  </si>
  <si>
    <t>Provisional</t>
  </si>
  <si>
    <t>Results</t>
  </si>
  <si>
    <t>1</t>
  </si>
  <si>
    <t>2</t>
  </si>
  <si>
    <t xml:space="preserve">Restate </t>
  </si>
  <si>
    <t>Total (2)</t>
  </si>
  <si>
    <t>Exhibit 5 File Name</t>
  </si>
  <si>
    <t>Exhibit 11 File Name</t>
  </si>
  <si>
    <t>3.18PF</t>
  </si>
  <si>
    <t>3.19PF</t>
  </si>
  <si>
    <t>Results of Operations</t>
  </si>
  <si>
    <t>Deferred FIT Rate Base</t>
  </si>
  <si>
    <t>Deferred Debits and Credits</t>
  </si>
  <si>
    <t>Remove AMI Rate Base</t>
  </si>
  <si>
    <t>Eliminate B &amp; O Taxes</t>
  </si>
  <si>
    <t>Restate Property Tax</t>
  </si>
  <si>
    <t>Uncollect. Expense</t>
  </si>
  <si>
    <t>Regulatory Expense</t>
  </si>
  <si>
    <t>FIT/DFIT/ ITC Expense</t>
  </si>
  <si>
    <t>Office Space Charges to Non-Utility</t>
  </si>
  <si>
    <t>Restate Excise Taxes</t>
  </si>
  <si>
    <t>Net Gains &amp; Losses</t>
  </si>
  <si>
    <t>Weather Normalization</t>
  </si>
  <si>
    <t>Eliminate Adder Schedules</t>
  </si>
  <si>
    <t>Misc. Restating Non-Util / Non- Recurring Expenses</t>
  </si>
  <si>
    <t>Restating Incentives</t>
  </si>
  <si>
    <t>Eliminate WA Power Cost Defer</t>
  </si>
  <si>
    <t>Nez Perce Settlement Adjustment</t>
  </si>
  <si>
    <t>Normalize CS2/Colstrip Major Maint</t>
  </si>
  <si>
    <t>Authorized Power Supply</t>
  </si>
  <si>
    <t>Restate 2019 AMA Rate Base to EOP</t>
  </si>
  <si>
    <t>Pro Forma Power Supply</t>
  </si>
  <si>
    <t>Pro Forma Transmission Revenue/Expense</t>
  </si>
  <si>
    <t>Pro Forma Def. Debits, Credits &amp; Regulatory Amorts</t>
  </si>
  <si>
    <t>Pro Forma ARAM DFIT</t>
  </si>
  <si>
    <t>Pro Forma Labor Non-Exec</t>
  </si>
  <si>
    <t>Pro Forma Labor Exec</t>
  </si>
  <si>
    <t>Pro Forma Employee Benefits</t>
  </si>
  <si>
    <t>Pro Forma Insurance Expense</t>
  </si>
  <si>
    <t>Pro Forma IS/IT Expense</t>
  </si>
  <si>
    <t>Pro Forma Property Tax</t>
  </si>
  <si>
    <t>Pro Forma Fee Free Amortization</t>
  </si>
  <si>
    <t>Pro Forma 2020 Customer At Center</t>
  </si>
  <si>
    <t>Pro Forma 2020 Large &amp; Distinct</t>
  </si>
  <si>
    <t>Pro Forma 2020 Programmatic</t>
  </si>
  <si>
    <t>Pro Forma 2020 Mandatory &amp; Compliance</t>
  </si>
  <si>
    <t>Pro Forma 2020 Short Lived</t>
  </si>
  <si>
    <t>Pro Forma AMI Capital</t>
  </si>
  <si>
    <t>Pro Forma WildFire Plan</t>
  </si>
  <si>
    <t>Pro Forma EIM Expenditures</t>
  </si>
  <si>
    <t>Pro Forma Colstrip Cap &amp; Amortization</t>
  </si>
  <si>
    <t>PF Normalize CS2/Colstrip Major Maint</t>
  </si>
  <si>
    <t>Restate 2019 ADFIT</t>
  </si>
  <si>
    <t>Strategic Tax DFIT Tariff</t>
  </si>
  <si>
    <t>Linked to Tab</t>
  </si>
  <si>
    <t>ROO INPUT</t>
  </si>
  <si>
    <t>X</t>
  </si>
  <si>
    <t>DEBT CALC</t>
  </si>
  <si>
    <t>200900-200901-Andrews (WA 2020) ERM Elimination 12.31.19 - Final</t>
  </si>
  <si>
    <t>200900-200901-Andrews (WA2020) Incentive Adjustment</t>
  </si>
  <si>
    <t xml:space="preserve">On rebuttal, the Company provided as Exh. EMA-11 all supporting files for rebuttal adjustments electronically labeled with each Restating and Pro Forma Adjustment (see Column A). Most adjustments have 1 file per adjustment.  The Company labeled each file with the prefix "200900-200901-AVA-Exh-EMA-11" and Adjustment number. </t>
  </si>
  <si>
    <t>200900-901-AVA-Exh-EMA-11-2.04 Reg Fees Staff-DR-059-Supplemental Att B</t>
  </si>
  <si>
    <t>200900-901-AVA-Exh-EMA-11-2.19 a) Restate 2019 AMA RB -Staff-DR-039 Sup - Att B
200900-901-AVA-Exh-EMA-11-2.19 b) Restate 2019 AMA RB -Staff-DR-039-Attachment A</t>
  </si>
  <si>
    <t>200900-901-AVA-Exh-EMA-11-3.00 (b)-3.01 Revenue Normalization -P.S. - Staff-DR-156-Attachment B</t>
  </si>
  <si>
    <t>200900-901-AVA-Exh-EMA-11-3.03 PF ARAM - Staff-DR-038-Supplemental-Attachment-A</t>
  </si>
  <si>
    <t>200900-901-AVA-Exh-EMA-11-3.06 PF Benefits - PC-DR-315 Attachment A</t>
  </si>
  <si>
    <t>200900-901-AVA-Exh-EMA-11-3.07 PF Insurance - Staff-DR-044 Supplemental - Attachment A</t>
  </si>
  <si>
    <t>200900-901-AVA-Exh-EMA-11-3.09 a) PF Property Tax- Staff-DR-049-Supplemental-Attachment A
200900-901-AVA-Exh-EMA-11-3.09 b) PF Property Tax- Staff-DR-049-Supplemental-Attachment B</t>
  </si>
  <si>
    <t>200900-901-AVA-Exh-EMA-11-3.11 PF 2020 Capital Customer - Staff-DR-107 Supplemental 1 - 3.11 Attachment A
200900-901-AVA-Exh-EMA-11-3.11-3.15 PF 2020 Capital Summary - Staff-DR-107 Supplemental -Attachment B</t>
  </si>
  <si>
    <t>200900-901-AVA-Exh-EMA-11-3.12 PF 2020 Capital Large - Staff-DR-107 Supplemental 1 - Attachment A</t>
  </si>
  <si>
    <t>200900-901-AVA-Exh-EMA-11-3.13 PF 2020 Capital Programmatic -Staff-DR-107 Supplemental 1 - Attachment A</t>
  </si>
  <si>
    <t>200900-901-AVA-Exh-EMA-11-3.14 PF 2020 Capital Mandatroy Staff-DR-107 Supplemental 1 - Attachment A</t>
  </si>
  <si>
    <t>200900-901-AVA-Exh-EMA-11-3.15 PF 2020 Capital Short-Lived -Staff-DR-107 Supplemental 1 - Attachment A</t>
  </si>
  <si>
    <t>200900-901-AVA-Exh-EMA-11-3.16 a) PF 2020 Capital AMI-Staff-DR-107 Supplemental 3 - Attachment A
200900-901-AVA-Exh-EMA-11-3.16 b) PF 2020 Capital AMI - Staff-DR-107 Supplemental 2 - Attachment B
200900-901-AVA-Exh-EMA-11-3.16 c) PF 2020 Capital AMI - Staff-DR-107 Supplemental 2 - Attachment C</t>
  </si>
  <si>
    <t>200900-901-AVA-Exh-EMA-11-3.20 PF Normalize CS2-Colstrip - Staff-DR-125 Attachment B</t>
  </si>
  <si>
    <t>Flow Through</t>
  </si>
  <si>
    <t>Updated</t>
  </si>
  <si>
    <t>200900-200901-Andrews ConvFactor-12.31.2019-Final</t>
  </si>
  <si>
    <t>200900-200901-Andrews 0) 3.11-3.15 Pro Forma 2020 Capital Additions Summary
200900-200901-Andrews 1) 3.11 Customer at the Center Pro Forma 2020 Capital Additions</t>
  </si>
  <si>
    <t>200900-200901-Andrews 1) 12.2019 inj-dam adj</t>
  </si>
  <si>
    <t>200900-200901-Andrews 1) 12.2019 Property Tax-restating</t>
  </si>
  <si>
    <t>200900-200901-Andrews 1) 2019 - WA - Excise Tax</t>
  </si>
  <si>
    <t>200900-200901-Andrews 1) Flow-through Taxes PF</t>
  </si>
  <si>
    <t>N/A - Informational Only</t>
  </si>
  <si>
    <t>200900-200901-Andrews 1)12.2019 WA CBR - Office Space Charged to Non-Utility</t>
  </si>
  <si>
    <t>Allocations</t>
  </si>
  <si>
    <t>200900-200901-Andrews 1)AMI ADJ-2019 CBR</t>
  </si>
  <si>
    <t>200900-200901-Andrews 1)CS2andColstrip Major Maintenance-2019</t>
  </si>
  <si>
    <t>200900-200901-Andrews 1)WA Eliminate Adder Schedule 2019</t>
  </si>
  <si>
    <t>200900-200901-Andrews 2) 3.12 Large Distinct Projects Pro Forma 2020 Capital Additions</t>
  </si>
  <si>
    <t>200900-200901-Andrews 1) 12.2019 Property Tax-PF-10.1.2021
200900-200901-Andrews 2) 2020.08.20 - Property Tax Forecast - updated WA</t>
  </si>
  <si>
    <t>200900-200901-Andrews 1) PF ARAM DFIT Adj
200900-200901-Andrews 2) ARAM Allocation</t>
  </si>
  <si>
    <t>200900-200901-Andrews 1) Wildfire-Plant Adj
200900-200901-Andrews 2) OandM Wildfire - updated 08.28.2020</t>
  </si>
  <si>
    <t>200900-200901-Andrews 1) PF 3.07 PF IS Adj 2019
200900-200901-Andrews 2) PF 3.07 PF IS</t>
  </si>
  <si>
    <t>200900-200901-Andrews 1) 12.2019 Insurance Pro Forma adjustment
200900-200901-Andrews 2) PF3.07 Projected Rate on Line Analysis for 12.31.20 Renewal</t>
  </si>
  <si>
    <t>200900-200901-Andrews 1)12.2019 Uncollectible Exp Adj-Final
200900-200901-Andrews 2)2019 Uncollectible Accounts</t>
  </si>
  <si>
    <t>200900-200901-Andrews 1)WA Colstrip Accounting
200900-200901-Andrews 2)Colstrip PF Capital-2020-2022</t>
  </si>
  <si>
    <t>200900-200901-Andrews 2.14 Debt Interest  E</t>
  </si>
  <si>
    <t>200900-200901-Andrews 3) 3.13 Programs Pro Forma 2020 Capital Additions</t>
  </si>
  <si>
    <t>200900-200901-Andrews 1)ADFIT-12.2019 AMA-WA CBR - 1.01
200900-200901-Andrews 2)CDA Legal Costs Amort
200900-200901-Andrews 3)ADFIT-12.2019 EOP</t>
  </si>
  <si>
    <t>200900-200901-Andrews 1)ADFIT-12.2019 Adjust for Repairs-IDD5-Meters
200900-200901-Andrews 2)2019 Plant DFIT RTA Adj - DRAFT 09.29.2020
200900-200901-Andrews 3)Tax Credits Flow-Through - Allocated by Jur MK-JP 09.30.2020</t>
  </si>
  <si>
    <t>200900-200901-Andrews 3.04 2019 Non-Executive Labor Adjustment (2020 WA GRC)</t>
  </si>
  <si>
    <t>200900-200901-Andrews 3.05 FLB Forecast Labor Executive (2020 WA GRC)</t>
  </si>
  <si>
    <t>200900-200901-Andrews 3.06 2019 Benefit Adjustment (2020 WA GRC)</t>
  </si>
  <si>
    <t>200900-200901-Andrews 4) 3.14 Mandatory and Compliance Pro Forma 2020 Capital Additions</t>
  </si>
  <si>
    <t>200900-200901-Andrews 1) E-FIT 2019 Electric Adj
200900-200901-Andrews 3) Reconcile 2019 SCH Ms to DFIT Expense
200900-200901-Andrews 4) 2019 ITC AMORT</t>
  </si>
  <si>
    <t xml:space="preserve">200900-200901-Andrews 1) 12.2019 Misc Restate-WA
200900-200901-Andrews 2) 12.2019 WA GRC - Misc Restating - BOD
200900-200901-Andrews 3) 12.2019 WA GRC - Misc Restating - Non-Utility Removals
</t>
  </si>
  <si>
    <t>200900-200901-Andrews 1) AMI Capital and Regulatory Asset
200900-200901-Andrews 2) AMI-Plant and AFUDC Detail
200900-200901-Andrews 3) AMI Report Benefits Workbook
200900-200901-Andrews 4) AMI Knock Rule Cost Workpaper</t>
  </si>
  <si>
    <t>200900-200901-Andrews 1) EIM-PF ADJ
200900-200901-Andrews 2) Labor Exp - Confidential  EIM HR Plan Financials
200900-200901-Andrews 3) EIM - IT expense
200900-200901-Andrews 4) EIM CAISO-Utilicast-non-labor</t>
  </si>
  <si>
    <t>200900-200901-Andrews 5) 3.15 Short-Lived Assets Pro Forma 2020 Capital Additions</t>
  </si>
  <si>
    <t>UPDATED</t>
  </si>
  <si>
    <t>Un-
contested</t>
  </si>
  <si>
    <t>200900-200901-Andrews 4) 12.2019 WA GRC - Misc Restating - Reclass
200900-200901-Andrews 5a) 12.2019 WA GRC - Misc Restating - LTIP
200900-200901-Andrews 5b) FERC 920 LTIP Transactions</t>
  </si>
  <si>
    <t>200900-200901-Andrews 6a) 12.2019 WA GRC - Misc Restating - Plane Reclass
200900-200901-Andrews 6b) Plane and Hangar Rate Base-2019
200900-200901-Andrews 7) 12.2019 WA GRC - Misc Restating - DandO Insurance</t>
  </si>
  <si>
    <t>200900-200901-Andrews 8) 12.2019 WA Earnings Sharing Prior Period Adj</t>
  </si>
  <si>
    <t>200900-200901-Andrews 1) CB - 2019.12 WA Regulatory Debits and Credits
200900-200901-Andrews 2) CB - 2019.12 ColstripAdjs
200900-200901-Andrews 3) CB - 2019.12 WA KettleFalls
200900-200901-Andrews 4) CB - 2019.12 Settlement Exch-WNP3 Adj
200900-200901-Andrews 5) CB - 2019.12 CDA Settle-Past Stor Defs
200900-200901-Andrews 6) CB - 2019.12 CDA Settle-CDR Fund Defs
200900-200901-Andrews 7) CB - 2019.12 Spok Relicense Deferral
200900-200901-Andrews 8) CB - 2019.12 Spok Relicense PME Defer
200900-200901-Andrews 9) CB - 2019.12 MT Trust Fund Settlement
200900-200901-Andrews 10) CB - 2019.12 Customer Advances
200900-200901-Andrews 11) CB - 2019.12 Customer Deposits</t>
  </si>
  <si>
    <t>200900-200901-Andrews 12.2019 Fee Free Deferral and Amort</t>
  </si>
  <si>
    <t>200900-200901-Andrews 12.2019 WAID Elec Weather Adj Calc</t>
  </si>
  <si>
    <t>200900-200901-Andrews 12A-2019.12-Avista Electric Pull
200900-200901-Andrews 12E-2019.12-Avista Electric Pull</t>
  </si>
  <si>
    <t>200900-200901-Andrews 12A-2019.12-Working Capital-PULL
200900-200901-Description of Wells and Mizuho-final
200900-200901-WellsandMizuho- Calculate Interest-Bearing Amount-2019</t>
  </si>
  <si>
    <t>200900-200901-Andrews 2019 - Eliminate B-O Tax</t>
  </si>
  <si>
    <t>200900-200901-Andrews 1)2019 WA CBR - NET GAINS AND LOSSES
200900-200901-Andrews Copy of FERC 421 - gains 2019</t>
  </si>
  <si>
    <t>200900-200901-Andrews CBR-12.2019 Power Supply WA Adj Workbook</t>
  </si>
  <si>
    <t>200900-200901-Andrews GRC-12.2019 Power Supply WA Pro-Forma Final 10.12.20</t>
  </si>
  <si>
    <t>200900-200901-Andrews 1) 2.19-E - 2.15-G Restate 2019 AMA Rate Base to EOP Adj
200900-200901-Andrews 2) Adjust Dep Exp from AMA to EOP 12.2019
200900-200901-Andrews 3)ADFIT-12.2019 EOP - KJS WP
200900-200901-Andrews Capital Investment Revenue Requirement - Gantry Crane 2020 10 21 - correction</t>
  </si>
  <si>
    <t>200900-200901-Andrews PF 3.20 CS2-Colstrip Majr Maint</t>
  </si>
  <si>
    <t>200900-200901-Andrews Regulatory Fees FERC 928-2019</t>
  </si>
  <si>
    <t>200900-200901-Andrews PF 3.00T Adjustment
200900-200901-Andrews Transmission Revenue 2019 - GRC Adjustments for 2021</t>
  </si>
  <si>
    <t>200900-200901-Andrews Nez Perce Settlement-2019</t>
  </si>
  <si>
    <t>200900-200901-Andrews WA Elec Rev Norm Adj
200900-200901-Andrews WA Electric Revenue - 6.17.20</t>
  </si>
  <si>
    <t>A</t>
  </si>
  <si>
    <r>
      <t>With the Company's original filing it provided as</t>
    </r>
    <r>
      <rPr>
        <b/>
        <u/>
        <sz val="10"/>
        <rFont val="Times New Roman"/>
        <family val="1"/>
      </rPr>
      <t xml:space="preserve"> Exh. EMA-5 all supporting files electronically</t>
    </r>
    <r>
      <rPr>
        <b/>
        <sz val="10"/>
        <rFont val="Times New Roman"/>
        <family val="1"/>
      </rPr>
      <t xml:space="preserve"> in seperate folders labeled with each Restating and Pro Forma Adjustment (see Column A).   In each folder were the support files for each adjustment. 
To upload to the WUTC website, the Records Center removed the individual files from the labeled folders, added the prefix "200900-200901-Andrews" then posted to the WUTC cite, losing the folder references. </t>
    </r>
  </si>
  <si>
    <t>```</t>
  </si>
  <si>
    <t>INFORMATION
AL ONLY</t>
  </si>
  <si>
    <t>200900-200901-Andrews 1) PF - 2019 WA Regulatory Debits and Credits
200900-200901-Andrews 4) PF - 2019.12 Settlement Exch-WNP3 Adj
200900-200901-Andrews 5) PF - 2019.12 CDA Settle-Past Stor Defs
200900-200901-Andrews 6) PF - 2019.12 CDA Settle-CDR Fund Defs
200900-200901-Andrews 7) PF - 2019.12 Spok Relicense Deferral
200900-200901-Andrews 8) PF - 2019.12 Spok Relicense PME Defer
200900-200901-Andrews 9) PF - 2019.12 MT Trust Fund Settlement
200900-200901-Andrews 10) PF - 2019.12 Customer Advances
200900-200901-Andrews 11) PF - 2019.12 Customer Deposits
200900-200901-Andrews 12) PF - 2019.12 WA AFUDC</t>
  </si>
  <si>
    <t>3.17PF</t>
  </si>
  <si>
    <t>3.17PV</t>
  </si>
  <si>
    <t>E-WFp</t>
  </si>
  <si>
    <t>Provisional WildFire Plan</t>
  </si>
  <si>
    <t>Bench Request 1 - Attachment D - 3.18 PV 2020 Capital EIM Staff-DR-107 Supplemental 1 - Attachment A-Provisional ADJ</t>
  </si>
  <si>
    <t xml:space="preserve">200900-901-AVA-Exh-EMA-11-3.18 PF 2020 Capital EIM Staff-DR-107 Supplemental 1 - Attachment A
Bench Request 1 - Attachment C - 3.18 PF 2020 Capital EIM Staff-DR-107 Supplemental 1 - Attachment A-PF ADJ
</t>
  </si>
  <si>
    <t>200900-901-AVA-Exh-EMA-11-3.19 a) PF 2020 Capital Colstrip - Staff-DR-107 Supplemental 2 -Attachment A-Revised
200900-901-AVA-Exh-EMA-11-3.19 b) PF 2020 Capital Colstrip - Staff-DR-107 Supplemental 2 - Attachment B-Revised
200900-901-AVA-Exh-EMA-11-3.19 c) PF 2020 Capital Colstrip - Staff-DR-107 Supplemental 2 - Attachment C-Revised
200900-901-AVA-Exh-EMA-11-3.19 d) PF 2020 Capital Colstrip - Staff-DR-107 Supplemental 2 - Attachment D-Revised
Bench Request 1 - Attachment E - 3.19 a) PF 2020 Capital Colstrip - Staff-DR-107 Supplemental 2 -Attachment A-Revised
Bench Request 1 - Attachment F - 3.19 b) PF 2020 Colstrip Capital Staff-DR-107 Supplemental 2 - Attachment B-Revised-PF ADJ</t>
  </si>
  <si>
    <t>Bench Request 1 - Attachment G - 3.19 b) PV 2020 Colstrip Capital Staff-DR-107 Supplemental 2 - Attachment B-Revised-Provisional ADJ</t>
  </si>
  <si>
    <t>Bench Request 1 - Attachment I 3.17 PV 2020 Capital Wildfire - Staff-DR-107 Supplemental 1 - Attachment A-Provisional ADJ</t>
  </si>
  <si>
    <t>200900-901-AVA-Exh-EMA-11-3.17 PF 2020 Capital Wildfire - Staff-DR-107 Supplemental 1 - Attachment A
Bench Request 1 - Attachment H 3.17 PF 2020 Capital Wildfire - Staff-DR-107 Supplemental 1 - Attachment A-PF ADJ</t>
  </si>
  <si>
    <t>NOTES:</t>
  </si>
  <si>
    <t>Per ROO</t>
  </si>
  <si>
    <t>C-UE-1</t>
  </si>
  <si>
    <t>CALCULATION OF CONVERSION FACTOR:  WASHINGTON ELECTRIC</t>
  </si>
  <si>
    <t>Revenue:</t>
  </si>
  <si>
    <t xml:space="preserve">  Uncollectibles  (1)</t>
  </si>
  <si>
    <t xml:space="preserve">  Commission Fees  (2)</t>
  </si>
  <si>
    <t xml:space="preserve">  Washington Excise Tax  (3)</t>
  </si>
  <si>
    <t xml:space="preserve">  Federal Income Tax @</t>
  </si>
  <si>
    <t>Shared Inputs</t>
  </si>
  <si>
    <t>(1)  Calculation of Effective Uncollectibles Rate:</t>
  </si>
  <si>
    <t xml:space="preserve">       Net Write-Offs *</t>
  </si>
  <si>
    <t xml:space="preserve">         Divided by:</t>
  </si>
  <si>
    <t xml:space="preserve">       Sales to Ultimate Customers **</t>
  </si>
  <si>
    <t xml:space="preserve">       EFFECTIVE RATE</t>
  </si>
  <si>
    <t xml:space="preserve">     *  From Uncollectibles Adjustment Workpapers.</t>
  </si>
  <si>
    <t xml:space="preserve">     ** From Results of Operations Report E-OPS-12A</t>
  </si>
  <si>
    <t>(3)  Calculation of Effective Washington Excise Tax Rate:</t>
  </si>
  <si>
    <t xml:space="preserve">     Nominal Rate  *</t>
  </si>
  <si>
    <t xml:space="preserve">       Multiplied by</t>
  </si>
  <si>
    <t xml:space="preserve">       Uncollectibles Factor:</t>
  </si>
  <si>
    <t xml:space="preserve">         Revenue</t>
  </si>
  <si>
    <t xml:space="preserve">         Less:</t>
  </si>
  <si>
    <t xml:space="preserve">         Effective Uncol Rate</t>
  </si>
  <si>
    <t xml:space="preserve">     EFFECTIVE RATE</t>
  </si>
  <si>
    <t xml:space="preserve">     *  From Combined Excise Tax Return.</t>
  </si>
  <si>
    <t>(2) WUTC fees rate per Regulatory Fee Calculation Schedule, Annual Report Year 2020 dated 04/21/2020</t>
  </si>
  <si>
    <t>TWELVE MONTHS ENDED SEPTEMBER 30, 2021</t>
  </si>
  <si>
    <t>Justin</t>
  </si>
  <si>
    <t>Marcus</t>
  </si>
  <si>
    <t>Tia</t>
  </si>
  <si>
    <t>Restate 09.2021</t>
  </si>
  <si>
    <t xml:space="preserve">Justin </t>
  </si>
  <si>
    <t>As Filed</t>
  </si>
  <si>
    <t>Rebuttal</t>
  </si>
  <si>
    <t>Amortization of Colstrip Recovery Offset</t>
  </si>
  <si>
    <t>EIM Deferred O&amp;M</t>
  </si>
  <si>
    <t>Regulatory Debit - FISERVE Amortization</t>
  </si>
  <si>
    <t>Regulatory Credit - Deferral - COVID-19</t>
  </si>
  <si>
    <t>Regulatory Credit - Wild Fire Resiliency Deprec</t>
  </si>
  <si>
    <t>Regulatory Credit - Wild Fire Resiliency</t>
  </si>
  <si>
    <t>Regulatory Credit - COVID-19 Deferral</t>
  </si>
  <si>
    <t>Regulatory Credit - Wildfire Balancing Account O&amp;M</t>
  </si>
  <si>
    <t>Amortization - 2015 Remand Refund</t>
  </si>
  <si>
    <t>Taxes Other Than FIT--A&amp;G</t>
  </si>
  <si>
    <t>Misc Intangible Plant- (C-IPL)</t>
  </si>
  <si>
    <t>Misc Intangible Plant-Mainframe Software (C-IPL)</t>
  </si>
  <si>
    <t>30310X</t>
  </si>
  <si>
    <t>Misc Intangible Plant-Term On-Premise Software (C-IPL)</t>
  </si>
  <si>
    <t>30313X</t>
  </si>
  <si>
    <t>Misc Intangible Plant-Term SAAS Software (C-IPL)</t>
  </si>
  <si>
    <t>Regulatory Liability-Customer Tax Credit (254393)</t>
  </si>
  <si>
    <t>ADFIT-Customer Tax Credit (190393)</t>
  </si>
  <si>
    <t xml:space="preserve">Remove </t>
  </si>
  <si>
    <t>LIRAP</t>
  </si>
  <si>
    <t>Misc</t>
  </si>
  <si>
    <t>O&amp;M Exp</t>
  </si>
  <si>
    <t>E-EOP12.2021</t>
  </si>
  <si>
    <t>E-EOP09.2021</t>
  </si>
  <si>
    <t xml:space="preserve">Pro Form 09.2021 </t>
  </si>
  <si>
    <t>EOP Rate Base</t>
  </si>
  <si>
    <t>to 12.31.2021 EOP</t>
  </si>
  <si>
    <t>Wildfire Additions</t>
  </si>
  <si>
    <t xml:space="preserve">Pro Form </t>
  </si>
  <si>
    <t>12.2021 EOP</t>
  </si>
  <si>
    <t>12.2021 EOP Colstrip</t>
  </si>
  <si>
    <t>Adds &amp; Amortization</t>
  </si>
  <si>
    <t>Capital Groups</t>
  </si>
  <si>
    <t>E-CEIP</t>
  </si>
  <si>
    <t>E-LIRAP</t>
  </si>
  <si>
    <t>E-PVCap22</t>
  </si>
  <si>
    <t>E-PVWF22</t>
  </si>
  <si>
    <t>E-PVCOL22</t>
  </si>
  <si>
    <t>E-PVWF23</t>
  </si>
  <si>
    <t>E-PVCOL23</t>
  </si>
  <si>
    <t>RY1</t>
  </si>
  <si>
    <t>RY2</t>
  </si>
  <si>
    <t>FINAL</t>
  </si>
  <si>
    <t>INCREMENTAL</t>
  </si>
  <si>
    <t>F-Ttl</t>
  </si>
  <si>
    <t>g</t>
  </si>
  <si>
    <t>WCD - including STD</t>
  </si>
  <si>
    <t>WCD - excluding STD</t>
  </si>
  <si>
    <t>Excluding STD</t>
  </si>
  <si>
    <t>Rate Year 1</t>
  </si>
  <si>
    <t>Rate Year 2</t>
  </si>
  <si>
    <t>Incremental Rate Year 2</t>
  </si>
  <si>
    <t>Revenue requirement</t>
  </si>
  <si>
    <t>E-PVWF24</t>
  </si>
  <si>
    <t>E-PVCOL24</t>
  </si>
  <si>
    <t>E-PVCap24</t>
  </si>
  <si>
    <t>E-PVCap23</t>
  </si>
  <si>
    <t>E-AMI24</t>
  </si>
  <si>
    <t>E-PLN24</t>
  </si>
  <si>
    <t>E-PEB24</t>
  </si>
  <si>
    <t>E-PPT24</t>
  </si>
  <si>
    <t>E-PINS24</t>
  </si>
  <si>
    <t>E-Offsets24</t>
  </si>
  <si>
    <t>E-RMM</t>
  </si>
  <si>
    <t>E-PAMI</t>
  </si>
  <si>
    <t>E-COL21</t>
  </si>
  <si>
    <t>E-WF21</t>
  </si>
  <si>
    <t>E-Offsets23</t>
  </si>
  <si>
    <t>E-PMisc24</t>
  </si>
  <si>
    <t>E-PMisc</t>
  </si>
  <si>
    <t>ACTUAL</t>
  </si>
  <si>
    <t>RESULTS</t>
  </si>
  <si>
    <t>Other Amortizations</t>
  </si>
  <si>
    <t xml:space="preserve">Trust Fund &amp; </t>
  </si>
  <si>
    <t>Pro Forma Colstrip</t>
  </si>
  <si>
    <t>E-PAMM</t>
  </si>
  <si>
    <t>CETA</t>
  </si>
  <si>
    <t>Tia/Marcus</t>
  </si>
  <si>
    <t>Rate Year December 2023 - December 2024</t>
  </si>
  <si>
    <t>Remove</t>
  </si>
  <si>
    <t xml:space="preserve">Proposed </t>
  </si>
  <si>
    <t>Power Supply</t>
  </si>
  <si>
    <t xml:space="preserve">Non-Energy </t>
  </si>
  <si>
    <t>Escalation</t>
  </si>
  <si>
    <t>Growth</t>
  </si>
  <si>
    <t>Rate</t>
  </si>
  <si>
    <t>Trended</t>
  </si>
  <si>
    <t>Non-Energy</t>
  </si>
  <si>
    <t xml:space="preserve">e </t>
  </si>
  <si>
    <t>Add</t>
  </si>
  <si>
    <t>RY1 Proposed</t>
  </si>
  <si>
    <t>Base RY1</t>
  </si>
  <si>
    <t>Base RY2</t>
  </si>
  <si>
    <t>Trended RY2</t>
  </si>
  <si>
    <t>Revenue Conversion Factor</t>
  </si>
  <si>
    <t>Revenue Requirement</t>
  </si>
  <si>
    <t>Transportation</t>
  </si>
  <si>
    <t>Electrification</t>
  </si>
  <si>
    <t>E-TER</t>
  </si>
  <si>
    <t>E-TER24</t>
  </si>
  <si>
    <t>Return (Kicker)</t>
  </si>
  <si>
    <t>Electrification Return (Kicker)</t>
  </si>
  <si>
    <t>30a</t>
  </si>
  <si>
    <t>Pat</t>
  </si>
  <si>
    <t>RY1 Proposed Increase</t>
  </si>
  <si>
    <t>RY2 Increase</t>
  </si>
  <si>
    <t>Increase</t>
  </si>
  <si>
    <t>E-PVEIM23</t>
  </si>
  <si>
    <t>E-PVEIM24</t>
  </si>
  <si>
    <t>2014-2020</t>
  </si>
  <si>
    <t>2007-2020</t>
  </si>
  <si>
    <t>O&amp;M</t>
  </si>
  <si>
    <t>Depreciation</t>
  </si>
  <si>
    <t>Taxes OTI</t>
  </si>
  <si>
    <t>Distributed PIS</t>
  </si>
  <si>
    <t>General PIS</t>
  </si>
  <si>
    <t>Intangible PIS</t>
  </si>
  <si>
    <t>Production PIS</t>
  </si>
  <si>
    <t>Tranmission PIS</t>
  </si>
  <si>
    <t>ADFIT</t>
  </si>
  <si>
    <t>Remove when ready</t>
  </si>
  <si>
    <t>USING</t>
  </si>
  <si>
    <t>E-ARAM24</t>
  </si>
  <si>
    <t>2024 ARAM</t>
  </si>
  <si>
    <t>2023 ARAM</t>
  </si>
  <si>
    <t>2018-2020</t>
  </si>
  <si>
    <t>2018-2021</t>
  </si>
  <si>
    <t>Depreciaiton</t>
  </si>
  <si>
    <t>Net plant</t>
  </si>
  <si>
    <t>A/D</t>
  </si>
  <si>
    <t xml:space="preserve">Rate Base </t>
  </si>
  <si>
    <t>Net Plant</t>
  </si>
  <si>
    <t>Intangible A/D</t>
  </si>
  <si>
    <t>Production A/D</t>
  </si>
  <si>
    <t>Tranmission A/D</t>
  </si>
  <si>
    <t>Distributed A/D</t>
  </si>
  <si>
    <t>General A/D</t>
  </si>
  <si>
    <t>Add Offsets</t>
  </si>
  <si>
    <t xml:space="preserve">&amp; Revenue </t>
  </si>
  <si>
    <t xml:space="preserve">g </t>
  </si>
  <si>
    <t>h</t>
  </si>
  <si>
    <t>Liability to EOP</t>
  </si>
  <si>
    <t>Restate 09.2021 Tax</t>
  </si>
  <si>
    <t xml:space="preserve">Credit Regulatory </t>
  </si>
  <si>
    <t>E-TCRL</t>
  </si>
  <si>
    <t>Per Escalation</t>
  </si>
  <si>
    <t>Year 2 Revenue Requirement Deficiency</t>
  </si>
  <si>
    <t>Rev. Req.</t>
  </si>
  <si>
    <t>Per Pro Forma Study</t>
  </si>
  <si>
    <t>2024</t>
  </si>
  <si>
    <t>Escalation result greater than Pro Forma Result</t>
  </si>
  <si>
    <t>Per Pro Forma</t>
  </si>
  <si>
    <t>&amp; Union Incentive</t>
  </si>
  <si>
    <t>Non-Exec Labor</t>
  </si>
  <si>
    <t>Prior GRC Change</t>
  </si>
  <si>
    <t>Incremental Change</t>
  </si>
  <si>
    <t>RY 1</t>
  </si>
  <si>
    <t>RY 2</t>
  </si>
  <si>
    <t>WA Electric</t>
  </si>
  <si>
    <t>WA Natural Gas</t>
  </si>
  <si>
    <t>Total WA</t>
  </si>
  <si>
    <t>.05% Flotation Costs included in ROE, Impact on Revenue Requirement (000s)</t>
  </si>
  <si>
    <t>Net Rate Base</t>
  </si>
  <si>
    <t>Labor and benefits, Insurance, property tax and I/T</t>
  </si>
  <si>
    <t>EIM Capital 2021-</t>
  </si>
  <si>
    <t>2022 Additions &amp; Exp</t>
  </si>
  <si>
    <t>12.2022</t>
  </si>
  <si>
    <t>12.2023</t>
  </si>
  <si>
    <t>12.2022 Proposed</t>
  </si>
  <si>
    <t>12.2023 Proposed</t>
  </si>
  <si>
    <t>12.2023 Pro Forma</t>
  </si>
  <si>
    <t>December 2023 RY2</t>
  </si>
  <si>
    <t>WITH 12.2022 PROPOSED RATES</t>
  </si>
  <si>
    <t>WITH 12.2023 PROPOSED RATES</t>
  </si>
  <si>
    <t>Pro Forma 12.2022</t>
  </si>
  <si>
    <t>December 2022 RY1</t>
  </si>
  <si>
    <t>Pro Forma Adjustments - 12.2022 - 12.2023</t>
  </si>
  <si>
    <t>Pro Forma Adjustments - 12.2023 - 12.2024</t>
  </si>
  <si>
    <t xml:space="preserve">     Pro Forma Study Ending 12.2024</t>
  </si>
  <si>
    <t xml:space="preserve">     Pro Forma Study Ending 12.2023</t>
  </si>
  <si>
    <t>Incremental 12.2024</t>
  </si>
  <si>
    <t>FOR INFORMATIONAL PURPOSES ONLY - CROSS CHECK TO RY2 PRO FORMA STUDY 
RY2 VALUES USING GROWTH ESCALATIONS</t>
  </si>
  <si>
    <t>RY1 Pro Forma Revenue Requirement</t>
  </si>
  <si>
    <t>December 2022</t>
  </si>
  <si>
    <t>Impact of ROE reduced to x</t>
  </si>
  <si>
    <t xml:space="preserve"> 12.2023 Pro Forma Total</t>
  </si>
  <si>
    <t>Pro Forma Adjustments - 09.2021 - 12.2023</t>
  </si>
  <si>
    <t>Impact of ROE reduced to x%</t>
  </si>
  <si>
    <t>Filed Revenue Requirement</t>
  </si>
  <si>
    <t>Net power Supply/Tranmission Change above current rates</t>
  </si>
  <si>
    <t xml:space="preserve">2024 AMI </t>
  </si>
  <si>
    <t>Electric</t>
  </si>
  <si>
    <t>Pro Forma 2023 ARAM DFIT</t>
  </si>
  <si>
    <t>Pro Forma AMI Amortization</t>
  </si>
  <si>
    <t>Pro Forma Colstrip Trust Fund &amp; Other Amortizations</t>
  </si>
  <si>
    <t>Pro Forma CETA Labor &amp; Exp</t>
  </si>
  <si>
    <t>Pro Forma Non-Exec Labor &amp; Union Incentive</t>
  </si>
  <si>
    <t>Remove LIRAP Labor</t>
  </si>
  <si>
    <t>Pro Forma Misc O&amp;M Exp</t>
  </si>
  <si>
    <t>Pro Form 09.2021 EOP Rate Base to 12.31.2021 EOP</t>
  </si>
  <si>
    <t>Transportation Electrification Return (Kicker)</t>
  </si>
  <si>
    <t>Pro Forma EIM Capital 2021- 2022 Additions &amp; Exp</t>
  </si>
  <si>
    <t>Pro Form 12.2021 EOP Wildfire Additions</t>
  </si>
  <si>
    <t>Pro Form 12.2021 EOP Colstrip Adds &amp; Amortization</t>
  </si>
  <si>
    <t>Provisional Capital Groups 2022 Additions EOP</t>
  </si>
  <si>
    <t>Provisional Capital Groups 2023 Additions AMA</t>
  </si>
  <si>
    <t>2022-2023 Offsets Capital Adds &amp; Revenue</t>
  </si>
  <si>
    <t>Provisional Wildfire 2022 Cap EOP &amp; O&amp;M</t>
  </si>
  <si>
    <t>Provisional Wildfire 2023 Cap Additions AMA</t>
  </si>
  <si>
    <t>Provisional Colstrip Cap 2022 Additions EOP</t>
  </si>
  <si>
    <t>Provisional Colstrip Cap 2023 Additions AMA</t>
  </si>
  <si>
    <t>Provisional EIM Cap 2023 Additions AMA</t>
  </si>
  <si>
    <t>Pro Forma 2024 ARAM DFIT</t>
  </si>
  <si>
    <t>Pro Forma 2024 AMI Amortization</t>
  </si>
  <si>
    <t>Provisional Capital Groups 2024 Additions AMA</t>
  </si>
  <si>
    <t>2024 OFFSETS Capital Adds &amp; Revenue</t>
  </si>
  <si>
    <t>Provisional Wildfire Plan 2024 Additions AMA</t>
  </si>
  <si>
    <t>Provisional Colstrip Cap 2024 Additions AMA</t>
  </si>
  <si>
    <t>Provisional EIM Cap 2024 Additions AMA</t>
  </si>
  <si>
    <t>Union k</t>
  </si>
  <si>
    <t>Incentive</t>
  </si>
  <si>
    <t>Gas</t>
  </si>
  <si>
    <t>Gross up</t>
  </si>
  <si>
    <t>Gas Revenues (split 2023 60/40)</t>
  </si>
  <si>
    <t>Electric Revenues (split 2023 60/40)</t>
  </si>
  <si>
    <t>Offsets</t>
  </si>
  <si>
    <t>Total Offsets</t>
  </si>
  <si>
    <t>E</t>
  </si>
  <si>
    <t>G</t>
  </si>
  <si>
    <t>Expenses/Other</t>
  </si>
  <si>
    <t>Natural Gas</t>
  </si>
  <si>
    <t>2024 (RY2)</t>
  </si>
  <si>
    <t xml:space="preserve">Total </t>
  </si>
  <si>
    <t>2021/2022</t>
  </si>
  <si>
    <t>1)</t>
  </si>
  <si>
    <t>2)</t>
  </si>
  <si>
    <t>3)</t>
  </si>
  <si>
    <t>O&amp;M Driver RY1</t>
  </si>
  <si>
    <t>Approx.</t>
  </si>
  <si>
    <t>Misc remaining</t>
  </si>
  <si>
    <t>PS</t>
  </si>
  <si>
    <t>O&amp;M escalated</t>
  </si>
  <si>
    <t>Restating - capital</t>
  </si>
  <si>
    <t>Restating - Expense</t>
  </si>
  <si>
    <t>4)</t>
  </si>
  <si>
    <t>Direct O&amp;M</t>
  </si>
  <si>
    <t xml:space="preserve">Growth Revenue </t>
  </si>
  <si>
    <t>AMI O&amp;M Offset</t>
  </si>
  <si>
    <t>Labor Retirements</t>
  </si>
  <si>
    <t>O&amp;M/Other Revenue</t>
  </si>
  <si>
    <t>Depreciation Expense (Retirements)</t>
  </si>
  <si>
    <t>Electric &amp; Natural Gas Adjustment</t>
  </si>
  <si>
    <t>3.15, 4.01, 4.02, 5.08</t>
  </si>
  <si>
    <t>Total Revenue Requirement Impact</t>
  </si>
  <si>
    <t>3.04, 5.01</t>
  </si>
  <si>
    <t>3.19, 4.03, 5.09</t>
  </si>
  <si>
    <t>3.07</t>
  </si>
  <si>
    <t>Two-Year 
(RY1 &amp; RY2) Totals</t>
  </si>
  <si>
    <t>2021-2023 RY1</t>
  </si>
  <si>
    <t>2024 
RY2</t>
  </si>
  <si>
    <t>EIM</t>
  </si>
  <si>
    <t>AMI</t>
  </si>
  <si>
    <t>Labor Retire</t>
  </si>
  <si>
    <t>Colstrip O&amp;M Offset</t>
  </si>
  <si>
    <t>AMI Offsets 2023</t>
  </si>
  <si>
    <t>AMI Offsets 2024</t>
  </si>
  <si>
    <t>EIM benefits</t>
  </si>
  <si>
    <t>Total Two-Year (RY1 &amp; RY2) Offsets - Washington Electric  (Revenue Requirement Values)</t>
  </si>
  <si>
    <t>Total Two-Year (RY1 &amp; RY2) Offsets - Washington Natural Gas  (Revenue Requirement Values)</t>
  </si>
  <si>
    <t>4.03, 5.09</t>
  </si>
  <si>
    <t>3.00P, 4.03, 5.09</t>
  </si>
  <si>
    <t>3.19, 4.01, 4.02, 4.06, 4.07, 5.08, 5.11</t>
  </si>
  <si>
    <t xml:space="preserve"> 4.01, 4.02, 5.08</t>
  </si>
  <si>
    <t>Revenue Requirement By Calendar Year  (000s)</t>
  </si>
  <si>
    <r>
      <t>Power Supply/Transmission</t>
    </r>
    <r>
      <rPr>
        <vertAlign val="superscript"/>
        <sz val="12"/>
        <rFont val="Times New Roman"/>
        <family val="1"/>
      </rPr>
      <t>3</t>
    </r>
    <r>
      <rPr>
        <sz val="12"/>
        <rFont val="Times New Roman"/>
        <family val="1"/>
      </rPr>
      <t xml:space="preserve"> </t>
    </r>
  </si>
  <si>
    <t>Labor Exp</t>
  </si>
  <si>
    <t>Direct O&amp;M Offsets &amp; Other Revenue</t>
  </si>
  <si>
    <t xml:space="preserve">     a) Direct O&amp;M Offsets </t>
  </si>
  <si>
    <t xml:space="preserve">     c) AMI O&amp;M Offset</t>
  </si>
  <si>
    <t xml:space="preserve">     d) Labor Retirements (O&amp;M)</t>
  </si>
  <si>
    <t xml:space="preserve">     b) Other Revenue (Growth)</t>
  </si>
  <si>
    <t xml:space="preserve">Total Revenue Requirement Impact   </t>
  </si>
  <si>
    <r>
      <t>Revenue Requirement of A/D and ADFIT</t>
    </r>
    <r>
      <rPr>
        <b/>
        <vertAlign val="superscript"/>
        <sz val="12"/>
        <rFont val="Times New Roman"/>
        <family val="1"/>
      </rPr>
      <t>1</t>
    </r>
  </si>
  <si>
    <t xml:space="preserve">     b) Other Revenue (Growth &amp; EIM Benefits)</t>
  </si>
  <si>
    <r>
      <t>Direct Offsets &amp; Other Revenue</t>
    </r>
    <r>
      <rPr>
        <vertAlign val="superscript"/>
        <sz val="12"/>
        <rFont val="Times New Roman"/>
        <family val="1"/>
      </rPr>
      <t>1</t>
    </r>
  </si>
  <si>
    <r>
      <t>Capital</t>
    </r>
    <r>
      <rPr>
        <vertAlign val="superscript"/>
        <sz val="12"/>
        <rFont val="Times New Roman"/>
        <family val="1"/>
      </rPr>
      <t>2</t>
    </r>
  </si>
  <si>
    <t>2021-2023 
RY1</t>
  </si>
  <si>
    <r>
      <rPr>
        <vertAlign val="superscript"/>
        <sz val="10"/>
        <rFont val="Times New Roman"/>
        <family val="1"/>
      </rPr>
      <t>1</t>
    </r>
    <r>
      <rPr>
        <sz val="10"/>
        <rFont val="Times New Roman"/>
        <family val="1"/>
      </rPr>
      <t>Revenue requirement based on reduction to A/D and ADFIT on existing (09.2021) plant as follows:</t>
    </r>
  </si>
  <si>
    <t>Natural Gas    (000s)</t>
  </si>
  <si>
    <t>Electric   (000s)</t>
  </si>
  <si>
    <t>Electric 
Adjustments</t>
  </si>
  <si>
    <t xml:space="preserve">
Natural Gas 
Adjustments</t>
  </si>
  <si>
    <t>Capital O&amp;M</t>
  </si>
  <si>
    <t>2022-2023</t>
  </si>
  <si>
    <t>Wildfire 2022</t>
  </si>
  <si>
    <t>Cap EOP &amp; O&amp;M</t>
  </si>
  <si>
    <t>Wildfire 2023</t>
  </si>
  <si>
    <t>Cap Adds AMA</t>
  </si>
  <si>
    <t>Colstrip 2022</t>
  </si>
  <si>
    <t>Cap Adds EOP</t>
  </si>
  <si>
    <t>Colstrip 2023</t>
  </si>
  <si>
    <t>EIM 2023 Cap</t>
  </si>
  <si>
    <t>2022 Adds EOP</t>
  </si>
  <si>
    <t>2023 Adds AMA</t>
  </si>
  <si>
    <t>Colstrip 2024</t>
  </si>
  <si>
    <t>EIM 2024 Cap</t>
  </si>
  <si>
    <t>Wildfire 2024</t>
  </si>
  <si>
    <t xml:space="preserve">O&amp;M Offsets </t>
  </si>
  <si>
    <t>&amp; Revnues</t>
  </si>
  <si>
    <t>2024 Adds AMA</t>
  </si>
  <si>
    <t>14a</t>
  </si>
  <si>
    <t>Offsets &amp; Revenue</t>
  </si>
  <si>
    <t xml:space="preserve">See Capital Model for Project Groupings: 
1) Large/Distinct, 
2) Programmatic,  
3) Short-Lived, &amp;
4) Compliance </t>
  </si>
  <si>
    <t>Prov. 2024 Capital</t>
  </si>
  <si>
    <t>Dec.2022</t>
  </si>
  <si>
    <t>Dec.2023</t>
  </si>
  <si>
    <t>Dec.2023-I</t>
  </si>
  <si>
    <t xml:space="preserve">Wildfire </t>
  </si>
  <si>
    <t>Colstrip</t>
  </si>
  <si>
    <t>Incremental EIM</t>
  </si>
  <si>
    <t>Prior case</t>
  </si>
  <si>
    <t>Excluding EIM</t>
  </si>
  <si>
    <t xml:space="preserve">Increase in PS expense </t>
  </si>
  <si>
    <r>
      <rPr>
        <b/>
        <vertAlign val="superscript"/>
        <sz val="10"/>
        <rFont val="Times New Roman"/>
        <family val="1"/>
      </rPr>
      <t>3</t>
    </r>
    <r>
      <rPr>
        <b/>
        <sz val="10"/>
        <rFont val="Times New Roman"/>
        <family val="1"/>
      </rPr>
      <t xml:space="preserve">Line 4) Power Supply/Transmission includes incremental net power supply expense &amp; transmission revenues in ERM baseline, </t>
    </r>
    <r>
      <rPr>
        <b/>
        <u/>
        <sz val="10"/>
        <rFont val="Times New Roman"/>
        <family val="1"/>
      </rPr>
      <t>excluding incremental EIM benefits</t>
    </r>
    <r>
      <rPr>
        <b/>
        <sz val="10"/>
        <rFont val="Times New Roman"/>
        <family val="1"/>
      </rPr>
      <t xml:space="preserve"> included in Line 1) Direct Offsets &amp; Other Revenue.  Net Power Supply, transmission revenues &amp; EIM benefits net a reduction of $2.0 million overall; excluding EIM benefits entirely result in the $1.976 million increase showed above.</t>
    </r>
  </si>
  <si>
    <r>
      <rPr>
        <b/>
        <vertAlign val="superscript"/>
        <sz val="10"/>
        <rFont val="Times New Roman"/>
        <family val="1"/>
      </rPr>
      <t>1</t>
    </r>
    <r>
      <rPr>
        <b/>
        <sz val="10"/>
        <rFont val="Times New Roman"/>
        <family val="1"/>
      </rPr>
      <t xml:space="preserve">Line 1) Direct Offsets and Other Revenue includes direct O&amp;M expense offsets, and Growth and EIM (electric only) revenue. (See Exh, EMA-1T Table Nos. 6 and 7 - Line 1).) EIM benefits included here reflects the incremental EIM benefit above current authorized levels.  </t>
    </r>
  </si>
  <si>
    <r>
      <rPr>
        <b/>
        <vertAlign val="superscript"/>
        <sz val="10"/>
        <rFont val="Times New Roman"/>
        <family val="1"/>
      </rPr>
      <t>2</t>
    </r>
    <r>
      <rPr>
        <b/>
        <sz val="10"/>
        <rFont val="Times New Roman"/>
        <family val="1"/>
      </rPr>
      <t>Line 3) Capital includes offsets associated with retirements (reductions to depreciation expense), as well as impacts on existing net plant for A/D and ADFIT through RY1 and RY2. See Exh. EMA-1T Table Nos. 6 and 7 for offset values, Line 3).</t>
    </r>
  </si>
  <si>
    <t>Black Box</t>
  </si>
  <si>
    <t>Adjusment</t>
  </si>
  <si>
    <t>BB1</t>
  </si>
  <si>
    <t>BB2</t>
  </si>
  <si>
    <t>Removed PF/PV</t>
  </si>
  <si>
    <t>Removed PV</t>
  </si>
  <si>
    <t>Avista Rebuttal Rate Base: Staff  Proposed Revenue</t>
  </si>
  <si>
    <t>Commission Basis at 12/31/2020 AMA</t>
  </si>
  <si>
    <t>Avista Utilities</t>
  </si>
  <si>
    <t>System WA</t>
  </si>
  <si>
    <t>Return on Equity</t>
  </si>
  <si>
    <t>Elec &amp; Nat. Gas</t>
  </si>
  <si>
    <t>Net Utility Ratebase (AMA Basis)</t>
  </si>
  <si>
    <t>Equity Percentage</t>
  </si>
  <si>
    <t>Equity Portion of Net Ratebase</t>
  </si>
  <si>
    <t>Utility Earnings</t>
  </si>
  <si>
    <t xml:space="preserve">Adj. Net Op. Income </t>
  </si>
  <si>
    <t>Less: Interest Charges (X-FIT-12A)</t>
  </si>
  <si>
    <t>Utility Earnings Available for Common</t>
  </si>
  <si>
    <t>Avista Rebuttal Rate Base: PC Proposed Revenue</t>
  </si>
  <si>
    <t>Avista Rebuttal Rate Base: AWEC Proposed Revenue</t>
  </si>
  <si>
    <t>Avista Rebuttal - ROE - PC Proposed Revenue 2024</t>
  </si>
  <si>
    <t>Avista Rebuttal - ROE - PC Proposed Revenue 2023</t>
  </si>
  <si>
    <t xml:space="preserve">Settlement: Rate Year 1 overall rate base (net plant after Accumulated Deferred Federal Income Taxes (“ADFIT”)) balances reflect amounts as shown in Exh. EMA-1T, Table No. 4 of $1,987,156,000 (less Dry Ash of approximately $3.1 million) for Washington electric, and $510,148,000 for Washington natural gas.   Rate Year 2 overall rate base (net plant after ADFIT) balances reflect amounts as shown in Exh. EMA-1T, Table No. 4 of $2,067,662,000 (less Dry Ash of approximately $2.1 million) for Washington electric, and $532,346,000 for Washington natural gas.  
The balances provided in Settlement (above) reflect net plant after ADFIT.  Balances per the tables above reflect total rate base (net plant after ADFIT plus other rate base adjustments). </t>
  </si>
  <si>
    <t>Illustrative - used to force settlement amount</t>
  </si>
  <si>
    <t xml:space="preserve">Black Box Settlement - Balances below are for illustrative purposes and meant to reflect overall revenue proposed by PC based on settlement information. Amounts per indvidual expense or rate base by function not reflective of actual amounts. </t>
  </si>
  <si>
    <t xml:space="preserve">Black Box Settlement - Balances below are for illustrative purposes and meant to reflect overall revenue agreed to by the Parties per settlement. Amounts per indvidual expense or rate base by function not reflective of actual agreed to amounts, as settlement was a black box.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</si>
</sst>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 #,##0.0_);_(* \(#,##0.0\);_(* &quot;-&quot;??_);_(@_)"/>
    <numFmt numFmtId="173" formatCode="#,###.0_);\(#,###.0\)"/>
    <numFmt numFmtId="174" formatCode="0000.00"/>
    <numFmt numFmtId="175" formatCode="0000"/>
    <numFmt numFmtId="176" formatCode="_(&quot;$&quot;* #,##0_);_(&quot;$&quot;* \(#,##0\);_(&quot;$&quot;* &quot;-&quot;??_);_(@_)"/>
    <numFmt numFmtId="177" formatCode="0.00000"/>
    <numFmt numFmtId="178" formatCode="0.0000000"/>
    <numFmt numFmtId="179" formatCode="_(* #,##0.000000_);_(* \(#,##0.000000\);_(* &quot;-&quot;_);_(@_)"/>
    <numFmt numFmtId="180" formatCode="_(* #,##0.0_);_(* \(#,##0.0\);_(* &quot;-&quot;_);_(@_)"/>
    <numFmt numFmtId="181" formatCode="0.0000%"/>
  </numFmts>
  <fonts count="10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sz val="10"/>
      <name val="Tahoma"/>
      <family val="2"/>
    </font>
    <font>
      <b/>
      <sz val="9"/>
      <color indexed="81"/>
      <name val="Tahoma"/>
      <family val="2"/>
    </font>
    <font>
      <sz val="12"/>
      <name val="Tms Rmn"/>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b/>
      <sz val="12"/>
      <color indexed="10"/>
      <name val="Times New Roman"/>
      <family val="1"/>
    </font>
    <font>
      <u/>
      <sz val="12"/>
      <name val="Times New Roman"/>
      <family val="1"/>
    </font>
    <font>
      <sz val="10"/>
      <color rgb="FF0033CC"/>
      <name val="Times New Roman"/>
      <family val="1"/>
    </font>
    <font>
      <u/>
      <sz val="10"/>
      <color rgb="FFFF0000"/>
      <name val="Times New Roman"/>
      <family val="1"/>
    </font>
    <font>
      <sz val="12"/>
      <name val="Arial"/>
      <family val="2"/>
    </font>
    <font>
      <b/>
      <u/>
      <sz val="12"/>
      <name val="Times New Roman"/>
      <family val="1"/>
    </font>
    <font>
      <sz val="10"/>
      <name val="Arial"/>
      <family val="2"/>
    </font>
    <font>
      <sz val="10"/>
      <color theme="1"/>
      <name val="Arial"/>
      <family val="2"/>
    </font>
    <font>
      <sz val="10"/>
      <name val="Tms Rmn"/>
    </font>
    <font>
      <sz val="10"/>
      <name val="Geneva"/>
    </font>
    <font>
      <b/>
      <sz val="7"/>
      <color rgb="FFFF0000"/>
      <name val="Times New Roman"/>
      <family val="1"/>
    </font>
    <font>
      <sz val="10"/>
      <color rgb="FF7030A0"/>
      <name val="Times New Roman"/>
      <family val="1"/>
    </font>
    <font>
      <sz val="11"/>
      <color theme="1"/>
      <name val="Times New Roman"/>
      <family val="2"/>
    </font>
    <font>
      <sz val="10"/>
      <color theme="1"/>
      <name val="Tahoma"/>
      <family val="2"/>
    </font>
    <font>
      <sz val="10"/>
      <name val="Courier"/>
    </font>
    <font>
      <sz val="10"/>
      <name val="Courier"/>
      <family val="3"/>
    </font>
    <font>
      <sz val="8"/>
      <name val="LinePrinter"/>
    </font>
    <font>
      <sz val="9"/>
      <name val="Courier"/>
    </font>
    <font>
      <sz val="9"/>
      <name val="Courier"/>
      <family val="3"/>
    </font>
    <font>
      <sz val="12"/>
      <color theme="1"/>
      <name val="Times New Roman"/>
      <family val="2"/>
    </font>
    <font>
      <b/>
      <u/>
      <sz val="9"/>
      <name val="Times New Roman"/>
      <family val="1"/>
    </font>
    <font>
      <u/>
      <sz val="10"/>
      <color rgb="FF0033CC"/>
      <name val="Times New Roman"/>
      <family val="1"/>
    </font>
    <font>
      <sz val="9"/>
      <color rgb="FF000000"/>
      <name val="Times New Roman"/>
      <family val="1"/>
    </font>
    <font>
      <b/>
      <sz val="9"/>
      <color rgb="FF000000"/>
      <name val="Times New Roman"/>
      <family val="1"/>
    </font>
    <font>
      <b/>
      <sz val="8"/>
      <color rgb="FF000000"/>
      <name val="Times New Roman"/>
      <family val="1"/>
    </font>
    <font>
      <b/>
      <sz val="14"/>
      <color rgb="FF000000"/>
      <name val="Times New Roman"/>
      <family val="1"/>
    </font>
    <font>
      <b/>
      <sz val="11"/>
      <color rgb="FF000000"/>
      <name val="Times New Roman"/>
      <family val="1"/>
    </font>
    <font>
      <b/>
      <sz val="14"/>
      <name val="Times New Roman"/>
      <family val="1"/>
    </font>
    <font>
      <b/>
      <sz val="8"/>
      <name val="Times New Roman"/>
      <family val="1"/>
    </font>
    <font>
      <b/>
      <u val="singleAccounting"/>
      <sz val="9"/>
      <name val="Times New Roman"/>
      <family val="1"/>
    </font>
    <font>
      <strike/>
      <sz val="9"/>
      <name val="Times New Roman"/>
      <family val="1"/>
    </font>
    <font>
      <b/>
      <sz val="12"/>
      <color rgb="FFFF0000"/>
      <name val="Times New Roman"/>
      <family val="1"/>
    </font>
    <font>
      <b/>
      <u val="doubleAccounting"/>
      <sz val="9"/>
      <name val="Times New Roman"/>
      <family val="1"/>
    </font>
    <font>
      <u/>
      <sz val="10"/>
      <color theme="0"/>
      <name val="Arial"/>
      <family val="2"/>
    </font>
    <font>
      <b/>
      <sz val="10"/>
      <name val="Arial"/>
      <family val="2"/>
    </font>
    <font>
      <sz val="11"/>
      <name val="Calibri"/>
      <family val="2"/>
      <scheme val="minor"/>
    </font>
    <font>
      <vertAlign val="superscript"/>
      <sz val="12"/>
      <name val="Times New Roman"/>
      <family val="1"/>
    </font>
    <font>
      <vertAlign val="superscript"/>
      <sz val="10"/>
      <name val="Times New Roman"/>
      <family val="1"/>
    </font>
    <font>
      <b/>
      <u/>
      <sz val="10"/>
      <name val="Arial"/>
      <family val="2"/>
    </font>
    <font>
      <b/>
      <vertAlign val="superscript"/>
      <sz val="12"/>
      <name val="Times New Roman"/>
      <family val="1"/>
    </font>
    <font>
      <b/>
      <vertAlign val="superscript"/>
      <sz val="10"/>
      <name val="Times New Roman"/>
      <family val="1"/>
    </font>
    <font>
      <b/>
      <sz val="11"/>
      <name val="Arial"/>
      <family val="2"/>
    </font>
    <font>
      <sz val="10"/>
      <color indexed="12"/>
      <name val="Arial"/>
      <family val="2"/>
    </font>
    <font>
      <u/>
      <sz val="10"/>
      <name val="Arial"/>
      <family val="2"/>
    </font>
    <font>
      <b/>
      <sz val="14"/>
      <color rgb="FFFF0000"/>
      <name val="Arial"/>
      <family val="2"/>
    </font>
    <font>
      <sz val="14"/>
      <name val="Arial"/>
      <family val="2"/>
    </font>
  </fonts>
  <fills count="1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DFED2"/>
        <bgColor indexed="64"/>
      </patternFill>
    </fill>
    <fill>
      <patternFill patternType="solid">
        <fgColor theme="0" tint="-0.3499862666707357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59999389629810485"/>
        <bgColor indexed="64"/>
      </patternFill>
    </fill>
  </fills>
  <borders count="6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34">
    <xf numFmtId="0" fontId="0" fillId="0" borderId="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9" fontId="11" fillId="0" borderId="0" applyFont="0" applyFill="0" applyBorder="0" applyAlignment="0" applyProtection="0"/>
    <xf numFmtId="9" fontId="11" fillId="0" borderId="0" applyFont="0" applyFill="0" applyBorder="0" applyAlignment="0" applyProtection="0"/>
    <xf numFmtId="0" fontId="42" fillId="0" borderId="0"/>
    <xf numFmtId="0" fontId="45" fillId="5" borderId="0"/>
    <xf numFmtId="43" fontId="53"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0" fontId="12" fillId="0" borderId="0"/>
    <xf numFmtId="0" fontId="69" fillId="0" borderId="0"/>
    <xf numFmtId="9" fontId="53" fillId="0" borderId="0" applyFont="0" applyFill="0" applyBorder="0" applyAlignment="0" applyProtection="0"/>
    <xf numFmtId="0" fontId="70" fillId="0" borderId="0"/>
    <xf numFmtId="4" fontId="70" fillId="0" borderId="0" applyFont="0" applyFill="0" applyBorder="0" applyAlignment="0" applyProtection="0"/>
    <xf numFmtId="9" fontId="70" fillId="0" borderId="0" applyFont="0" applyFill="0" applyBorder="0" applyAlignment="0" applyProtection="0"/>
    <xf numFmtId="43" fontId="67" fillId="0" borderId="0" applyFont="0" applyFill="0" applyBorder="0" applyAlignment="0" applyProtection="0"/>
    <xf numFmtId="44" fontId="67" fillId="0" borderId="0" applyFont="0" applyFill="0" applyBorder="0" applyAlignment="0" applyProtection="0"/>
    <xf numFmtId="9" fontId="67" fillId="0" borderId="0" applyFont="0" applyFill="0" applyBorder="0" applyAlignment="0" applyProtection="0"/>
    <xf numFmtId="0" fontId="68" fillId="0" borderId="0"/>
    <xf numFmtId="0" fontId="11" fillId="0" borderId="0"/>
    <xf numFmtId="43" fontId="53" fillId="0" borderId="0" applyFont="0" applyFill="0" applyBorder="0" applyAlignment="0" applyProtection="0"/>
    <xf numFmtId="43" fontId="68"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9" fontId="68" fillId="0" borderId="0" applyFont="0" applyFill="0" applyBorder="0" applyAlignment="0" applyProtection="0"/>
    <xf numFmtId="0" fontId="73" fillId="0" borderId="0"/>
    <xf numFmtId="44" fontId="73" fillId="0" borderId="0" applyFont="0" applyFill="0" applyBorder="0" applyAlignment="0" applyProtection="0"/>
    <xf numFmtId="43" fontId="73" fillId="0" borderId="0" applyFont="0" applyFill="0" applyBorder="0" applyAlignment="0" applyProtection="0"/>
    <xf numFmtId="0" fontId="74" fillId="0" borderId="0"/>
    <xf numFmtId="9" fontId="73" fillId="0" borderId="0" applyFont="0" applyFill="0" applyBorder="0" applyAlignment="0" applyProtection="0"/>
    <xf numFmtId="44" fontId="74" fillId="0" borderId="0" applyFont="0" applyFill="0" applyBorder="0" applyAlignment="0" applyProtection="0"/>
    <xf numFmtId="0" fontId="75" fillId="0" borderId="0"/>
    <xf numFmtId="0" fontId="76" fillId="0" borderId="0"/>
    <xf numFmtId="8" fontId="70" fillId="0" borderId="0" applyFont="0" applyFill="0" applyBorder="0" applyAlignment="0" applyProtection="0"/>
    <xf numFmtId="0" fontId="8" fillId="0" borderId="0"/>
    <xf numFmtId="43" fontId="8" fillId="0" borderId="0" applyFont="0" applyFill="0" applyBorder="0" applyAlignment="0" applyProtection="0"/>
    <xf numFmtId="0" fontId="70" fillId="0" borderId="0"/>
    <xf numFmtId="44" fontId="8" fillId="0" borderId="0" applyFont="0" applyFill="0" applyBorder="0" applyAlignment="0" applyProtection="0"/>
    <xf numFmtId="0" fontId="68" fillId="0" borderId="0"/>
    <xf numFmtId="0" fontId="11" fillId="0" borderId="0"/>
    <xf numFmtId="43" fontId="8" fillId="0" borderId="0" applyFont="0" applyFill="0" applyBorder="0" applyAlignment="0" applyProtection="0"/>
    <xf numFmtId="9" fontId="11" fillId="0" borderId="0" applyFont="0" applyFill="0" applyBorder="0" applyAlignment="0" applyProtection="0"/>
    <xf numFmtId="43" fontId="8"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4" fillId="0" borderId="0" applyFont="0" applyFill="0" applyBorder="0" applyAlignment="0" applyProtection="0"/>
    <xf numFmtId="44" fontId="7" fillId="0" borderId="0" applyFont="0" applyFill="0" applyBorder="0" applyAlignment="0" applyProtection="0"/>
    <xf numFmtId="9" fontId="74" fillId="0" borderId="0" applyFont="0" applyFill="0" applyBorder="0" applyAlignment="0" applyProtection="0"/>
    <xf numFmtId="0" fontId="17" fillId="0" borderId="0"/>
    <xf numFmtId="0" fontId="74" fillId="0" borderId="0"/>
    <xf numFmtId="44"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0" fontId="17" fillId="0" borderId="0"/>
    <xf numFmtId="44" fontId="74" fillId="0" borderId="0" applyFont="0" applyFill="0" applyBorder="0" applyAlignment="0" applyProtection="0"/>
    <xf numFmtId="0" fontId="11" fillId="0" borderId="0"/>
    <xf numFmtId="43" fontId="17" fillId="0" borderId="0" applyFont="0" applyFill="0" applyBorder="0" applyAlignment="0" applyProtection="0"/>
    <xf numFmtId="9" fontId="53" fillId="0" borderId="0" applyFont="0" applyFill="0" applyBorder="0" applyAlignment="0" applyProtection="0"/>
    <xf numFmtId="0" fontId="77" fillId="0" borderId="0"/>
    <xf numFmtId="0" fontId="7" fillId="0" borderId="0"/>
    <xf numFmtId="44" fontId="7" fillId="0" borderId="0" applyFont="0" applyFill="0" applyBorder="0" applyAlignment="0" applyProtection="0"/>
    <xf numFmtId="44" fontId="69" fillId="0" borderId="0" applyFont="0" applyFill="0" applyBorder="0" applyAlignment="0" applyProtection="0"/>
    <xf numFmtId="43" fontId="53" fillId="0" borderId="0" applyFont="0" applyFill="0" applyBorder="0" applyAlignment="0" applyProtection="0"/>
    <xf numFmtId="0" fontId="11" fillId="0" borderId="0"/>
    <xf numFmtId="39" fontId="76" fillId="0" borderId="0"/>
    <xf numFmtId="43" fontId="70" fillId="0" borderId="0" applyFont="0" applyFill="0" applyBorder="0" applyAlignment="0" applyProtection="0"/>
    <xf numFmtId="43" fontId="1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53" fillId="0" borderId="0" applyFont="0" applyFill="0" applyBorder="0" applyAlignment="0" applyProtection="0"/>
    <xf numFmtId="0" fontId="78" fillId="0" borderId="0"/>
    <xf numFmtId="44" fontId="79" fillId="0" borderId="0" applyFont="0" applyFill="0" applyBorder="0" applyAlignment="0" applyProtection="0"/>
    <xf numFmtId="9" fontId="79" fillId="0" borderId="0" applyFont="0" applyFill="0" applyBorder="0" applyAlignment="0" applyProtection="0"/>
    <xf numFmtId="0" fontId="80" fillId="0" borderId="0"/>
    <xf numFmtId="43" fontId="80" fillId="0" borderId="0" applyFont="0" applyFill="0" applyBorder="0" applyAlignment="0" applyProtection="0"/>
    <xf numFmtId="0" fontId="69" fillId="0" borderId="0"/>
    <xf numFmtId="0" fontId="69" fillId="0" borderId="0"/>
    <xf numFmtId="44" fontId="11" fillId="0" borderId="0" applyFont="0" applyFill="0" applyBorder="0" applyAlignment="0" applyProtection="0"/>
    <xf numFmtId="4" fontId="70" fillId="0" borderId="0" applyFont="0" applyFill="0" applyBorder="0" applyAlignment="0" applyProtection="0"/>
    <xf numFmtId="9" fontId="11" fillId="0" borderId="0" applyFont="0" applyFill="0" applyBorder="0" applyAlignment="0" applyProtection="0"/>
    <xf numFmtId="8" fontId="70"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17" fillId="0" borderId="0" applyFont="0" applyFill="0" applyBorder="0" applyAlignment="0" applyProtection="0"/>
    <xf numFmtId="0" fontId="6" fillId="0" borderId="0"/>
    <xf numFmtId="0" fontId="6" fillId="0"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17"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1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70" fillId="0" borderId="0" applyFont="0" applyFill="0" applyBorder="0" applyAlignment="0" applyProtection="0"/>
    <xf numFmtId="9" fontId="70" fillId="0" borderId="0" applyFont="0" applyFill="0" applyBorder="0" applyAlignment="0" applyProtection="0"/>
    <xf numFmtId="43" fontId="11" fillId="0" borderId="0" applyFont="0" applyFill="0" applyBorder="0" applyAlignment="0" applyProtection="0"/>
    <xf numFmtId="0" fontId="2" fillId="0" borderId="0"/>
    <xf numFmtId="43" fontId="2" fillId="0" borderId="0" applyFont="0" applyFill="0" applyBorder="0" applyAlignment="0" applyProtection="0"/>
    <xf numFmtId="43" fontId="11" fillId="0" borderId="0" applyFont="0" applyFill="0" applyBorder="0" applyAlignment="0" applyProtection="0"/>
    <xf numFmtId="8" fontId="70" fillId="0" borderId="0" applyFont="0" applyFill="0" applyBorder="0" applyAlignment="0" applyProtection="0"/>
    <xf numFmtId="0" fontId="2" fillId="0" borderId="0"/>
    <xf numFmtId="44" fontId="53" fillId="0" borderId="0" applyFont="0" applyFill="0" applyBorder="0" applyAlignment="0" applyProtection="0"/>
    <xf numFmtId="44" fontId="2" fillId="0" borderId="0" applyFont="0" applyFill="0" applyBorder="0" applyAlignment="0" applyProtection="0"/>
    <xf numFmtId="44" fontId="69" fillId="0" borderId="0" applyFont="0" applyFill="0" applyBorder="0" applyAlignment="0" applyProtection="0"/>
    <xf numFmtId="39" fontId="76" fillId="0" borderId="0"/>
    <xf numFmtId="0" fontId="78" fillId="0" borderId="0"/>
    <xf numFmtId="9" fontId="79" fillId="0" borderId="0" applyFont="0" applyFill="0" applyBorder="0" applyAlignment="0" applyProtection="0"/>
    <xf numFmtId="4" fontId="70" fillId="0" borderId="0" applyFont="0" applyFill="0" applyBorder="0" applyAlignment="0" applyProtection="0"/>
    <xf numFmtId="9" fontId="70" fillId="0" borderId="0" applyFont="0" applyFill="0" applyBorder="0" applyAlignment="0" applyProtection="0"/>
    <xf numFmtId="43" fontId="53" fillId="0" borderId="0" applyFont="0" applyFill="0" applyBorder="0" applyAlignment="0" applyProtection="0"/>
    <xf numFmtId="0" fontId="73" fillId="0" borderId="0"/>
    <xf numFmtId="44" fontId="73" fillId="0" borderId="0" applyFont="0" applyFill="0" applyBorder="0" applyAlignment="0" applyProtection="0"/>
    <xf numFmtId="43" fontId="73" fillId="0" borderId="0" applyFont="0" applyFill="0" applyBorder="0" applyAlignment="0" applyProtection="0"/>
    <xf numFmtId="0" fontId="74" fillId="0" borderId="0"/>
    <xf numFmtId="43" fontId="11" fillId="0" borderId="0" applyFont="0" applyFill="0" applyBorder="0" applyAlignment="0" applyProtection="0"/>
    <xf numFmtId="43" fontId="2"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74" fillId="0" borderId="0" applyFont="0" applyFill="0" applyBorder="0" applyAlignment="0" applyProtection="0"/>
    <xf numFmtId="0" fontId="80" fillId="0" borderId="0"/>
    <xf numFmtId="43" fontId="80" fillId="0" borderId="0" applyFont="0" applyFill="0" applyBorder="0" applyAlignment="0" applyProtection="0"/>
    <xf numFmtId="0" fontId="77" fillId="0" borderId="0"/>
    <xf numFmtId="0" fontId="2" fillId="0" borderId="0"/>
    <xf numFmtId="44" fontId="2" fillId="0" borderId="0" applyFont="0" applyFill="0" applyBorder="0" applyAlignment="0" applyProtection="0"/>
    <xf numFmtId="43" fontId="7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69" fillId="0" borderId="0"/>
    <xf numFmtId="0" fontId="70" fillId="0" borderId="0"/>
    <xf numFmtId="4" fontId="70" fillId="0" borderId="0" applyFont="0" applyFill="0" applyBorder="0" applyAlignment="0" applyProtection="0"/>
    <xf numFmtId="9" fontId="70"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68" fillId="0" borderId="0"/>
    <xf numFmtId="43" fontId="53" fillId="0" borderId="0" applyFont="0" applyFill="0" applyBorder="0" applyAlignment="0" applyProtection="0"/>
    <xf numFmtId="0" fontId="73" fillId="0" borderId="0"/>
    <xf numFmtId="44" fontId="73" fillId="0" borderId="0" applyFont="0" applyFill="0" applyBorder="0" applyAlignment="0" applyProtection="0"/>
    <xf numFmtId="43" fontId="73" fillId="0" borderId="0" applyFont="0" applyFill="0" applyBorder="0" applyAlignment="0" applyProtection="0"/>
    <xf numFmtId="0" fontId="74" fillId="0" borderId="0"/>
    <xf numFmtId="0" fontId="75" fillId="0" borderId="0"/>
    <xf numFmtId="0" fontId="76" fillId="0" borderId="0"/>
    <xf numFmtId="8" fontId="70" fillId="0" borderId="0" applyFont="0" applyFill="0" applyBorder="0" applyAlignment="0" applyProtection="0"/>
    <xf numFmtId="0" fontId="2" fillId="0" borderId="0"/>
    <xf numFmtId="43" fontId="2" fillId="0" borderId="0" applyFont="0" applyFill="0" applyBorder="0" applyAlignment="0" applyProtection="0"/>
    <xf numFmtId="0" fontId="70"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9" fontId="74"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2" fillId="0" borderId="0"/>
    <xf numFmtId="44" fontId="2" fillId="0" borderId="0" applyFont="0" applyFill="0" applyBorder="0" applyAlignment="0" applyProtection="0"/>
    <xf numFmtId="44" fontId="69" fillId="0" borderId="0" applyFont="0" applyFill="0" applyBorder="0" applyAlignment="0" applyProtection="0"/>
    <xf numFmtId="39" fontId="76" fillId="0" borderId="0"/>
    <xf numFmtId="43" fontId="70" fillId="0" borderId="0" applyFont="0" applyFill="0" applyBorder="0" applyAlignment="0" applyProtection="0"/>
    <xf numFmtId="43" fontId="1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78"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37" fontId="42" fillId="0" borderId="0"/>
  </cellStyleXfs>
  <cellXfs count="1457">
    <xf numFmtId="0" fontId="0" fillId="0" borderId="0" xfId="0"/>
    <xf numFmtId="0" fontId="13" fillId="0" borderId="0" xfId="12" applyNumberFormat="1" applyFont="1" applyAlignment="1">
      <alignment horizontal="left"/>
    </xf>
    <xf numFmtId="0" fontId="13" fillId="0" borderId="0" xfId="12" applyFont="1"/>
    <xf numFmtId="0" fontId="13" fillId="0" borderId="0" xfId="12" applyNumberFormat="1" applyFont="1" applyAlignment="1">
      <alignment horizontal="center"/>
    </xf>
    <xf numFmtId="0" fontId="14" fillId="0" borderId="0" xfId="12" applyNumberFormat="1" applyFont="1" applyAlignment="1">
      <alignment horizontal="center"/>
    </xf>
    <xf numFmtId="0" fontId="14" fillId="0" borderId="0" xfId="12" applyFont="1" applyAlignment="1">
      <alignment horizontal="center"/>
    </xf>
    <xf numFmtId="0" fontId="14" fillId="0" borderId="1" xfId="12" applyNumberFormat="1" applyFont="1" applyBorder="1" applyAlignment="1">
      <alignment horizontal="center"/>
    </xf>
    <xf numFmtId="0" fontId="14" fillId="0" borderId="2" xfId="12" applyFont="1" applyBorder="1" applyAlignment="1">
      <alignment horizontal="center"/>
    </xf>
    <xf numFmtId="0" fontId="14" fillId="0" borderId="3" xfId="12" applyFont="1" applyBorder="1" applyAlignment="1">
      <alignment horizontal="center"/>
    </xf>
    <xf numFmtId="0" fontId="14" fillId="0" borderId="4" xfId="12" applyFont="1" applyBorder="1" applyAlignment="1">
      <alignment horizontal="center"/>
    </xf>
    <xf numFmtId="0" fontId="14" fillId="0" borderId="5" xfId="12" applyNumberFormat="1" applyFont="1" applyBorder="1" applyAlignment="1">
      <alignment horizontal="center"/>
    </xf>
    <xf numFmtId="0" fontId="14" fillId="0" borderId="6" xfId="12" applyFont="1" applyBorder="1" applyAlignment="1">
      <alignment horizontal="center"/>
    </xf>
    <xf numFmtId="0" fontId="14" fillId="0" borderId="0" xfId="12" applyFont="1" applyBorder="1" applyAlignment="1">
      <alignment horizontal="center"/>
    </xf>
    <xf numFmtId="0" fontId="14" fillId="0" borderId="7" xfId="12" applyFont="1" applyBorder="1" applyAlignment="1">
      <alignment horizontal="center"/>
    </xf>
    <xf numFmtId="0" fontId="14" fillId="0" borderId="8" xfId="12" applyNumberFormat="1" applyFont="1" applyBorder="1" applyAlignment="1">
      <alignment horizontal="center"/>
    </xf>
    <xf numFmtId="0" fontId="14" fillId="0" borderId="9" xfId="12" applyFont="1" applyBorder="1" applyAlignment="1">
      <alignment horizontal="center"/>
    </xf>
    <xf numFmtId="0" fontId="14" fillId="0" borderId="10" xfId="12" applyFont="1" applyBorder="1" applyAlignment="1">
      <alignment horizontal="center"/>
    </xf>
    <xf numFmtId="0" fontId="14" fillId="0" borderId="11" xfId="12" applyFont="1" applyBorder="1" applyAlignment="1">
      <alignment horizontal="center"/>
    </xf>
    <xf numFmtId="0" fontId="15" fillId="0" borderId="0" xfId="12" applyNumberFormat="1" applyFont="1" applyAlignment="1">
      <alignment horizontal="center"/>
    </xf>
    <xf numFmtId="0" fontId="15" fillId="0" borderId="0" xfId="12" applyFont="1" applyAlignment="1">
      <alignment horizontal="center"/>
    </xf>
    <xf numFmtId="37" fontId="13" fillId="0" borderId="0" xfId="12" applyNumberFormat="1" applyFont="1" applyAlignment="1">
      <alignment horizontal="center"/>
    </xf>
    <xf numFmtId="5" fontId="13" fillId="0" borderId="0" xfId="12" applyNumberFormat="1" applyFont="1"/>
    <xf numFmtId="37" fontId="13" fillId="0" borderId="0" xfId="12" applyNumberFormat="1" applyFont="1"/>
    <xf numFmtId="3" fontId="13" fillId="0" borderId="0" xfId="9" applyNumberFormat="1" applyFont="1" applyAlignment="1">
      <alignment horizontal="center"/>
    </xf>
    <xf numFmtId="1" fontId="13" fillId="0" borderId="0" xfId="9" applyNumberFormat="1" applyFont="1" applyAlignment="1">
      <alignment horizontal="center"/>
    </xf>
    <xf numFmtId="0" fontId="17" fillId="0" borderId="0" xfId="0" applyFont="1"/>
    <xf numFmtId="0" fontId="18" fillId="0" borderId="0" xfId="0" applyFont="1" applyAlignment="1">
      <alignment horizontal="center"/>
    </xf>
    <xf numFmtId="0" fontId="17" fillId="0" borderId="0" xfId="0" applyFont="1" applyBorder="1"/>
    <xf numFmtId="0" fontId="17" fillId="0" borderId="0" xfId="0" applyFont="1" applyAlignment="1">
      <alignment horizontal="center"/>
    </xf>
    <xf numFmtId="0" fontId="17" fillId="0" borderId="0" xfId="0" applyFont="1" applyBorder="1" applyAlignment="1">
      <alignment horizontal="center"/>
    </xf>
    <xf numFmtId="0" fontId="17" fillId="0" borderId="10" xfId="0" applyFont="1" applyBorder="1"/>
    <xf numFmtId="0" fontId="17" fillId="0" borderId="10" xfId="0" applyFont="1" applyBorder="1" applyAlignment="1">
      <alignment horizontal="center"/>
    </xf>
    <xf numFmtId="0" fontId="23" fillId="0" borderId="0" xfId="0" applyFont="1"/>
    <xf numFmtId="5" fontId="17" fillId="0" borderId="0" xfId="0" applyNumberFormat="1" applyFont="1" applyBorder="1"/>
    <xf numFmtId="37" fontId="17" fillId="0" borderId="0" xfId="0" applyNumberFormat="1" applyFont="1" applyBorder="1"/>
    <xf numFmtId="3" fontId="17" fillId="0" borderId="0" xfId="0" applyNumberFormat="1" applyFont="1"/>
    <xf numFmtId="5" fontId="17" fillId="0" borderId="0" xfId="0" applyNumberFormat="1" applyFont="1"/>
    <xf numFmtId="37" fontId="17" fillId="0" borderId="3" xfId="0" applyNumberFormat="1" applyFont="1" applyBorder="1"/>
    <xf numFmtId="37" fontId="17" fillId="0" borderId="0" xfId="0" applyNumberFormat="1" applyFont="1"/>
    <xf numFmtId="10" fontId="17" fillId="0" borderId="0" xfId="0" applyNumberFormat="1" applyFont="1" applyBorder="1"/>
    <xf numFmtId="0" fontId="17" fillId="0" borderId="0" xfId="0" applyFont="1" applyFill="1" applyAlignment="1">
      <alignment horizontal="center"/>
    </xf>
    <xf numFmtId="3" fontId="17" fillId="0" borderId="0" xfId="0" applyNumberFormat="1" applyFont="1" applyBorder="1"/>
    <xf numFmtId="6" fontId="17" fillId="0" borderId="13" xfId="2" applyNumberFormat="1" applyFont="1" applyBorder="1"/>
    <xf numFmtId="0" fontId="19" fillId="0" borderId="0" xfId="0" applyFont="1" applyAlignment="1">
      <alignment horizontal="center"/>
    </xf>
    <xf numFmtId="0" fontId="26" fillId="0" borderId="0" xfId="0" applyFont="1"/>
    <xf numFmtId="0" fontId="26" fillId="0" borderId="0" xfId="0" applyFont="1" applyBorder="1"/>
    <xf numFmtId="0" fontId="26" fillId="0" borderId="0" xfId="0" applyFont="1" applyBorder="1" applyAlignment="1">
      <alignment horizontal="center"/>
    </xf>
    <xf numFmtId="5" fontId="26" fillId="0" borderId="0" xfId="0" applyNumberFormat="1" applyFont="1" applyBorder="1"/>
    <xf numFmtId="37" fontId="26" fillId="0" borderId="0" xfId="0" applyNumberFormat="1" applyFont="1" applyBorder="1"/>
    <xf numFmtId="3" fontId="27" fillId="0" borderId="0" xfId="0" applyNumberFormat="1" applyFont="1"/>
    <xf numFmtId="0" fontId="27" fillId="0" borderId="0" xfId="0" applyFont="1"/>
    <xf numFmtId="5" fontId="27" fillId="0" borderId="0" xfId="0" applyNumberFormat="1" applyFont="1"/>
    <xf numFmtId="37" fontId="27" fillId="0" borderId="0" xfId="0" applyNumberFormat="1" applyFont="1"/>
    <xf numFmtId="0" fontId="17" fillId="0" borderId="0" xfId="0" applyFont="1" applyAlignment="1">
      <alignment horizontal="left"/>
    </xf>
    <xf numFmtId="0" fontId="17" fillId="0" borderId="10" xfId="0" applyFont="1" applyBorder="1" applyAlignment="1">
      <alignment horizontal="left"/>
    </xf>
    <xf numFmtId="0" fontId="26" fillId="0" borderId="0" xfId="0" applyFont="1" applyAlignment="1">
      <alignment horizontal="left"/>
    </xf>
    <xf numFmtId="10" fontId="17" fillId="0" borderId="0" xfId="0" applyNumberFormat="1" applyFont="1" applyAlignment="1">
      <alignment horizontal="left"/>
    </xf>
    <xf numFmtId="10" fontId="17" fillId="0" borderId="0" xfId="0" applyNumberFormat="1" applyFont="1" applyBorder="1" applyAlignment="1">
      <alignment horizontal="left"/>
    </xf>
    <xf numFmtId="9" fontId="17" fillId="0" borderId="0" xfId="0" applyNumberFormat="1" applyFont="1" applyAlignment="1">
      <alignment horizontal="left"/>
    </xf>
    <xf numFmtId="0" fontId="17" fillId="0" borderId="0" xfId="0" applyFont="1" applyBorder="1" applyAlignment="1">
      <alignment horizontal="left"/>
    </xf>
    <xf numFmtId="0" fontId="17" fillId="0" borderId="12" xfId="0" applyFont="1" applyBorder="1" applyAlignment="1">
      <alignment horizontal="left"/>
    </xf>
    <xf numFmtId="3" fontId="17" fillId="0" borderId="0" xfId="11" applyNumberFormat="1" applyFont="1" applyAlignment="1">
      <alignment horizontal="centerContinuous"/>
    </xf>
    <xf numFmtId="0" fontId="17" fillId="0" borderId="0" xfId="11" applyFont="1" applyAlignment="1">
      <alignment horizontal="centerContinuous"/>
    </xf>
    <xf numFmtId="3" fontId="17" fillId="0" borderId="0" xfId="11" applyNumberFormat="1" applyFont="1"/>
    <xf numFmtId="3" fontId="17" fillId="0" borderId="0" xfId="11" applyNumberFormat="1" applyFont="1" applyBorder="1" applyAlignment="1">
      <alignment horizontal="centerContinuous"/>
    </xf>
    <xf numFmtId="0" fontId="17" fillId="0" borderId="0" xfId="11" applyFont="1" applyBorder="1" applyAlignment="1">
      <alignment horizontal="centerContinuous"/>
    </xf>
    <xf numFmtId="0" fontId="17" fillId="0" borderId="0" xfId="11" applyFont="1"/>
    <xf numFmtId="3" fontId="17" fillId="0" borderId="0" xfId="11" applyNumberFormat="1" applyFont="1" applyAlignment="1">
      <alignment horizontal="center"/>
    </xf>
    <xf numFmtId="0" fontId="17" fillId="0" borderId="0" xfId="11" applyFont="1" applyAlignment="1">
      <alignment horizontal="center"/>
    </xf>
    <xf numFmtId="3" fontId="17" fillId="0" borderId="10" xfId="11" applyNumberFormat="1" applyFont="1" applyBorder="1" applyAlignment="1">
      <alignment horizontal="center"/>
    </xf>
    <xf numFmtId="164" fontId="17" fillId="0" borderId="0" xfId="11" applyNumberFormat="1" applyFont="1"/>
    <xf numFmtId="164" fontId="17" fillId="0" borderId="3" xfId="11" applyNumberFormat="1" applyFont="1" applyBorder="1"/>
    <xf numFmtId="10" fontId="17" fillId="0" borderId="0" xfId="11" applyNumberFormat="1" applyFont="1"/>
    <xf numFmtId="170" fontId="17" fillId="0" borderId="0" xfId="11" applyNumberFormat="1" applyFont="1"/>
    <xf numFmtId="171" fontId="17" fillId="0" borderId="10" xfId="11" applyNumberFormat="1" applyFont="1" applyBorder="1"/>
    <xf numFmtId="164" fontId="17" fillId="0" borderId="0" xfId="11" applyNumberFormat="1" applyFont="1" applyAlignment="1">
      <alignment horizontal="center"/>
    </xf>
    <xf numFmtId="3" fontId="17" fillId="0" borderId="0" xfId="11" applyNumberFormat="1" applyFont="1" applyBorder="1"/>
    <xf numFmtId="10" fontId="17" fillId="0" borderId="3" xfId="11" applyNumberFormat="1" applyFont="1" applyBorder="1"/>
    <xf numFmtId="168" fontId="17" fillId="0" borderId="0" xfId="14" applyNumberFormat="1" applyFont="1"/>
    <xf numFmtId="168" fontId="17" fillId="0" borderId="0" xfId="11" applyNumberFormat="1" applyFont="1"/>
    <xf numFmtId="168" fontId="17" fillId="0" borderId="3" xfId="11" applyNumberFormat="1" applyFont="1" applyBorder="1"/>
    <xf numFmtId="10" fontId="17" fillId="0" borderId="0" xfId="11" applyNumberFormat="1" applyFont="1" applyBorder="1"/>
    <xf numFmtId="0" fontId="24" fillId="0" borderId="0" xfId="11" applyFont="1"/>
    <xf numFmtId="10" fontId="24" fillId="0" borderId="0" xfId="11" applyNumberFormat="1" applyFont="1"/>
    <xf numFmtId="164" fontId="17" fillId="0" borderId="17" xfId="11" applyNumberFormat="1" applyFont="1" applyBorder="1"/>
    <xf numFmtId="3" fontId="17" fillId="0" borderId="0" xfId="11" applyNumberFormat="1" applyFont="1" applyAlignment="1">
      <alignment horizontal="left"/>
    </xf>
    <xf numFmtId="164" fontId="17" fillId="0" borderId="0" xfId="11" applyNumberFormat="1" applyFont="1" applyFill="1"/>
    <xf numFmtId="10" fontId="17" fillId="0" borderId="0" xfId="11" applyNumberFormat="1" applyFont="1" applyFill="1"/>
    <xf numFmtId="3" fontId="17" fillId="0" borderId="0" xfId="11" applyNumberFormat="1" applyFont="1" applyFill="1" applyBorder="1"/>
    <xf numFmtId="164" fontId="17" fillId="0" borderId="3" xfId="11" applyNumberFormat="1" applyFont="1" applyFill="1" applyBorder="1"/>
    <xf numFmtId="10" fontId="17" fillId="0" borderId="3" xfId="11" applyNumberFormat="1" applyFont="1" applyFill="1" applyBorder="1"/>
    <xf numFmtId="3" fontId="17" fillId="0" borderId="0" xfId="11" applyNumberFormat="1" applyFont="1" applyFill="1"/>
    <xf numFmtId="168" fontId="17" fillId="0" borderId="0" xfId="14" applyNumberFormat="1" applyFont="1" applyFill="1"/>
    <xf numFmtId="168" fontId="17" fillId="0" borderId="0" xfId="11" applyNumberFormat="1" applyFont="1" applyFill="1"/>
    <xf numFmtId="168" fontId="17" fillId="0" borderId="3" xfId="11" applyNumberFormat="1" applyFont="1" applyFill="1" applyBorder="1"/>
    <xf numFmtId="0" fontId="32" fillId="0" borderId="0" xfId="0" applyFont="1" applyBorder="1"/>
    <xf numFmtId="0" fontId="24" fillId="0" borderId="0" xfId="0" applyFont="1"/>
    <xf numFmtId="167" fontId="18" fillId="0" borderId="0" xfId="0" applyNumberFormat="1" applyFont="1"/>
    <xf numFmtId="0" fontId="18" fillId="0" borderId="0" xfId="0" applyFont="1" applyAlignment="1">
      <alignment horizontal="centerContinuous"/>
    </xf>
    <xf numFmtId="169" fontId="17" fillId="0" borderId="0" xfId="1" applyNumberFormat="1" applyFont="1"/>
    <xf numFmtId="169" fontId="18" fillId="0" borderId="0" xfId="1" applyNumberFormat="1" applyFont="1" applyAlignment="1">
      <alignment horizontal="center"/>
    </xf>
    <xf numFmtId="0" fontId="18" fillId="0" borderId="10" xfId="0" applyFont="1" applyBorder="1" applyAlignment="1">
      <alignment horizontal="center"/>
    </xf>
    <xf numFmtId="0" fontId="18" fillId="0" borderId="0" xfId="0" applyFont="1"/>
    <xf numFmtId="5" fontId="17" fillId="0" borderId="0" xfId="1" applyNumberFormat="1" applyFont="1"/>
    <xf numFmtId="169" fontId="17" fillId="0" borderId="12" xfId="1" applyNumberFormat="1" applyFont="1" applyBorder="1"/>
    <xf numFmtId="169" fontId="17" fillId="0" borderId="0" xfId="1" applyNumberFormat="1" applyFont="1" applyBorder="1"/>
    <xf numFmtId="169" fontId="17" fillId="0" borderId="10" xfId="1" applyNumberFormat="1" applyFont="1" applyBorder="1"/>
    <xf numFmtId="0" fontId="36" fillId="0" borderId="0" xfId="0" applyFont="1"/>
    <xf numFmtId="37" fontId="36" fillId="0" borderId="0" xfId="0" applyNumberFormat="1" applyFont="1" applyBorder="1"/>
    <xf numFmtId="37" fontId="27" fillId="0" borderId="0" xfId="0" applyNumberFormat="1" applyFont="1" applyBorder="1"/>
    <xf numFmtId="0" fontId="31" fillId="0" borderId="0" xfId="0" applyFont="1" applyAlignment="1">
      <alignment horizontal="left"/>
    </xf>
    <xf numFmtId="0" fontId="33" fillId="0" borderId="0" xfId="0" applyFont="1" applyAlignment="1">
      <alignment horizontal="centerContinuous"/>
    </xf>
    <xf numFmtId="0" fontId="33" fillId="0" borderId="0" xfId="0" applyFont="1" applyBorder="1" applyAlignment="1">
      <alignment horizontal="center"/>
    </xf>
    <xf numFmtId="0" fontId="33" fillId="0" borderId="10" xfId="0" applyFont="1" applyBorder="1" applyAlignment="1">
      <alignment horizontal="center"/>
    </xf>
    <xf numFmtId="167" fontId="24" fillId="0" borderId="0" xfId="0" applyNumberFormat="1" applyFont="1"/>
    <xf numFmtId="167" fontId="24" fillId="0" borderId="0" xfId="0" applyNumberFormat="1" applyFont="1" applyBorder="1"/>
    <xf numFmtId="167" fontId="24" fillId="0" borderId="12" xfId="0" applyNumberFormat="1" applyFont="1" applyBorder="1"/>
    <xf numFmtId="3" fontId="27" fillId="0" borderId="0" xfId="11" applyNumberFormat="1" applyFont="1"/>
    <xf numFmtId="164" fontId="27" fillId="0" borderId="0" xfId="11" applyNumberFormat="1" applyFont="1"/>
    <xf numFmtId="6" fontId="17" fillId="0" borderId="0" xfId="2" applyNumberFormat="1" applyFont="1" applyBorder="1"/>
    <xf numFmtId="37" fontId="17" fillId="0" borderId="0" xfId="11" applyNumberFormat="1" applyFont="1" applyAlignment="1">
      <alignment horizontal="right"/>
    </xf>
    <xf numFmtId="37" fontId="27" fillId="0" borderId="10" xfId="0" applyNumberFormat="1" applyFont="1" applyBorder="1"/>
    <xf numFmtId="0" fontId="40" fillId="0" borderId="0" xfId="11" applyFont="1"/>
    <xf numFmtId="6" fontId="17" fillId="0" borderId="0" xfId="0" applyNumberFormat="1" applyFont="1"/>
    <xf numFmtId="0" fontId="29" fillId="0" borderId="0" xfId="0" applyFont="1" applyBorder="1" applyAlignment="1">
      <alignment horizontal="left"/>
    </xf>
    <xf numFmtId="0" fontId="29" fillId="0" borderId="0" xfId="0" applyFont="1" applyAlignment="1">
      <alignment horizontal="center"/>
    </xf>
    <xf numFmtId="0" fontId="29" fillId="0" borderId="0" xfId="0" applyFont="1"/>
    <xf numFmtId="0" fontId="29" fillId="0" borderId="0" xfId="0" applyFont="1" applyAlignment="1">
      <alignment horizontal="left"/>
    </xf>
    <xf numFmtId="0" fontId="27" fillId="0" borderId="0" xfId="0" applyFont="1" applyAlignment="1">
      <alignment horizontal="left"/>
    </xf>
    <xf numFmtId="0" fontId="27" fillId="0" borderId="0" xfId="0" applyFont="1" applyBorder="1"/>
    <xf numFmtId="0" fontId="25" fillId="0" borderId="0" xfId="0" applyFont="1" applyAlignment="1">
      <alignment horizontal="center"/>
    </xf>
    <xf numFmtId="169" fontId="17" fillId="0" borderId="13" xfId="1" applyNumberFormat="1" applyFont="1" applyBorder="1"/>
    <xf numFmtId="3" fontId="39" fillId="0" borderId="0" xfId="11" applyNumberFormat="1" applyFont="1"/>
    <xf numFmtId="169" fontId="27" fillId="0" borderId="0" xfId="1" applyNumberFormat="1" applyFont="1"/>
    <xf numFmtId="37" fontId="27" fillId="0" borderId="0" xfId="0" applyNumberFormat="1" applyFont="1" applyFill="1" applyBorder="1"/>
    <xf numFmtId="0" fontId="27" fillId="0" borderId="0" xfId="0" applyFont="1" applyBorder="1" applyAlignment="1">
      <alignment horizontal="left"/>
    </xf>
    <xf numFmtId="9" fontId="17" fillId="0" borderId="0" xfId="0" applyNumberFormat="1" applyFont="1" applyBorder="1" applyAlignment="1">
      <alignment horizontal="left"/>
    </xf>
    <xf numFmtId="0" fontId="17" fillId="0" borderId="0" xfId="0" applyFont="1" applyFill="1" applyBorder="1"/>
    <xf numFmtId="169" fontId="17" fillId="0" borderId="0" xfId="0" applyNumberFormat="1" applyFont="1"/>
    <xf numFmtId="3" fontId="27" fillId="0" borderId="10" xfId="11" applyNumberFormat="1" applyFont="1" applyBorder="1"/>
    <xf numFmtId="37" fontId="17" fillId="0" borderId="10" xfId="0" applyNumberFormat="1" applyFont="1" applyBorder="1"/>
    <xf numFmtId="3" fontId="18" fillId="0" borderId="0" xfId="11" applyNumberFormat="1" applyFont="1"/>
    <xf numFmtId="0" fontId="29" fillId="0" borderId="0" xfId="0" applyFont="1" applyBorder="1" applyAlignment="1">
      <alignment horizontal="right"/>
    </xf>
    <xf numFmtId="0" fontId="41" fillId="0" borderId="0" xfId="0" applyFont="1" applyBorder="1" applyAlignment="1">
      <alignment horizontal="center"/>
    </xf>
    <xf numFmtId="0" fontId="41" fillId="0" borderId="0" xfId="0" applyFont="1" applyAlignment="1">
      <alignment horizontal="center"/>
    </xf>
    <xf numFmtId="0" fontId="17" fillId="0" borderId="0" xfId="0" applyFont="1" applyFill="1"/>
    <xf numFmtId="10" fontId="17" fillId="0" borderId="0" xfId="14" applyNumberFormat="1" applyFont="1"/>
    <xf numFmtId="3" fontId="27" fillId="0" borderId="0" xfId="0" applyNumberFormat="1" applyFont="1" applyFill="1"/>
    <xf numFmtId="0" fontId="27" fillId="0" borderId="0" xfId="0" applyFont="1" applyFill="1"/>
    <xf numFmtId="0" fontId="29" fillId="0" borderId="0" xfId="0" applyFont="1" applyFill="1"/>
    <xf numFmtId="37" fontId="27" fillId="0" borderId="0" xfId="0" applyNumberFormat="1" applyFont="1" applyFill="1"/>
    <xf numFmtId="0" fontId="29" fillId="0" borderId="0" xfId="0" applyFont="1" applyFill="1" applyAlignment="1">
      <alignment horizontal="left"/>
    </xf>
    <xf numFmtId="9" fontId="17" fillId="0" borderId="0" xfId="0" applyNumberFormat="1" applyFont="1" applyFill="1" applyAlignment="1">
      <alignment horizontal="left"/>
    </xf>
    <xf numFmtId="167" fontId="17" fillId="0" borderId="12" xfId="0" applyNumberFormat="1" applyFont="1" applyBorder="1"/>
    <xf numFmtId="0" fontId="23" fillId="0" borderId="0" xfId="0" applyFont="1" applyFill="1"/>
    <xf numFmtId="0" fontId="17" fillId="0" borderId="0" xfId="0" applyFont="1" applyFill="1" applyAlignment="1">
      <alignment horizontal="left"/>
    </xf>
    <xf numFmtId="10" fontId="40" fillId="0" borderId="10" xfId="11" applyNumberFormat="1" applyFont="1" applyFill="1" applyBorder="1"/>
    <xf numFmtId="3" fontId="39" fillId="0" borderId="0" xfId="11" applyNumberFormat="1" applyFont="1" applyFill="1"/>
    <xf numFmtId="0" fontId="26" fillId="0" borderId="0" xfId="0" applyFont="1" applyFill="1"/>
    <xf numFmtId="0" fontId="26" fillId="0" borderId="0" xfId="0" applyFont="1" applyFill="1" applyAlignment="1">
      <alignment horizontal="left"/>
    </xf>
    <xf numFmtId="37" fontId="26" fillId="0" borderId="0" xfId="0" applyNumberFormat="1" applyFont="1" applyFill="1" applyBorder="1"/>
    <xf numFmtId="169" fontId="17" fillId="0" borderId="0" xfId="1" applyNumberFormat="1" applyFont="1" applyFill="1" applyBorder="1"/>
    <xf numFmtId="0" fontId="17" fillId="3" borderId="0" xfId="0" applyFont="1" applyFill="1" applyAlignment="1">
      <alignment horizontal="left"/>
    </xf>
    <xf numFmtId="5" fontId="27" fillId="3" borderId="0" xfId="0" applyNumberFormat="1" applyFont="1" applyFill="1"/>
    <xf numFmtId="5" fontId="17" fillId="0" borderId="16" xfId="0" applyNumberFormat="1" applyFont="1" applyFill="1" applyBorder="1"/>
    <xf numFmtId="0" fontId="27" fillId="0" borderId="0" xfId="0" applyFont="1" applyBorder="1" applyAlignment="1">
      <alignment horizontal="center"/>
    </xf>
    <xf numFmtId="10" fontId="27" fillId="0" borderId="0" xfId="0" applyNumberFormat="1" applyFont="1" applyBorder="1"/>
    <xf numFmtId="0" fontId="27" fillId="0" borderId="0" xfId="0" applyFont="1" applyFill="1" applyBorder="1"/>
    <xf numFmtId="6" fontId="17" fillId="0" borderId="16" xfId="2" applyNumberFormat="1" applyFont="1" applyBorder="1"/>
    <xf numFmtId="10" fontId="18" fillId="0" borderId="16" xfId="0" applyNumberFormat="1" applyFont="1" applyBorder="1" applyAlignment="1">
      <alignment horizontal="left"/>
    </xf>
    <xf numFmtId="0" fontId="29" fillId="0" borderId="0" xfId="0" applyFont="1" applyFill="1" applyBorder="1" applyAlignment="1">
      <alignment horizontal="left"/>
    </xf>
    <xf numFmtId="9" fontId="17" fillId="0" borderId="0" xfId="0" applyNumberFormat="1" applyFont="1" applyFill="1" applyBorder="1" applyAlignment="1">
      <alignment horizontal="left"/>
    </xf>
    <xf numFmtId="5" fontId="29" fillId="0" borderId="0" xfId="0" applyNumberFormat="1" applyFont="1"/>
    <xf numFmtId="5" fontId="17" fillId="0" borderId="0" xfId="0" applyNumberFormat="1" applyFont="1" applyFill="1"/>
    <xf numFmtId="5" fontId="17" fillId="0" borderId="0" xfId="0" applyNumberFormat="1" applyFont="1" applyFill="1" applyAlignment="1">
      <alignment horizontal="right"/>
    </xf>
    <xf numFmtId="5" fontId="17" fillId="0" borderId="0" xfId="0" applyNumberFormat="1" applyFont="1" applyBorder="1" applyAlignment="1">
      <alignment horizontal="right"/>
    </xf>
    <xf numFmtId="5" fontId="17" fillId="0" borderId="0" xfId="2" applyNumberFormat="1" applyFont="1"/>
    <xf numFmtId="5" fontId="17" fillId="0" borderId="0" xfId="0" applyNumberFormat="1" applyFont="1" applyAlignment="1">
      <alignment horizontal="right"/>
    </xf>
    <xf numFmtId="5" fontId="17" fillId="0" borderId="16" xfId="2" applyNumberFormat="1" applyFont="1" applyFill="1" applyBorder="1"/>
    <xf numFmtId="10" fontId="17" fillId="0" borderId="12" xfId="0" applyNumberFormat="1" applyFont="1" applyBorder="1"/>
    <xf numFmtId="0" fontId="27" fillId="0" borderId="0" xfId="0" applyFont="1" applyAlignment="1">
      <alignment horizontal="center"/>
    </xf>
    <xf numFmtId="0" fontId="26" fillId="0" borderId="0" xfId="0" applyFont="1" applyAlignment="1">
      <alignment horizontal="center"/>
    </xf>
    <xf numFmtId="0" fontId="29" fillId="0" borderId="0" xfId="0" applyFont="1" applyFill="1" applyAlignment="1">
      <alignment horizontal="center"/>
    </xf>
    <xf numFmtId="0" fontId="36" fillId="0" borderId="0" xfId="0" applyFont="1" applyAlignment="1">
      <alignment horizontal="center"/>
    </xf>
    <xf numFmtId="0" fontId="26" fillId="0" borderId="0" xfId="0" applyFont="1" applyFill="1" applyAlignment="1">
      <alignment horizontal="center"/>
    </xf>
    <xf numFmtId="10" fontId="17" fillId="0" borderId="13" xfId="0" applyNumberFormat="1" applyFont="1" applyFill="1" applyBorder="1" applyAlignment="1">
      <alignment horizontal="left"/>
    </xf>
    <xf numFmtId="10" fontId="17" fillId="0" borderId="13" xfId="0" applyNumberFormat="1" applyFont="1" applyBorder="1" applyAlignment="1">
      <alignment horizontal="left"/>
    </xf>
    <xf numFmtId="0" fontId="18" fillId="0" borderId="0" xfId="0" applyFont="1" applyBorder="1" applyAlignment="1">
      <alignment horizontal="left"/>
    </xf>
    <xf numFmtId="0" fontId="18" fillId="0" borderId="0" xfId="0" applyFont="1" applyFill="1" applyAlignment="1">
      <alignment horizontal="left"/>
    </xf>
    <xf numFmtId="0" fontId="27" fillId="0" borderId="10" xfId="0" applyFont="1" applyBorder="1"/>
    <xf numFmtId="3" fontId="17" fillId="0" borderId="0" xfId="0" applyNumberFormat="1" applyFont="1" applyFill="1"/>
    <xf numFmtId="37" fontId="36" fillId="0" borderId="10" xfId="0" applyNumberFormat="1" applyFont="1" applyBorder="1"/>
    <xf numFmtId="0" fontId="36" fillId="0" borderId="10" xfId="0" applyFont="1" applyBorder="1"/>
    <xf numFmtId="5" fontId="20" fillId="0" borderId="0" xfId="0" applyNumberFormat="1" applyFont="1" applyFill="1"/>
    <xf numFmtId="5" fontId="20" fillId="0" borderId="16" xfId="0" applyNumberFormat="1" applyFont="1" applyFill="1" applyBorder="1"/>
    <xf numFmtId="5" fontId="17" fillId="0" borderId="0" xfId="0" applyNumberFormat="1" applyFont="1" applyFill="1" applyBorder="1"/>
    <xf numFmtId="10" fontId="17" fillId="0" borderId="0" xfId="0" applyNumberFormat="1" applyFont="1" applyFill="1" applyBorder="1" applyAlignment="1">
      <alignment horizontal="left"/>
    </xf>
    <xf numFmtId="173" fontId="17" fillId="0" borderId="0" xfId="0" applyNumberFormat="1" applyFont="1"/>
    <xf numFmtId="166" fontId="17" fillId="0" borderId="0" xfId="0" applyNumberFormat="1" applyFont="1"/>
    <xf numFmtId="172" fontId="17" fillId="0" borderId="0" xfId="1" applyNumberFormat="1" applyFont="1" applyFill="1" applyBorder="1"/>
    <xf numFmtId="169" fontId="26" fillId="0" borderId="0" xfId="1" applyNumberFormat="1" applyFont="1"/>
    <xf numFmtId="169" fontId="29" fillId="0" borderId="0" xfId="1" applyNumberFormat="1" applyFont="1"/>
    <xf numFmtId="169" fontId="29" fillId="0" borderId="0" xfId="1" applyNumberFormat="1" applyFont="1" applyFill="1"/>
    <xf numFmtId="169" fontId="36" fillId="0" borderId="0" xfId="1" applyNumberFormat="1" applyFont="1"/>
    <xf numFmtId="169" fontId="17" fillId="0" borderId="0" xfId="1" applyNumberFormat="1" applyFont="1" applyFill="1"/>
    <xf numFmtId="169" fontId="26" fillId="0" borderId="0" xfId="1" applyNumberFormat="1" applyFont="1" applyFill="1"/>
    <xf numFmtId="169" fontId="17" fillId="0" borderId="0" xfId="0" applyNumberFormat="1" applyFont="1" applyFill="1" applyBorder="1"/>
    <xf numFmtId="169" fontId="18" fillId="0" borderId="0" xfId="0" applyNumberFormat="1" applyFont="1" applyFill="1" applyBorder="1"/>
    <xf numFmtId="0" fontId="26" fillId="0" borderId="0" xfId="0" applyFont="1" applyFill="1" applyBorder="1"/>
    <xf numFmtId="0" fontId="36" fillId="0" borderId="0" xfId="0" applyFont="1" applyFill="1" applyBorder="1"/>
    <xf numFmtId="165" fontId="17" fillId="0" borderId="0" xfId="14" applyNumberFormat="1" applyFont="1" applyFill="1" applyBorder="1"/>
    <xf numFmtId="10" fontId="17" fillId="0" borderId="0" xfId="0" applyNumberFormat="1" applyFont="1" applyFill="1" applyBorder="1"/>
    <xf numFmtId="0" fontId="36" fillId="0" borderId="0" xfId="0" applyFont="1" applyFill="1"/>
    <xf numFmtId="5" fontId="27" fillId="0" borderId="0" xfId="0" applyNumberFormat="1" applyFont="1" applyFill="1"/>
    <xf numFmtId="6" fontId="29" fillId="0" borderId="0" xfId="0" applyNumberFormat="1" applyFont="1"/>
    <xf numFmtId="0" fontId="17" fillId="0" borderId="0" xfId="0" applyFont="1" applyAlignment="1"/>
    <xf numFmtId="0" fontId="19" fillId="0" borderId="0" xfId="0" applyFont="1" applyAlignment="1"/>
    <xf numFmtId="6" fontId="29" fillId="0" borderId="0" xfId="0" applyNumberFormat="1" applyFont="1" applyBorder="1"/>
    <xf numFmtId="0" fontId="13" fillId="0" borderId="0" xfId="0" applyFont="1" applyFill="1" applyAlignment="1">
      <alignment horizontal="right"/>
    </xf>
    <xf numFmtId="5" fontId="13" fillId="0" borderId="0" xfId="0" applyNumberFormat="1" applyFont="1" applyFill="1" applyAlignment="1">
      <alignment horizontal="right"/>
    </xf>
    <xf numFmtId="0" fontId="13" fillId="0" borderId="0" xfId="0" applyFont="1" applyFill="1" applyBorder="1" applyAlignment="1">
      <alignment horizontal="right"/>
    </xf>
    <xf numFmtId="0" fontId="17" fillId="0" borderId="0" xfId="0" applyFont="1" applyAlignment="1">
      <alignment horizontal="center"/>
    </xf>
    <xf numFmtId="0" fontId="35" fillId="0" borderId="0" xfId="0" applyFont="1" applyAlignment="1">
      <alignment horizontal="center"/>
    </xf>
    <xf numFmtId="43" fontId="17" fillId="0" borderId="0" xfId="1" applyNumberFormat="1" applyFont="1" applyFill="1"/>
    <xf numFmtId="5" fontId="20" fillId="0" borderId="0" xfId="0" applyNumberFormat="1" applyFont="1" applyFill="1" applyBorder="1"/>
    <xf numFmtId="5" fontId="17" fillId="0" borderId="0" xfId="2" applyNumberFormat="1" applyFont="1" applyFill="1" applyBorder="1"/>
    <xf numFmtId="169" fontId="13" fillId="0" borderId="0" xfId="0" applyNumberFormat="1" applyFont="1" applyFill="1" applyAlignment="1">
      <alignment horizontal="right"/>
    </xf>
    <xf numFmtId="169" fontId="36" fillId="0" borderId="0" xfId="1" applyNumberFormat="1" applyFont="1" applyFill="1" applyBorder="1"/>
    <xf numFmtId="41" fontId="13" fillId="0" borderId="0" xfId="0" applyNumberFormat="1" applyFont="1"/>
    <xf numFmtId="41" fontId="13" fillId="0" borderId="0" xfId="12" applyNumberFormat="1" applyFont="1"/>
    <xf numFmtId="41" fontId="14" fillId="0" borderId="1" xfId="12" applyNumberFormat="1" applyFont="1" applyFill="1" applyBorder="1" applyAlignment="1">
      <alignment horizontal="center"/>
    </xf>
    <xf numFmtId="41" fontId="13" fillId="0" borderId="10" xfId="12" applyNumberFormat="1" applyFont="1" applyBorder="1"/>
    <xf numFmtId="41" fontId="14" fillId="0" borderId="10" xfId="12" applyNumberFormat="1" applyFont="1" applyFill="1" applyBorder="1"/>
    <xf numFmtId="41" fontId="13" fillId="0" borderId="0" xfId="12" applyNumberFormat="1" applyFont="1" applyBorder="1"/>
    <xf numFmtId="37" fontId="13" fillId="0" borderId="0" xfId="12" applyNumberFormat="1" applyFont="1" applyFill="1" applyAlignment="1">
      <alignment horizontal="center"/>
    </xf>
    <xf numFmtId="5" fontId="13" fillId="0" borderId="0" xfId="12" applyNumberFormat="1" applyFont="1" applyFill="1"/>
    <xf numFmtId="4" fontId="17" fillId="0" borderId="0" xfId="0" applyNumberFormat="1" applyFont="1" applyAlignment="1">
      <alignment horizontal="center"/>
    </xf>
    <xf numFmtId="4" fontId="17" fillId="0" borderId="0" xfId="0" applyNumberFormat="1" applyFont="1" applyFill="1" applyAlignment="1">
      <alignment horizontal="center"/>
    </xf>
    <xf numFmtId="41" fontId="14" fillId="0" borderId="14" xfId="0" applyNumberFormat="1" applyFont="1" applyBorder="1" applyAlignment="1">
      <alignment horizontal="centerContinuous"/>
    </xf>
    <xf numFmtId="41" fontId="14" fillId="0" borderId="12" xfId="0" applyNumberFormat="1" applyFont="1" applyBorder="1" applyAlignment="1">
      <alignment horizontal="centerContinuous"/>
    </xf>
    <xf numFmtId="41" fontId="14" fillId="0" borderId="15" xfId="0" applyNumberFormat="1" applyFont="1" applyBorder="1" applyAlignment="1">
      <alignment horizontal="centerContinuous"/>
    </xf>
    <xf numFmtId="41" fontId="14" fillId="0" borderId="1" xfId="0" applyNumberFormat="1" applyFont="1" applyBorder="1" applyAlignment="1">
      <alignment horizontal="center"/>
    </xf>
    <xf numFmtId="41" fontId="14" fillId="0" borderId="1" xfId="0" applyNumberFormat="1" applyFont="1" applyFill="1" applyBorder="1" applyAlignment="1">
      <alignment horizontal="center"/>
    </xf>
    <xf numFmtId="41" fontId="14" fillId="0" borderId="5" xfId="0" applyNumberFormat="1" applyFont="1" applyBorder="1" applyAlignment="1">
      <alignment horizontal="center"/>
    </xf>
    <xf numFmtId="41" fontId="14" fillId="0" borderId="5" xfId="0" applyNumberFormat="1" applyFont="1" applyFill="1" applyBorder="1" applyAlignment="1">
      <alignment horizontal="center"/>
    </xf>
    <xf numFmtId="41" fontId="14" fillId="0" borderId="8" xfId="0" applyNumberFormat="1" applyFont="1" applyBorder="1" applyAlignment="1">
      <alignment horizontal="center"/>
    </xf>
    <xf numFmtId="41" fontId="14" fillId="0" borderId="8" xfId="0" applyNumberFormat="1" applyFont="1" applyFill="1" applyBorder="1" applyAlignment="1">
      <alignment horizontal="center"/>
    </xf>
    <xf numFmtId="41" fontId="15" fillId="0" borderId="0" xfId="0" applyNumberFormat="1" applyFont="1" applyAlignment="1">
      <alignment horizontal="center"/>
    </xf>
    <xf numFmtId="41" fontId="17" fillId="0" borderId="0" xfId="0" applyNumberFormat="1" applyFont="1"/>
    <xf numFmtId="41" fontId="17" fillId="0" borderId="10" xfId="0" applyNumberFormat="1" applyFont="1" applyBorder="1"/>
    <xf numFmtId="41" fontId="17" fillId="0" borderId="10" xfId="0" applyNumberFormat="1" applyFont="1" applyBorder="1" applyAlignment="1">
      <alignment horizontal="center"/>
    </xf>
    <xf numFmtId="41" fontId="17" fillId="0" borderId="0" xfId="0" applyNumberFormat="1" applyFont="1" applyBorder="1" applyAlignment="1">
      <alignment horizontal="center"/>
    </xf>
    <xf numFmtId="41" fontId="17" fillId="0" borderId="0" xfId="2" applyNumberFormat="1" applyFont="1" applyFill="1" applyBorder="1"/>
    <xf numFmtId="41" fontId="17" fillId="0" borderId="0" xfId="0" applyNumberFormat="1" applyFont="1" applyFill="1" applyBorder="1"/>
    <xf numFmtId="10" fontId="17" fillId="0" borderId="10" xfId="14" applyNumberFormat="1" applyFont="1" applyBorder="1"/>
    <xf numFmtId="10" fontId="13" fillId="0" borderId="0" xfId="14" applyNumberFormat="1" applyFont="1"/>
    <xf numFmtId="41" fontId="17" fillId="0" borderId="0" xfId="0" applyNumberFormat="1" applyFont="1" applyFill="1"/>
    <xf numFmtId="41" fontId="13" fillId="0" borderId="12" xfId="12" applyNumberFormat="1" applyFont="1" applyBorder="1"/>
    <xf numFmtId="3" fontId="13" fillId="0" borderId="0" xfId="6" applyNumberFormat="1" applyFont="1"/>
    <xf numFmtId="3" fontId="13" fillId="0" borderId="0" xfId="6" applyNumberFormat="1" applyFont="1" applyAlignment="1">
      <alignment horizontal="center"/>
    </xf>
    <xf numFmtId="0" fontId="13" fillId="0" borderId="0" xfId="6" applyFont="1"/>
    <xf numFmtId="3" fontId="13" fillId="0" borderId="0" xfId="6" applyNumberFormat="1" applyFont="1" applyAlignment="1">
      <alignment horizontal="left"/>
    </xf>
    <xf numFmtId="3" fontId="22" fillId="0" borderId="15" xfId="6" applyNumberFormat="1" applyFont="1" applyBorder="1" applyAlignment="1">
      <alignment horizontal="centerContinuous"/>
    </xf>
    <xf numFmtId="3" fontId="22" fillId="0" borderId="12" xfId="6" applyNumberFormat="1" applyFont="1" applyBorder="1" applyAlignment="1">
      <alignment horizontal="centerContinuous"/>
    </xf>
    <xf numFmtId="3" fontId="21" fillId="0" borderId="14" xfId="6" applyNumberFormat="1" applyFont="1" applyBorder="1" applyAlignment="1">
      <alignment horizontal="centerContinuous"/>
    </xf>
    <xf numFmtId="164" fontId="13" fillId="0" borderId="0" xfId="6" applyNumberFormat="1" applyFont="1"/>
    <xf numFmtId="5" fontId="13" fillId="0" borderId="13" xfId="6" applyNumberFormat="1" applyFont="1" applyBorder="1"/>
    <xf numFmtId="164" fontId="13" fillId="0" borderId="0" xfId="6" applyNumberFormat="1" applyFont="1" applyAlignment="1">
      <alignment horizontal="left"/>
    </xf>
    <xf numFmtId="1" fontId="13" fillId="0" borderId="0" xfId="6" applyNumberFormat="1" applyFont="1" applyAlignment="1">
      <alignment horizontal="center"/>
    </xf>
    <xf numFmtId="37" fontId="13" fillId="0" borderId="10" xfId="6" applyNumberFormat="1" applyFont="1" applyBorder="1" applyProtection="1">
      <protection locked="0"/>
    </xf>
    <xf numFmtId="37" fontId="13" fillId="0" borderId="0" xfId="6" applyNumberFormat="1" applyFont="1" applyProtection="1">
      <protection locked="0"/>
    </xf>
    <xf numFmtId="37" fontId="13" fillId="0" borderId="0" xfId="6" applyNumberFormat="1" applyFont="1" applyBorder="1" applyProtection="1">
      <protection locked="0"/>
    </xf>
    <xf numFmtId="37" fontId="13" fillId="0" borderId="0" xfId="6" applyNumberFormat="1" applyFont="1"/>
    <xf numFmtId="5" fontId="13" fillId="0" borderId="0" xfId="6" applyNumberFormat="1" applyFont="1" applyProtection="1">
      <protection locked="0"/>
    </xf>
    <xf numFmtId="165" fontId="13" fillId="0" borderId="0" xfId="6" applyNumberFormat="1" applyFont="1"/>
    <xf numFmtId="37" fontId="13" fillId="0" borderId="10" xfId="6" applyNumberFormat="1" applyFont="1" applyBorder="1"/>
    <xf numFmtId="37" fontId="13" fillId="0" borderId="12" xfId="6" applyNumberFormat="1" applyFont="1" applyBorder="1"/>
    <xf numFmtId="37" fontId="13" fillId="0" borderId="3" xfId="6" applyNumberFormat="1" applyFont="1" applyBorder="1"/>
    <xf numFmtId="37" fontId="13" fillId="0" borderId="0" xfId="6" applyNumberFormat="1" applyFont="1" applyBorder="1"/>
    <xf numFmtId="3" fontId="16" fillId="0" borderId="0" xfId="6" applyNumberFormat="1" applyFont="1" applyAlignment="1">
      <alignment horizontal="center"/>
    </xf>
    <xf numFmtId="3" fontId="13" fillId="0" borderId="10" xfId="6" applyNumberFormat="1" applyFont="1" applyBorder="1" applyAlignment="1">
      <alignment horizontal="center"/>
    </xf>
    <xf numFmtId="3" fontId="13" fillId="0" borderId="0" xfId="6" applyNumberFormat="1" applyFont="1" applyBorder="1" applyAlignment="1">
      <alignment horizontal="centerContinuous"/>
    </xf>
    <xf numFmtId="3" fontId="14" fillId="0" borderId="0" xfId="6" applyNumberFormat="1" applyFont="1" applyBorder="1" applyAlignment="1">
      <alignment horizontal="centerContinuous"/>
    </xf>
    <xf numFmtId="3" fontId="13" fillId="0" borderId="10" xfId="6" applyNumberFormat="1" applyFont="1" applyBorder="1" applyAlignment="1">
      <alignment horizontal="centerContinuous"/>
    </xf>
    <xf numFmtId="3" fontId="14" fillId="0" borderId="10" xfId="6" applyNumberFormat="1" applyFont="1" applyBorder="1" applyAlignment="1">
      <alignment horizontal="centerContinuous"/>
    </xf>
    <xf numFmtId="3" fontId="13" fillId="0" borderId="0" xfId="6" applyNumberFormat="1" applyFont="1" applyAlignment="1">
      <alignment horizontal="centerContinuous"/>
    </xf>
    <xf numFmtId="0" fontId="13" fillId="0" borderId="0" xfId="6" applyFont="1" applyAlignment="1">
      <alignment horizontal="centerContinuous"/>
    </xf>
    <xf numFmtId="41" fontId="13" fillId="0" borderId="10" xfId="0" applyNumberFormat="1" applyFont="1" applyBorder="1"/>
    <xf numFmtId="174" fontId="46" fillId="0" borderId="0" xfId="0" applyNumberFormat="1" applyFont="1" applyAlignment="1">
      <alignment horizontal="left"/>
    </xf>
    <xf numFmtId="0" fontId="46" fillId="0" borderId="0" xfId="0" applyFont="1"/>
    <xf numFmtId="3" fontId="46" fillId="0" borderId="0" xfId="0" applyNumberFormat="1" applyFont="1"/>
    <xf numFmtId="175" fontId="46" fillId="0" borderId="0" xfId="0" applyNumberFormat="1" applyFont="1" applyAlignment="1">
      <alignment horizontal="left"/>
    </xf>
    <xf numFmtId="175" fontId="46" fillId="0" borderId="0" xfId="0" applyNumberFormat="1" applyFont="1" applyFill="1" applyAlignment="1">
      <alignment horizontal="left"/>
    </xf>
    <xf numFmtId="3" fontId="46" fillId="0" borderId="0" xfId="0" applyNumberFormat="1" applyFont="1" applyFill="1"/>
    <xf numFmtId="0" fontId="46" fillId="0" borderId="0" xfId="0" applyFont="1" applyFill="1"/>
    <xf numFmtId="174" fontId="46" fillId="0" borderId="0" xfId="0" applyNumberFormat="1" applyFont="1" applyFill="1" applyAlignment="1">
      <alignment horizontal="left"/>
    </xf>
    <xf numFmtId="3" fontId="46" fillId="0" borderId="0" xfId="0" applyNumberFormat="1" applyFont="1" applyAlignment="1">
      <alignment horizontal="left"/>
    </xf>
    <xf numFmtId="174" fontId="46" fillId="0" borderId="0" xfId="0" applyNumberFormat="1" applyFont="1"/>
    <xf numFmtId="175" fontId="46" fillId="0" borderId="0" xfId="0" applyNumberFormat="1" applyFont="1" applyFill="1" applyAlignment="1">
      <alignment horizontal="center"/>
    </xf>
    <xf numFmtId="175" fontId="46" fillId="0" borderId="0" xfId="0" applyNumberFormat="1" applyFont="1" applyAlignment="1">
      <alignment horizontal="center"/>
    </xf>
    <xf numFmtId="0" fontId="46" fillId="0" borderId="0" xfId="0" applyNumberFormat="1" applyFont="1"/>
    <xf numFmtId="0" fontId="46" fillId="0" borderId="0" xfId="0" applyNumberFormat="1" applyFont="1" applyAlignment="1">
      <alignment horizontal="center"/>
    </xf>
    <xf numFmtId="174" fontId="46" fillId="0" borderId="0" xfId="0" applyNumberFormat="1" applyFont="1" applyAlignment="1">
      <alignment horizontal="center"/>
    </xf>
    <xf numFmtId="175" fontId="46" fillId="0" borderId="0" xfId="0" applyNumberFormat="1" applyFont="1"/>
    <xf numFmtId="174" fontId="46" fillId="6" borderId="0" xfId="0" applyNumberFormat="1" applyFont="1" applyFill="1"/>
    <xf numFmtId="3" fontId="46" fillId="6" borderId="0" xfId="0" applyNumberFormat="1" applyFont="1" applyFill="1"/>
    <xf numFmtId="0" fontId="46" fillId="6" borderId="0" xfId="0" applyFont="1" applyFill="1"/>
    <xf numFmtId="3" fontId="46" fillId="0" borderId="0" xfId="0" applyNumberFormat="1" applyFont="1" applyAlignment="1">
      <alignment horizontal="center"/>
    </xf>
    <xf numFmtId="3" fontId="46" fillId="0" borderId="0" xfId="0" applyNumberFormat="1" applyFont="1" applyFill="1" applyAlignment="1">
      <alignment horizontal="center"/>
    </xf>
    <xf numFmtId="3" fontId="46" fillId="6" borderId="0" xfId="0" applyNumberFormat="1" applyFont="1" applyFill="1" applyAlignment="1">
      <alignment horizontal="center"/>
    </xf>
    <xf numFmtId="3" fontId="13" fillId="0" borderId="0" xfId="6" applyNumberFormat="1" applyFont="1" applyFill="1" applyAlignment="1">
      <alignment horizontal="center"/>
    </xf>
    <xf numFmtId="3" fontId="13" fillId="0" borderId="3" xfId="6" applyNumberFormat="1" applyFont="1" applyBorder="1"/>
    <xf numFmtId="2" fontId="17" fillId="0" borderId="0" xfId="0" applyNumberFormat="1" applyFont="1"/>
    <xf numFmtId="2" fontId="17" fillId="0" borderId="10" xfId="0" applyNumberFormat="1" applyFont="1" applyBorder="1" applyAlignment="1">
      <alignment horizontal="center"/>
    </xf>
    <xf numFmtId="2" fontId="23" fillId="0" borderId="0" xfId="0" applyNumberFormat="1" applyFont="1" applyAlignment="1">
      <alignment horizontal="center"/>
    </xf>
    <xf numFmtId="2" fontId="27" fillId="0" borderId="0" xfId="0" applyNumberFormat="1" applyFont="1" applyAlignment="1">
      <alignment horizontal="center"/>
    </xf>
    <xf numFmtId="2" fontId="23" fillId="0" borderId="0" xfId="0" applyNumberFormat="1" applyFont="1"/>
    <xf numFmtId="2" fontId="27" fillId="0" borderId="0" xfId="0" applyNumberFormat="1" applyFont="1" applyFill="1" applyAlignment="1">
      <alignment horizontal="center"/>
    </xf>
    <xf numFmtId="2" fontId="28" fillId="0" borderId="0" xfId="0" applyNumberFormat="1" applyFont="1" applyAlignment="1">
      <alignment horizontal="center"/>
    </xf>
    <xf numFmtId="2" fontId="17" fillId="0" borderId="0" xfId="0" applyNumberFormat="1" applyFont="1" applyFill="1" applyAlignment="1">
      <alignment horizontal="center"/>
    </xf>
    <xf numFmtId="2" fontId="17" fillId="0" borderId="0" xfId="0" applyNumberFormat="1" applyFont="1" applyAlignment="1">
      <alignment horizontal="center"/>
    </xf>
    <xf numFmtId="2" fontId="17" fillId="0" borderId="0" xfId="0" applyNumberFormat="1" applyFont="1" applyBorder="1" applyAlignment="1">
      <alignment horizontal="center"/>
    </xf>
    <xf numFmtId="10" fontId="13" fillId="0" borderId="0" xfId="14" applyNumberFormat="1" applyFont="1" applyBorder="1"/>
    <xf numFmtId="5" fontId="13" fillId="0" borderId="13" xfId="12" applyNumberFormat="1" applyFont="1" applyBorder="1"/>
    <xf numFmtId="5" fontId="13" fillId="0" borderId="13" xfId="0" applyNumberFormat="1" applyFont="1" applyBorder="1"/>
    <xf numFmtId="5" fontId="17" fillId="0" borderId="0" xfId="11" applyNumberFormat="1" applyFont="1" applyAlignment="1">
      <alignment horizontal="right"/>
    </xf>
    <xf numFmtId="4" fontId="17" fillId="0" borderId="0" xfId="11" applyNumberFormat="1" applyFont="1" applyAlignment="1">
      <alignment horizontal="center"/>
    </xf>
    <xf numFmtId="3" fontId="17" fillId="0" borderId="0" xfId="11" applyNumberFormat="1" applyFont="1" applyBorder="1" applyAlignment="1">
      <alignment horizontal="left"/>
    </xf>
    <xf numFmtId="3" fontId="17" fillId="0" borderId="10" xfId="11" applyNumberFormat="1" applyFont="1" applyBorder="1" applyAlignment="1">
      <alignment horizontal="left"/>
    </xf>
    <xf numFmtId="4" fontId="17" fillId="0" borderId="0" xfId="11" applyNumberFormat="1" applyFont="1" applyAlignment="1">
      <alignment horizontal="left"/>
    </xf>
    <xf numFmtId="3" fontId="40" fillId="0" borderId="0" xfId="11" applyNumberFormat="1" applyFont="1" applyAlignment="1">
      <alignment horizontal="left"/>
    </xf>
    <xf numFmtId="41" fontId="17" fillId="0" borderId="0" xfId="11" applyNumberFormat="1" applyFont="1" applyAlignment="1">
      <alignment horizontal="right"/>
    </xf>
    <xf numFmtId="0" fontId="17" fillId="0" borderId="10" xfId="11" applyFont="1" applyBorder="1" applyAlignment="1">
      <alignment horizontal="center"/>
    </xf>
    <xf numFmtId="169" fontId="27" fillId="0" borderId="10" xfId="1" applyNumberFormat="1" applyFont="1" applyFill="1" applyBorder="1"/>
    <xf numFmtId="0" fontId="17" fillId="0" borderId="0" xfId="11" applyFont="1" applyBorder="1"/>
    <xf numFmtId="43" fontId="17" fillId="0" borderId="10" xfId="1" applyNumberFormat="1" applyFont="1" applyBorder="1"/>
    <xf numFmtId="0" fontId="17" fillId="0" borderId="10" xfId="0" applyFont="1" applyBorder="1" applyAlignment="1">
      <alignment horizontal="center"/>
    </xf>
    <xf numFmtId="3" fontId="13" fillId="0" borderId="0" xfId="6" applyNumberFormat="1" applyFont="1" applyBorder="1" applyAlignment="1">
      <alignment horizontal="center"/>
    </xf>
    <xf numFmtId="0" fontId="14" fillId="0" borderId="0" xfId="12" applyNumberFormat="1" applyFont="1" applyBorder="1" applyAlignment="1">
      <alignment horizontal="center"/>
    </xf>
    <xf numFmtId="2" fontId="14" fillId="0" borderId="10" xfId="12" applyNumberFormat="1" applyFont="1" applyBorder="1" applyAlignment="1">
      <alignment horizontal="center"/>
    </xf>
    <xf numFmtId="2" fontId="13" fillId="0" borderId="10" xfId="12" applyNumberFormat="1" applyFont="1" applyBorder="1" applyAlignment="1">
      <alignment horizontal="left"/>
    </xf>
    <xf numFmtId="0" fontId="14" fillId="0" borderId="10" xfId="12" applyNumberFormat="1" applyFont="1" applyBorder="1" applyAlignment="1">
      <alignment horizontal="center"/>
    </xf>
    <xf numFmtId="0" fontId="14" fillId="0" borderId="10" xfId="12" applyFont="1" applyBorder="1" applyAlignment="1">
      <alignment horizontal="left"/>
    </xf>
    <xf numFmtId="4" fontId="17" fillId="0" borderId="0" xfId="0" applyNumberFormat="1" applyFont="1" applyAlignment="1">
      <alignment horizontal="left"/>
    </xf>
    <xf numFmtId="3" fontId="48" fillId="7" borderId="0" xfId="11" applyNumberFormat="1" applyFont="1" applyFill="1"/>
    <xf numFmtId="0" fontId="17" fillId="0" borderId="0" xfId="11" applyFont="1" applyBorder="1" applyAlignment="1">
      <alignment horizontal="center"/>
    </xf>
    <xf numFmtId="3" fontId="49" fillId="0" borderId="0" xfId="11" applyNumberFormat="1" applyFont="1"/>
    <xf numFmtId="169" fontId="17" fillId="4" borderId="30" xfId="1" applyNumberFormat="1" applyFont="1" applyFill="1" applyBorder="1"/>
    <xf numFmtId="4" fontId="17" fillId="4" borderId="31" xfId="11" applyNumberFormat="1" applyFont="1" applyFill="1" applyBorder="1" applyAlignment="1">
      <alignment horizontal="center"/>
    </xf>
    <xf numFmtId="0" fontId="17" fillId="4" borderId="32" xfId="11" applyFont="1" applyFill="1" applyBorder="1" applyAlignment="1">
      <alignment horizontal="center"/>
    </xf>
    <xf numFmtId="4" fontId="17" fillId="0" borderId="0" xfId="0" applyNumberFormat="1" applyFont="1" applyFill="1" applyAlignment="1">
      <alignment horizontal="left"/>
    </xf>
    <xf numFmtId="10" fontId="13" fillId="0" borderId="0" xfId="0" applyNumberFormat="1" applyFont="1"/>
    <xf numFmtId="176" fontId="17" fillId="0" borderId="0" xfId="2" applyNumberFormat="1" applyFont="1" applyFill="1" applyBorder="1"/>
    <xf numFmtId="6" fontId="17" fillId="0" borderId="16" xfId="2" applyNumberFormat="1" applyFont="1" applyFill="1" applyBorder="1"/>
    <xf numFmtId="0" fontId="24" fillId="0" borderId="0" xfId="0" applyFont="1" applyFill="1"/>
    <xf numFmtId="41" fontId="13" fillId="0" borderId="0" xfId="0" applyNumberFormat="1" applyFont="1" applyFill="1"/>
    <xf numFmtId="4" fontId="17" fillId="0" borderId="0" xfId="0" applyNumberFormat="1" applyFont="1" applyFill="1" applyBorder="1" applyAlignment="1">
      <alignment horizontal="left"/>
    </xf>
    <xf numFmtId="3" fontId="17" fillId="0" borderId="0" xfId="0" applyNumberFormat="1" applyFont="1" applyFill="1" applyBorder="1"/>
    <xf numFmtId="3" fontId="27" fillId="0" borderId="0" xfId="0" applyNumberFormat="1" applyFont="1" applyFill="1" applyBorder="1"/>
    <xf numFmtId="3" fontId="52" fillId="0" borderId="0" xfId="6" applyNumberFormat="1" applyFont="1" applyFill="1"/>
    <xf numFmtId="167" fontId="17" fillId="0" borderId="0" xfId="0" applyNumberFormat="1" applyFont="1"/>
    <xf numFmtId="169" fontId="13" fillId="0" borderId="0" xfId="1" applyNumberFormat="1" applyFont="1"/>
    <xf numFmtId="41" fontId="14" fillId="0" borderId="0" xfId="12" quotePrefix="1" applyNumberFormat="1" applyFont="1" applyFill="1" applyAlignment="1">
      <alignment horizontal="center"/>
    </xf>
    <xf numFmtId="0" fontId="18" fillId="0" borderId="0" xfId="0" applyFont="1" applyAlignment="1"/>
    <xf numFmtId="0" fontId="17" fillId="9" borderId="0" xfId="0" quotePrefix="1" applyFont="1" applyFill="1" applyAlignment="1">
      <alignment horizontal="center"/>
    </xf>
    <xf numFmtId="3" fontId="55" fillId="0" borderId="0" xfId="0" applyNumberFormat="1" applyFont="1"/>
    <xf numFmtId="175" fontId="55" fillId="0" borderId="0" xfId="0" applyNumberFormat="1" applyFont="1" applyAlignment="1">
      <alignment horizontal="left"/>
    </xf>
    <xf numFmtId="175" fontId="55" fillId="0" borderId="0" xfId="0" applyNumberFormat="1" applyFont="1" applyFill="1" applyAlignment="1">
      <alignment horizontal="left"/>
    </xf>
    <xf numFmtId="3" fontId="55" fillId="0" borderId="0" xfId="0" applyNumberFormat="1" applyFont="1" applyFill="1"/>
    <xf numFmtId="0" fontId="55" fillId="0" borderId="0" xfId="0" applyFont="1"/>
    <xf numFmtId="175" fontId="55" fillId="0" borderId="0" xfId="0" applyNumberFormat="1" applyFont="1" applyAlignment="1">
      <alignment horizontal="center"/>
    </xf>
    <xf numFmtId="0" fontId="55" fillId="0" borderId="0" xfId="0" applyFont="1" applyFill="1"/>
    <xf numFmtId="3" fontId="55" fillId="6" borderId="0" xfId="0" applyNumberFormat="1" applyFont="1" applyFill="1"/>
    <xf numFmtId="174" fontId="55" fillId="6" borderId="0" xfId="0" applyNumberFormat="1" applyFont="1" applyFill="1"/>
    <xf numFmtId="174" fontId="55" fillId="0" borderId="0" xfId="0" applyNumberFormat="1" applyFont="1"/>
    <xf numFmtId="174" fontId="55" fillId="0" borderId="0" xfId="0" applyNumberFormat="1" applyFont="1" applyFill="1"/>
    <xf numFmtId="4" fontId="17" fillId="0" borderId="0" xfId="0" applyNumberFormat="1" applyFont="1" applyBorder="1" applyAlignment="1">
      <alignment horizontal="center"/>
    </xf>
    <xf numFmtId="4" fontId="17" fillId="0" borderId="0" xfId="0" applyNumberFormat="1" applyFont="1" applyBorder="1" applyAlignment="1">
      <alignment horizontal="left"/>
    </xf>
    <xf numFmtId="4" fontId="17" fillId="0" borderId="0" xfId="0" applyNumberFormat="1" applyFont="1" applyFill="1" applyBorder="1" applyAlignment="1">
      <alignment horizontal="center"/>
    </xf>
    <xf numFmtId="0" fontId="17" fillId="0" borderId="0" xfId="0" applyFont="1" applyFill="1" applyBorder="1" applyAlignment="1">
      <alignment horizontal="left"/>
    </xf>
    <xf numFmtId="0" fontId="29" fillId="0" borderId="0" xfId="0" applyFont="1" applyFill="1" applyBorder="1"/>
    <xf numFmtId="0" fontId="13" fillId="0" borderId="0" xfId="12" applyFont="1"/>
    <xf numFmtId="0" fontId="13" fillId="0" borderId="0" xfId="12" applyNumberFormat="1" applyFont="1" applyAlignment="1">
      <alignment horizontal="center"/>
    </xf>
    <xf numFmtId="0" fontId="14" fillId="0" borderId="0" xfId="12" applyNumberFormat="1" applyFont="1" applyAlignment="1">
      <alignment horizontal="center"/>
    </xf>
    <xf numFmtId="0" fontId="14" fillId="0" borderId="0" xfId="12" applyFont="1" applyAlignment="1">
      <alignment horizontal="center"/>
    </xf>
    <xf numFmtId="0" fontId="14" fillId="0" borderId="1" xfId="12" applyNumberFormat="1" applyFont="1" applyBorder="1" applyAlignment="1">
      <alignment horizontal="center"/>
    </xf>
    <xf numFmtId="0" fontId="14" fillId="0" borderId="2" xfId="12" applyFont="1" applyBorder="1" applyAlignment="1">
      <alignment horizontal="center"/>
    </xf>
    <xf numFmtId="0" fontId="14" fillId="0" borderId="3" xfId="12" applyFont="1" applyBorder="1" applyAlignment="1">
      <alignment horizontal="center"/>
    </xf>
    <xf numFmtId="0" fontId="14" fillId="0" borderId="5" xfId="12" applyNumberFormat="1" applyFont="1" applyBorder="1" applyAlignment="1">
      <alignment horizontal="center"/>
    </xf>
    <xf numFmtId="0" fontId="14" fillId="0" borderId="6" xfId="12" applyFont="1" applyBorder="1" applyAlignment="1">
      <alignment horizontal="center"/>
    </xf>
    <xf numFmtId="0" fontId="14" fillId="0" borderId="0" xfId="12" applyFont="1" applyBorder="1" applyAlignment="1">
      <alignment horizontal="center"/>
    </xf>
    <xf numFmtId="0" fontId="14" fillId="0" borderId="8" xfId="12" applyNumberFormat="1" applyFont="1" applyBorder="1" applyAlignment="1">
      <alignment horizontal="center"/>
    </xf>
    <xf numFmtId="0" fontId="14" fillId="0" borderId="9" xfId="12" applyFont="1" applyBorder="1" applyAlignment="1">
      <alignment horizontal="center"/>
    </xf>
    <xf numFmtId="0" fontId="14" fillId="0" borderId="10" xfId="12" applyFont="1" applyBorder="1" applyAlignment="1">
      <alignment horizontal="center"/>
    </xf>
    <xf numFmtId="37" fontId="13" fillId="0" borderId="0" xfId="12" applyNumberFormat="1" applyFont="1" applyAlignment="1">
      <alignment horizontal="center"/>
    </xf>
    <xf numFmtId="5" fontId="13" fillId="0" borderId="0" xfId="12" applyNumberFormat="1" applyFont="1"/>
    <xf numFmtId="37" fontId="13" fillId="0" borderId="0" xfId="12" applyNumberFormat="1" applyFont="1"/>
    <xf numFmtId="3" fontId="13" fillId="0" borderId="0" xfId="9" applyNumberFormat="1" applyFont="1" applyAlignment="1">
      <alignment horizontal="center"/>
    </xf>
    <xf numFmtId="1" fontId="13" fillId="0" borderId="0" xfId="9" applyNumberFormat="1" applyFont="1" applyAlignment="1">
      <alignment horizontal="center"/>
    </xf>
    <xf numFmtId="37" fontId="13" fillId="0" borderId="0" xfId="12" applyNumberFormat="1" applyFont="1" applyFill="1"/>
    <xf numFmtId="10" fontId="13" fillId="0" borderId="0" xfId="14" applyNumberFormat="1" applyFont="1" applyFill="1"/>
    <xf numFmtId="169" fontId="17" fillId="0" borderId="0" xfId="1" applyNumberFormat="1" applyFont="1" applyFill="1" applyBorder="1"/>
    <xf numFmtId="0" fontId="13" fillId="0" borderId="0" xfId="12" applyFont="1" applyBorder="1"/>
    <xf numFmtId="0" fontId="13" fillId="0" borderId="0" xfId="12" applyNumberFormat="1" applyFont="1" applyBorder="1" applyAlignment="1">
      <alignment horizontal="center"/>
    </xf>
    <xf numFmtId="41" fontId="14" fillId="0" borderId="0" xfId="12" applyNumberFormat="1" applyFont="1" applyFill="1"/>
    <xf numFmtId="41" fontId="13" fillId="0" borderId="0" xfId="12" applyNumberFormat="1" applyFont="1"/>
    <xf numFmtId="41" fontId="13" fillId="0" borderId="0" xfId="12" applyNumberFormat="1" applyFont="1" applyFill="1"/>
    <xf numFmtId="41" fontId="14" fillId="0" borderId="0" xfId="12" applyNumberFormat="1" applyFont="1"/>
    <xf numFmtId="41" fontId="14" fillId="0" borderId="0" xfId="12" applyNumberFormat="1" applyFont="1" applyFill="1" applyAlignment="1">
      <alignment horizontal="center"/>
    </xf>
    <xf numFmtId="41" fontId="13" fillId="0" borderId="0" xfId="13" applyNumberFormat="1" applyFont="1" applyAlignment="1">
      <alignment horizontal="center"/>
    </xf>
    <xf numFmtId="41" fontId="14" fillId="0" borderId="5" xfId="12" applyNumberFormat="1" applyFont="1" applyFill="1" applyBorder="1" applyAlignment="1">
      <alignment horizontal="center"/>
    </xf>
    <xf numFmtId="41" fontId="14" fillId="0" borderId="8" xfId="12" applyNumberFormat="1" applyFont="1" applyFill="1" applyBorder="1" applyAlignment="1">
      <alignment horizontal="center"/>
    </xf>
    <xf numFmtId="41" fontId="13" fillId="0" borderId="0" xfId="12" applyNumberFormat="1" applyFont="1" applyFill="1" applyBorder="1"/>
    <xf numFmtId="41" fontId="13" fillId="0" borderId="10" xfId="12" applyNumberFormat="1" applyFont="1" applyFill="1" applyBorder="1"/>
    <xf numFmtId="41" fontId="13" fillId="0" borderId="10" xfId="12" applyNumberFormat="1" applyFont="1" applyBorder="1"/>
    <xf numFmtId="41" fontId="13" fillId="0" borderId="0" xfId="14" applyNumberFormat="1" applyFont="1" applyFill="1"/>
    <xf numFmtId="41" fontId="13" fillId="0" borderId="0" xfId="12" applyNumberFormat="1" applyFont="1" applyBorder="1"/>
    <xf numFmtId="41" fontId="14" fillId="0" borderId="0" xfId="12" applyNumberFormat="1" applyFont="1" applyBorder="1"/>
    <xf numFmtId="37" fontId="13" fillId="0" borderId="0" xfId="12" applyNumberFormat="1" applyFont="1" applyFill="1" applyAlignment="1">
      <alignment horizontal="center"/>
    </xf>
    <xf numFmtId="5" fontId="13" fillId="0" borderId="0" xfId="12" applyNumberFormat="1" applyFont="1" applyFill="1"/>
    <xf numFmtId="41" fontId="13" fillId="0" borderId="12" xfId="12" applyNumberFormat="1" applyFont="1" applyFill="1" applyBorder="1"/>
    <xf numFmtId="3" fontId="13" fillId="0" borderId="0" xfId="9" applyNumberFormat="1" applyFont="1" applyFill="1" applyAlignment="1">
      <alignment horizontal="center"/>
    </xf>
    <xf numFmtId="41" fontId="13" fillId="0" borderId="3" xfId="12" applyNumberFormat="1" applyFont="1" applyFill="1" applyBorder="1"/>
    <xf numFmtId="5" fontId="13" fillId="0" borderId="13" xfId="12" applyNumberFormat="1" applyFont="1" applyFill="1" applyBorder="1"/>
    <xf numFmtId="5" fontId="13" fillId="0" borderId="13" xfId="12" applyNumberFormat="1" applyFont="1" applyBorder="1"/>
    <xf numFmtId="5" fontId="13" fillId="0" borderId="0" xfId="10" applyNumberFormat="1" applyFont="1" applyFill="1" applyBorder="1"/>
    <xf numFmtId="2" fontId="14" fillId="0" borderId="0" xfId="12" applyNumberFormat="1" applyFont="1" applyAlignment="1">
      <alignment horizontal="center"/>
    </xf>
    <xf numFmtId="2" fontId="14" fillId="0" borderId="0" xfId="4" applyNumberFormat="1" applyFont="1" applyAlignment="1" applyProtection="1">
      <alignment horizontal="center"/>
    </xf>
    <xf numFmtId="2" fontId="14" fillId="0" borderId="0" xfId="4" applyNumberFormat="1" applyFont="1" applyFill="1" applyAlignment="1" applyProtection="1">
      <alignment horizontal="center"/>
    </xf>
    <xf numFmtId="2" fontId="13" fillId="0" borderId="0" xfId="12" applyNumberFormat="1" applyFont="1" applyAlignment="1">
      <alignment horizontal="left"/>
    </xf>
    <xf numFmtId="41" fontId="14" fillId="0" borderId="0" xfId="12" applyNumberFormat="1" applyFont="1" applyBorder="1" applyAlignment="1">
      <alignment horizontal="center"/>
    </xf>
    <xf numFmtId="41" fontId="14" fillId="0" borderId="10" xfId="12" applyNumberFormat="1" applyFont="1" applyBorder="1" applyAlignment="1">
      <alignment horizontal="center"/>
    </xf>
    <xf numFmtId="2" fontId="14" fillId="0" borderId="10" xfId="4" applyNumberFormat="1" applyFont="1" applyBorder="1" applyAlignment="1" applyProtection="1">
      <alignment horizontal="center"/>
    </xf>
    <xf numFmtId="0" fontId="13" fillId="0" borderId="0" xfId="12" applyFont="1" applyAlignment="1">
      <alignment vertical="top"/>
    </xf>
    <xf numFmtId="41" fontId="14" fillId="9" borderId="8" xfId="12" applyNumberFormat="1" applyFont="1" applyFill="1" applyBorder="1" applyAlignment="1">
      <alignment horizontal="center"/>
    </xf>
    <xf numFmtId="2" fontId="14" fillId="9" borderId="5" xfId="12" applyNumberFormat="1" applyFont="1" applyFill="1" applyBorder="1" applyAlignment="1">
      <alignment horizontal="center"/>
    </xf>
    <xf numFmtId="2" fontId="27" fillId="0" borderId="22" xfId="0" applyNumberFormat="1" applyFont="1" applyFill="1" applyBorder="1" applyAlignment="1">
      <alignment horizontal="center"/>
    </xf>
    <xf numFmtId="3" fontId="14" fillId="0" borderId="0" xfId="13" applyNumberFormat="1" applyFont="1" applyFill="1" applyAlignment="1">
      <alignment horizontal="center"/>
    </xf>
    <xf numFmtId="0" fontId="13" fillId="0" borderId="0" xfId="12" applyFont="1" applyFill="1"/>
    <xf numFmtId="41" fontId="14" fillId="0" borderId="0" xfId="12" applyNumberFormat="1" applyFont="1" applyFill="1" applyBorder="1"/>
    <xf numFmtId="164" fontId="17" fillId="0" borderId="10" xfId="11" applyNumberFormat="1" applyFont="1" applyBorder="1"/>
    <xf numFmtId="3" fontId="17" fillId="0" borderId="10" xfId="11" applyNumberFormat="1" applyFont="1" applyBorder="1"/>
    <xf numFmtId="169" fontId="48" fillId="7" borderId="0" xfId="1" applyNumberFormat="1" applyFont="1" applyFill="1"/>
    <xf numFmtId="0" fontId="57" fillId="6" borderId="19" xfId="0" applyFont="1" applyFill="1" applyBorder="1" applyAlignment="1">
      <alignment horizontal="left"/>
    </xf>
    <xf numFmtId="0" fontId="57" fillId="6" borderId="20" xfId="0" applyFont="1" applyFill="1" applyBorder="1" applyAlignment="1">
      <alignment horizontal="center"/>
    </xf>
    <xf numFmtId="0" fontId="57" fillId="6" borderId="21" xfId="0" applyFont="1" applyFill="1" applyBorder="1" applyAlignment="1">
      <alignment horizontal="center"/>
    </xf>
    <xf numFmtId="37" fontId="42" fillId="6" borderId="22" xfId="12" applyNumberFormat="1" applyFont="1" applyFill="1" applyBorder="1"/>
    <xf numFmtId="37" fontId="42" fillId="6" borderId="0" xfId="12" applyNumberFormat="1" applyFont="1" applyFill="1" applyBorder="1"/>
    <xf numFmtId="37" fontId="58" fillId="6" borderId="0" xfId="12" applyNumberFormat="1" applyFont="1" applyFill="1" applyBorder="1"/>
    <xf numFmtId="0" fontId="42" fillId="6" borderId="0" xfId="0" applyFont="1" applyFill="1" applyBorder="1"/>
    <xf numFmtId="0" fontId="57" fillId="6" borderId="10" xfId="0" applyFont="1" applyFill="1" applyBorder="1" applyAlignment="1">
      <alignment horizontal="center"/>
    </xf>
    <xf numFmtId="0" fontId="57" fillId="6" borderId="37" xfId="0" applyFont="1" applyFill="1" applyBorder="1" applyAlignment="1">
      <alignment horizontal="center"/>
    </xf>
    <xf numFmtId="37" fontId="42" fillId="6" borderId="23" xfId="12" applyNumberFormat="1" applyFont="1" applyFill="1" applyBorder="1"/>
    <xf numFmtId="165" fontId="42" fillId="6" borderId="0" xfId="14" applyNumberFormat="1" applyFont="1" applyFill="1" applyBorder="1"/>
    <xf numFmtId="10" fontId="42" fillId="6" borderId="0" xfId="14" applyNumberFormat="1" applyFont="1" applyFill="1" applyBorder="1"/>
    <xf numFmtId="10" fontId="42" fillId="6" borderId="23" xfId="14" applyNumberFormat="1" applyFont="1" applyFill="1" applyBorder="1"/>
    <xf numFmtId="168" fontId="42" fillId="6" borderId="0" xfId="14" applyNumberFormat="1" applyFont="1" applyFill="1" applyBorder="1"/>
    <xf numFmtId="168" fontId="58" fillId="6" borderId="0" xfId="14" applyNumberFormat="1" applyFont="1" applyFill="1" applyBorder="1"/>
    <xf numFmtId="10" fontId="42" fillId="6" borderId="16" xfId="14" applyNumberFormat="1" applyFont="1" applyFill="1" applyBorder="1"/>
    <xf numFmtId="10" fontId="42" fillId="6" borderId="38" xfId="14" applyNumberFormat="1" applyFont="1" applyFill="1" applyBorder="1"/>
    <xf numFmtId="37" fontId="42" fillId="6" borderId="24" xfId="12" applyNumberFormat="1" applyFont="1" applyFill="1" applyBorder="1"/>
    <xf numFmtId="0" fontId="42" fillId="6" borderId="25" xfId="0" applyFont="1" applyFill="1" applyBorder="1"/>
    <xf numFmtId="10" fontId="42" fillId="6" borderId="25" xfId="14" applyNumberFormat="1" applyFont="1" applyFill="1" applyBorder="1"/>
    <xf numFmtId="10" fontId="58" fillId="6" borderId="25" xfId="14" applyNumberFormat="1" applyFont="1" applyFill="1" applyBorder="1"/>
    <xf numFmtId="10" fontId="42" fillId="6" borderId="26" xfId="14" applyNumberFormat="1" applyFont="1" applyFill="1" applyBorder="1"/>
    <xf numFmtId="41" fontId="14" fillId="0" borderId="1" xfId="0" quotePrefix="1" applyNumberFormat="1" applyFont="1" applyBorder="1" applyAlignment="1">
      <alignment horizontal="center"/>
    </xf>
    <xf numFmtId="0" fontId="18" fillId="0" borderId="0" xfId="0" applyFont="1" applyBorder="1" applyAlignment="1">
      <alignment horizontal="center"/>
    </xf>
    <xf numFmtId="0" fontId="17" fillId="9" borderId="0" xfId="0" quotePrefix="1" applyFont="1" applyFill="1" applyBorder="1" applyAlignment="1">
      <alignment horizontal="center"/>
    </xf>
    <xf numFmtId="0" fontId="17" fillId="0" borderId="0" xfId="0" quotePrefix="1" applyFont="1"/>
    <xf numFmtId="41" fontId="14" fillId="0" borderId="0" xfId="12" applyNumberFormat="1" applyFont="1" applyFill="1" applyBorder="1" applyAlignment="1">
      <alignment horizontal="center" wrapText="1"/>
    </xf>
    <xf numFmtId="0" fontId="17" fillId="0" borderId="0" xfId="0" applyFont="1" applyAlignment="1">
      <alignment horizontal="center"/>
    </xf>
    <xf numFmtId="0" fontId="18" fillId="0" borderId="0" xfId="0" applyFont="1" applyFill="1" applyBorder="1"/>
    <xf numFmtId="175" fontId="55" fillId="0" borderId="0" xfId="0" applyNumberFormat="1" applyFont="1" applyFill="1" applyAlignment="1">
      <alignment horizontal="center"/>
    </xf>
    <xf numFmtId="0" fontId="0" fillId="0" borderId="0" xfId="0" applyAlignment="1">
      <alignment shrinkToFit="1"/>
    </xf>
    <xf numFmtId="0" fontId="17" fillId="0" borderId="0" xfId="0" applyFont="1" applyFill="1" applyAlignment="1">
      <alignment horizontal="center"/>
    </xf>
    <xf numFmtId="0" fontId="13" fillId="0" borderId="0" xfId="12" applyNumberFormat="1" applyFont="1" applyAlignment="1">
      <alignment horizontal="left"/>
    </xf>
    <xf numFmtId="0" fontId="13" fillId="0" borderId="0" xfId="12" applyNumberFormat="1" applyFont="1" applyFill="1" applyBorder="1" applyAlignment="1">
      <alignment horizontal="center"/>
    </xf>
    <xf numFmtId="0" fontId="13" fillId="0" borderId="0" xfId="12" applyFont="1" applyFill="1" applyBorder="1"/>
    <xf numFmtId="10" fontId="42" fillId="0" borderId="0" xfId="14" applyNumberFormat="1" applyFont="1" applyFill="1" applyBorder="1"/>
    <xf numFmtId="0" fontId="17" fillId="0" borderId="0" xfId="0" applyFont="1" applyFill="1" applyAlignment="1">
      <alignment horizontal="right"/>
    </xf>
    <xf numFmtId="0" fontId="24" fillId="0" borderId="0" xfId="0" applyFont="1" applyAlignment="1">
      <alignment horizontal="left"/>
    </xf>
    <xf numFmtId="167" fontId="24" fillId="0" borderId="0" xfId="0" applyNumberFormat="1" applyFont="1" applyBorder="1" applyAlignment="1">
      <alignment horizontal="left"/>
    </xf>
    <xf numFmtId="167" fontId="17" fillId="0" borderId="0" xfId="0" quotePrefix="1" applyNumberFormat="1" applyFont="1" applyAlignment="1">
      <alignment horizontal="right"/>
    </xf>
    <xf numFmtId="41" fontId="17" fillId="0" borderId="0" xfId="0" applyNumberFormat="1" applyFont="1" applyBorder="1"/>
    <xf numFmtId="5" fontId="26" fillId="0" borderId="0" xfId="0" applyNumberFormat="1" applyFont="1"/>
    <xf numFmtId="0" fontId="18" fillId="0" borderId="0" xfId="0" applyFont="1" applyBorder="1" applyAlignment="1">
      <alignment horizontal="center"/>
    </xf>
    <xf numFmtId="0" fontId="18" fillId="0" borderId="2" xfId="0" applyFont="1" applyBorder="1" applyAlignment="1">
      <alignment horizontal="center"/>
    </xf>
    <xf numFmtId="0" fontId="18" fillId="0" borderId="9" xfId="0" applyFont="1" applyBorder="1" applyAlignment="1">
      <alignment horizontal="center"/>
    </xf>
    <xf numFmtId="169" fontId="17" fillId="0" borderId="0" xfId="0" applyNumberFormat="1" applyFont="1" applyBorder="1"/>
    <xf numFmtId="0" fontId="13" fillId="0" borderId="0" xfId="12" applyNumberFormat="1" applyFont="1" applyFill="1" applyAlignment="1">
      <alignment horizontal="center"/>
    </xf>
    <xf numFmtId="0" fontId="18" fillId="0" borderId="0" xfId="0" applyFont="1" applyBorder="1" applyAlignment="1">
      <alignment horizontal="center"/>
    </xf>
    <xf numFmtId="0" fontId="29" fillId="0" borderId="0" xfId="0" applyFont="1" applyBorder="1"/>
    <xf numFmtId="0" fontId="19" fillId="0" borderId="0" xfId="0" applyFont="1" applyFill="1" applyBorder="1" applyAlignment="1">
      <alignment horizontal="center"/>
    </xf>
    <xf numFmtId="0" fontId="19" fillId="0" borderId="0" xfId="0" applyFont="1" applyFill="1" applyBorder="1"/>
    <xf numFmtId="0" fontId="36" fillId="0" borderId="0" xfId="0" applyFont="1" applyBorder="1"/>
    <xf numFmtId="0" fontId="17" fillId="0" borderId="0" xfId="0" quotePrefix="1" applyFont="1" applyFill="1" applyAlignment="1">
      <alignment horizontal="center"/>
    </xf>
    <xf numFmtId="0" fontId="18" fillId="0" borderId="0" xfId="0" applyFont="1" applyAlignment="1">
      <alignment horizontal="center"/>
    </xf>
    <xf numFmtId="0" fontId="17" fillId="0" borderId="0" xfId="0" applyFont="1" applyAlignment="1">
      <alignment horizontal="center"/>
    </xf>
    <xf numFmtId="167" fontId="24" fillId="0" borderId="0" xfId="0" applyNumberFormat="1" applyFont="1" applyFill="1"/>
    <xf numFmtId="167" fontId="24" fillId="0" borderId="0" xfId="0" applyNumberFormat="1" applyFont="1" applyFill="1" applyBorder="1"/>
    <xf numFmtId="167" fontId="17" fillId="0" borderId="0" xfId="0" applyNumberFormat="1" applyFont="1" applyFill="1"/>
    <xf numFmtId="10" fontId="34" fillId="0" borderId="0" xfId="0" applyNumberFormat="1" applyFont="1" applyFill="1"/>
    <xf numFmtId="167" fontId="24" fillId="0" borderId="10" xfId="0" applyNumberFormat="1" applyFont="1" applyFill="1" applyBorder="1"/>
    <xf numFmtId="167" fontId="18" fillId="0" borderId="0" xfId="0" applyNumberFormat="1" applyFont="1" applyFill="1"/>
    <xf numFmtId="167" fontId="24" fillId="0" borderId="13" xfId="0" applyNumberFormat="1" applyFont="1" applyFill="1" applyBorder="1"/>
    <xf numFmtId="9" fontId="13" fillId="0" borderId="0" xfId="14" applyFont="1" applyFill="1"/>
    <xf numFmtId="5" fontId="13" fillId="0" borderId="0" xfId="12" applyNumberFormat="1" applyFont="1" applyBorder="1"/>
    <xf numFmtId="41" fontId="13" fillId="0" borderId="13" xfId="12" applyNumberFormat="1" applyFont="1" applyBorder="1"/>
    <xf numFmtId="41" fontId="13" fillId="0" borderId="0" xfId="2" applyNumberFormat="1" applyFont="1" applyBorder="1"/>
    <xf numFmtId="41" fontId="13" fillId="0" borderId="10" xfId="2" applyNumberFormat="1" applyFont="1" applyBorder="1"/>
    <xf numFmtId="1" fontId="13" fillId="0" borderId="0" xfId="6" applyNumberFormat="1" applyFont="1" applyProtection="1">
      <protection locked="0"/>
    </xf>
    <xf numFmtId="1" fontId="13" fillId="0" borderId="10" xfId="6" applyNumberFormat="1" applyFont="1" applyBorder="1" applyProtection="1">
      <protection locked="0"/>
    </xf>
    <xf numFmtId="0" fontId="57" fillId="6" borderId="0" xfId="0" applyFont="1" applyFill="1" applyBorder="1" applyAlignment="1">
      <alignment horizontal="center"/>
    </xf>
    <xf numFmtId="0" fontId="57" fillId="6" borderId="23" xfId="0" applyFont="1" applyFill="1" applyBorder="1" applyAlignment="1">
      <alignment horizontal="center"/>
    </xf>
    <xf numFmtId="0" fontId="57" fillId="0" borderId="22" xfId="0" applyFont="1" applyFill="1" applyBorder="1" applyAlignment="1">
      <alignment horizontal="center"/>
    </xf>
    <xf numFmtId="0" fontId="57" fillId="0" borderId="0" xfId="0" applyFont="1" applyFill="1" applyBorder="1" applyAlignment="1">
      <alignment horizontal="center"/>
    </xf>
    <xf numFmtId="0" fontId="57" fillId="0" borderId="23" xfId="0" applyFont="1" applyFill="1" applyBorder="1" applyAlignment="1">
      <alignment horizontal="center"/>
    </xf>
    <xf numFmtId="0" fontId="17" fillId="0" borderId="0" xfId="12" applyNumberFormat="1" applyFont="1" applyAlignment="1">
      <alignment horizontal="left"/>
    </xf>
    <xf numFmtId="0" fontId="60" fillId="0" borderId="0" xfId="12" applyNumberFormat="1" applyFont="1" applyAlignment="1">
      <alignment horizontal="left"/>
    </xf>
    <xf numFmtId="0" fontId="57" fillId="0" borderId="0" xfId="0" applyFont="1" applyAlignment="1">
      <alignment horizontal="centerContinuous"/>
    </xf>
    <xf numFmtId="0" fontId="42" fillId="0" borderId="0" xfId="0" applyFont="1"/>
    <xf numFmtId="0" fontId="57" fillId="0" borderId="0" xfId="0" applyFont="1" applyAlignment="1"/>
    <xf numFmtId="0" fontId="57" fillId="0" borderId="0" xfId="0" applyFont="1" applyAlignment="1">
      <alignment horizontal="center"/>
    </xf>
    <xf numFmtId="0" fontId="42" fillId="9" borderId="0" xfId="0" quotePrefix="1" applyFont="1" applyFill="1" applyAlignment="1">
      <alignment horizontal="center"/>
    </xf>
    <xf numFmtId="0" fontId="57" fillId="0" borderId="0" xfId="0" applyFont="1" applyBorder="1" applyAlignment="1">
      <alignment horizontal="center"/>
    </xf>
    <xf numFmtId="0" fontId="57" fillId="0" borderId="0" xfId="0" applyFont="1" applyFill="1" applyBorder="1" applyAlignment="1"/>
    <xf numFmtId="0" fontId="42" fillId="0" borderId="0" xfId="0" applyFont="1" applyBorder="1"/>
    <xf numFmtId="0" fontId="57" fillId="0" borderId="10" xfId="0" applyFont="1" applyBorder="1" applyAlignment="1">
      <alignment horizontal="center"/>
    </xf>
    <xf numFmtId="14" fontId="57" fillId="0" borderId="0" xfId="0" applyNumberFormat="1" applyFont="1" applyFill="1" applyBorder="1" applyAlignment="1">
      <alignment horizontal="center"/>
    </xf>
    <xf numFmtId="37" fontId="42" fillId="0" borderId="0" xfId="12" applyNumberFormat="1" applyFont="1" applyFill="1" applyBorder="1"/>
    <xf numFmtId="0" fontId="42" fillId="0" borderId="0" xfId="0" applyFont="1" applyFill="1" applyBorder="1"/>
    <xf numFmtId="37" fontId="57" fillId="0" borderId="0" xfId="12" applyNumberFormat="1" applyFont="1" applyFill="1" applyBorder="1"/>
    <xf numFmtId="37" fontId="61" fillId="0" borderId="0" xfId="12" applyNumberFormat="1" applyFont="1" applyAlignment="1">
      <alignment horizontal="left"/>
    </xf>
    <xf numFmtId="37" fontId="42" fillId="0" borderId="0" xfId="12" applyNumberFormat="1" applyFont="1" applyBorder="1"/>
    <xf numFmtId="37" fontId="57" fillId="0" borderId="0" xfId="12" applyNumberFormat="1" applyFont="1"/>
    <xf numFmtId="37" fontId="42" fillId="0" borderId="0" xfId="12" applyNumberFormat="1" applyFont="1"/>
    <xf numFmtId="0" fontId="42" fillId="0" borderId="0" xfId="0" applyFont="1" applyAlignment="1">
      <alignment horizontal="center"/>
    </xf>
    <xf numFmtId="176" fontId="42" fillId="0" borderId="0" xfId="2" applyNumberFormat="1" applyFont="1"/>
    <xf numFmtId="176" fontId="42" fillId="0" borderId="0" xfId="0" applyNumberFormat="1" applyFont="1" applyBorder="1"/>
    <xf numFmtId="5" fontId="42" fillId="0" borderId="0" xfId="0" applyNumberFormat="1" applyFont="1"/>
    <xf numFmtId="10" fontId="57" fillId="0" borderId="0" xfId="14" applyNumberFormat="1" applyFont="1" applyFill="1" applyBorder="1" applyAlignment="1">
      <alignment horizontal="center"/>
    </xf>
    <xf numFmtId="0" fontId="61" fillId="0" borderId="0" xfId="0" applyFont="1" applyAlignment="1">
      <alignment horizontal="left"/>
    </xf>
    <xf numFmtId="5" fontId="42" fillId="0" borderId="0" xfId="0" applyNumberFormat="1" applyFont="1" applyBorder="1"/>
    <xf numFmtId="168" fontId="42" fillId="0" borderId="0" xfId="14" applyNumberFormat="1" applyFont="1" applyBorder="1"/>
    <xf numFmtId="10" fontId="42" fillId="0" borderId="0" xfId="14" applyNumberFormat="1" applyFont="1" applyBorder="1"/>
    <xf numFmtId="10" fontId="42" fillId="0" borderId="0" xfId="14" applyNumberFormat="1" applyFont="1"/>
    <xf numFmtId="5" fontId="42" fillId="0" borderId="0" xfId="0" applyNumberFormat="1" applyFont="1" applyFill="1"/>
    <xf numFmtId="5" fontId="42" fillId="0" borderId="0" xfId="0" applyNumberFormat="1" applyFont="1" applyFill="1" applyBorder="1"/>
    <xf numFmtId="169" fontId="42" fillId="0" borderId="0" xfId="1" applyNumberFormat="1" applyFont="1" applyBorder="1"/>
    <xf numFmtId="37" fontId="42" fillId="0" borderId="0" xfId="12" applyNumberFormat="1" applyFont="1" applyFill="1"/>
    <xf numFmtId="0" fontId="58" fillId="0" borderId="0" xfId="0" applyFont="1"/>
    <xf numFmtId="0" fontId="61" fillId="0" borderId="0" xfId="0" applyFont="1"/>
    <xf numFmtId="169" fontId="61" fillId="0" borderId="0" xfId="1" applyNumberFormat="1" applyFont="1" applyBorder="1"/>
    <xf numFmtId="10" fontId="61" fillId="0" borderId="0" xfId="14" applyNumberFormat="1" applyFont="1"/>
    <xf numFmtId="41" fontId="42" fillId="0" borderId="10" xfId="0" applyNumberFormat="1" applyFont="1" applyBorder="1"/>
    <xf numFmtId="41" fontId="42" fillId="0" borderId="0" xfId="0" applyNumberFormat="1" applyFont="1" applyBorder="1"/>
    <xf numFmtId="0" fontId="57" fillId="0" borderId="0" xfId="0" applyFont="1" applyFill="1"/>
    <xf numFmtId="37" fontId="57" fillId="2" borderId="0" xfId="12" applyNumberFormat="1" applyFont="1" applyFill="1"/>
    <xf numFmtId="10" fontId="45" fillId="0" borderId="0" xfId="0" applyNumberFormat="1" applyFont="1" applyFill="1"/>
    <xf numFmtId="10" fontId="61" fillId="2" borderId="0" xfId="14" applyNumberFormat="1" applyFont="1" applyFill="1"/>
    <xf numFmtId="167" fontId="42" fillId="0" borderId="0" xfId="0" applyNumberFormat="1" applyFont="1"/>
    <xf numFmtId="167" fontId="42" fillId="0" borderId="0" xfId="0" applyNumberFormat="1" applyFont="1" applyFill="1" applyBorder="1"/>
    <xf numFmtId="0" fontId="58" fillId="0" borderId="0" xfId="0" applyFont="1" applyFill="1" applyBorder="1"/>
    <xf numFmtId="0" fontId="57" fillId="0" borderId="10" xfId="0" applyFont="1" applyBorder="1" applyAlignment="1">
      <alignment horizontal="center" vertical="center" wrapText="1"/>
    </xf>
    <xf numFmtId="0" fontId="57" fillId="0" borderId="0" xfId="0" applyFont="1" applyFill="1" applyBorder="1" applyAlignment="1">
      <alignment horizontal="center" vertical="center" wrapText="1"/>
    </xf>
    <xf numFmtId="5" fontId="57" fillId="0" borderId="0" xfId="0" applyNumberFormat="1" applyFont="1" applyFill="1" applyBorder="1"/>
    <xf numFmtId="0" fontId="42" fillId="0" borderId="0" xfId="0" applyFont="1" applyBorder="1" applyAlignment="1">
      <alignment horizontal="center"/>
    </xf>
    <xf numFmtId="169" fontId="42" fillId="0" borderId="0" xfId="1" applyNumberFormat="1" applyFont="1" applyFill="1" applyBorder="1"/>
    <xf numFmtId="0" fontId="57" fillId="0" borderId="0" xfId="0" applyFont="1" applyFill="1" applyBorder="1"/>
    <xf numFmtId="10" fontId="58" fillId="0" borderId="0" xfId="14" applyNumberFormat="1" applyFont="1" applyFill="1" applyBorder="1" applyAlignment="1">
      <alignment horizontal="center"/>
    </xf>
    <xf numFmtId="168" fontId="42" fillId="0" borderId="0" xfId="14" applyNumberFormat="1" applyFont="1" applyFill="1" applyBorder="1"/>
    <xf numFmtId="169" fontId="42" fillId="0" borderId="0" xfId="0" applyNumberFormat="1" applyFont="1" applyFill="1" applyBorder="1"/>
    <xf numFmtId="0" fontId="42" fillId="0" borderId="0" xfId="0" applyFont="1" applyFill="1" applyBorder="1" applyAlignment="1">
      <alignment horizontal="right"/>
    </xf>
    <xf numFmtId="0" fontId="57" fillId="0" borderId="0" xfId="0" applyFont="1" applyFill="1" applyBorder="1" applyAlignment="1">
      <alignment horizontal="left"/>
    </xf>
    <xf numFmtId="10" fontId="57" fillId="0" borderId="16" xfId="14" applyNumberFormat="1" applyFont="1" applyBorder="1"/>
    <xf numFmtId="10" fontId="57" fillId="0" borderId="0" xfId="14" applyNumberFormat="1" applyFont="1" applyFill="1" applyBorder="1"/>
    <xf numFmtId="37" fontId="58" fillId="0" borderId="0" xfId="12" applyNumberFormat="1" applyFont="1" applyFill="1" applyBorder="1"/>
    <xf numFmtId="0" fontId="42" fillId="0" borderId="0" xfId="12" applyFont="1"/>
    <xf numFmtId="0" fontId="42" fillId="0" borderId="0" xfId="12" applyFont="1" applyBorder="1"/>
    <xf numFmtId="0" fontId="57" fillId="0" borderId="0" xfId="12" quotePrefix="1" applyFont="1" applyFill="1" applyBorder="1" applyAlignment="1">
      <alignment horizontal="right"/>
    </xf>
    <xf numFmtId="0" fontId="42" fillId="0" borderId="0" xfId="0" applyFont="1" applyFill="1" applyBorder="1" applyAlignment="1">
      <alignment horizontal="left"/>
    </xf>
    <xf numFmtId="0" fontId="42" fillId="0" borderId="0" xfId="0" applyFont="1" applyFill="1"/>
    <xf numFmtId="5" fontId="42" fillId="0" borderId="0" xfId="14" applyNumberFormat="1" applyFont="1" applyFill="1" applyBorder="1"/>
    <xf numFmtId="10" fontId="57" fillId="0" borderId="16" xfId="14" applyNumberFormat="1" applyFont="1" applyFill="1" applyBorder="1"/>
    <xf numFmtId="5" fontId="42" fillId="0" borderId="0" xfId="12" applyNumberFormat="1" applyFont="1" applyBorder="1"/>
    <xf numFmtId="3" fontId="42" fillId="0" borderId="0" xfId="11" applyNumberFormat="1" applyFont="1" applyFill="1" applyBorder="1" applyAlignment="1">
      <alignment horizontal="left"/>
    </xf>
    <xf numFmtId="0" fontId="42" fillId="0" borderId="0" xfId="12" applyFont="1" applyFill="1"/>
    <xf numFmtId="0" fontId="57" fillId="0" borderId="0" xfId="0" applyFont="1" applyFill="1" applyBorder="1" applyAlignment="1">
      <alignment horizontal="center"/>
    </xf>
    <xf numFmtId="10" fontId="42" fillId="0" borderId="0" xfId="0" applyNumberFormat="1" applyFont="1" applyBorder="1"/>
    <xf numFmtId="169" fontId="42" fillId="0" borderId="0" xfId="0" applyNumberFormat="1" applyFont="1" applyFill="1" applyBorder="1" applyAlignment="1">
      <alignment horizontal="center"/>
    </xf>
    <xf numFmtId="176" fontId="29" fillId="0" borderId="0" xfId="2" applyNumberFormat="1" applyFont="1"/>
    <xf numFmtId="6" fontId="29" fillId="0" borderId="0" xfId="0" applyNumberFormat="1" applyFont="1" applyFill="1"/>
    <xf numFmtId="0" fontId="17" fillId="0" borderId="0" xfId="0" applyFont="1" applyFill="1" applyAlignment="1"/>
    <xf numFmtId="0" fontId="19" fillId="0" borderId="0" xfId="0" applyFont="1" applyFill="1" applyAlignment="1"/>
    <xf numFmtId="37" fontId="13" fillId="0" borderId="0" xfId="1" applyNumberFormat="1" applyFont="1" applyBorder="1" applyAlignment="1">
      <alignment horizontal="right" shrinkToFit="1"/>
    </xf>
    <xf numFmtId="3" fontId="13" fillId="0" borderId="0" xfId="0" applyNumberFormat="1" applyFont="1"/>
    <xf numFmtId="41" fontId="56" fillId="0" borderId="0" xfId="12" applyNumberFormat="1" applyFont="1" applyAlignment="1">
      <alignment vertical="top"/>
    </xf>
    <xf numFmtId="0" fontId="59" fillId="0" borderId="0" xfId="0" applyFont="1" applyFill="1" applyAlignment="1">
      <alignment horizontal="center"/>
    </xf>
    <xf numFmtId="41" fontId="17" fillId="0" borderId="10" xfId="11" applyNumberFormat="1" applyFont="1" applyBorder="1" applyAlignment="1">
      <alignment horizontal="right"/>
    </xf>
    <xf numFmtId="176" fontId="17" fillId="0" borderId="0" xfId="2" applyNumberFormat="1" applyFont="1" applyBorder="1" applyAlignment="1">
      <alignment horizontal="right"/>
    </xf>
    <xf numFmtId="10" fontId="17" fillId="0" borderId="0" xfId="14" applyNumberFormat="1" applyFont="1" applyBorder="1" applyAlignment="1">
      <alignment horizontal="right"/>
    </xf>
    <xf numFmtId="0" fontId="59" fillId="0" borderId="0" xfId="0" applyFont="1" applyAlignment="1">
      <alignment horizontal="center"/>
    </xf>
    <xf numFmtId="0" fontId="18" fillId="0" borderId="0" xfId="0" applyFont="1" applyAlignment="1">
      <alignment horizontal="center"/>
    </xf>
    <xf numFmtId="2" fontId="14" fillId="8" borderId="5" xfId="12" applyNumberFormat="1" applyFont="1" applyFill="1" applyBorder="1" applyAlignment="1">
      <alignment horizontal="center"/>
    </xf>
    <xf numFmtId="41" fontId="13" fillId="8" borderId="39" xfId="14" applyNumberFormat="1" applyFont="1" applyFill="1" applyBorder="1"/>
    <xf numFmtId="41" fontId="13" fillId="0" borderId="0" xfId="12" applyNumberFormat="1" applyFont="1" applyFill="1" applyBorder="1" applyAlignment="1">
      <alignment horizontal="center" wrapText="1"/>
    </xf>
    <xf numFmtId="2" fontId="13" fillId="8" borderId="5" xfId="12" applyNumberFormat="1" applyFont="1" applyFill="1" applyBorder="1" applyAlignment="1">
      <alignment horizontal="center"/>
    </xf>
    <xf numFmtId="41" fontId="13" fillId="8" borderId="5" xfId="12" applyNumberFormat="1" applyFont="1" applyFill="1" applyBorder="1"/>
    <xf numFmtId="5" fontId="13" fillId="8" borderId="5" xfId="12" applyNumberFormat="1" applyFont="1" applyFill="1" applyBorder="1"/>
    <xf numFmtId="41" fontId="13" fillId="8" borderId="8" xfId="12" applyNumberFormat="1" applyFont="1" applyFill="1" applyBorder="1"/>
    <xf numFmtId="41" fontId="13" fillId="8" borderId="36" xfId="12" applyNumberFormat="1" applyFont="1" applyFill="1" applyBorder="1"/>
    <xf numFmtId="41" fontId="13" fillId="8" borderId="1" xfId="12" applyNumberFormat="1" applyFont="1" applyFill="1" applyBorder="1"/>
    <xf numFmtId="41" fontId="59" fillId="0" borderId="0" xfId="12" applyNumberFormat="1" applyFont="1" applyFill="1" applyAlignment="1">
      <alignment vertical="top"/>
    </xf>
    <xf numFmtId="43" fontId="13" fillId="0" borderId="0" xfId="12" applyNumberFormat="1" applyFont="1"/>
    <xf numFmtId="37" fontId="13" fillId="0" borderId="0" xfId="12" applyNumberFormat="1" applyFont="1" applyAlignment="1">
      <alignment horizontal="left"/>
    </xf>
    <xf numFmtId="176" fontId="13" fillId="0" borderId="0" xfId="2" applyNumberFormat="1" applyFont="1"/>
    <xf numFmtId="0" fontId="17" fillId="0" borderId="0" xfId="0" applyFont="1" applyAlignment="1">
      <alignment horizontal="center"/>
    </xf>
    <xf numFmtId="0" fontId="65" fillId="0" borderId="0" xfId="0" applyFont="1"/>
    <xf numFmtId="169" fontId="42" fillId="0" borderId="0" xfId="1" applyNumberFormat="1" applyFont="1" applyAlignment="1">
      <alignment horizontal="center"/>
    </xf>
    <xf numFmtId="169" fontId="42" fillId="0" borderId="0" xfId="0" applyNumberFormat="1" applyFont="1"/>
    <xf numFmtId="0" fontId="66" fillId="0" borderId="0" xfId="12" applyFont="1"/>
    <xf numFmtId="7" fontId="27" fillId="0" borderId="10" xfId="0" applyNumberFormat="1" applyFont="1" applyBorder="1"/>
    <xf numFmtId="7" fontId="17" fillId="0" borderId="13" xfId="2" applyNumberFormat="1" applyFont="1" applyBorder="1"/>
    <xf numFmtId="7" fontId="27" fillId="0" borderId="0" xfId="0" applyNumberFormat="1" applyFont="1" applyBorder="1"/>
    <xf numFmtId="169" fontId="17" fillId="0" borderId="0" xfId="1" applyNumberFormat="1" applyFont="1" applyFill="1" applyBorder="1" applyAlignment="1">
      <alignment horizontal="right"/>
    </xf>
    <xf numFmtId="0" fontId="17" fillId="0" borderId="0" xfId="0" applyFont="1" applyFill="1" applyAlignment="1">
      <alignment horizontal="center"/>
    </xf>
    <xf numFmtId="5" fontId="29" fillId="0" borderId="0" xfId="0" applyNumberFormat="1" applyFont="1" applyFill="1"/>
    <xf numFmtId="41" fontId="15" fillId="0" borderId="0" xfId="0" quotePrefix="1" applyNumberFormat="1" applyFont="1" applyAlignment="1">
      <alignment horizontal="center"/>
    </xf>
    <xf numFmtId="3" fontId="18" fillId="0" borderId="0" xfId="0" applyNumberFormat="1" applyFont="1" applyFill="1" applyAlignment="1"/>
    <xf numFmtId="0" fontId="17" fillId="0" borderId="0" xfId="0" applyFont="1" applyAlignment="1">
      <alignment vertical="top"/>
    </xf>
    <xf numFmtId="0" fontId="18" fillId="0" borderId="0" xfId="0" applyFont="1" applyAlignment="1">
      <alignment horizontal="center" vertical="top"/>
    </xf>
    <xf numFmtId="0" fontId="18" fillId="0" borderId="0" xfId="0" applyFont="1" applyFill="1" applyAlignment="1">
      <alignment horizontal="center" vertical="top"/>
    </xf>
    <xf numFmtId="0" fontId="18" fillId="0" borderId="0" xfId="0" applyFont="1" applyAlignment="1">
      <alignment vertical="top"/>
    </xf>
    <xf numFmtId="0" fontId="18" fillId="0" borderId="0" xfId="0" applyFont="1" applyBorder="1" applyAlignment="1">
      <alignment horizontal="center" vertical="top"/>
    </xf>
    <xf numFmtId="0" fontId="17" fillId="0" borderId="0" xfId="0" applyFont="1" applyBorder="1" applyAlignment="1">
      <alignment horizontal="left" vertical="top"/>
    </xf>
    <xf numFmtId="3" fontId="17" fillId="0" borderId="0" xfId="0" applyNumberFormat="1" applyFont="1" applyFill="1" applyBorder="1" applyAlignment="1">
      <alignment vertical="top"/>
    </xf>
    <xf numFmtId="0" fontId="17" fillId="0" borderId="0" xfId="0" applyFont="1" applyFill="1" applyAlignment="1">
      <alignment vertical="top"/>
    </xf>
    <xf numFmtId="0" fontId="14" fillId="0" borderId="0" xfId="0" applyFont="1" applyAlignment="1">
      <alignment horizontal="center" vertical="top"/>
    </xf>
    <xf numFmtId="0" fontId="13" fillId="0" borderId="0" xfId="0" applyFont="1" applyAlignment="1">
      <alignment vertical="top"/>
    </xf>
    <xf numFmtId="0" fontId="14" fillId="0" borderId="0" xfId="0" applyFont="1" applyAlignment="1">
      <alignment vertical="top"/>
    </xf>
    <xf numFmtId="4" fontId="17" fillId="0" borderId="0" xfId="0" applyNumberFormat="1" applyFont="1" applyAlignment="1">
      <alignment horizontal="left" vertical="top"/>
    </xf>
    <xf numFmtId="0" fontId="18" fillId="0" borderId="0" xfId="0" applyFont="1" applyBorder="1" applyAlignment="1">
      <alignment horizontal="left" vertical="top"/>
    </xf>
    <xf numFmtId="4" fontId="17" fillId="0" borderId="0" xfId="0" applyNumberFormat="1" applyFont="1" applyAlignment="1">
      <alignment horizontal="center" vertical="top"/>
    </xf>
    <xf numFmtId="4" fontId="17" fillId="0" borderId="0" xfId="0" applyNumberFormat="1" applyFont="1" applyFill="1" applyAlignment="1">
      <alignment horizontal="center" vertical="top"/>
    </xf>
    <xf numFmtId="4" fontId="17" fillId="0" borderId="0" xfId="0" applyNumberFormat="1" applyFont="1" applyFill="1" applyBorder="1" applyAlignment="1">
      <alignment horizontal="center" vertical="top"/>
    </xf>
    <xf numFmtId="4" fontId="17" fillId="0" borderId="0" xfId="0" applyNumberFormat="1" applyFont="1" applyFill="1" applyBorder="1" applyAlignment="1">
      <alignment horizontal="left" vertical="top"/>
    </xf>
    <xf numFmtId="0" fontId="17" fillId="0" borderId="0" xfId="0" applyFont="1" applyFill="1" applyAlignment="1">
      <alignment horizontal="center" vertical="top"/>
    </xf>
    <xf numFmtId="0" fontId="18" fillId="0" borderId="0" xfId="0" applyFont="1" applyFill="1" applyAlignment="1">
      <alignment horizontal="left" vertical="top"/>
    </xf>
    <xf numFmtId="4" fontId="17" fillId="0" borderId="0" xfId="0" applyNumberFormat="1" applyFont="1" applyFill="1" applyAlignment="1">
      <alignment horizontal="left" vertical="top"/>
    </xf>
    <xf numFmtId="4" fontId="17" fillId="0" borderId="0" xfId="0" applyNumberFormat="1" applyFont="1" applyBorder="1" applyAlignment="1">
      <alignment horizontal="left" vertical="top"/>
    </xf>
    <xf numFmtId="4" fontId="17" fillId="0" borderId="0" xfId="0" applyNumberFormat="1" applyFont="1" applyBorder="1" applyAlignment="1">
      <alignment horizontal="center" vertical="top"/>
    </xf>
    <xf numFmtId="0" fontId="17" fillId="0" borderId="0" xfId="0" applyFont="1" applyAlignment="1">
      <alignment horizontal="center" vertical="top"/>
    </xf>
    <xf numFmtId="0" fontId="17" fillId="0" borderId="0" xfId="0" applyFont="1" applyFill="1" applyAlignment="1">
      <alignment horizontal="right" vertical="top"/>
    </xf>
    <xf numFmtId="0" fontId="30" fillId="0" borderId="0" xfId="0" applyFont="1" applyAlignment="1">
      <alignment horizontal="left" vertical="top"/>
    </xf>
    <xf numFmtId="0" fontId="17" fillId="0" borderId="0" xfId="0" applyFont="1" applyAlignment="1">
      <alignment horizontal="left" vertical="top"/>
    </xf>
    <xf numFmtId="0" fontId="18"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7" fillId="4" borderId="0" xfId="0" applyFont="1" applyFill="1" applyAlignment="1">
      <alignment vertical="top"/>
    </xf>
    <xf numFmtId="0" fontId="17" fillId="0" borderId="0" xfId="0" applyFont="1" applyBorder="1" applyAlignment="1">
      <alignment horizontal="center" vertical="top"/>
    </xf>
    <xf numFmtId="0" fontId="18" fillId="0" borderId="0" xfId="0" applyFont="1" applyFill="1" applyBorder="1" applyAlignment="1">
      <alignment horizontal="center" vertical="top"/>
    </xf>
    <xf numFmtId="0" fontId="14" fillId="0" borderId="0" xfId="0" applyFont="1" applyFill="1" applyBorder="1" applyAlignment="1">
      <alignment horizontal="center" vertical="top"/>
    </xf>
    <xf numFmtId="0" fontId="18" fillId="0" borderId="0" xfId="0" applyFont="1" applyFill="1" applyAlignment="1">
      <alignment horizontal="left" vertical="top" wrapText="1"/>
    </xf>
    <xf numFmtId="41" fontId="18" fillId="0" borderId="0" xfId="0" applyNumberFormat="1" applyFont="1" applyFill="1" applyAlignment="1">
      <alignment horizontal="left" vertical="top"/>
    </xf>
    <xf numFmtId="41" fontId="18" fillId="0" borderId="0" xfId="0" applyNumberFormat="1" applyFont="1" applyFill="1" applyAlignment="1">
      <alignment horizontal="left" vertical="top" wrapText="1"/>
    </xf>
    <xf numFmtId="0" fontId="18" fillId="0" borderId="0" xfId="0" applyFont="1" applyFill="1" applyAlignment="1">
      <alignment vertical="top"/>
    </xf>
    <xf numFmtId="0" fontId="18" fillId="0" borderId="0" xfId="0" applyFont="1" applyFill="1" applyAlignment="1">
      <alignment vertical="top" wrapText="1"/>
    </xf>
    <xf numFmtId="0" fontId="18" fillId="4" borderId="0" xfId="0" applyFont="1" applyFill="1" applyAlignment="1">
      <alignment vertical="top"/>
    </xf>
    <xf numFmtId="0" fontId="18" fillId="0" borderId="0" xfId="0" applyFont="1" applyAlignment="1">
      <alignment vertical="top" wrapText="1"/>
    </xf>
    <xf numFmtId="0" fontId="18" fillId="0" borderId="0" xfId="0" applyFont="1" applyAlignment="1">
      <alignment horizontal="center" vertical="top" wrapText="1"/>
    </xf>
    <xf numFmtId="0" fontId="14" fillId="0" borderId="0" xfId="0" applyFont="1" applyAlignment="1">
      <alignment horizontal="center" vertical="top" wrapText="1"/>
    </xf>
    <xf numFmtId="0" fontId="50" fillId="0" borderId="10" xfId="0" applyFont="1" applyBorder="1" applyAlignment="1">
      <alignment horizontal="center" vertical="top"/>
    </xf>
    <xf numFmtId="0" fontId="50" fillId="0" borderId="10" xfId="0" applyFont="1" applyBorder="1" applyAlignment="1">
      <alignment horizontal="left" vertical="top"/>
    </xf>
    <xf numFmtId="0" fontId="50" fillId="0" borderId="10" xfId="0" applyFont="1" applyFill="1" applyBorder="1" applyAlignment="1">
      <alignment horizontal="center" vertical="top"/>
    </xf>
    <xf numFmtId="0" fontId="50" fillId="0" borderId="0" xfId="0" applyFont="1" applyFill="1"/>
    <xf numFmtId="0" fontId="50" fillId="0" borderId="0" xfId="0" applyFont="1"/>
    <xf numFmtId="0" fontId="50" fillId="11" borderId="10" xfId="0" applyFont="1" applyFill="1" applyBorder="1" applyAlignment="1">
      <alignment horizontal="center" vertical="top"/>
    </xf>
    <xf numFmtId="0" fontId="50" fillId="11" borderId="0" xfId="0" quotePrefix="1" applyFont="1" applyFill="1" applyAlignment="1">
      <alignment horizontal="center" vertical="top"/>
    </xf>
    <xf numFmtId="0" fontId="18" fillId="0" borderId="0" xfId="0" applyFont="1" applyFill="1" applyBorder="1" applyAlignment="1">
      <alignment vertical="top" wrapText="1"/>
    </xf>
    <xf numFmtId="0" fontId="42" fillId="0" borderId="0" xfId="0" quotePrefix="1" applyFont="1" applyFill="1" applyAlignment="1">
      <alignment horizontal="center"/>
    </xf>
    <xf numFmtId="0" fontId="18" fillId="0" borderId="0" xfId="0" applyFont="1" applyAlignment="1">
      <alignment horizontal="center" vertical="top"/>
    </xf>
    <xf numFmtId="0" fontId="14" fillId="0" borderId="0" xfId="0" applyFont="1" applyAlignment="1">
      <alignment horizontal="center" vertical="top"/>
    </xf>
    <xf numFmtId="0" fontId="17" fillId="0" borderId="0" xfId="0" applyFont="1" applyFill="1" applyAlignment="1">
      <alignment horizontal="center"/>
    </xf>
    <xf numFmtId="0" fontId="17" fillId="0" borderId="0" xfId="11" applyFont="1" applyAlignment="1">
      <alignment horizontal="right"/>
    </xf>
    <xf numFmtId="3" fontId="17" fillId="10" borderId="0" xfId="0" applyNumberFormat="1" applyFont="1" applyFill="1" applyAlignment="1">
      <alignment vertical="top"/>
    </xf>
    <xf numFmtId="3" fontId="17" fillId="4" borderId="0" xfId="0" applyNumberFormat="1" applyFont="1" applyFill="1" applyAlignment="1">
      <alignment vertical="top"/>
    </xf>
    <xf numFmtId="3" fontId="17" fillId="10" borderId="0" xfId="0" applyNumberFormat="1" applyFont="1" applyFill="1" applyBorder="1" applyAlignment="1">
      <alignment vertical="top"/>
    </xf>
    <xf numFmtId="167" fontId="18" fillId="0" borderId="0" xfId="54" applyNumberFormat="1" applyFont="1"/>
    <xf numFmtId="14" fontId="18" fillId="0" borderId="0" xfId="54" applyNumberFormat="1" applyFont="1"/>
    <xf numFmtId="0" fontId="18" fillId="0" borderId="0" xfId="54" applyFont="1"/>
    <xf numFmtId="167" fontId="18" fillId="0" borderId="0" xfId="54" applyNumberFormat="1" applyFont="1" applyAlignment="1">
      <alignment horizontal="right"/>
    </xf>
    <xf numFmtId="167" fontId="17" fillId="0" borderId="0" xfId="54" applyNumberFormat="1" applyFont="1"/>
    <xf numFmtId="0" fontId="17" fillId="0" borderId="0" xfId="54" applyFont="1"/>
    <xf numFmtId="167" fontId="17" fillId="0" borderId="12" xfId="54" applyNumberFormat="1" applyFont="1" applyBorder="1"/>
    <xf numFmtId="0" fontId="72" fillId="0" borderId="0" xfId="54" applyFont="1"/>
    <xf numFmtId="10" fontId="17" fillId="0" borderId="0" xfId="54" applyNumberFormat="1" applyFont="1"/>
    <xf numFmtId="4" fontId="71" fillId="0" borderId="0" xfId="54" applyNumberFormat="1" applyFont="1" applyAlignment="1">
      <alignment horizontal="left"/>
    </xf>
    <xf numFmtId="167" fontId="17" fillId="7" borderId="12" xfId="54" applyNumberFormat="1" applyFont="1" applyFill="1" applyBorder="1"/>
    <xf numFmtId="4" fontId="71" fillId="0" borderId="0" xfId="54" applyNumberFormat="1" applyFont="1" applyAlignment="1">
      <alignment horizontal="right"/>
    </xf>
    <xf numFmtId="3" fontId="17" fillId="0" borderId="0" xfId="54" applyNumberFormat="1" applyFont="1"/>
    <xf numFmtId="4" fontId="17" fillId="0" borderId="0" xfId="54" applyNumberFormat="1" applyFont="1"/>
    <xf numFmtId="3" fontId="17" fillId="0" borderId="10" xfId="54" applyNumberFormat="1" applyFont="1" applyBorder="1"/>
    <xf numFmtId="167" fontId="17" fillId="0" borderId="10" xfId="54" applyNumberFormat="1" applyFont="1" applyBorder="1"/>
    <xf numFmtId="3" fontId="17" fillId="10" borderId="0" xfId="0" applyNumberFormat="1" applyFont="1" applyFill="1" applyAlignment="1">
      <alignment vertical="top" wrapText="1"/>
    </xf>
    <xf numFmtId="0" fontId="17" fillId="10" borderId="0" xfId="0" applyFont="1" applyFill="1" applyBorder="1" applyAlignment="1">
      <alignment vertical="top"/>
    </xf>
    <xf numFmtId="5" fontId="57" fillId="0" borderId="18" xfId="0" applyNumberFormat="1" applyFont="1" applyFill="1" applyBorder="1"/>
    <xf numFmtId="176" fontId="42" fillId="0" borderId="0" xfId="2" applyNumberFormat="1" applyFont="1" applyFill="1"/>
    <xf numFmtId="41" fontId="13" fillId="0" borderId="0" xfId="12" applyNumberFormat="1" applyFont="1" applyFill="1" applyAlignment="1">
      <alignment horizontal="right"/>
    </xf>
    <xf numFmtId="176" fontId="17" fillId="0" borderId="0" xfId="2" applyNumberFormat="1" applyFont="1"/>
    <xf numFmtId="176" fontId="17" fillId="0" borderId="0" xfId="2" applyNumberFormat="1" applyFont="1" applyBorder="1"/>
    <xf numFmtId="176" fontId="27" fillId="0" borderId="0" xfId="2" applyNumberFormat="1" applyFont="1"/>
    <xf numFmtId="176" fontId="26" fillId="0" borderId="0" xfId="2" applyNumberFormat="1" applyFont="1"/>
    <xf numFmtId="176" fontId="29" fillId="0" borderId="0" xfId="2" applyNumberFormat="1" applyFont="1" applyBorder="1"/>
    <xf numFmtId="176" fontId="29" fillId="0" borderId="0" xfId="2" applyNumberFormat="1" applyFont="1" applyFill="1" applyBorder="1"/>
    <xf numFmtId="176" fontId="17" fillId="0" borderId="0" xfId="2" applyNumberFormat="1" applyFont="1" applyBorder="1" applyAlignment="1">
      <alignment horizontal="left"/>
    </xf>
    <xf numFmtId="176" fontId="26" fillId="0" borderId="0" xfId="2" applyNumberFormat="1" applyFont="1" applyBorder="1"/>
    <xf numFmtId="176" fontId="26" fillId="0" borderId="0" xfId="2" applyNumberFormat="1" applyFont="1" applyBorder="1" applyAlignment="1">
      <alignment horizontal="right"/>
    </xf>
    <xf numFmtId="176" fontId="26" fillId="0" borderId="0" xfId="2" applyNumberFormat="1" applyFont="1" applyFill="1"/>
    <xf numFmtId="176" fontId="36" fillId="0" borderId="0" xfId="2" applyNumberFormat="1" applyFont="1"/>
    <xf numFmtId="176" fontId="17" fillId="0" borderId="0" xfId="2" applyNumberFormat="1" applyFont="1" applyFill="1" applyBorder="1" applyAlignment="1">
      <alignment horizontal="center"/>
    </xf>
    <xf numFmtId="176" fontId="19" fillId="0" borderId="0" xfId="2" applyNumberFormat="1" applyFont="1" applyFill="1" applyBorder="1" applyAlignment="1">
      <alignment horizontal="center"/>
    </xf>
    <xf numFmtId="0" fontId="17" fillId="0" borderId="0" xfId="0" applyFont="1" applyAlignment="1">
      <alignment horizontal="right"/>
    </xf>
    <xf numFmtId="41" fontId="14" fillId="0" borderId="1" xfId="0" quotePrefix="1" applyNumberFormat="1" applyFont="1" applyFill="1" applyBorder="1" applyAlignment="1">
      <alignment horizontal="center"/>
    </xf>
    <xf numFmtId="0" fontId="13" fillId="0" borderId="0" xfId="12" applyNumberFormat="1" applyFont="1" applyFill="1" applyAlignment="1">
      <alignment horizontal="left"/>
    </xf>
    <xf numFmtId="0" fontId="14" fillId="0" borderId="0" xfId="12" applyFont="1" applyFill="1" applyAlignment="1">
      <alignment horizontal="center"/>
    </xf>
    <xf numFmtId="0" fontId="14" fillId="0" borderId="0" xfId="12" applyNumberFormat="1" applyFont="1" applyFill="1" applyAlignment="1">
      <alignment horizontal="right"/>
    </xf>
    <xf numFmtId="0" fontId="64" fillId="0" borderId="0" xfId="0" applyFont="1" applyAlignment="1">
      <alignment horizontal="center"/>
    </xf>
    <xf numFmtId="0" fontId="59" fillId="0" borderId="0" xfId="0" applyFont="1"/>
    <xf numFmtId="174" fontId="55" fillId="0" borderId="0" xfId="0" applyNumberFormat="1" applyFont="1" applyAlignment="1">
      <alignment horizontal="left"/>
    </xf>
    <xf numFmtId="3" fontId="81" fillId="0" borderId="5" xfId="13" applyNumberFormat="1" applyFont="1" applyBorder="1"/>
    <xf numFmtId="0" fontId="13" fillId="0" borderId="5" xfId="12" applyFont="1" applyBorder="1"/>
    <xf numFmtId="0" fontId="13" fillId="0" borderId="0" xfId="12" applyFont="1" applyFill="1" applyAlignment="1">
      <alignment horizontal="center"/>
    </xf>
    <xf numFmtId="0" fontId="14" fillId="0" borderId="1" xfId="12" applyFont="1" applyBorder="1" applyAlignment="1">
      <alignment horizontal="center"/>
    </xf>
    <xf numFmtId="37" fontId="13" fillId="0" borderId="10" xfId="12" applyNumberFormat="1" applyFont="1" applyFill="1" applyBorder="1"/>
    <xf numFmtId="37" fontId="13" fillId="0" borderId="0" xfId="12" applyNumberFormat="1" applyFont="1" applyFill="1" applyBorder="1"/>
    <xf numFmtId="41" fontId="13" fillId="0" borderId="13" xfId="12" applyNumberFormat="1" applyFont="1" applyFill="1" applyBorder="1"/>
    <xf numFmtId="168" fontId="13" fillId="0" borderId="0" xfId="14" applyNumberFormat="1" applyFont="1" applyFill="1"/>
    <xf numFmtId="0" fontId="18" fillId="0" borderId="0" xfId="0" applyFont="1" applyAlignment="1">
      <alignment horizontal="center"/>
    </xf>
    <xf numFmtId="0" fontId="63" fillId="0" borderId="0" xfId="0" applyFont="1" applyFill="1" applyAlignment="1">
      <alignment horizontal="center"/>
    </xf>
    <xf numFmtId="0" fontId="59" fillId="0" borderId="0" xfId="0" applyFont="1" applyFill="1" applyAlignment="1">
      <alignment horizontal="left"/>
    </xf>
    <xf numFmtId="0" fontId="57" fillId="0" borderId="0" xfId="0" applyFont="1" applyFill="1" applyAlignment="1">
      <alignment horizontal="center"/>
    </xf>
    <xf numFmtId="176" fontId="42" fillId="0" borderId="0" xfId="2" applyNumberFormat="1" applyFont="1" applyFill="1" applyBorder="1"/>
    <xf numFmtId="0" fontId="42" fillId="0" borderId="0" xfId="12" applyFont="1" applyFill="1" applyBorder="1"/>
    <xf numFmtId="0" fontId="57" fillId="0" borderId="0" xfId="12" applyFont="1" applyFill="1"/>
    <xf numFmtId="41" fontId="14" fillId="9" borderId="5" xfId="12" applyNumberFormat="1" applyFont="1" applyFill="1" applyBorder="1" applyAlignment="1">
      <alignment horizontal="center"/>
    </xf>
    <xf numFmtId="2" fontId="14" fillId="9" borderId="6" xfId="12" applyNumberFormat="1" applyFont="1" applyFill="1" applyBorder="1" applyAlignment="1">
      <alignment horizontal="center"/>
    </xf>
    <xf numFmtId="41" fontId="14" fillId="0" borderId="41" xfId="12" applyNumberFormat="1" applyFont="1" applyFill="1" applyBorder="1"/>
    <xf numFmtId="41" fontId="14" fillId="9" borderId="6" xfId="12" applyNumberFormat="1" applyFont="1" applyFill="1" applyBorder="1"/>
    <xf numFmtId="5" fontId="14" fillId="9" borderId="6" xfId="12" applyNumberFormat="1" applyFont="1" applyFill="1" applyBorder="1"/>
    <xf numFmtId="41" fontId="14" fillId="9" borderId="9" xfId="12" applyNumberFormat="1" applyFont="1" applyFill="1" applyBorder="1"/>
    <xf numFmtId="41" fontId="14" fillId="9" borderId="42" xfId="12" applyNumberFormat="1" applyFont="1" applyFill="1" applyBorder="1"/>
    <xf numFmtId="41" fontId="14" fillId="9" borderId="2" xfId="12" applyNumberFormat="1" applyFont="1" applyFill="1" applyBorder="1"/>
    <xf numFmtId="41" fontId="14" fillId="9" borderId="14" xfId="14" applyNumberFormat="1" applyFont="1" applyFill="1" applyBorder="1"/>
    <xf numFmtId="41" fontId="14" fillId="0" borderId="0" xfId="12" applyNumberFormat="1" applyFont="1" applyFill="1" applyBorder="1" applyAlignment="1">
      <alignment horizontal="center"/>
    </xf>
    <xf numFmtId="41" fontId="14" fillId="0" borderId="0" xfId="12" quotePrefix="1" applyNumberFormat="1" applyFont="1" applyFill="1" applyBorder="1" applyAlignment="1">
      <alignment horizontal="center"/>
    </xf>
    <xf numFmtId="41" fontId="14" fillId="0" borderId="0" xfId="10" applyNumberFormat="1" applyFont="1" applyFill="1" applyBorder="1" applyAlignment="1">
      <alignment horizontal="center"/>
    </xf>
    <xf numFmtId="2" fontId="14" fillId="0" borderId="0" xfId="12" applyNumberFormat="1" applyFont="1" applyFill="1" applyBorder="1" applyAlignment="1">
      <alignment horizontal="center"/>
    </xf>
    <xf numFmtId="5" fontId="14" fillId="0" borderId="0" xfId="12" applyNumberFormat="1" applyFont="1" applyFill="1" applyBorder="1"/>
    <xf numFmtId="41" fontId="14" fillId="0" borderId="0" xfId="14" applyNumberFormat="1" applyFont="1" applyFill="1" applyBorder="1"/>
    <xf numFmtId="41" fontId="56" fillId="0" borderId="0" xfId="12" applyNumberFormat="1" applyFont="1" applyFill="1" applyBorder="1" applyAlignment="1">
      <alignment vertical="top"/>
    </xf>
    <xf numFmtId="41" fontId="14" fillId="9" borderId="1" xfId="12" quotePrefix="1" applyNumberFormat="1" applyFont="1" applyFill="1" applyBorder="1" applyAlignment="1">
      <alignment horizontal="center"/>
    </xf>
    <xf numFmtId="41" fontId="14" fillId="9" borderId="0" xfId="12" applyNumberFormat="1" applyFont="1" applyFill="1" applyAlignment="1">
      <alignment horizontal="center"/>
    </xf>
    <xf numFmtId="41" fontId="14" fillId="7" borderId="1" xfId="12" applyNumberFormat="1" applyFont="1" applyFill="1" applyBorder="1" applyAlignment="1">
      <alignment horizontal="center"/>
    </xf>
    <xf numFmtId="41" fontId="14" fillId="7" borderId="8" xfId="12" applyNumberFormat="1" applyFont="1" applyFill="1" applyBorder="1" applyAlignment="1">
      <alignment horizontal="center"/>
    </xf>
    <xf numFmtId="41" fontId="14" fillId="7" borderId="1" xfId="12" quotePrefix="1" applyNumberFormat="1" applyFont="1" applyFill="1" applyBorder="1" applyAlignment="1">
      <alignment horizontal="center"/>
    </xf>
    <xf numFmtId="41" fontId="14" fillId="7" borderId="5" xfId="12" applyNumberFormat="1" applyFont="1" applyFill="1" applyBorder="1" applyAlignment="1">
      <alignment horizontal="center"/>
    </xf>
    <xf numFmtId="2" fontId="14" fillId="7" borderId="0" xfId="12" applyNumberFormat="1" applyFont="1" applyFill="1" applyAlignment="1">
      <alignment horizontal="center"/>
    </xf>
    <xf numFmtId="0" fontId="13" fillId="0" borderId="0" xfId="12" applyFont="1" applyAlignment="1">
      <alignment horizontal="left"/>
    </xf>
    <xf numFmtId="0" fontId="13" fillId="0" borderId="0" xfId="12" applyFont="1" applyAlignment="1">
      <alignment horizontal="center"/>
    </xf>
    <xf numFmtId="41" fontId="13" fillId="0" borderId="0" xfId="54" applyNumberFormat="1" applyFont="1"/>
    <xf numFmtId="0" fontId="27" fillId="0" borderId="0" xfId="54" applyFont="1"/>
    <xf numFmtId="41" fontId="14" fillId="0" borderId="14" xfId="54" applyNumberFormat="1" applyFont="1" applyBorder="1" applyAlignment="1">
      <alignment horizontal="centerContinuous"/>
    </xf>
    <xf numFmtId="41" fontId="14" fillId="0" borderId="41" xfId="54" applyNumberFormat="1" applyFont="1" applyBorder="1" applyAlignment="1">
      <alignment horizontal="centerContinuous"/>
    </xf>
    <xf numFmtId="41" fontId="14" fillId="0" borderId="15" xfId="54" applyNumberFormat="1" applyFont="1" applyBorder="1" applyAlignment="1">
      <alignment horizontal="centerContinuous"/>
    </xf>
    <xf numFmtId="41" fontId="14" fillId="0" borderId="39" xfId="54" applyNumberFormat="1" applyFont="1" applyBorder="1" applyAlignment="1">
      <alignment horizontal="centerContinuous"/>
    </xf>
    <xf numFmtId="41" fontId="14" fillId="0" borderId="1" xfId="54" quotePrefix="1" applyNumberFormat="1" applyFont="1" applyBorder="1" applyAlignment="1">
      <alignment horizontal="center"/>
    </xf>
    <xf numFmtId="41" fontId="14" fillId="0" borderId="1" xfId="54" applyNumberFormat="1" applyFont="1" applyBorder="1" applyAlignment="1">
      <alignment horizontal="center"/>
    </xf>
    <xf numFmtId="0" fontId="17" fillId="0" borderId="39" xfId="54" applyFont="1" applyBorder="1"/>
    <xf numFmtId="0" fontId="14" fillId="0" borderId="5" xfId="12" applyFont="1" applyBorder="1" applyAlignment="1">
      <alignment horizontal="center"/>
    </xf>
    <xf numFmtId="41" fontId="14" fillId="0" borderId="5" xfId="54" applyNumberFormat="1" applyFont="1" applyBorder="1" applyAlignment="1">
      <alignment horizontal="center"/>
    </xf>
    <xf numFmtId="0" fontId="14" fillId="0" borderId="8" xfId="12" applyFont="1" applyBorder="1" applyAlignment="1">
      <alignment horizontal="center"/>
    </xf>
    <xf numFmtId="41" fontId="14" fillId="0" borderId="8" xfId="54" applyNumberFormat="1" applyFont="1" applyBorder="1" applyAlignment="1">
      <alignment horizontal="center"/>
    </xf>
    <xf numFmtId="41" fontId="15" fillId="0" borderId="0" xfId="54" applyNumberFormat="1" applyFont="1" applyAlignment="1">
      <alignment horizontal="center"/>
    </xf>
    <xf numFmtId="0" fontId="17" fillId="12" borderId="0" xfId="54" applyFont="1" applyFill="1"/>
    <xf numFmtId="169" fontId="13" fillId="0" borderId="0" xfId="12" applyNumberFormat="1" applyFont="1"/>
    <xf numFmtId="169" fontId="13" fillId="0" borderId="10" xfId="1" applyNumberFormat="1" applyFont="1" applyBorder="1"/>
    <xf numFmtId="169" fontId="13" fillId="0" borderId="10" xfId="12" applyNumberFormat="1" applyFont="1" applyBorder="1"/>
    <xf numFmtId="41" fontId="13" fillId="0" borderId="3" xfId="12" applyNumberFormat="1" applyFont="1" applyBorder="1"/>
    <xf numFmtId="41" fontId="13" fillId="0" borderId="41" xfId="12" applyNumberFormat="1" applyFont="1" applyBorder="1"/>
    <xf numFmtId="41" fontId="13" fillId="0" borderId="10" xfId="54" applyNumberFormat="1" applyFont="1" applyBorder="1"/>
    <xf numFmtId="5" fontId="13" fillId="0" borderId="13" xfId="54" applyNumberFormat="1" applyFont="1" applyBorder="1"/>
    <xf numFmtId="41" fontId="13" fillId="0" borderId="13" xfId="54" applyNumberFormat="1" applyFont="1" applyBorder="1"/>
    <xf numFmtId="10" fontId="13" fillId="0" borderId="0" xfId="54" applyNumberFormat="1" applyFont="1"/>
    <xf numFmtId="177" fontId="42" fillId="0" borderId="0" xfId="0" applyNumberFormat="1" applyFont="1"/>
    <xf numFmtId="5" fontId="57" fillId="0" borderId="18" xfId="0" applyNumberFormat="1" applyFont="1" applyBorder="1"/>
    <xf numFmtId="10" fontId="57" fillId="0" borderId="0" xfId="14" applyNumberFormat="1" applyFont="1" applyBorder="1"/>
    <xf numFmtId="0" fontId="42" fillId="0" borderId="0" xfId="0" applyFont="1" applyBorder="1" applyAlignment="1">
      <alignment horizontal="center" vertical="center" wrapText="1"/>
    </xf>
    <xf numFmtId="0" fontId="57" fillId="9" borderId="0" xfId="0" applyFont="1" applyFill="1" applyAlignment="1">
      <alignment horizontal="center"/>
    </xf>
    <xf numFmtId="0" fontId="57" fillId="9" borderId="10" xfId="0" applyFont="1" applyFill="1" applyBorder="1" applyAlignment="1">
      <alignment horizontal="center"/>
    </xf>
    <xf numFmtId="0" fontId="42" fillId="0" borderId="0" xfId="0" applyFont="1" applyFill="1" applyAlignment="1">
      <alignment horizontal="center"/>
    </xf>
    <xf numFmtId="0" fontId="42" fillId="0" borderId="10" xfId="0" applyFont="1" applyFill="1" applyBorder="1" applyAlignment="1">
      <alignment horizontal="center"/>
    </xf>
    <xf numFmtId="5" fontId="13" fillId="0" borderId="10" xfId="12" applyNumberFormat="1" applyFont="1" applyBorder="1"/>
    <xf numFmtId="0" fontId="17" fillId="0" borderId="0" xfId="0" applyFont="1" applyAlignment="1">
      <alignment horizontal="center"/>
    </xf>
    <xf numFmtId="41" fontId="50" fillId="0" borderId="0" xfId="0" quotePrefix="1" applyNumberFormat="1" applyFont="1" applyFill="1" applyBorder="1" applyAlignment="1"/>
    <xf numFmtId="41" fontId="50" fillId="0" borderId="0" xfId="12" applyNumberFormat="1" applyFont="1" applyAlignment="1">
      <alignment vertical="top"/>
    </xf>
    <xf numFmtId="0" fontId="18" fillId="0" borderId="0" xfId="0" applyFont="1" applyAlignment="1">
      <alignment horizontal="center"/>
    </xf>
    <xf numFmtId="0" fontId="18" fillId="0" borderId="0" xfId="0" applyFont="1" applyAlignment="1">
      <alignment horizontal="center"/>
    </xf>
    <xf numFmtId="0" fontId="63" fillId="0" borderId="0" xfId="0" applyFont="1" applyAlignment="1">
      <alignment horizontal="center"/>
    </xf>
    <xf numFmtId="169" fontId="63" fillId="4" borderId="10" xfId="1" applyNumberFormat="1" applyFont="1" applyFill="1" applyBorder="1"/>
    <xf numFmtId="41" fontId="13" fillId="0" borderId="0" xfId="12" applyNumberFormat="1" applyFont="1" applyFill="1" applyAlignment="1"/>
    <xf numFmtId="41" fontId="13" fillId="0" borderId="0" xfId="12" applyNumberFormat="1" applyFont="1" applyFill="1" applyAlignment="1">
      <alignment vertical="top" wrapText="1"/>
    </xf>
    <xf numFmtId="3" fontId="13" fillId="0" borderId="0" xfId="13" applyNumberFormat="1" applyFont="1" applyFill="1" applyAlignment="1">
      <alignment horizontal="center"/>
    </xf>
    <xf numFmtId="41" fontId="13" fillId="0" borderId="0" xfId="13" applyNumberFormat="1" applyFont="1" applyFill="1" applyAlignment="1">
      <alignment horizontal="center"/>
    </xf>
    <xf numFmtId="41" fontId="14" fillId="0" borderId="4" xfId="12" applyNumberFormat="1" applyFont="1" applyFill="1" applyBorder="1" applyAlignment="1">
      <alignment horizontal="center"/>
    </xf>
    <xf numFmtId="41" fontId="14" fillId="0" borderId="7" xfId="12" applyNumberFormat="1" applyFont="1" applyFill="1" applyBorder="1" applyAlignment="1">
      <alignment horizontal="center"/>
    </xf>
    <xf numFmtId="41" fontId="14" fillId="0" borderId="11" xfId="12" applyNumberFormat="1" applyFont="1" applyFill="1" applyBorder="1" applyAlignment="1">
      <alignment horizontal="center"/>
    </xf>
    <xf numFmtId="3" fontId="14" fillId="0" borderId="0" xfId="13" applyNumberFormat="1" applyFont="1" applyAlignment="1">
      <alignment horizontal="center"/>
    </xf>
    <xf numFmtId="3" fontId="81" fillId="0" borderId="0" xfId="13" applyNumberFormat="1" applyFont="1" applyAlignment="1">
      <alignment horizontal="center"/>
    </xf>
    <xf numFmtId="41" fontId="14" fillId="0" borderId="0" xfId="12" applyNumberFormat="1" applyFont="1" applyFill="1" applyAlignment="1">
      <alignment wrapText="1"/>
    </xf>
    <xf numFmtId="3" fontId="14" fillId="0" borderId="0" xfId="13" applyNumberFormat="1" applyFont="1" applyFill="1" applyBorder="1" applyAlignment="1">
      <alignment horizontal="center"/>
    </xf>
    <xf numFmtId="41" fontId="14" fillId="0" borderId="0" xfId="12" applyNumberFormat="1" applyFont="1" applyFill="1" applyBorder="1" applyAlignment="1">
      <alignment wrapText="1"/>
    </xf>
    <xf numFmtId="3" fontId="13" fillId="0" borderId="10" xfId="13" applyNumberFormat="1" applyFont="1" applyFill="1" applyBorder="1" applyAlignment="1">
      <alignment horizontal="center"/>
    </xf>
    <xf numFmtId="3" fontId="51" fillId="0" borderId="10" xfId="13" applyNumberFormat="1" applyFont="1" applyFill="1" applyBorder="1" applyAlignment="1">
      <alignment wrapText="1"/>
    </xf>
    <xf numFmtId="41" fontId="14" fillId="0" borderId="0" xfId="12" applyNumberFormat="1" applyFont="1" applyFill="1" applyBorder="1" applyAlignment="1"/>
    <xf numFmtId="41" fontId="14" fillId="0" borderId="0" xfId="13" applyNumberFormat="1" applyFont="1" applyFill="1" applyAlignment="1">
      <alignment horizontal="center"/>
    </xf>
    <xf numFmtId="41" fontId="13" fillId="0" borderId="10" xfId="12" applyNumberFormat="1" applyFont="1" applyFill="1" applyBorder="1" applyAlignment="1"/>
    <xf numFmtId="0" fontId="59" fillId="0" borderId="0" xfId="0" applyFont="1" applyAlignment="1">
      <alignment horizontal="left"/>
    </xf>
    <xf numFmtId="0" fontId="56" fillId="0" borderId="0" xfId="0" applyFont="1" applyAlignment="1">
      <alignment horizontal="left"/>
    </xf>
    <xf numFmtId="41" fontId="14" fillId="0" borderId="0" xfId="12" applyNumberFormat="1" applyFont="1" applyFill="1" applyAlignment="1">
      <alignment horizontal="center" wrapText="1"/>
    </xf>
    <xf numFmtId="41" fontId="14" fillId="0" borderId="1" xfId="23" applyNumberFormat="1" applyFont="1" applyFill="1" applyBorder="1" applyAlignment="1">
      <alignment horizontal="center"/>
    </xf>
    <xf numFmtId="41" fontId="14" fillId="0" borderId="5" xfId="23" quotePrefix="1" applyNumberFormat="1" applyFont="1" applyFill="1" applyBorder="1" applyAlignment="1">
      <alignment horizontal="center"/>
    </xf>
    <xf numFmtId="41" fontId="14" fillId="0" borderId="8" xfId="23" applyNumberFormat="1" applyFont="1" applyFill="1" applyBorder="1" applyAlignment="1">
      <alignment horizontal="center"/>
    </xf>
    <xf numFmtId="2" fontId="14" fillId="0" borderId="0" xfId="4" applyNumberFormat="1" applyFont="1" applyFill="1" applyBorder="1" applyAlignment="1" applyProtection="1">
      <alignment horizontal="center"/>
    </xf>
    <xf numFmtId="169" fontId="13" fillId="0" borderId="0" xfId="1" applyNumberFormat="1" applyFont="1" applyFill="1"/>
    <xf numFmtId="169" fontId="13" fillId="0" borderId="10" xfId="1" applyNumberFormat="1" applyFont="1" applyFill="1" applyBorder="1"/>
    <xf numFmtId="37" fontId="56" fillId="0" borderId="0" xfId="0" applyNumberFormat="1" applyFont="1" applyAlignment="1">
      <alignment horizontal="left"/>
    </xf>
    <xf numFmtId="0" fontId="82" fillId="0" borderId="0" xfId="0" applyFont="1" applyFill="1" applyAlignment="1">
      <alignment horizontal="center"/>
    </xf>
    <xf numFmtId="0" fontId="63" fillId="0" borderId="0" xfId="0" applyFont="1" applyFill="1"/>
    <xf numFmtId="0" fontId="18" fillId="0" borderId="0" xfId="0" applyFont="1" applyAlignment="1">
      <alignment horizontal="center"/>
    </xf>
    <xf numFmtId="0" fontId="18" fillId="0" borderId="0" xfId="0" applyFont="1" applyAlignment="1">
      <alignment horizontal="center"/>
    </xf>
    <xf numFmtId="41" fontId="83" fillId="0" borderId="0" xfId="12" applyNumberFormat="1" applyFont="1" applyFill="1"/>
    <xf numFmtId="41" fontId="83" fillId="0" borderId="0" xfId="12" applyNumberFormat="1" applyFont="1" applyFill="1" applyAlignment="1"/>
    <xf numFmtId="41" fontId="84" fillId="0" borderId="0" xfId="13" applyNumberFormat="1" applyFont="1" applyFill="1" applyAlignment="1">
      <alignment horizontal="center"/>
    </xf>
    <xf numFmtId="41" fontId="83" fillId="0" borderId="0" xfId="13" applyNumberFormat="1" applyFont="1" applyFill="1" applyAlignment="1">
      <alignment horizontal="center"/>
    </xf>
    <xf numFmtId="41" fontId="84" fillId="0" borderId="1" xfId="13" applyNumberFormat="1" applyFont="1" applyFill="1" applyBorder="1" applyAlignment="1">
      <alignment horizontal="center"/>
    </xf>
    <xf numFmtId="41" fontId="84" fillId="0" borderId="5" xfId="13" applyNumberFormat="1" applyFont="1" applyFill="1" applyBorder="1" applyAlignment="1">
      <alignment horizontal="center"/>
    </xf>
    <xf numFmtId="41" fontId="84" fillId="0" borderId="8" xfId="13" applyNumberFormat="1" applyFont="1" applyFill="1" applyBorder="1" applyAlignment="1">
      <alignment horizontal="center"/>
    </xf>
    <xf numFmtId="2" fontId="84" fillId="0" borderId="0" xfId="4" applyNumberFormat="1" applyFont="1" applyFill="1" applyAlignment="1" applyProtection="1">
      <alignment horizontal="center"/>
    </xf>
    <xf numFmtId="5" fontId="83" fillId="0" borderId="0" xfId="10" applyNumberFormat="1" applyFont="1" applyFill="1" applyBorder="1"/>
    <xf numFmtId="41" fontId="83" fillId="0" borderId="10" xfId="12" applyNumberFormat="1" applyFont="1" applyFill="1" applyBorder="1"/>
    <xf numFmtId="5" fontId="83" fillId="0" borderId="13" xfId="12" applyNumberFormat="1" applyFont="1" applyFill="1" applyBorder="1"/>
    <xf numFmtId="5" fontId="83" fillId="0" borderId="0" xfId="12" applyNumberFormat="1" applyFont="1" applyFill="1"/>
    <xf numFmtId="41" fontId="83" fillId="0" borderId="3" xfId="12" applyNumberFormat="1" applyFont="1" applyFill="1" applyBorder="1"/>
    <xf numFmtId="41" fontId="83" fillId="0" borderId="0" xfId="12" applyNumberFormat="1" applyFont="1" applyFill="1" applyBorder="1"/>
    <xf numFmtId="41" fontId="83" fillId="0" borderId="0" xfId="14" applyNumberFormat="1" applyFont="1" applyFill="1"/>
    <xf numFmtId="41" fontId="83" fillId="0" borderId="12" xfId="12" applyNumberFormat="1" applyFont="1" applyFill="1" applyBorder="1"/>
    <xf numFmtId="41" fontId="84" fillId="0" borderId="0" xfId="12" applyNumberFormat="1" applyFont="1" applyFill="1"/>
    <xf numFmtId="41" fontId="84" fillId="0" borderId="0" xfId="12" applyNumberFormat="1" applyFont="1" applyFill="1" applyBorder="1" applyAlignment="1">
      <alignment horizontal="center" wrapText="1"/>
    </xf>
    <xf numFmtId="41" fontId="84" fillId="0" borderId="0" xfId="12" applyNumberFormat="1" applyFont="1" applyFill="1" applyBorder="1" applyAlignment="1">
      <alignment horizontal="center" vertical="center"/>
    </xf>
    <xf numFmtId="41" fontId="85" fillId="0" borderId="0" xfId="12" quotePrefix="1" applyNumberFormat="1" applyFont="1" applyFill="1" applyAlignment="1">
      <alignment horizontal="center"/>
    </xf>
    <xf numFmtId="0" fontId="83" fillId="0" borderId="0" xfId="12" applyFont="1" applyFill="1" applyAlignment="1">
      <alignment horizontal="center"/>
    </xf>
    <xf numFmtId="41" fontId="84" fillId="0" borderId="1" xfId="10" applyNumberFormat="1" applyFont="1" applyFill="1" applyBorder="1" applyAlignment="1">
      <alignment horizontal="center"/>
    </xf>
    <xf numFmtId="41" fontId="84" fillId="0" borderId="5" xfId="12" applyNumberFormat="1" applyFont="1" applyFill="1" applyBorder="1" applyAlignment="1">
      <alignment horizontal="center"/>
    </xf>
    <xf numFmtId="41" fontId="84" fillId="0" borderId="8" xfId="12" applyNumberFormat="1" applyFont="1" applyFill="1" applyBorder="1" applyAlignment="1">
      <alignment horizontal="center"/>
    </xf>
    <xf numFmtId="2" fontId="84" fillId="0" borderId="0" xfId="4" applyNumberFormat="1" applyFont="1" applyFill="1" applyBorder="1" applyAlignment="1" applyProtection="1">
      <alignment horizontal="center"/>
    </xf>
    <xf numFmtId="41" fontId="83" fillId="0" borderId="13" xfId="12" applyNumberFormat="1" applyFont="1" applyFill="1" applyBorder="1"/>
    <xf numFmtId="5" fontId="83" fillId="0" borderId="0" xfId="12" applyNumberFormat="1" applyFont="1" applyFill="1" applyBorder="1"/>
    <xf numFmtId="41" fontId="84" fillId="0" borderId="0" xfId="12" applyNumberFormat="1" applyFont="1" applyFill="1" applyBorder="1" applyAlignment="1">
      <alignment horizontal="right"/>
    </xf>
    <xf numFmtId="41" fontId="84" fillId="0" borderId="0" xfId="12" applyNumberFormat="1" applyFont="1" applyFill="1" applyAlignment="1">
      <alignment horizontal="center"/>
    </xf>
    <xf numFmtId="3" fontId="83" fillId="0" borderId="0" xfId="13" applyNumberFormat="1" applyFont="1" applyFill="1" applyAlignment="1">
      <alignment horizontal="center"/>
    </xf>
    <xf numFmtId="41" fontId="84" fillId="0" borderId="1" xfId="12" applyNumberFormat="1" applyFont="1" applyFill="1" applyBorder="1" applyAlignment="1">
      <alignment horizontal="center"/>
    </xf>
    <xf numFmtId="0" fontId="18" fillId="0" borderId="0" xfId="0" applyFont="1" applyAlignment="1">
      <alignment horizontal="center"/>
    </xf>
    <xf numFmtId="41" fontId="86" fillId="0" borderId="0" xfId="12" applyNumberFormat="1" applyFont="1" applyFill="1" applyAlignment="1"/>
    <xf numFmtId="3" fontId="84" fillId="0" borderId="0" xfId="13" applyNumberFormat="1" applyFont="1" applyFill="1" applyBorder="1" applyAlignment="1">
      <alignment vertical="center"/>
    </xf>
    <xf numFmtId="41" fontId="84" fillId="0" borderId="0" xfId="12" applyNumberFormat="1" applyFont="1" applyFill="1" applyBorder="1" applyAlignment="1">
      <alignment vertical="center" wrapText="1"/>
    </xf>
    <xf numFmtId="3" fontId="84" fillId="0" borderId="0" xfId="13" applyNumberFormat="1" applyFont="1" applyFill="1" applyAlignment="1">
      <alignment horizontal="center"/>
    </xf>
    <xf numFmtId="41" fontId="83" fillId="0" borderId="0" xfId="12" applyNumberFormat="1" applyFont="1" applyFill="1" applyAlignment="1">
      <alignment horizontal="center"/>
    </xf>
    <xf numFmtId="3" fontId="83" fillId="0" borderId="10" xfId="13" applyNumberFormat="1" applyFont="1" applyFill="1" applyBorder="1" applyAlignment="1">
      <alignment vertical="center"/>
    </xf>
    <xf numFmtId="41" fontId="83" fillId="0" borderId="0" xfId="12" applyNumberFormat="1" applyFont="1" applyFill="1" applyBorder="1" applyAlignment="1">
      <alignment horizontal="right"/>
    </xf>
    <xf numFmtId="41" fontId="84" fillId="0" borderId="0" xfId="12" applyNumberFormat="1" applyFont="1" applyFill="1" applyAlignment="1">
      <alignment wrapText="1"/>
    </xf>
    <xf numFmtId="41" fontId="84" fillId="0" borderId="10" xfId="12" applyNumberFormat="1" applyFont="1" applyFill="1" applyBorder="1" applyAlignment="1">
      <alignment horizontal="center" vertical="top"/>
    </xf>
    <xf numFmtId="41" fontId="83" fillId="0" borderId="0" xfId="12" applyNumberFormat="1" applyFont="1" applyFill="1" applyAlignment="1">
      <alignment vertical="top"/>
    </xf>
    <xf numFmtId="41" fontId="83" fillId="0" borderId="0" xfId="12" applyNumberFormat="1" applyFont="1" applyFill="1" applyAlignment="1">
      <alignment horizontal="right"/>
    </xf>
    <xf numFmtId="165" fontId="83" fillId="0" borderId="0" xfId="14" applyNumberFormat="1" applyFont="1" applyFill="1" applyBorder="1"/>
    <xf numFmtId="41" fontId="87" fillId="0" borderId="0" xfId="12" applyNumberFormat="1" applyFont="1" applyAlignment="1">
      <alignment vertical="top"/>
    </xf>
    <xf numFmtId="41" fontId="84" fillId="0" borderId="1" xfId="12" quotePrefix="1" applyNumberFormat="1" applyFont="1" applyFill="1" applyBorder="1" applyAlignment="1">
      <alignment horizontal="center"/>
    </xf>
    <xf numFmtId="0" fontId="59" fillId="0" borderId="0" xfId="0" applyFont="1" applyFill="1"/>
    <xf numFmtId="0" fontId="59" fillId="0" borderId="0" xfId="6" applyFont="1" applyFill="1" applyAlignment="1">
      <alignment horizontal="left" vertical="top"/>
    </xf>
    <xf numFmtId="0" fontId="59" fillId="0" borderId="0" xfId="0" applyFont="1" applyFill="1" applyBorder="1" applyAlignment="1">
      <alignment horizontal="left"/>
    </xf>
    <xf numFmtId="167" fontId="17" fillId="0" borderId="0" xfId="54" applyNumberFormat="1" applyFont="1" applyFill="1"/>
    <xf numFmtId="0" fontId="18" fillId="0" borderId="0" xfId="0" applyFont="1" applyAlignment="1">
      <alignment horizontal="center"/>
    </xf>
    <xf numFmtId="3" fontId="81" fillId="0" borderId="0" xfId="13" applyNumberFormat="1" applyFont="1" applyFill="1"/>
    <xf numFmtId="41" fontId="13" fillId="0" borderId="6" xfId="12" applyNumberFormat="1" applyFont="1" applyFill="1" applyBorder="1" applyAlignment="1">
      <alignment vertical="top" wrapText="1"/>
    </xf>
    <xf numFmtId="41" fontId="13" fillId="0" borderId="9" xfId="13" applyNumberFormat="1" applyFont="1" applyFill="1" applyBorder="1" applyAlignment="1">
      <alignment horizontal="center"/>
    </xf>
    <xf numFmtId="0" fontId="18" fillId="0" borderId="0" xfId="0" applyFont="1" applyAlignment="1">
      <alignment horizontal="center"/>
    </xf>
    <xf numFmtId="41" fontId="14" fillId="0" borderId="1" xfId="13" applyNumberFormat="1" applyFont="1" applyFill="1" applyBorder="1" applyAlignment="1">
      <alignment horizontal="center"/>
    </xf>
    <xf numFmtId="41" fontId="14" fillId="0" borderId="5" xfId="13" applyNumberFormat="1" applyFont="1" applyFill="1" applyBorder="1" applyAlignment="1">
      <alignment horizontal="center"/>
    </xf>
    <xf numFmtId="41" fontId="14" fillId="0" borderId="8" xfId="13" applyNumberFormat="1" applyFont="1" applyFill="1" applyBorder="1" applyAlignment="1">
      <alignment horizontal="center"/>
    </xf>
    <xf numFmtId="178" fontId="24" fillId="0" borderId="0" xfId="0" applyNumberFormat="1" applyFont="1"/>
    <xf numFmtId="41" fontId="14" fillId="0" borderId="2" xfId="10" applyNumberFormat="1" applyFont="1" applyFill="1" applyBorder="1" applyAlignment="1">
      <alignment horizontal="center"/>
    </xf>
    <xf numFmtId="41" fontId="14" fillId="0" borderId="6" xfId="12" applyNumberFormat="1" applyFont="1" applyFill="1" applyBorder="1" applyAlignment="1">
      <alignment horizontal="center"/>
    </xf>
    <xf numFmtId="41" fontId="14" fillId="0" borderId="9" xfId="12" applyNumberFormat="1" applyFont="1" applyFill="1" applyBorder="1" applyAlignment="1">
      <alignment horizontal="center"/>
    </xf>
    <xf numFmtId="41" fontId="13" fillId="0" borderId="0" xfId="12" applyNumberFormat="1" applyFont="1" applyFill="1" applyAlignment="1">
      <alignment vertical="top"/>
    </xf>
    <xf numFmtId="41" fontId="14" fillId="0" borderId="0" xfId="12" applyNumberFormat="1" applyFont="1" applyFill="1" applyAlignment="1"/>
    <xf numFmtId="2" fontId="14" fillId="0" borderId="0" xfId="4" applyNumberFormat="1" applyFont="1" applyFill="1" applyAlignment="1" applyProtection="1">
      <alignment horizontal="right"/>
    </xf>
    <xf numFmtId="41" fontId="88" fillId="0" borderId="0" xfId="12" applyNumberFormat="1" applyFont="1" applyFill="1" applyBorder="1" applyAlignment="1"/>
    <xf numFmtId="3" fontId="14" fillId="0" borderId="10" xfId="13" applyNumberFormat="1" applyFont="1" applyFill="1" applyBorder="1" applyAlignment="1">
      <alignment horizontal="center"/>
    </xf>
    <xf numFmtId="41" fontId="14" fillId="0" borderId="0" xfId="12" applyNumberFormat="1" applyFont="1" applyFill="1" applyBorder="1" applyAlignment="1">
      <alignment vertical="top" wrapText="1"/>
    </xf>
    <xf numFmtId="6" fontId="13" fillId="0" borderId="10" xfId="12" applyNumberFormat="1" applyFont="1" applyFill="1" applyBorder="1"/>
    <xf numFmtId="3" fontId="14" fillId="0" borderId="1" xfId="13" applyNumberFormat="1" applyFont="1" applyFill="1" applyBorder="1" applyAlignment="1">
      <alignment horizontal="center"/>
    </xf>
    <xf numFmtId="3" fontId="14" fillId="0" borderId="5" xfId="13" applyNumberFormat="1" applyFont="1" applyFill="1" applyBorder="1" applyAlignment="1">
      <alignment horizontal="center"/>
    </xf>
    <xf numFmtId="3" fontId="14" fillId="0" borderId="8" xfId="13" applyNumberFormat="1" applyFont="1" applyFill="1" applyBorder="1" applyAlignment="1">
      <alignment horizontal="center"/>
    </xf>
    <xf numFmtId="5" fontId="13" fillId="0" borderId="0" xfId="12" applyNumberFormat="1" applyFont="1" applyFill="1" applyBorder="1"/>
    <xf numFmtId="41" fontId="14" fillId="0" borderId="0" xfId="12" applyNumberFormat="1" applyFont="1" applyFill="1" applyBorder="1" applyAlignment="1">
      <alignment horizontal="right"/>
    </xf>
    <xf numFmtId="41" fontId="18" fillId="0" borderId="0" xfId="12" applyNumberFormat="1" applyFont="1" applyAlignment="1">
      <alignment vertical="top"/>
    </xf>
    <xf numFmtId="41" fontId="14" fillId="0" borderId="10" xfId="12" applyNumberFormat="1" applyFont="1" applyFill="1" applyBorder="1" applyAlignment="1">
      <alignment horizontal="center" vertical="top"/>
    </xf>
    <xf numFmtId="0" fontId="18" fillId="0" borderId="0" xfId="0" applyFont="1" applyAlignment="1">
      <alignment horizontal="center"/>
    </xf>
    <xf numFmtId="41" fontId="83" fillId="0" borderId="0" xfId="12" applyNumberFormat="1" applyFont="1"/>
    <xf numFmtId="41" fontId="89" fillId="0" borderId="0" xfId="12" quotePrefix="1" applyNumberFormat="1" applyFont="1" applyFill="1" applyAlignment="1">
      <alignment horizontal="center"/>
    </xf>
    <xf numFmtId="0" fontId="18" fillId="0" borderId="0" xfId="0" applyFont="1" applyAlignment="1">
      <alignment horizontal="center"/>
    </xf>
    <xf numFmtId="41" fontId="14" fillId="0" borderId="0" xfId="12" applyNumberFormat="1" applyFont="1" applyFill="1" applyAlignment="1">
      <alignment horizontal="left"/>
    </xf>
    <xf numFmtId="3" fontId="89" fillId="0" borderId="0" xfId="12" quotePrefix="1" applyNumberFormat="1" applyFont="1" applyFill="1" applyAlignment="1">
      <alignment horizontal="center"/>
    </xf>
    <xf numFmtId="3" fontId="14" fillId="0" borderId="0" xfId="12" applyNumberFormat="1" applyFont="1" applyFill="1" applyAlignment="1">
      <alignment horizontal="center"/>
    </xf>
    <xf numFmtId="3" fontId="14" fillId="0" borderId="1" xfId="12" applyNumberFormat="1" applyFont="1" applyFill="1" applyBorder="1" applyAlignment="1">
      <alignment horizontal="center"/>
    </xf>
    <xf numFmtId="3" fontId="14" fillId="0" borderId="5" xfId="12" applyNumberFormat="1" applyFont="1" applyFill="1" applyBorder="1" applyAlignment="1">
      <alignment horizontal="center"/>
    </xf>
    <xf numFmtId="3" fontId="14" fillId="0" borderId="8" xfId="12" applyNumberFormat="1" applyFont="1" applyFill="1" applyBorder="1" applyAlignment="1">
      <alignment horizontal="center"/>
    </xf>
    <xf numFmtId="3" fontId="14" fillId="0" borderId="0" xfId="4" applyNumberFormat="1" applyFont="1" applyFill="1" applyAlignment="1" applyProtection="1">
      <alignment horizontal="center"/>
    </xf>
    <xf numFmtId="3" fontId="13" fillId="0" borderId="0" xfId="12" applyNumberFormat="1" applyFont="1" applyFill="1"/>
    <xf numFmtId="3" fontId="13" fillId="0" borderId="0" xfId="10" applyNumberFormat="1" applyFont="1" applyFill="1" applyBorder="1"/>
    <xf numFmtId="3" fontId="13" fillId="0" borderId="10" xfId="12" applyNumberFormat="1" applyFont="1" applyFill="1" applyBorder="1"/>
    <xf numFmtId="3" fontId="13" fillId="0" borderId="13" xfId="12" applyNumberFormat="1" applyFont="1" applyFill="1" applyBorder="1"/>
    <xf numFmtId="3" fontId="13" fillId="0" borderId="0" xfId="14" applyNumberFormat="1" applyFont="1" applyFill="1"/>
    <xf numFmtId="3" fontId="13" fillId="0" borderId="0" xfId="12" applyNumberFormat="1" applyFont="1" applyFill="1" applyAlignment="1">
      <alignment vertical="top"/>
    </xf>
    <xf numFmtId="3" fontId="13" fillId="0" borderId="12" xfId="12" applyNumberFormat="1" applyFont="1" applyFill="1" applyBorder="1"/>
    <xf numFmtId="3" fontId="13" fillId="0" borderId="0" xfId="12" applyNumberFormat="1" applyFont="1" applyFill="1" applyBorder="1"/>
    <xf numFmtId="3" fontId="13" fillId="0" borderId="3" xfId="12" applyNumberFormat="1" applyFont="1" applyFill="1" applyBorder="1"/>
    <xf numFmtId="41" fontId="14" fillId="0" borderId="0" xfId="13" quotePrefix="1" applyNumberFormat="1" applyFont="1" applyFill="1" applyAlignment="1">
      <alignment horizontal="center"/>
    </xf>
    <xf numFmtId="0" fontId="18" fillId="0" borderId="0" xfId="0" applyFont="1" applyAlignment="1">
      <alignment horizontal="center"/>
    </xf>
    <xf numFmtId="41" fontId="14" fillId="0" borderId="0" xfId="12" applyNumberFormat="1" applyFont="1" applyFill="1" applyAlignment="1">
      <alignment vertical="top"/>
    </xf>
    <xf numFmtId="41" fontId="13" fillId="0" borderId="0" xfId="12" applyNumberFormat="1" applyFont="1" applyAlignment="1">
      <alignment horizontal="right"/>
    </xf>
    <xf numFmtId="0" fontId="18"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xf>
    <xf numFmtId="41" fontId="14" fillId="0" borderId="0" xfId="12" applyNumberFormat="1" applyFont="1" applyFill="1" applyBorder="1" applyAlignment="1">
      <alignment horizontal="center" wrapText="1"/>
    </xf>
    <xf numFmtId="41" fontId="14" fillId="0" borderId="0" xfId="12" applyNumberFormat="1" applyFont="1" applyAlignment="1">
      <alignment horizontal="center" wrapText="1"/>
    </xf>
    <xf numFmtId="41" fontId="13" fillId="0" borderId="13" xfId="0" applyNumberFormat="1" applyFont="1" applyBorder="1"/>
    <xf numFmtId="10" fontId="14" fillId="0" borderId="0" xfId="14" applyNumberFormat="1" applyFont="1" applyFill="1" applyBorder="1"/>
    <xf numFmtId="41" fontId="14" fillId="0" borderId="0" xfId="12" applyNumberFormat="1" applyFont="1" applyFill="1" applyBorder="1" applyAlignment="1">
      <alignment horizontal="center" vertical="center" wrapText="1"/>
    </xf>
    <xf numFmtId="10" fontId="13" fillId="9" borderId="0" xfId="14" applyNumberFormat="1" applyFont="1" applyFill="1"/>
    <xf numFmtId="41" fontId="14" fillId="0" borderId="0" xfId="0" applyNumberFormat="1" applyFont="1" applyFill="1" applyBorder="1" applyAlignment="1">
      <alignment horizontal="center"/>
    </xf>
    <xf numFmtId="41" fontId="14" fillId="0" borderId="10" xfId="0" applyNumberFormat="1" applyFont="1" applyFill="1" applyBorder="1" applyAlignment="1">
      <alignment horizontal="center"/>
    </xf>
    <xf numFmtId="0" fontId="18" fillId="0" borderId="11" xfId="0" applyFont="1" applyBorder="1" applyAlignment="1">
      <alignment horizontal="center"/>
    </xf>
    <xf numFmtId="169" fontId="14" fillId="0" borderId="0" xfId="1" applyNumberFormat="1" applyFont="1" applyAlignment="1">
      <alignment horizontal="center" vertical="center" wrapText="1"/>
    </xf>
    <xf numFmtId="169" fontId="17" fillId="0" borderId="0" xfId="1" applyNumberFormat="1" applyFont="1" applyAlignment="1">
      <alignment horizontal="center"/>
    </xf>
    <xf numFmtId="169" fontId="17" fillId="4" borderId="0" xfId="1" applyNumberFormat="1" applyFont="1" applyFill="1"/>
    <xf numFmtId="169" fontId="13" fillId="0" borderId="0" xfId="1" applyNumberFormat="1" applyFont="1" applyBorder="1"/>
    <xf numFmtId="169" fontId="13" fillId="0" borderId="13" xfId="1" applyNumberFormat="1" applyFont="1" applyBorder="1"/>
    <xf numFmtId="169" fontId="14" fillId="0" borderId="0" xfId="1" applyNumberFormat="1" applyFont="1" applyBorder="1" applyAlignment="1">
      <alignment horizontal="right"/>
    </xf>
    <xf numFmtId="169" fontId="13" fillId="0" borderId="0" xfId="1" applyNumberFormat="1" applyFont="1" applyFill="1" applyBorder="1"/>
    <xf numFmtId="169" fontId="18" fillId="0" borderId="2" xfId="1" applyNumberFormat="1" applyFont="1" applyBorder="1" applyAlignment="1">
      <alignment horizontal="center"/>
    </xf>
    <xf numFmtId="169" fontId="18" fillId="0" borderId="6" xfId="1" applyNumberFormat="1" applyFont="1" applyBorder="1" applyAlignment="1">
      <alignment horizontal="center"/>
    </xf>
    <xf numFmtId="169" fontId="18" fillId="0" borderId="9" xfId="1" applyNumberFormat="1" applyFont="1" applyBorder="1" applyAlignment="1">
      <alignment horizontal="center"/>
    </xf>
    <xf numFmtId="169" fontId="17" fillId="0" borderId="10" xfId="1" applyNumberFormat="1" applyFont="1" applyFill="1" applyBorder="1"/>
    <xf numFmtId="169" fontId="17" fillId="0" borderId="10" xfId="0" applyNumberFormat="1" applyFont="1" applyFill="1" applyBorder="1"/>
    <xf numFmtId="169" fontId="17" fillId="0" borderId="0" xfId="0" applyNumberFormat="1" applyFont="1" applyFill="1"/>
    <xf numFmtId="169" fontId="14" fillId="0" borderId="3" xfId="1" applyNumberFormat="1" applyFont="1" applyBorder="1" applyAlignment="1">
      <alignment horizontal="center" vertical="center" wrapText="1"/>
    </xf>
    <xf numFmtId="169" fontId="14" fillId="0" borderId="0" xfId="1" applyNumberFormat="1" applyFont="1" applyBorder="1" applyAlignment="1">
      <alignment horizontal="center" vertical="center"/>
    </xf>
    <xf numFmtId="169" fontId="14" fillId="0" borderId="10" xfId="1" applyNumberFormat="1" applyFont="1" applyBorder="1" applyAlignment="1">
      <alignment horizontal="center"/>
    </xf>
    <xf numFmtId="169" fontId="13" fillId="0" borderId="41" xfId="1" applyNumberFormat="1" applyFont="1" applyBorder="1"/>
    <xf numFmtId="0" fontId="18" fillId="0" borderId="4" xfId="0" applyFont="1" applyBorder="1" applyAlignment="1">
      <alignment horizontal="center"/>
    </xf>
    <xf numFmtId="0" fontId="18" fillId="0" borderId="7" xfId="0" applyFont="1" applyBorder="1" applyAlignment="1">
      <alignment horizontal="center"/>
    </xf>
    <xf numFmtId="41" fontId="14" fillId="9" borderId="1" xfId="12" applyNumberFormat="1" applyFont="1" applyFill="1" applyBorder="1" applyAlignment="1">
      <alignment horizontal="center"/>
    </xf>
    <xf numFmtId="41" fontId="14" fillId="9" borderId="5" xfId="10" applyNumberFormat="1" applyFont="1" applyFill="1" applyBorder="1" applyAlignment="1">
      <alignment horizontal="center"/>
    </xf>
    <xf numFmtId="41" fontId="14" fillId="9" borderId="5" xfId="12" applyNumberFormat="1" applyFont="1" applyFill="1" applyBorder="1"/>
    <xf numFmtId="5" fontId="14" fillId="9" borderId="5" xfId="12" applyNumberFormat="1" applyFont="1" applyFill="1" applyBorder="1"/>
    <xf numFmtId="41" fontId="14" fillId="9" borderId="8" xfId="12" applyNumberFormat="1" applyFont="1" applyFill="1" applyBorder="1"/>
    <xf numFmtId="41" fontId="13" fillId="9" borderId="5" xfId="12" applyNumberFormat="1" applyFont="1" applyFill="1" applyBorder="1"/>
    <xf numFmtId="41" fontId="13" fillId="9" borderId="8" xfId="12" applyNumberFormat="1" applyFont="1" applyFill="1" applyBorder="1"/>
    <xf numFmtId="5" fontId="13" fillId="9" borderId="36" xfId="12" applyNumberFormat="1" applyFont="1" applyFill="1" applyBorder="1"/>
    <xf numFmtId="41" fontId="13" fillId="9" borderId="39" xfId="12" applyNumberFormat="1" applyFont="1" applyFill="1" applyBorder="1"/>
    <xf numFmtId="5" fontId="13" fillId="9" borderId="5" xfId="12" applyNumberFormat="1" applyFont="1" applyFill="1" applyBorder="1"/>
    <xf numFmtId="41" fontId="13" fillId="9" borderId="36" xfId="0" applyNumberFormat="1" applyFont="1" applyFill="1" applyBorder="1"/>
    <xf numFmtId="37" fontId="14" fillId="0" borderId="0" xfId="12" applyNumberFormat="1" applyFont="1"/>
    <xf numFmtId="1" fontId="14" fillId="0" borderId="0" xfId="9" applyNumberFormat="1" applyFont="1" applyAlignment="1">
      <alignment horizontal="center"/>
    </xf>
    <xf numFmtId="5" fontId="13" fillId="0" borderId="16" xfId="12" applyNumberFormat="1" applyFont="1" applyBorder="1"/>
    <xf numFmtId="41" fontId="90" fillId="0" borderId="0" xfId="12" applyNumberFormat="1" applyFont="1" applyFill="1" applyBorder="1" applyAlignment="1">
      <alignment horizontal="center"/>
    </xf>
    <xf numFmtId="3" fontId="14" fillId="0" borderId="1" xfId="123" applyNumberFormat="1" applyFont="1" applyBorder="1" applyAlignment="1">
      <alignment horizontal="center"/>
    </xf>
    <xf numFmtId="41" fontId="13" fillId="0" borderId="41" xfId="12" applyNumberFormat="1" applyFont="1" applyFill="1" applyBorder="1"/>
    <xf numFmtId="0" fontId="18" fillId="0" borderId="0" xfId="0" applyFont="1" applyAlignment="1">
      <alignment horizontal="center"/>
    </xf>
    <xf numFmtId="41" fontId="13" fillId="9" borderId="6" xfId="12" applyNumberFormat="1" applyFont="1" applyFill="1" applyBorder="1"/>
    <xf numFmtId="41" fontId="13" fillId="9" borderId="9" xfId="12" applyNumberFormat="1" applyFont="1" applyFill="1" applyBorder="1"/>
    <xf numFmtId="5" fontId="13" fillId="9" borderId="44" xfId="12" applyNumberFormat="1" applyFont="1" applyFill="1" applyBorder="1"/>
    <xf numFmtId="41" fontId="13" fillId="9" borderId="14" xfId="12" applyNumberFormat="1" applyFont="1" applyFill="1" applyBorder="1"/>
    <xf numFmtId="5" fontId="13" fillId="9" borderId="42" xfId="0" applyNumberFormat="1" applyFont="1" applyFill="1" applyBorder="1"/>
    <xf numFmtId="0" fontId="17" fillId="0" borderId="5" xfId="0" applyFont="1" applyBorder="1"/>
    <xf numFmtId="0" fontId="17" fillId="0" borderId="5" xfId="0" applyFont="1" applyFill="1" applyBorder="1"/>
    <xf numFmtId="41" fontId="13" fillId="0" borderId="5" xfId="12" applyNumberFormat="1" applyFont="1" applyFill="1" applyBorder="1"/>
    <xf numFmtId="10" fontId="17" fillId="0" borderId="5" xfId="14" applyNumberFormat="1" applyFont="1" applyFill="1" applyBorder="1"/>
    <xf numFmtId="10" fontId="13" fillId="0" borderId="5" xfId="14" applyNumberFormat="1" applyFont="1" applyBorder="1"/>
    <xf numFmtId="10" fontId="17" fillId="0" borderId="5" xfId="14" applyNumberFormat="1" applyFont="1" applyBorder="1"/>
    <xf numFmtId="41" fontId="13" fillId="0" borderId="5" xfId="0" applyNumberFormat="1" applyFont="1" applyBorder="1"/>
    <xf numFmtId="0" fontId="17" fillId="0" borderId="1" xfId="0" applyFont="1" applyBorder="1" applyAlignment="1">
      <alignment horizontal="center"/>
    </xf>
    <xf numFmtId="169" fontId="17" fillId="0" borderId="5" xfId="1" applyNumberFormat="1" applyFont="1" applyBorder="1" applyAlignment="1">
      <alignment horizontal="center"/>
    </xf>
    <xf numFmtId="169" fontId="17" fillId="0" borderId="5" xfId="1" applyNumberFormat="1" applyFont="1" applyBorder="1"/>
    <xf numFmtId="169" fontId="17" fillId="0" borderId="5" xfId="1" applyNumberFormat="1" applyFont="1" applyFill="1" applyBorder="1"/>
    <xf numFmtId="169" fontId="17" fillId="0" borderId="8" xfId="1" applyNumberFormat="1" applyFont="1" applyFill="1" applyBorder="1"/>
    <xf numFmtId="169" fontId="13" fillId="0" borderId="5" xfId="1" applyNumberFormat="1" applyFont="1" applyFill="1" applyBorder="1"/>
    <xf numFmtId="169" fontId="13" fillId="0" borderId="5" xfId="1" applyNumberFormat="1" applyFont="1" applyBorder="1"/>
    <xf numFmtId="169" fontId="13" fillId="0" borderId="8" xfId="1" applyNumberFormat="1" applyFont="1" applyBorder="1"/>
    <xf numFmtId="2" fontId="14" fillId="7" borderId="5" xfId="12" applyNumberFormat="1" applyFont="1" applyFill="1" applyBorder="1" applyAlignment="1">
      <alignment horizontal="center"/>
    </xf>
    <xf numFmtId="2" fontId="14" fillId="0" borderId="5" xfId="4" applyNumberFormat="1" applyFont="1" applyFill="1" applyBorder="1" applyAlignment="1" applyProtection="1">
      <alignment horizontal="center"/>
    </xf>
    <xf numFmtId="41" fontId="13" fillId="0" borderId="8" xfId="12" applyNumberFormat="1" applyFont="1" applyFill="1" applyBorder="1"/>
    <xf numFmtId="5" fontId="13" fillId="0" borderId="5" xfId="12" applyNumberFormat="1" applyFont="1" applyFill="1" applyBorder="1"/>
    <xf numFmtId="5" fontId="13" fillId="0" borderId="36" xfId="12" applyNumberFormat="1" applyFont="1" applyFill="1" applyBorder="1"/>
    <xf numFmtId="41" fontId="13" fillId="0" borderId="39" xfId="12" applyNumberFormat="1" applyFont="1" applyFill="1" applyBorder="1"/>
    <xf numFmtId="41" fontId="13" fillId="0" borderId="36" xfId="12" applyNumberFormat="1" applyFont="1" applyFill="1" applyBorder="1"/>
    <xf numFmtId="169" fontId="13" fillId="0" borderId="43" xfId="12" applyNumberFormat="1" applyFont="1" applyBorder="1"/>
    <xf numFmtId="41" fontId="14" fillId="9" borderId="7" xfId="0" applyNumberFormat="1" applyFont="1" applyFill="1" applyBorder="1" applyAlignment="1">
      <alignment horizontal="center"/>
    </xf>
    <xf numFmtId="41" fontId="14" fillId="9" borderId="11" xfId="0" applyNumberFormat="1" applyFont="1" applyFill="1" applyBorder="1" applyAlignment="1">
      <alignment horizontal="center"/>
    </xf>
    <xf numFmtId="41" fontId="15" fillId="9" borderId="0" xfId="0" applyNumberFormat="1" applyFont="1" applyFill="1" applyAlignment="1">
      <alignment horizontal="center"/>
    </xf>
    <xf numFmtId="41" fontId="13" fillId="9" borderId="0" xfId="0" applyNumberFormat="1" applyFont="1" applyFill="1"/>
    <xf numFmtId="5" fontId="13" fillId="9" borderId="0" xfId="12" applyNumberFormat="1" applyFont="1" applyFill="1"/>
    <xf numFmtId="41" fontId="13" fillId="9" borderId="0" xfId="12" applyNumberFormat="1" applyFont="1" applyFill="1"/>
    <xf numFmtId="41" fontId="13" fillId="9" borderId="10" xfId="12" applyNumberFormat="1" applyFont="1" applyFill="1" applyBorder="1"/>
    <xf numFmtId="41" fontId="13" fillId="9" borderId="0" xfId="2" applyNumberFormat="1" applyFont="1" applyFill="1" applyBorder="1"/>
    <xf numFmtId="41" fontId="13" fillId="9" borderId="10" xfId="2" applyNumberFormat="1" applyFont="1" applyFill="1" applyBorder="1"/>
    <xf numFmtId="41" fontId="13" fillId="9" borderId="0" xfId="12" applyNumberFormat="1" applyFont="1" applyFill="1" applyBorder="1"/>
    <xf numFmtId="41" fontId="13" fillId="9" borderId="16" xfId="12" applyNumberFormat="1" applyFont="1" applyFill="1" applyBorder="1"/>
    <xf numFmtId="5" fontId="13" fillId="9" borderId="0" xfId="12" applyNumberFormat="1" applyFont="1" applyFill="1" applyBorder="1"/>
    <xf numFmtId="41" fontId="13" fillId="9" borderId="12" xfId="12" applyNumberFormat="1" applyFont="1" applyFill="1" applyBorder="1"/>
    <xf numFmtId="10" fontId="13" fillId="9" borderId="0" xfId="14" applyNumberFormat="1" applyFont="1" applyFill="1" applyBorder="1"/>
    <xf numFmtId="41" fontId="13" fillId="9" borderId="13" xfId="0" applyNumberFormat="1" applyFont="1" applyFill="1" applyBorder="1"/>
    <xf numFmtId="0" fontId="51" fillId="0" borderId="0" xfId="12" applyNumberFormat="1" applyFont="1" applyAlignment="1">
      <alignment vertical="top" wrapText="1"/>
    </xf>
    <xf numFmtId="0" fontId="51" fillId="9" borderId="0" xfId="12" applyNumberFormat="1" applyFont="1" applyFill="1" applyAlignment="1">
      <alignment vertical="top" wrapText="1"/>
    </xf>
    <xf numFmtId="10" fontId="13" fillId="9" borderId="0" xfId="0" applyNumberFormat="1" applyFont="1" applyFill="1"/>
    <xf numFmtId="179" fontId="13" fillId="9" borderId="0" xfId="0" applyNumberFormat="1" applyFont="1" applyFill="1"/>
    <xf numFmtId="10" fontId="14" fillId="9" borderId="0" xfId="14" applyNumberFormat="1" applyFont="1" applyFill="1" applyBorder="1"/>
    <xf numFmtId="41" fontId="14" fillId="9" borderId="0" xfId="14" applyNumberFormat="1" applyFont="1" applyFill="1" applyBorder="1"/>
    <xf numFmtId="41" fontId="14" fillId="9" borderId="0" xfId="12" applyNumberFormat="1" applyFont="1" applyFill="1" applyBorder="1" applyAlignment="1">
      <alignment horizontal="center" vertical="center" wrapText="1"/>
    </xf>
    <xf numFmtId="41" fontId="91" fillId="0" borderId="0" xfId="0" applyNumberFormat="1" applyFont="1" applyFill="1"/>
    <xf numFmtId="41" fontId="13" fillId="9" borderId="18" xfId="0" applyNumberFormat="1" applyFont="1" applyFill="1" applyBorder="1"/>
    <xf numFmtId="41" fontId="14" fillId="0" borderId="2" xfId="0" applyNumberFormat="1" applyFont="1" applyFill="1" applyBorder="1" applyAlignment="1">
      <alignment horizontal="centerContinuous"/>
    </xf>
    <xf numFmtId="41" fontId="14" fillId="0" borderId="3" xfId="0" applyNumberFormat="1" applyFont="1" applyFill="1" applyBorder="1" applyAlignment="1">
      <alignment horizontal="centerContinuous"/>
    </xf>
    <xf numFmtId="41" fontId="14" fillId="0" borderId="4" xfId="0" applyNumberFormat="1" applyFont="1" applyFill="1" applyBorder="1" applyAlignment="1">
      <alignment horizontal="centerContinuous"/>
    </xf>
    <xf numFmtId="41" fontId="14" fillId="0" borderId="6" xfId="0" applyNumberFormat="1" applyFont="1" applyFill="1" applyBorder="1" applyAlignment="1">
      <alignment horizontal="center"/>
    </xf>
    <xf numFmtId="41" fontId="14" fillId="0" borderId="9" xfId="0" applyNumberFormat="1" applyFont="1" applyFill="1" applyBorder="1" applyAlignment="1">
      <alignment horizontal="center"/>
    </xf>
    <xf numFmtId="41" fontId="15" fillId="0" borderId="0" xfId="0" applyNumberFormat="1" applyFont="1" applyFill="1" applyAlignment="1">
      <alignment horizontal="center"/>
    </xf>
    <xf numFmtId="41" fontId="15" fillId="0" borderId="0" xfId="0" quotePrefix="1" applyNumberFormat="1" applyFont="1" applyFill="1" applyAlignment="1">
      <alignment horizontal="center"/>
    </xf>
    <xf numFmtId="41" fontId="13" fillId="0" borderId="0" xfId="2" applyNumberFormat="1" applyFont="1" applyFill="1" applyBorder="1"/>
    <xf numFmtId="41" fontId="13" fillId="0" borderId="10" xfId="2" applyNumberFormat="1" applyFont="1" applyFill="1" applyBorder="1"/>
    <xf numFmtId="10" fontId="13" fillId="0" borderId="0" xfId="14" applyNumberFormat="1" applyFont="1" applyFill="1" applyBorder="1"/>
    <xf numFmtId="5" fontId="13" fillId="0" borderId="13" xfId="0" applyNumberFormat="1" applyFont="1" applyFill="1" applyBorder="1"/>
    <xf numFmtId="0" fontId="51" fillId="0" borderId="0" xfId="12" applyNumberFormat="1" applyFont="1" applyFill="1" applyAlignment="1">
      <alignment vertical="top" wrapText="1"/>
    </xf>
    <xf numFmtId="0" fontId="18" fillId="0" borderId="0" xfId="0" applyFont="1" applyAlignment="1">
      <alignment horizontal="center"/>
    </xf>
    <xf numFmtId="41" fontId="84" fillId="0" borderId="2" xfId="10" applyNumberFormat="1" applyFont="1" applyFill="1" applyBorder="1" applyAlignment="1">
      <alignment horizontal="center"/>
    </xf>
    <xf numFmtId="41" fontId="84" fillId="0" borderId="6" xfId="10" applyNumberFormat="1" applyFont="1" applyFill="1" applyBorder="1" applyAlignment="1">
      <alignment horizontal="center"/>
    </xf>
    <xf numFmtId="41" fontId="84" fillId="0" borderId="9" xfId="12" applyNumberFormat="1" applyFont="1" applyFill="1" applyBorder="1" applyAlignment="1">
      <alignment horizontal="center"/>
    </xf>
    <xf numFmtId="41" fontId="14" fillId="0" borderId="3" xfId="10" applyNumberFormat="1" applyFont="1" applyFill="1" applyBorder="1" applyAlignment="1">
      <alignment horizontal="center"/>
    </xf>
    <xf numFmtId="41" fontId="14" fillId="0" borderId="10" xfId="12" applyNumberFormat="1" applyFont="1" applyFill="1" applyBorder="1" applyAlignment="1">
      <alignment horizontal="center"/>
    </xf>
    <xf numFmtId="2" fontId="14" fillId="9" borderId="5" xfId="4" applyNumberFormat="1" applyFont="1" applyFill="1" applyBorder="1" applyAlignment="1" applyProtection="1">
      <alignment horizontal="center"/>
    </xf>
    <xf numFmtId="41" fontId="14" fillId="9" borderId="36" xfId="12" applyNumberFormat="1" applyFont="1" applyFill="1" applyBorder="1"/>
    <xf numFmtId="37" fontId="14" fillId="9" borderId="5" xfId="12" applyNumberFormat="1" applyFont="1" applyFill="1" applyBorder="1"/>
    <xf numFmtId="37" fontId="14" fillId="9" borderId="8" xfId="12" applyNumberFormat="1" applyFont="1" applyFill="1" applyBorder="1"/>
    <xf numFmtId="37" fontId="14" fillId="9" borderId="1" xfId="12" applyNumberFormat="1" applyFont="1" applyFill="1" applyBorder="1"/>
    <xf numFmtId="5" fontId="14" fillId="9" borderId="36" xfId="12" applyNumberFormat="1" applyFont="1" applyFill="1" applyBorder="1"/>
    <xf numFmtId="180" fontId="13" fillId="0" borderId="0" xfId="12" applyNumberFormat="1" applyFont="1" applyFill="1"/>
    <xf numFmtId="41" fontId="14" fillId="0" borderId="0" xfId="13" applyNumberFormat="1" applyFont="1" applyFill="1" applyAlignment="1">
      <alignment wrapText="1"/>
    </xf>
    <xf numFmtId="0" fontId="18" fillId="0" borderId="0" xfId="0" applyFont="1" applyAlignment="1">
      <alignment horizontal="center"/>
    </xf>
    <xf numFmtId="41" fontId="14" fillId="0" borderId="0" xfId="12" applyNumberFormat="1" applyFont="1" applyFill="1" applyBorder="1" applyAlignment="1">
      <alignment horizontal="center" wrapText="1"/>
    </xf>
    <xf numFmtId="0" fontId="18" fillId="0" borderId="0" xfId="0" applyFont="1" applyAlignment="1">
      <alignment horizontal="center"/>
    </xf>
    <xf numFmtId="0" fontId="17" fillId="4" borderId="0" xfId="0" applyFont="1" applyFill="1"/>
    <xf numFmtId="10" fontId="17" fillId="4" borderId="0" xfId="0" applyNumberFormat="1" applyFont="1" applyFill="1"/>
    <xf numFmtId="0" fontId="56" fillId="0" borderId="0" xfId="0" applyFont="1"/>
    <xf numFmtId="3" fontId="15" fillId="0" borderId="0" xfId="13" applyNumberFormat="1" applyFont="1" applyFill="1" applyAlignment="1">
      <alignment horizontal="center"/>
    </xf>
    <xf numFmtId="41" fontId="89" fillId="0" borderId="0" xfId="12" quotePrefix="1" applyNumberFormat="1" applyFont="1" applyFill="1" applyAlignment="1">
      <alignment wrapText="1"/>
    </xf>
    <xf numFmtId="41" fontId="89" fillId="0" borderId="0" xfId="12" quotePrefix="1" applyNumberFormat="1" applyFont="1" applyFill="1" applyAlignment="1">
      <alignment horizontal="center" wrapText="1"/>
    </xf>
    <xf numFmtId="41" fontId="89" fillId="0" borderId="0" xfId="12" applyNumberFormat="1" applyFont="1" applyFill="1" applyBorder="1" applyAlignment="1">
      <alignment wrapText="1"/>
    </xf>
    <xf numFmtId="41" fontId="13" fillId="0" borderId="0" xfId="14" applyNumberFormat="1" applyFont="1" applyFill="1" applyBorder="1"/>
    <xf numFmtId="41" fontId="18" fillId="0" borderId="0" xfId="12" applyNumberFormat="1" applyFont="1" applyFill="1" applyBorder="1" applyAlignment="1">
      <alignment vertical="top"/>
    </xf>
    <xf numFmtId="41" fontId="14" fillId="0" borderId="8" xfId="23" quotePrefix="1" applyNumberFormat="1" applyFont="1" applyFill="1" applyBorder="1" applyAlignment="1">
      <alignment horizontal="center"/>
    </xf>
    <xf numFmtId="0" fontId="17" fillId="0" borderId="0" xfId="0" applyFont="1" applyAlignment="1">
      <alignment horizontal="center"/>
    </xf>
    <xf numFmtId="169" fontId="17" fillId="0" borderId="10" xfId="0" applyNumberFormat="1" applyFont="1" applyBorder="1"/>
    <xf numFmtId="41" fontId="13" fillId="4" borderId="0" xfId="0" applyNumberFormat="1" applyFont="1" applyFill="1" applyBorder="1"/>
    <xf numFmtId="169" fontId="17" fillId="0" borderId="41" xfId="1" applyNumberFormat="1" applyFont="1" applyBorder="1"/>
    <xf numFmtId="41" fontId="17" fillId="0" borderId="11" xfId="0" applyNumberFormat="1" applyFont="1" applyBorder="1"/>
    <xf numFmtId="169" fontId="13" fillId="0" borderId="16" xfId="12" applyNumberFormat="1" applyFont="1" applyBorder="1"/>
    <xf numFmtId="169" fontId="59" fillId="0" borderId="0" xfId="1" applyNumberFormat="1" applyFont="1" applyFill="1"/>
    <xf numFmtId="169" fontId="18" fillId="0" borderId="1" xfId="1" applyNumberFormat="1" applyFont="1" applyFill="1" applyBorder="1" applyAlignment="1">
      <alignment horizontal="center"/>
    </xf>
    <xf numFmtId="169" fontId="18" fillId="0" borderId="5" xfId="1" applyNumberFormat="1" applyFont="1" applyFill="1" applyBorder="1" applyAlignment="1">
      <alignment horizontal="center"/>
    </xf>
    <xf numFmtId="169" fontId="18" fillId="0" borderId="8" xfId="1" applyNumberFormat="1" applyFont="1" applyFill="1" applyBorder="1" applyAlignment="1">
      <alignment horizontal="center"/>
    </xf>
    <xf numFmtId="0" fontId="17" fillId="4" borderId="0" xfId="0" applyFont="1" applyFill="1" applyAlignment="1">
      <alignment horizontal="center"/>
    </xf>
    <xf numFmtId="0" fontId="18" fillId="0" borderId="0" xfId="0" applyFont="1" applyAlignment="1">
      <alignment horizontal="center"/>
    </xf>
    <xf numFmtId="41" fontId="14" fillId="0" borderId="1" xfId="23" applyNumberFormat="1" applyFont="1" applyBorder="1" applyAlignment="1">
      <alignment horizontal="center"/>
    </xf>
    <xf numFmtId="41" fontId="14" fillId="0" borderId="5" xfId="123" applyNumberFormat="1" applyFont="1" applyBorder="1" applyAlignment="1">
      <alignment horizontal="center"/>
    </xf>
    <xf numFmtId="41" fontId="14" fillId="0" borderId="8" xfId="123" applyNumberFormat="1" applyFont="1" applyBorder="1" applyAlignment="1">
      <alignment horizontal="center"/>
    </xf>
    <xf numFmtId="10" fontId="57" fillId="6" borderId="0" xfId="14" applyNumberFormat="1" applyFont="1" applyFill="1" applyBorder="1"/>
    <xf numFmtId="10" fontId="42" fillId="0" borderId="10" xfId="14" applyNumberFormat="1" applyFont="1" applyFill="1" applyBorder="1"/>
    <xf numFmtId="0" fontId="17" fillId="7" borderId="28" xfId="0" applyFont="1" applyFill="1" applyBorder="1"/>
    <xf numFmtId="41" fontId="18" fillId="0" borderId="0" xfId="12" quotePrefix="1" applyNumberFormat="1" applyFont="1" applyAlignment="1">
      <alignment horizontal="center" vertical="top"/>
    </xf>
    <xf numFmtId="0" fontId="17" fillId="7" borderId="29" xfId="0" applyFont="1" applyFill="1" applyBorder="1"/>
    <xf numFmtId="0" fontId="18" fillId="0" borderId="0" xfId="0" applyFont="1" applyAlignment="1">
      <alignment horizontal="center"/>
    </xf>
    <xf numFmtId="0" fontId="18" fillId="0" borderId="0" xfId="0" applyFont="1" applyAlignment="1">
      <alignment horizontal="center"/>
    </xf>
    <xf numFmtId="10" fontId="42" fillId="0" borderId="0" xfId="0" applyNumberFormat="1" applyFont="1"/>
    <xf numFmtId="41" fontId="13" fillId="0" borderId="0" xfId="12" applyNumberFormat="1" applyFont="1" applyFill="1" applyBorder="1" applyAlignment="1">
      <alignment horizontal="right"/>
    </xf>
    <xf numFmtId="0" fontId="57" fillId="0" borderId="0" xfId="0" applyFont="1" applyFill="1" applyBorder="1" applyAlignment="1">
      <alignment horizontal="center"/>
    </xf>
    <xf numFmtId="181" fontId="17" fillId="0" borderId="0" xfId="14" applyNumberFormat="1" applyFont="1" applyBorder="1" applyAlignment="1">
      <alignment horizontal="right"/>
    </xf>
    <xf numFmtId="5" fontId="42" fillId="0" borderId="0" xfId="0" applyNumberFormat="1" applyFont="1" applyFill="1" applyBorder="1" applyAlignment="1">
      <alignment horizontal="left"/>
    </xf>
    <xf numFmtId="5" fontId="42" fillId="0" borderId="0" xfId="0" applyNumberFormat="1" applyFont="1" applyFill="1" applyBorder="1" applyAlignment="1">
      <alignment horizontal="center"/>
    </xf>
    <xf numFmtId="0" fontId="42" fillId="0" borderId="10" xfId="0" applyFont="1" applyBorder="1" applyAlignment="1">
      <alignment horizontal="center"/>
    </xf>
    <xf numFmtId="176" fontId="60" fillId="0" borderId="0" xfId="2" applyNumberFormat="1" applyFont="1" applyBorder="1" applyAlignment="1">
      <alignment horizontal="right"/>
    </xf>
    <xf numFmtId="5" fontId="42" fillId="0" borderId="10" xfId="0" applyNumberFormat="1" applyFont="1" applyBorder="1" applyAlignment="1">
      <alignment horizontal="center"/>
    </xf>
    <xf numFmtId="5" fontId="42" fillId="0" borderId="10" xfId="0" applyNumberFormat="1" applyFont="1" applyBorder="1"/>
    <xf numFmtId="5" fontId="42" fillId="0" borderId="16" xfId="0" applyNumberFormat="1" applyFont="1" applyBorder="1"/>
    <xf numFmtId="0" fontId="42" fillId="0" borderId="0" xfId="0" applyFont="1" applyAlignment="1">
      <alignment horizontal="right"/>
    </xf>
    <xf numFmtId="41" fontId="13" fillId="0" borderId="0" xfId="12" applyNumberFormat="1" applyFont="1" applyFill="1" applyAlignment="1">
      <alignment horizontal="center"/>
    </xf>
    <xf numFmtId="37" fontId="13" fillId="0" borderId="0" xfId="12" applyNumberFormat="1" applyFont="1" applyFill="1" applyAlignment="1">
      <alignment horizontal="left"/>
    </xf>
    <xf numFmtId="43" fontId="17" fillId="0" borderId="0" xfId="1" applyFont="1" applyAlignment="1">
      <alignment horizontal="center" vertical="center"/>
    </xf>
    <xf numFmtId="4" fontId="17" fillId="0" borderId="0" xfId="11" applyNumberFormat="1" applyFont="1" applyBorder="1" applyAlignment="1">
      <alignment horizontal="center" vertical="center"/>
    </xf>
    <xf numFmtId="4" fontId="17" fillId="0" borderId="0" xfId="11" applyNumberFormat="1" applyFont="1" applyAlignment="1">
      <alignment horizontal="center" vertical="center"/>
    </xf>
    <xf numFmtId="4" fontId="40" fillId="0" borderId="0" xfId="11" applyNumberFormat="1" applyFont="1" applyAlignment="1">
      <alignment horizontal="center" vertical="center"/>
    </xf>
    <xf numFmtId="4" fontId="18" fillId="0" borderId="0" xfId="11" applyNumberFormat="1" applyFont="1" applyAlignment="1">
      <alignment horizontal="center" vertical="center"/>
    </xf>
    <xf numFmtId="4" fontId="30" fillId="0" borderId="0" xfId="11" applyNumberFormat="1" applyFont="1" applyBorder="1" applyAlignment="1">
      <alignment horizontal="center" vertical="center"/>
    </xf>
    <xf numFmtId="0" fontId="17" fillId="0" borderId="10" xfId="0" applyFont="1" applyBorder="1" applyAlignment="1">
      <alignment horizontal="center"/>
    </xf>
    <xf numFmtId="41" fontId="17" fillId="0" borderId="10" xfId="0" applyNumberFormat="1" applyFont="1" applyBorder="1" applyAlignment="1">
      <alignment horizontal="center" wrapText="1"/>
    </xf>
    <xf numFmtId="167" fontId="13" fillId="0" borderId="0" xfId="0" applyNumberFormat="1" applyFont="1" applyFill="1" applyBorder="1" applyAlignment="1">
      <alignment horizontal="left"/>
    </xf>
    <xf numFmtId="176" fontId="17" fillId="0" borderId="0" xfId="2" applyNumberFormat="1" applyFont="1" applyFill="1"/>
    <xf numFmtId="176" fontId="17" fillId="0" borderId="12" xfId="2" applyNumberFormat="1" applyFont="1" applyFill="1" applyBorder="1"/>
    <xf numFmtId="176" fontId="17" fillId="0" borderId="16" xfId="2" applyNumberFormat="1" applyFont="1" applyBorder="1"/>
    <xf numFmtId="176" fontId="17" fillId="0" borderId="45" xfId="2" applyNumberFormat="1" applyFont="1" applyFill="1" applyBorder="1"/>
    <xf numFmtId="10" fontId="17" fillId="0" borderId="10" xfId="0" applyNumberFormat="1" applyFont="1" applyBorder="1" applyAlignment="1">
      <alignment horizontal="center"/>
    </xf>
    <xf numFmtId="10" fontId="18" fillId="0" borderId="41" xfId="0" applyNumberFormat="1" applyFont="1" applyBorder="1" applyAlignment="1">
      <alignment horizontal="left"/>
    </xf>
    <xf numFmtId="10" fontId="13" fillId="0" borderId="0" xfId="0" applyNumberFormat="1" applyFont="1" applyFill="1" applyAlignment="1">
      <alignment horizontal="right"/>
    </xf>
    <xf numFmtId="0" fontId="17" fillId="7" borderId="27" xfId="0" applyFont="1" applyFill="1" applyBorder="1" applyAlignment="1">
      <alignment horizontal="left"/>
    </xf>
    <xf numFmtId="176" fontId="13" fillId="7" borderId="28" xfId="2" applyNumberFormat="1" applyFont="1" applyFill="1" applyBorder="1"/>
    <xf numFmtId="0" fontId="17" fillId="4" borderId="27" xfId="0" applyFont="1" applyFill="1" applyBorder="1" applyAlignment="1">
      <alignment horizontal="left"/>
    </xf>
    <xf numFmtId="0" fontId="17" fillId="4" borderId="28" xfId="0" applyFont="1" applyFill="1" applyBorder="1"/>
    <xf numFmtId="176" fontId="13" fillId="4" borderId="28" xfId="2" applyNumberFormat="1" applyFont="1" applyFill="1" applyBorder="1"/>
    <xf numFmtId="0" fontId="17" fillId="4" borderId="29" xfId="0" applyFont="1" applyFill="1" applyBorder="1"/>
    <xf numFmtId="176" fontId="93" fillId="4" borderId="0" xfId="2" applyNumberFormat="1" applyFont="1" applyFill="1"/>
    <xf numFmtId="0" fontId="13" fillId="9" borderId="0" xfId="12" applyFont="1" applyFill="1"/>
    <xf numFmtId="15" fontId="14" fillId="9" borderId="2" xfId="0" quotePrefix="1" applyNumberFormat="1" applyFont="1" applyFill="1" applyBorder="1" applyAlignment="1">
      <alignment horizontal="center"/>
    </xf>
    <xf numFmtId="169" fontId="17" fillId="0" borderId="0" xfId="1" applyNumberFormat="1" applyFont="1" applyFill="1" applyBorder="1"/>
    <xf numFmtId="176" fontId="17" fillId="0" borderId="0" xfId="2" applyNumberFormat="1" applyFont="1" applyBorder="1"/>
    <xf numFmtId="176" fontId="17" fillId="0" borderId="0" xfId="2" applyNumberFormat="1" applyFont="1" applyFill="1" applyBorder="1"/>
    <xf numFmtId="176" fontId="17" fillId="0" borderId="0" xfId="2" applyNumberFormat="1" applyFont="1"/>
    <xf numFmtId="5" fontId="17" fillId="4" borderId="0" xfId="2" applyNumberFormat="1" applyFont="1" applyFill="1"/>
    <xf numFmtId="5" fontId="27" fillId="0" borderId="16" xfId="0" applyNumberFormat="1" applyFont="1" applyBorder="1"/>
    <xf numFmtId="6" fontId="17" fillId="0" borderId="16" xfId="0" applyNumberFormat="1" applyFont="1" applyBorder="1"/>
    <xf numFmtId="0" fontId="17" fillId="0" borderId="0" xfId="0" applyFont="1"/>
    <xf numFmtId="2" fontId="17" fillId="0" borderId="0" xfId="0" applyNumberFormat="1" applyFont="1"/>
    <xf numFmtId="0" fontId="17" fillId="0" borderId="0" xfId="0" applyFont="1"/>
    <xf numFmtId="0" fontId="17" fillId="0" borderId="0" xfId="0" applyFont="1" applyBorder="1" applyAlignment="1">
      <alignment horizontal="center"/>
    </xf>
    <xf numFmtId="0" fontId="17" fillId="0" borderId="0" xfId="0" applyFont="1" applyBorder="1"/>
    <xf numFmtId="5" fontId="17" fillId="0" borderId="0" xfId="0" applyNumberFormat="1" applyFont="1"/>
    <xf numFmtId="5" fontId="27" fillId="0" borderId="0" xfId="0" applyNumberFormat="1" applyFont="1"/>
    <xf numFmtId="37" fontId="27" fillId="0" borderId="0" xfId="0" applyNumberFormat="1" applyFont="1"/>
    <xf numFmtId="5" fontId="29" fillId="0" borderId="0" xfId="0" applyNumberFormat="1" applyFont="1"/>
    <xf numFmtId="169" fontId="17" fillId="0" borderId="0" xfId="1" applyNumberFormat="1" applyFont="1" applyFill="1" applyBorder="1"/>
    <xf numFmtId="5" fontId="17" fillId="0" borderId="0" xfId="0" applyNumberFormat="1" applyFont="1" applyFill="1"/>
    <xf numFmtId="169" fontId="17" fillId="0" borderId="0" xfId="0" applyNumberFormat="1" applyFont="1" applyBorder="1"/>
    <xf numFmtId="176" fontId="17" fillId="0" borderId="0" xfId="2" applyNumberFormat="1" applyFont="1" applyBorder="1"/>
    <xf numFmtId="0" fontId="17" fillId="0" borderId="16" xfId="0" applyFont="1" applyBorder="1"/>
    <xf numFmtId="0" fontId="17" fillId="0" borderId="0" xfId="0" applyFont="1" applyBorder="1" applyAlignment="1">
      <alignment horizontal="left"/>
    </xf>
    <xf numFmtId="2" fontId="17" fillId="0" borderId="0" xfId="0" applyNumberFormat="1" applyFont="1"/>
    <xf numFmtId="5" fontId="27" fillId="0" borderId="0" xfId="0" applyNumberFormat="1" applyFont="1"/>
    <xf numFmtId="5" fontId="17" fillId="0" borderId="0" xfId="0" applyNumberFormat="1" applyFont="1" applyBorder="1" applyAlignment="1">
      <alignment horizontal="right"/>
    </xf>
    <xf numFmtId="0" fontId="27" fillId="0" borderId="0" xfId="0" applyFont="1"/>
    <xf numFmtId="5" fontId="17" fillId="0" borderId="0" xfId="0" applyNumberFormat="1" applyFont="1" applyFill="1" applyAlignment="1">
      <alignment horizontal="right"/>
    </xf>
    <xf numFmtId="5" fontId="17" fillId="0" borderId="0" xfId="0" applyNumberFormat="1" applyFont="1" applyAlignment="1">
      <alignment horizontal="right"/>
    </xf>
    <xf numFmtId="5" fontId="17" fillId="0" borderId="16" xfId="2" applyNumberFormat="1" applyFont="1" applyFill="1" applyBorder="1"/>
    <xf numFmtId="5" fontId="20" fillId="0" borderId="16" xfId="0" applyNumberFormat="1" applyFont="1" applyFill="1" applyBorder="1"/>
    <xf numFmtId="169" fontId="20" fillId="0" borderId="0" xfId="0" applyNumberFormat="1" applyFont="1" applyFill="1"/>
    <xf numFmtId="5" fontId="17" fillId="4" borderId="0" xfId="2" applyNumberFormat="1" applyFont="1" applyFill="1"/>
    <xf numFmtId="0" fontId="18" fillId="0" borderId="0" xfId="0" applyFont="1" applyAlignment="1">
      <alignment horizontal="center"/>
    </xf>
    <xf numFmtId="41" fontId="0" fillId="0" borderId="0" xfId="0" applyNumberFormat="1"/>
    <xf numFmtId="0" fontId="0" fillId="0" borderId="0" xfId="0" applyAlignment="1">
      <alignment horizontal="left"/>
    </xf>
    <xf numFmtId="176" fontId="0" fillId="0" borderId="0" xfId="2" applyNumberFormat="1" applyFont="1"/>
    <xf numFmtId="176" fontId="0" fillId="0" borderId="0" xfId="0" applyNumberFormat="1"/>
    <xf numFmtId="176" fontId="0" fillId="0" borderId="10" xfId="2" applyNumberFormat="1" applyFont="1" applyBorder="1"/>
    <xf numFmtId="0" fontId="95" fillId="0" borderId="0" xfId="0" applyFont="1" applyAlignment="1">
      <alignment horizontal="center"/>
    </xf>
    <xf numFmtId="0" fontId="11" fillId="0" borderId="0" xfId="0" applyFont="1"/>
    <xf numFmtId="0" fontId="11" fillId="0" borderId="10" xfId="0" applyFont="1" applyBorder="1"/>
    <xf numFmtId="1" fontId="11" fillId="0" borderId="0" xfId="0" applyNumberFormat="1" applyFont="1"/>
    <xf numFmtId="0" fontId="95" fillId="0" borderId="0" xfId="0" applyFont="1"/>
    <xf numFmtId="0" fontId="95" fillId="0" borderId="10" xfId="0" applyFont="1" applyBorder="1"/>
    <xf numFmtId="0" fontId="11" fillId="0" borderId="0" xfId="0" applyFont="1" applyAlignment="1">
      <alignment horizontal="right"/>
    </xf>
    <xf numFmtId="176" fontId="0" fillId="0" borderId="10" xfId="0" applyNumberFormat="1" applyBorder="1"/>
    <xf numFmtId="0" fontId="95" fillId="0" borderId="10" xfId="0" applyFont="1" applyBorder="1" applyAlignment="1">
      <alignment horizontal="center"/>
    </xf>
    <xf numFmtId="5" fontId="95" fillId="0" borderId="0" xfId="0" applyNumberFormat="1" applyFont="1"/>
    <xf numFmtId="0" fontId="0" fillId="0" borderId="10" xfId="0" applyBorder="1"/>
    <xf numFmtId="5" fontId="0" fillId="0" borderId="13" xfId="0" applyNumberFormat="1" applyBorder="1"/>
    <xf numFmtId="0" fontId="11" fillId="0" borderId="0" xfId="0" applyFont="1" applyAlignment="1">
      <alignment horizontal="center"/>
    </xf>
    <xf numFmtId="176" fontId="0" fillId="0" borderId="13" xfId="0" applyNumberFormat="1" applyBorder="1"/>
    <xf numFmtId="176" fontId="0" fillId="0" borderId="41" xfId="0" applyNumberFormat="1" applyBorder="1"/>
    <xf numFmtId="176" fontId="0" fillId="4" borderId="0" xfId="2" applyNumberFormat="1" applyFont="1" applyFill="1"/>
    <xf numFmtId="169" fontId="0" fillId="0" borderId="0" xfId="1" applyNumberFormat="1" applyFont="1"/>
    <xf numFmtId="0" fontId="96" fillId="6" borderId="0" xfId="0" applyFont="1" applyFill="1"/>
    <xf numFmtId="176" fontId="96" fillId="6" borderId="0" xfId="0" applyNumberFormat="1" applyFont="1" applyFill="1"/>
    <xf numFmtId="176" fontId="96" fillId="6" borderId="0" xfId="2" applyNumberFormat="1" applyFont="1" applyFill="1" applyBorder="1"/>
    <xf numFmtId="177" fontId="0" fillId="0" borderId="0" xfId="0" applyNumberFormat="1"/>
    <xf numFmtId="176" fontId="42" fillId="6" borderId="0" xfId="0" applyNumberFormat="1" applyFont="1" applyFill="1" applyBorder="1"/>
    <xf numFmtId="176" fontId="42" fillId="6" borderId="10" xfId="0" applyNumberFormat="1" applyFont="1" applyFill="1" applyBorder="1"/>
    <xf numFmtId="176" fontId="42" fillId="6" borderId="16" xfId="2" applyNumberFormat="1" applyFont="1" applyFill="1" applyBorder="1"/>
    <xf numFmtId="0" fontId="57" fillId="6" borderId="10" xfId="0" applyFont="1" applyFill="1" applyBorder="1"/>
    <xf numFmtId="0" fontId="42" fillId="6" borderId="0" xfId="0" applyFont="1" applyFill="1" applyBorder="1" applyAlignment="1">
      <alignment horizontal="right"/>
    </xf>
    <xf numFmtId="169" fontId="0" fillId="0" borderId="0" xfId="0" applyNumberFormat="1"/>
    <xf numFmtId="0" fontId="0" fillId="4" borderId="0" xfId="0" applyFill="1"/>
    <xf numFmtId="176" fontId="0" fillId="4" borderId="0" xfId="0" applyNumberFormat="1" applyFill="1"/>
    <xf numFmtId="176" fontId="0" fillId="13" borderId="0" xfId="0" applyNumberFormat="1" applyFill="1"/>
    <xf numFmtId="176" fontId="0" fillId="13" borderId="0" xfId="2" applyNumberFormat="1" applyFont="1" applyFill="1"/>
    <xf numFmtId="176" fontId="0" fillId="0" borderId="0" xfId="2" applyNumberFormat="1" applyFont="1" applyAlignment="1">
      <alignment horizontal="left"/>
    </xf>
    <xf numFmtId="0" fontId="11" fillId="0" borderId="0" xfId="0" applyFont="1" applyAlignment="1">
      <alignment horizontal="left"/>
    </xf>
    <xf numFmtId="176" fontId="0" fillId="14" borderId="0" xfId="2" applyNumberFormat="1" applyFont="1" applyFill="1"/>
    <xf numFmtId="176" fontId="0" fillId="14" borderId="0" xfId="0" applyNumberFormat="1" applyFill="1"/>
    <xf numFmtId="176" fontId="0" fillId="15" borderId="0" xfId="2" applyNumberFormat="1" applyFont="1" applyFill="1"/>
    <xf numFmtId="176" fontId="0" fillId="15" borderId="10" xfId="2" applyNumberFormat="1" applyFont="1" applyFill="1" applyBorder="1"/>
    <xf numFmtId="176" fontId="0" fillId="15" borderId="0" xfId="0" applyNumberFormat="1" applyFill="1"/>
    <xf numFmtId="176" fontId="0" fillId="16" borderId="0" xfId="0" applyNumberFormat="1" applyFill="1"/>
    <xf numFmtId="176" fontId="0" fillId="16" borderId="0" xfId="2" applyNumberFormat="1" applyFont="1" applyFill="1"/>
    <xf numFmtId="176" fontId="0" fillId="17" borderId="10" xfId="0" applyNumberFormat="1" applyFill="1" applyBorder="1"/>
    <xf numFmtId="176" fontId="0" fillId="17" borderId="0" xfId="2" applyNumberFormat="1" applyFont="1" applyFill="1"/>
    <xf numFmtId="41" fontId="0" fillId="15" borderId="0" xfId="0" applyNumberFormat="1" applyFill="1"/>
    <xf numFmtId="176" fontId="42" fillId="6" borderId="10" xfId="0" applyNumberFormat="1" applyFont="1" applyFill="1" applyBorder="1" applyAlignment="1">
      <alignment vertical="top"/>
    </xf>
    <xf numFmtId="0" fontId="42" fillId="6" borderId="0" xfId="0" applyFont="1" applyFill="1" applyBorder="1" applyAlignment="1">
      <alignment vertical="top" wrapText="1"/>
    </xf>
    <xf numFmtId="0" fontId="42" fillId="6" borderId="10" xfId="0" applyFont="1" applyFill="1" applyBorder="1" applyAlignment="1">
      <alignment horizontal="center"/>
    </xf>
    <xf numFmtId="0" fontId="95" fillId="0" borderId="8" xfId="0" applyFont="1" applyBorder="1" applyAlignment="1">
      <alignment horizontal="center"/>
    </xf>
    <xf numFmtId="0" fontId="95" fillId="0" borderId="10" xfId="0" applyFont="1" applyBorder="1" applyAlignment="1">
      <alignment horizontal="center" wrapText="1"/>
    </xf>
    <xf numFmtId="10" fontId="0" fillId="0" borderId="0" xfId="0" applyNumberFormat="1"/>
    <xf numFmtId="0" fontId="99" fillId="0" borderId="0" xfId="0" applyFont="1"/>
    <xf numFmtId="176" fontId="0" fillId="0" borderId="41" xfId="2" applyNumberFormat="1" applyFont="1" applyBorder="1"/>
    <xf numFmtId="176" fontId="17" fillId="0" borderId="0" xfId="0" applyNumberFormat="1" applyFont="1"/>
    <xf numFmtId="0" fontId="57" fillId="0" borderId="49" xfId="0" applyFont="1" applyBorder="1" applyAlignment="1">
      <alignment horizontal="center" wrapText="1"/>
    </xf>
    <xf numFmtId="0" fontId="57" fillId="0" borderId="53" xfId="0" applyFont="1" applyBorder="1" applyAlignment="1">
      <alignment horizontal="center" wrapText="1"/>
    </xf>
    <xf numFmtId="0" fontId="57" fillId="9" borderId="19" xfId="0" applyFont="1" applyFill="1" applyBorder="1" applyAlignment="1">
      <alignment horizontal="center"/>
    </xf>
    <xf numFmtId="0" fontId="57" fillId="9" borderId="20" xfId="0" applyFont="1" applyFill="1" applyBorder="1" applyAlignment="1">
      <alignment horizontal="center"/>
    </xf>
    <xf numFmtId="0" fontId="42" fillId="9" borderId="0" xfId="0" applyFont="1" applyFill="1" applyBorder="1"/>
    <xf numFmtId="176" fontId="42" fillId="9" borderId="22" xfId="2" applyNumberFormat="1" applyFont="1" applyFill="1" applyBorder="1"/>
    <xf numFmtId="176" fontId="42" fillId="9" borderId="0" xfId="2" applyNumberFormat="1" applyFont="1" applyFill="1" applyBorder="1"/>
    <xf numFmtId="176" fontId="0" fillId="9" borderId="0" xfId="2" applyNumberFormat="1" applyFont="1" applyFill="1"/>
    <xf numFmtId="0" fontId="42" fillId="6" borderId="13" xfId="0" applyFont="1" applyFill="1" applyBorder="1" applyAlignment="1">
      <alignment horizontal="right"/>
    </xf>
    <xf numFmtId="176" fontId="11" fillId="0" borderId="0" xfId="0" applyNumberFormat="1" applyFont="1"/>
    <xf numFmtId="0" fontId="17" fillId="6" borderId="22" xfId="0" applyFont="1" applyFill="1" applyBorder="1"/>
    <xf numFmtId="0" fontId="17" fillId="6" borderId="22" xfId="0" applyFont="1" applyFill="1" applyBorder="1" applyAlignment="1">
      <alignment horizontal="right"/>
    </xf>
    <xf numFmtId="0" fontId="17" fillId="6" borderId="22" xfId="0" applyFont="1" applyFill="1" applyBorder="1" applyAlignment="1">
      <alignment horizontal="right" vertical="top"/>
    </xf>
    <xf numFmtId="0" fontId="17" fillId="6" borderId="55" xfId="0" applyFont="1" applyFill="1" applyBorder="1"/>
    <xf numFmtId="176" fontId="42" fillId="6" borderId="0" xfId="2" applyNumberFormat="1" applyFont="1" applyFill="1" applyBorder="1"/>
    <xf numFmtId="176" fontId="57" fillId="6" borderId="44" xfId="2" applyNumberFormat="1" applyFont="1" applyFill="1" applyBorder="1"/>
    <xf numFmtId="176" fontId="57" fillId="6" borderId="31" xfId="0" applyNumberFormat="1" applyFont="1" applyFill="1" applyBorder="1"/>
    <xf numFmtId="176" fontId="57" fillId="6" borderId="52" xfId="0" applyNumberFormat="1" applyFont="1" applyFill="1" applyBorder="1"/>
    <xf numFmtId="176" fontId="57" fillId="6" borderId="50" xfId="2" applyNumberFormat="1" applyFont="1" applyFill="1" applyBorder="1"/>
    <xf numFmtId="0" fontId="17" fillId="6" borderId="27" xfId="0" applyFont="1" applyFill="1" applyBorder="1"/>
    <xf numFmtId="176" fontId="18" fillId="0" borderId="0" xfId="2" applyNumberFormat="1" applyFont="1" applyAlignment="1">
      <alignment horizontal="center"/>
    </xf>
    <xf numFmtId="0" fontId="60" fillId="0" borderId="0" xfId="0" applyFont="1"/>
    <xf numFmtId="176" fontId="57" fillId="6" borderId="6" xfId="2" applyNumberFormat="1" applyFont="1" applyFill="1" applyBorder="1"/>
    <xf numFmtId="176" fontId="57" fillId="6" borderId="9" xfId="2" applyNumberFormat="1" applyFont="1" applyFill="1" applyBorder="1"/>
    <xf numFmtId="176" fontId="57" fillId="6" borderId="31" xfId="2" applyNumberFormat="1" applyFont="1" applyFill="1" applyBorder="1"/>
    <xf numFmtId="0" fontId="57" fillId="0" borderId="9" xfId="0" applyFont="1" applyBorder="1" applyAlignment="1">
      <alignment horizontal="center" wrapText="1"/>
    </xf>
    <xf numFmtId="176" fontId="60" fillId="9" borderId="0" xfId="2" applyNumberFormat="1" applyFont="1" applyFill="1" applyBorder="1"/>
    <xf numFmtId="176" fontId="57" fillId="9" borderId="55" xfId="2" applyNumberFormat="1" applyFont="1" applyFill="1" applyBorder="1"/>
    <xf numFmtId="176" fontId="57" fillId="9" borderId="13" xfId="2" applyNumberFormat="1" applyFont="1" applyFill="1" applyBorder="1"/>
    <xf numFmtId="0" fontId="0" fillId="0" borderId="0" xfId="0" applyBorder="1"/>
    <xf numFmtId="0" fontId="17" fillId="6" borderId="0" xfId="0" applyFont="1" applyFill="1" applyBorder="1" applyAlignment="1">
      <alignment vertical="top" wrapText="1"/>
    </xf>
    <xf numFmtId="0" fontId="17" fillId="6" borderId="0" xfId="0" applyFont="1" applyFill="1" applyBorder="1"/>
    <xf numFmtId="0" fontId="60" fillId="6" borderId="22" xfId="0" applyFont="1" applyFill="1" applyBorder="1"/>
    <xf numFmtId="0" fontId="60" fillId="6" borderId="22" xfId="0" applyFont="1" applyFill="1" applyBorder="1" applyAlignment="1">
      <alignment horizontal="left"/>
    </xf>
    <xf numFmtId="0" fontId="57" fillId="6" borderId="0" xfId="0" applyFont="1" applyFill="1" applyBorder="1" applyAlignment="1">
      <alignment horizontal="left"/>
    </xf>
    <xf numFmtId="0" fontId="60" fillId="6" borderId="22" xfId="0" applyFont="1" applyFill="1" applyBorder="1" applyAlignment="1">
      <alignment horizontal="right"/>
    </xf>
    <xf numFmtId="0" fontId="60" fillId="6" borderId="27" xfId="0" applyFont="1" applyFill="1" applyBorder="1"/>
    <xf numFmtId="176" fontId="57" fillId="6" borderId="56" xfId="2" applyNumberFormat="1" applyFont="1" applyFill="1" applyBorder="1"/>
    <xf numFmtId="176" fontId="57" fillId="6" borderId="51" xfId="2" applyNumberFormat="1" applyFont="1" applyFill="1" applyBorder="1"/>
    <xf numFmtId="176" fontId="57" fillId="6" borderId="54" xfId="2" applyNumberFormat="1" applyFont="1" applyFill="1" applyBorder="1"/>
    <xf numFmtId="176" fontId="17" fillId="6" borderId="25" xfId="2" applyNumberFormat="1" applyFont="1" applyFill="1" applyBorder="1"/>
    <xf numFmtId="0" fontId="57" fillId="6" borderId="53" xfId="0" applyFont="1" applyFill="1" applyBorder="1" applyAlignment="1">
      <alignment horizontal="center" wrapText="1"/>
    </xf>
    <xf numFmtId="0" fontId="57" fillId="6" borderId="49" xfId="0" applyFont="1" applyFill="1" applyBorder="1" applyAlignment="1">
      <alignment horizontal="center" wrapText="1"/>
    </xf>
    <xf numFmtId="0" fontId="60" fillId="6" borderId="0" xfId="0" applyFont="1" applyFill="1" applyBorder="1"/>
    <xf numFmtId="176" fontId="60" fillId="9" borderId="22" xfId="2" applyNumberFormat="1" applyFont="1" applyFill="1" applyBorder="1"/>
    <xf numFmtId="176" fontId="60" fillId="6" borderId="54" xfId="2" applyNumberFormat="1" applyFont="1" applyFill="1" applyBorder="1"/>
    <xf numFmtId="176" fontId="60" fillId="6" borderId="31" xfId="2" applyNumberFormat="1" applyFont="1" applyFill="1" applyBorder="1"/>
    <xf numFmtId="176" fontId="60" fillId="9" borderId="47" xfId="2" applyNumberFormat="1" applyFont="1" applyFill="1" applyBorder="1"/>
    <xf numFmtId="176" fontId="60" fillId="9" borderId="10" xfId="2" applyNumberFormat="1" applyFont="1" applyFill="1" applyBorder="1"/>
    <xf numFmtId="176" fontId="60" fillId="6" borderId="46" xfId="2" applyNumberFormat="1" applyFont="1" applyFill="1" applyBorder="1"/>
    <xf numFmtId="176" fontId="60" fillId="6" borderId="52" xfId="2" applyNumberFormat="1" applyFont="1" applyFill="1" applyBorder="1"/>
    <xf numFmtId="176" fontId="57" fillId="6" borderId="52" xfId="2" applyNumberFormat="1" applyFont="1" applyFill="1" applyBorder="1" applyAlignment="1">
      <alignment horizontal="center"/>
    </xf>
    <xf numFmtId="0" fontId="57" fillId="6" borderId="19" xfId="0" applyFont="1" applyFill="1" applyBorder="1" applyAlignment="1">
      <alignment horizontal="center" wrapText="1"/>
    </xf>
    <xf numFmtId="176" fontId="57" fillId="6" borderId="55" xfId="2" applyNumberFormat="1" applyFont="1" applyFill="1" applyBorder="1"/>
    <xf numFmtId="176" fontId="60" fillId="6" borderId="22" xfId="2" applyNumberFormat="1" applyFont="1" applyFill="1" applyBorder="1"/>
    <xf numFmtId="176" fontId="60" fillId="6" borderId="47" xfId="2" applyNumberFormat="1" applyFont="1" applyFill="1" applyBorder="1"/>
    <xf numFmtId="176" fontId="42" fillId="6" borderId="22" xfId="2" applyNumberFormat="1" applyFont="1" applyFill="1" applyBorder="1"/>
    <xf numFmtId="176" fontId="42" fillId="6" borderId="31" xfId="2" applyNumberFormat="1" applyFont="1" applyFill="1" applyBorder="1" applyAlignment="1">
      <alignment horizontal="center"/>
    </xf>
    <xf numFmtId="176" fontId="42" fillId="6" borderId="31" xfId="2" quotePrefix="1" applyNumberFormat="1" applyFont="1" applyFill="1" applyBorder="1" applyAlignment="1">
      <alignment horizontal="center"/>
    </xf>
    <xf numFmtId="176" fontId="57" fillId="6" borderId="31" xfId="2" applyNumberFormat="1" applyFont="1" applyFill="1" applyBorder="1" applyAlignment="1">
      <alignment horizontal="center"/>
    </xf>
    <xf numFmtId="176" fontId="17" fillId="6" borderId="32" xfId="2" applyNumberFormat="1" applyFont="1" applyFill="1" applyBorder="1" applyAlignment="1">
      <alignment horizontal="center" wrapText="1"/>
    </xf>
    <xf numFmtId="0" fontId="57" fillId="0" borderId="19" xfId="0" applyFont="1" applyBorder="1" applyAlignment="1">
      <alignment horizontal="center" wrapText="1"/>
    </xf>
    <xf numFmtId="0" fontId="57" fillId="6" borderId="31" xfId="0" applyFont="1" applyFill="1" applyBorder="1" applyAlignment="1">
      <alignment horizontal="center"/>
    </xf>
    <xf numFmtId="176" fontId="17" fillId="6" borderId="32" xfId="2" applyNumberFormat="1" applyFont="1" applyFill="1" applyBorder="1" applyAlignment="1">
      <alignment horizontal="center"/>
    </xf>
    <xf numFmtId="0" fontId="60" fillId="6" borderId="55" xfId="0" applyFont="1" applyFill="1" applyBorder="1"/>
    <xf numFmtId="0" fontId="57" fillId="6" borderId="58" xfId="0" applyFont="1" applyFill="1" applyBorder="1"/>
    <xf numFmtId="0" fontId="57" fillId="6" borderId="58" xfId="0" applyFont="1" applyFill="1" applyBorder="1" applyAlignment="1">
      <alignment horizontal="right"/>
    </xf>
    <xf numFmtId="176" fontId="96" fillId="4" borderId="0" xfId="0" applyNumberFormat="1" applyFont="1" applyFill="1"/>
    <xf numFmtId="41" fontId="13" fillId="0" borderId="9" xfId="12" applyNumberFormat="1" applyFont="1" applyFill="1" applyBorder="1"/>
    <xf numFmtId="41" fontId="13" fillId="0" borderId="6" xfId="12" applyNumberFormat="1" applyFont="1" applyFill="1" applyBorder="1"/>
    <xf numFmtId="41" fontId="29" fillId="0" borderId="0" xfId="0" applyNumberFormat="1" applyFont="1"/>
    <xf numFmtId="14" fontId="57" fillId="9" borderId="10" xfId="0" quotePrefix="1" applyNumberFormat="1" applyFont="1" applyFill="1" applyBorder="1" applyAlignment="1">
      <alignment horizontal="center"/>
    </xf>
    <xf numFmtId="14" fontId="42" fillId="0" borderId="10" xfId="0" quotePrefix="1" applyNumberFormat="1" applyFont="1" applyBorder="1" applyAlignment="1">
      <alignment horizontal="center"/>
    </xf>
    <xf numFmtId="165" fontId="42" fillId="0" borderId="0" xfId="14" applyNumberFormat="1" applyFont="1" applyFill="1" applyBorder="1"/>
    <xf numFmtId="5" fontId="58" fillId="0" borderId="0" xfId="14" applyNumberFormat="1" applyFont="1" applyFill="1" applyBorder="1" applyAlignment="1">
      <alignment horizontal="center"/>
    </xf>
    <xf numFmtId="5" fontId="58" fillId="0" borderId="0" xfId="0" applyNumberFormat="1" applyFont="1" applyBorder="1"/>
    <xf numFmtId="5" fontId="42" fillId="0" borderId="0" xfId="12" applyNumberFormat="1" applyFont="1"/>
    <xf numFmtId="0" fontId="13" fillId="0" borderId="0" xfId="12" applyFont="1" applyAlignment="1">
      <alignment horizontal="left"/>
    </xf>
    <xf numFmtId="0" fontId="18" fillId="0" borderId="0" xfId="0" applyFont="1" applyAlignment="1">
      <alignment horizontal="center"/>
    </xf>
    <xf numFmtId="0" fontId="17" fillId="0" borderId="0" xfId="0" applyFont="1" applyAlignment="1">
      <alignment horizontal="center"/>
    </xf>
    <xf numFmtId="3" fontId="14" fillId="4" borderId="1" xfId="13" applyNumberFormat="1" applyFont="1" applyFill="1" applyBorder="1" applyAlignment="1">
      <alignment horizontal="center"/>
    </xf>
    <xf numFmtId="3" fontId="14" fillId="4" borderId="5" xfId="13" applyNumberFormat="1" applyFont="1" applyFill="1" applyBorder="1" applyAlignment="1">
      <alignment horizontal="center"/>
    </xf>
    <xf numFmtId="3" fontId="14" fillId="4" borderId="8" xfId="13" applyNumberFormat="1" applyFont="1" applyFill="1" applyBorder="1" applyAlignment="1">
      <alignment horizontal="center"/>
    </xf>
    <xf numFmtId="41" fontId="13" fillId="4" borderId="0" xfId="12" applyNumberFormat="1" applyFont="1" applyFill="1" applyBorder="1"/>
    <xf numFmtId="169" fontId="13" fillId="4" borderId="0" xfId="1" applyNumberFormat="1" applyFont="1" applyFill="1"/>
    <xf numFmtId="41" fontId="13" fillId="4" borderId="10" xfId="12" applyNumberFormat="1" applyFont="1" applyFill="1" applyBorder="1"/>
    <xf numFmtId="41" fontId="14" fillId="4" borderId="6" xfId="12" applyNumberFormat="1" applyFont="1" applyFill="1" applyBorder="1"/>
    <xf numFmtId="41" fontId="14" fillId="4" borderId="1" xfId="23" applyNumberFormat="1" applyFont="1" applyFill="1" applyBorder="1" applyAlignment="1">
      <alignment horizontal="center"/>
    </xf>
    <xf numFmtId="41" fontId="14" fillId="4" borderId="5" xfId="23" quotePrefix="1" applyNumberFormat="1" applyFont="1" applyFill="1" applyBorder="1" applyAlignment="1">
      <alignment horizontal="center"/>
    </xf>
    <xf numFmtId="41" fontId="14" fillId="4" borderId="8" xfId="23" applyNumberFormat="1" applyFont="1" applyFill="1" applyBorder="1" applyAlignment="1">
      <alignment horizontal="center"/>
    </xf>
    <xf numFmtId="41" fontId="14" fillId="4" borderId="10" xfId="12" applyNumberFormat="1" applyFont="1" applyFill="1" applyBorder="1" applyAlignment="1">
      <alignment horizontal="center" vertical="top"/>
    </xf>
    <xf numFmtId="41" fontId="14" fillId="4" borderId="0" xfId="12" applyNumberFormat="1" applyFont="1" applyFill="1" applyAlignment="1">
      <alignment wrapText="1"/>
    </xf>
    <xf numFmtId="0" fontId="13" fillId="4" borderId="0" xfId="12" applyFont="1" applyFill="1" applyAlignment="1">
      <alignment horizontal="center"/>
    </xf>
    <xf numFmtId="5" fontId="13" fillId="4" borderId="13" xfId="12" applyNumberFormat="1" applyFont="1" applyFill="1" applyBorder="1"/>
    <xf numFmtId="41" fontId="18" fillId="0" borderId="0" xfId="12" applyNumberFormat="1" applyFont="1" applyAlignment="1"/>
    <xf numFmtId="0" fontId="17" fillId="0" borderId="0" xfId="12" applyFont="1"/>
    <xf numFmtId="0" fontId="11" fillId="9" borderId="0" xfId="0" applyFont="1" applyFill="1" applyAlignment="1">
      <alignment horizontal="center"/>
    </xf>
    <xf numFmtId="0" fontId="103" fillId="0" borderId="0" xfId="0" applyFont="1"/>
    <xf numFmtId="37" fontId="11" fillId="0" borderId="0" xfId="533" applyFont="1"/>
    <xf numFmtId="37" fontId="11" fillId="9" borderId="0" xfId="533" applyFont="1" applyFill="1"/>
    <xf numFmtId="37" fontId="11" fillId="0" borderId="0" xfId="0" applyNumberFormat="1" applyFont="1" applyAlignment="1">
      <alignment horizontal="right"/>
    </xf>
    <xf numFmtId="37" fontId="11" fillId="9" borderId="0" xfId="0" applyNumberFormat="1" applyFont="1" applyFill="1" applyAlignment="1">
      <alignment horizontal="right"/>
    </xf>
    <xf numFmtId="10" fontId="11" fillId="0" borderId="0" xfId="0" applyNumberFormat="1" applyFont="1" applyAlignment="1">
      <alignment horizontal="right"/>
    </xf>
    <xf numFmtId="10" fontId="11" fillId="9" borderId="0" xfId="0" applyNumberFormat="1" applyFont="1" applyFill="1" applyAlignment="1">
      <alignment horizontal="right"/>
    </xf>
    <xf numFmtId="37" fontId="11" fillId="0" borderId="3" xfId="0" applyNumberFormat="1" applyFont="1" applyBorder="1" applyAlignment="1">
      <alignment horizontal="right"/>
    </xf>
    <xf numFmtId="37" fontId="11" fillId="9" borderId="3" xfId="0" applyNumberFormat="1" applyFont="1" applyFill="1" applyBorder="1" applyAlignment="1">
      <alignment horizontal="right"/>
    </xf>
    <xf numFmtId="0" fontId="11" fillId="9" borderId="0" xfId="0" applyFont="1" applyFill="1"/>
    <xf numFmtId="37" fontId="103" fillId="0" borderId="0" xfId="0" applyNumberFormat="1" applyFont="1" applyAlignment="1">
      <alignment horizontal="right"/>
    </xf>
    <xf numFmtId="37" fontId="103" fillId="9" borderId="0" xfId="0" applyNumberFormat="1" applyFont="1" applyFill="1" applyAlignment="1">
      <alignment horizontal="right"/>
    </xf>
    <xf numFmtId="37" fontId="11" fillId="0" borderId="3" xfId="0" applyNumberFormat="1" applyFont="1" applyBorder="1"/>
    <xf numFmtId="37" fontId="11" fillId="9" borderId="3" xfId="0" applyNumberFormat="1" applyFont="1" applyFill="1" applyBorder="1"/>
    <xf numFmtId="165" fontId="11" fillId="4" borderId="16" xfId="14" applyNumberFormat="1" applyFill="1" applyBorder="1"/>
    <xf numFmtId="165" fontId="11" fillId="9" borderId="16" xfId="14" applyNumberFormat="1" applyFill="1" applyBorder="1"/>
    <xf numFmtId="10" fontId="11" fillId="0" borderId="16" xfId="14" applyNumberFormat="1" applyBorder="1"/>
    <xf numFmtId="10" fontId="11" fillId="9" borderId="16" xfId="14" applyNumberFormat="1" applyFill="1" applyBorder="1"/>
    <xf numFmtId="165" fontId="0" fillId="0" borderId="0" xfId="14" applyNumberFormat="1" applyFont="1"/>
    <xf numFmtId="0" fontId="0" fillId="0" borderId="25" xfId="0" applyBorder="1"/>
    <xf numFmtId="0" fontId="11" fillId="0" borderId="10" xfId="0" applyFont="1" applyBorder="1" applyAlignment="1">
      <alignment horizontal="center"/>
    </xf>
    <xf numFmtId="165" fontId="0" fillId="0" borderId="0" xfId="14" applyNumberFormat="1" applyFont="1" applyFill="1"/>
    <xf numFmtId="165" fontId="0" fillId="0" borderId="10" xfId="0" applyNumberFormat="1" applyBorder="1"/>
    <xf numFmtId="165" fontId="0" fillId="0" borderId="0" xfId="0" applyNumberFormat="1"/>
    <xf numFmtId="0" fontId="104" fillId="0" borderId="0" xfId="0" applyFont="1" applyAlignment="1">
      <alignment horizontal="center"/>
    </xf>
    <xf numFmtId="165" fontId="0" fillId="0" borderId="10" xfId="14" applyNumberFormat="1" applyFont="1" applyFill="1" applyBorder="1"/>
    <xf numFmtId="0" fontId="105" fillId="0" borderId="0" xfId="0" applyFont="1"/>
    <xf numFmtId="0" fontId="106" fillId="0" borderId="0" xfId="0" applyFont="1"/>
    <xf numFmtId="0" fontId="102" fillId="0" borderId="0" xfId="0" applyFont="1" applyAlignment="1">
      <alignment horizontal="center"/>
    </xf>
    <xf numFmtId="0" fontId="42" fillId="0" borderId="0" xfId="0" applyFont="1" applyAlignment="1">
      <alignment horizontal="left" vertical="top" wrapText="1"/>
    </xf>
    <xf numFmtId="15" fontId="50" fillId="9" borderId="14" xfId="0" quotePrefix="1" applyNumberFormat="1" applyFont="1" applyFill="1" applyBorder="1" applyAlignment="1">
      <alignment horizontal="center"/>
    </xf>
    <xf numFmtId="15" fontId="50" fillId="9" borderId="12" xfId="0" quotePrefix="1" applyNumberFormat="1" applyFont="1" applyFill="1" applyBorder="1" applyAlignment="1">
      <alignment horizontal="center"/>
    </xf>
    <xf numFmtId="41" fontId="50" fillId="9" borderId="12" xfId="0" quotePrefix="1" applyNumberFormat="1" applyFont="1" applyFill="1" applyBorder="1" applyAlignment="1">
      <alignment horizontal="center"/>
    </xf>
    <xf numFmtId="41" fontId="50" fillId="9" borderId="15" xfId="0" quotePrefix="1" applyNumberFormat="1" applyFont="1" applyFill="1" applyBorder="1" applyAlignment="1">
      <alignment horizontal="center"/>
    </xf>
    <xf numFmtId="0" fontId="13" fillId="0" borderId="0" xfId="12" applyFont="1" applyAlignment="1">
      <alignment horizontal="left"/>
    </xf>
    <xf numFmtId="0" fontId="51" fillId="0" borderId="0" xfId="12" applyNumberFormat="1" applyFont="1" applyAlignment="1">
      <alignment horizontal="left" vertical="top" wrapText="1"/>
    </xf>
    <xf numFmtId="3" fontId="14" fillId="4" borderId="0" xfId="0" applyNumberFormat="1" applyFont="1" applyFill="1" applyAlignment="1">
      <alignment horizontal="left" vertical="top" wrapText="1"/>
    </xf>
    <xf numFmtId="3" fontId="14" fillId="4" borderId="10" xfId="0" applyNumberFormat="1" applyFont="1" applyFill="1" applyBorder="1" applyAlignment="1">
      <alignment horizontal="left" vertical="top" wrapText="1"/>
    </xf>
    <xf numFmtId="15" fontId="50" fillId="9" borderId="41" xfId="0" quotePrefix="1" applyNumberFormat="1" applyFont="1" applyFill="1" applyBorder="1" applyAlignment="1">
      <alignment horizontal="center"/>
    </xf>
    <xf numFmtId="15" fontId="50" fillId="9" borderId="15" xfId="0" quotePrefix="1" applyNumberFormat="1" applyFont="1" applyFill="1" applyBorder="1" applyAlignment="1">
      <alignment horizontal="center"/>
    </xf>
    <xf numFmtId="167" fontId="18" fillId="0" borderId="0" xfId="0" applyNumberFormat="1" applyFont="1" applyAlignment="1">
      <alignment horizontal="center"/>
    </xf>
    <xf numFmtId="0" fontId="18" fillId="0" borderId="0" xfId="0" applyFont="1" applyAlignment="1">
      <alignment horizontal="center"/>
    </xf>
    <xf numFmtId="3" fontId="57" fillId="0" borderId="0" xfId="0" applyNumberFormat="1" applyFont="1" applyFill="1" applyAlignment="1">
      <alignment horizontal="center"/>
    </xf>
    <xf numFmtId="0" fontId="57" fillId="6" borderId="33" xfId="0" applyFont="1" applyFill="1" applyBorder="1" applyAlignment="1">
      <alignment horizontal="center"/>
    </xf>
    <xf numFmtId="0" fontId="57" fillId="6" borderId="34" xfId="0" applyFont="1" applyFill="1" applyBorder="1" applyAlignment="1">
      <alignment horizontal="center"/>
    </xf>
    <xf numFmtId="0" fontId="57" fillId="6" borderId="35" xfId="0" applyFont="1" applyFill="1" applyBorder="1" applyAlignment="1">
      <alignment horizontal="center"/>
    </xf>
    <xf numFmtId="0" fontId="57" fillId="6" borderId="22" xfId="0" applyFont="1" applyFill="1" applyBorder="1" applyAlignment="1">
      <alignment horizontal="center"/>
    </xf>
    <xf numFmtId="0" fontId="57" fillId="6" borderId="0" xfId="0" applyFont="1" applyFill="1" applyBorder="1" applyAlignment="1">
      <alignment horizontal="center"/>
    </xf>
    <xf numFmtId="0" fontId="57" fillId="6" borderId="23" xfId="0" applyFont="1" applyFill="1" applyBorder="1" applyAlignment="1">
      <alignment horizontal="center"/>
    </xf>
    <xf numFmtId="0" fontId="57" fillId="0" borderId="22" xfId="0" applyFont="1" applyFill="1" applyBorder="1" applyAlignment="1">
      <alignment horizontal="center"/>
    </xf>
    <xf numFmtId="0" fontId="57" fillId="0" borderId="0" xfId="0" applyFont="1" applyFill="1" applyBorder="1" applyAlignment="1">
      <alignment horizontal="center"/>
    </xf>
    <xf numFmtId="0" fontId="57" fillId="0" borderId="23" xfId="0" applyFont="1" applyFill="1" applyBorder="1" applyAlignment="1">
      <alignment horizontal="center"/>
    </xf>
    <xf numFmtId="0" fontId="57" fillId="0" borderId="0" xfId="0" applyFont="1" applyAlignment="1">
      <alignment horizontal="center"/>
    </xf>
    <xf numFmtId="0" fontId="57" fillId="9" borderId="0" xfId="0" applyFont="1" applyFill="1" applyAlignment="1">
      <alignment horizontal="center" wrapText="1"/>
    </xf>
    <xf numFmtId="41" fontId="13" fillId="0" borderId="0" xfId="23" applyNumberFormat="1" applyFont="1" applyFill="1" applyAlignment="1">
      <alignment horizontal="center" wrapText="1"/>
    </xf>
    <xf numFmtId="41" fontId="13" fillId="0" borderId="10" xfId="23" applyNumberFormat="1" applyFont="1" applyFill="1" applyBorder="1" applyAlignment="1">
      <alignment horizontal="center" wrapText="1"/>
    </xf>
    <xf numFmtId="41" fontId="14" fillId="0" borderId="0" xfId="23" applyNumberFormat="1" applyFont="1" applyFill="1" applyAlignment="1">
      <alignment horizontal="center" wrapText="1"/>
    </xf>
    <xf numFmtId="41" fontId="14" fillId="0" borderId="10" xfId="23" applyNumberFormat="1" applyFont="1" applyFill="1" applyBorder="1" applyAlignment="1">
      <alignment horizontal="center" wrapText="1"/>
    </xf>
    <xf numFmtId="41" fontId="13" fillId="0" borderId="0" xfId="12" applyNumberFormat="1" applyFont="1" applyFill="1" applyAlignment="1">
      <alignment horizontal="right" vertical="top" wrapText="1"/>
    </xf>
    <xf numFmtId="3" fontId="14" fillId="0" borderId="0" xfId="13" applyNumberFormat="1" applyFont="1" applyFill="1" applyBorder="1" applyAlignment="1">
      <alignment horizontal="center" wrapText="1"/>
    </xf>
    <xf numFmtId="0" fontId="17" fillId="0" borderId="0" xfId="0" applyFont="1" applyAlignment="1">
      <alignment horizontal="center"/>
    </xf>
    <xf numFmtId="0" fontId="19" fillId="0" borderId="0" xfId="0" applyFont="1" applyAlignment="1">
      <alignment horizontal="center"/>
    </xf>
    <xf numFmtId="41" fontId="17" fillId="0" borderId="10" xfId="0" applyNumberFormat="1" applyFont="1" applyBorder="1" applyAlignment="1">
      <alignment horizontal="center"/>
    </xf>
    <xf numFmtId="167" fontId="17" fillId="0" borderId="0" xfId="54" applyNumberFormat="1" applyFont="1" applyAlignment="1">
      <alignment horizontal="left" wrapText="1"/>
    </xf>
    <xf numFmtId="0" fontId="17" fillId="0" borderId="27" xfId="11" applyFont="1" applyBorder="1" applyAlignment="1">
      <alignment horizontal="center"/>
    </xf>
    <xf numFmtId="0" fontId="17" fillId="0" borderId="28" xfId="11" applyFont="1" applyBorder="1" applyAlignment="1">
      <alignment horizontal="center"/>
    </xf>
    <xf numFmtId="0" fontId="17" fillId="0" borderId="29" xfId="11" applyFont="1" applyBorder="1" applyAlignment="1">
      <alignment horizontal="center"/>
    </xf>
    <xf numFmtId="4" fontId="18" fillId="0" borderId="0" xfId="11" applyNumberFormat="1" applyFont="1" applyBorder="1" applyAlignment="1">
      <alignment horizontal="center"/>
    </xf>
    <xf numFmtId="4" fontId="19" fillId="0" borderId="0" xfId="11" applyNumberFormat="1" applyFont="1" applyBorder="1" applyAlignment="1">
      <alignment horizontal="center"/>
    </xf>
    <xf numFmtId="4" fontId="17" fillId="0" borderId="0" xfId="11" applyNumberFormat="1" applyFont="1" applyBorder="1" applyAlignment="1">
      <alignment horizontal="center"/>
    </xf>
    <xf numFmtId="3" fontId="27" fillId="0" borderId="0" xfId="0" applyNumberFormat="1" applyFont="1" applyAlignment="1">
      <alignment horizontal="left"/>
    </xf>
    <xf numFmtId="0" fontId="35" fillId="0" borderId="0" xfId="0" applyFont="1" applyAlignment="1">
      <alignment horizontal="center"/>
    </xf>
    <xf numFmtId="0" fontId="17" fillId="0" borderId="10" xfId="0" applyFont="1" applyBorder="1" applyAlignment="1">
      <alignment horizontal="center"/>
    </xf>
    <xf numFmtId="0" fontId="18" fillId="0" borderId="0" xfId="0" applyFont="1" applyFill="1" applyAlignment="1">
      <alignment horizontal="center"/>
    </xf>
    <xf numFmtId="3" fontId="18" fillId="0" borderId="0" xfId="0" applyNumberFormat="1" applyFont="1" applyFill="1" applyAlignment="1">
      <alignment horizontal="center" vertical="center"/>
    </xf>
    <xf numFmtId="41" fontId="14" fillId="9" borderId="1" xfId="0" applyNumberFormat="1" applyFont="1" applyFill="1" applyBorder="1" applyAlignment="1">
      <alignment horizontal="center" wrapText="1"/>
    </xf>
    <xf numFmtId="41" fontId="14" fillId="9" borderId="8" xfId="0" applyNumberFormat="1" applyFont="1" applyFill="1" applyBorder="1" applyAlignment="1">
      <alignment horizontal="center" wrapText="1"/>
    </xf>
    <xf numFmtId="0" fontId="17" fillId="4" borderId="0" xfId="0" applyFont="1" applyFill="1" applyAlignment="1">
      <alignment vertical="center"/>
    </xf>
    <xf numFmtId="169" fontId="92" fillId="0" borderId="0" xfId="1" applyNumberFormat="1" applyFont="1" applyAlignment="1">
      <alignment horizontal="center" vertical="center" wrapText="1"/>
    </xf>
    <xf numFmtId="0" fontId="17" fillId="0" borderId="0" xfId="0" applyFont="1" applyAlignment="1">
      <alignment horizontal="left" vertical="top" wrapText="1"/>
    </xf>
    <xf numFmtId="3" fontId="13" fillId="9" borderId="0" xfId="54" applyNumberFormat="1" applyFont="1" applyFill="1" applyAlignment="1">
      <alignment horizontal="center"/>
    </xf>
    <xf numFmtId="41" fontId="90" fillId="0" borderId="0" xfId="12" applyNumberFormat="1" applyFont="1" applyFill="1" applyBorder="1" applyAlignment="1">
      <alignment horizontal="center"/>
    </xf>
    <xf numFmtId="169" fontId="18" fillId="0" borderId="0" xfId="1" applyNumberFormat="1" applyFont="1" applyFill="1" applyAlignment="1">
      <alignment horizontal="center" wrapText="1"/>
    </xf>
    <xf numFmtId="169" fontId="18" fillId="0" borderId="10" xfId="1" applyNumberFormat="1" applyFont="1" applyFill="1" applyBorder="1" applyAlignment="1">
      <alignment horizontal="center" wrapText="1"/>
    </xf>
    <xf numFmtId="169" fontId="18" fillId="0" borderId="7" xfId="1" applyNumberFormat="1" applyFont="1" applyFill="1" applyBorder="1" applyAlignment="1">
      <alignment horizontal="center" wrapText="1"/>
    </xf>
    <xf numFmtId="169" fontId="18" fillId="0" borderId="11" xfId="1" applyNumberFormat="1" applyFont="1" applyFill="1" applyBorder="1" applyAlignment="1">
      <alignment horizontal="center" wrapText="1"/>
    </xf>
    <xf numFmtId="41" fontId="14" fillId="0" borderId="0" xfId="12" applyNumberFormat="1" applyFont="1" applyBorder="1" applyAlignment="1">
      <alignment horizontal="center" vertical="center" wrapText="1"/>
    </xf>
    <xf numFmtId="0" fontId="17" fillId="6" borderId="0" xfId="0" applyFont="1" applyFill="1" applyBorder="1" applyAlignment="1">
      <alignment horizontal="left" vertical="top" wrapText="1"/>
    </xf>
    <xf numFmtId="0" fontId="18" fillId="6" borderId="59" xfId="0" applyFont="1" applyFill="1" applyBorder="1" applyAlignment="1">
      <alignment horizontal="left" vertical="top" wrapText="1"/>
    </xf>
    <xf numFmtId="0" fontId="18" fillId="6" borderId="60" xfId="0" applyFont="1" applyFill="1" applyBorder="1" applyAlignment="1">
      <alignment horizontal="left" vertical="top" wrapText="1"/>
    </xf>
    <xf numFmtId="0" fontId="18" fillId="6" borderId="61" xfId="0" applyFont="1" applyFill="1" applyBorder="1" applyAlignment="1">
      <alignment horizontal="left" vertical="top" wrapText="1"/>
    </xf>
    <xf numFmtId="0" fontId="18" fillId="6" borderId="62" xfId="0" applyFont="1" applyFill="1" applyBorder="1" applyAlignment="1">
      <alignment horizontal="left" vertical="top" wrapText="1"/>
    </xf>
    <xf numFmtId="0" fontId="18" fillId="6" borderId="3" xfId="0" applyFont="1" applyFill="1" applyBorder="1" applyAlignment="1">
      <alignment horizontal="left" vertical="top" wrapText="1"/>
    </xf>
    <xf numFmtId="0" fontId="18" fillId="6" borderId="63" xfId="0" applyFont="1" applyFill="1" applyBorder="1" applyAlignment="1">
      <alignment horizontal="left" vertical="top" wrapText="1"/>
    </xf>
    <xf numFmtId="0" fontId="18" fillId="6" borderId="47" xfId="0" applyFont="1" applyFill="1" applyBorder="1" applyAlignment="1">
      <alignment horizontal="left" vertical="top" wrapText="1"/>
    </xf>
    <xf numFmtId="0" fontId="18" fillId="6" borderId="10" xfId="0" applyFont="1" applyFill="1" applyBorder="1" applyAlignment="1">
      <alignment horizontal="left" vertical="top" wrapText="1"/>
    </xf>
    <xf numFmtId="0" fontId="18" fillId="6" borderId="37" xfId="0" applyFont="1" applyFill="1" applyBorder="1" applyAlignment="1">
      <alignment horizontal="left" vertical="top" wrapText="1"/>
    </xf>
    <xf numFmtId="0" fontId="18" fillId="6" borderId="24" xfId="0" applyFont="1" applyFill="1" applyBorder="1" applyAlignment="1">
      <alignment horizontal="left" vertical="top" wrapText="1"/>
    </xf>
    <xf numFmtId="0" fontId="18" fillId="6" borderId="25" xfId="0" applyFont="1" applyFill="1" applyBorder="1" applyAlignment="1">
      <alignment horizontal="left" vertical="top" wrapText="1"/>
    </xf>
    <xf numFmtId="0" fontId="18" fillId="6" borderId="26" xfId="0" applyFont="1" applyFill="1" applyBorder="1" applyAlignment="1">
      <alignment horizontal="left" vertical="top" wrapText="1"/>
    </xf>
    <xf numFmtId="0" fontId="57" fillId="6" borderId="28" xfId="0" applyFont="1" applyFill="1" applyBorder="1" applyAlignment="1">
      <alignment horizontal="center"/>
    </xf>
    <xf numFmtId="0" fontId="57" fillId="6" borderId="29" xfId="0" applyFont="1" applyFill="1" applyBorder="1" applyAlignment="1">
      <alignment horizontal="center"/>
    </xf>
    <xf numFmtId="0" fontId="57" fillId="0" borderId="48" xfId="0" applyFont="1" applyBorder="1" applyAlignment="1">
      <alignment horizontal="center" wrapText="1"/>
    </xf>
    <xf numFmtId="0" fontId="57" fillId="0" borderId="9" xfId="0" applyFont="1" applyBorder="1" applyAlignment="1">
      <alignment horizontal="center" wrapText="1"/>
    </xf>
    <xf numFmtId="0" fontId="57" fillId="0" borderId="57" xfId="0" applyFont="1" applyBorder="1" applyAlignment="1">
      <alignment horizontal="center" wrapText="1"/>
    </xf>
    <xf numFmtId="0" fontId="57" fillId="0" borderId="52" xfId="0" applyFont="1" applyBorder="1" applyAlignment="1">
      <alignment horizontal="center" wrapText="1"/>
    </xf>
    <xf numFmtId="0" fontId="17" fillId="6" borderId="24" xfId="0" applyFont="1" applyFill="1" applyBorder="1" applyAlignment="1">
      <alignment horizontal="left" wrapText="1"/>
    </xf>
    <xf numFmtId="0" fontId="17" fillId="6" borderId="25" xfId="0" applyFont="1" applyFill="1" applyBorder="1" applyAlignment="1">
      <alignment horizontal="left" wrapText="1"/>
    </xf>
    <xf numFmtId="0" fontId="57" fillId="6" borderId="19" xfId="0" applyFont="1" applyFill="1" applyBorder="1" applyAlignment="1">
      <alignment horizontal="left"/>
    </xf>
    <xf numFmtId="0" fontId="57" fillId="6" borderId="21" xfId="0" applyFont="1" applyFill="1" applyBorder="1" applyAlignment="1">
      <alignment horizontal="left"/>
    </xf>
    <xf numFmtId="3" fontId="18" fillId="0" borderId="0" xfId="0" applyNumberFormat="1" applyFont="1" applyFill="1" applyAlignment="1">
      <alignment horizontal="center"/>
    </xf>
    <xf numFmtId="0" fontId="14" fillId="0" borderId="0" xfId="0" applyFont="1" applyFill="1" applyBorder="1" applyAlignment="1">
      <alignment horizontal="center" wrapText="1"/>
    </xf>
    <xf numFmtId="0" fontId="14" fillId="0" borderId="10" xfId="0" applyFont="1" applyFill="1" applyBorder="1" applyAlignment="1">
      <alignment horizontal="center" wrapText="1"/>
    </xf>
    <xf numFmtId="0" fontId="18" fillId="4" borderId="40" xfId="0" applyFont="1" applyFill="1" applyBorder="1" applyAlignment="1">
      <alignment horizontal="left" vertical="top" wrapText="1"/>
    </xf>
    <xf numFmtId="0" fontId="18" fillId="4" borderId="31" xfId="0" applyFont="1" applyFill="1" applyBorder="1" applyAlignment="1">
      <alignment horizontal="left" vertical="top" wrapText="1"/>
    </xf>
    <xf numFmtId="0" fontId="18" fillId="4" borderId="32" xfId="0" applyFont="1" applyFill="1" applyBorder="1" applyAlignment="1">
      <alignment horizontal="left" vertical="top" wrapText="1"/>
    </xf>
    <xf numFmtId="0" fontId="18" fillId="7" borderId="40" xfId="0" applyFont="1" applyFill="1" applyBorder="1" applyAlignment="1">
      <alignment horizontal="left" vertical="top" wrapText="1"/>
    </xf>
    <xf numFmtId="0" fontId="18" fillId="7" borderId="31" xfId="0" applyFont="1" applyFill="1" applyBorder="1" applyAlignment="1">
      <alignment horizontal="left" vertical="top" wrapText="1"/>
    </xf>
    <xf numFmtId="0" fontId="18" fillId="7" borderId="32" xfId="0" applyFont="1" applyFill="1" applyBorder="1" applyAlignment="1">
      <alignment horizontal="left" vertical="top" wrapText="1"/>
    </xf>
    <xf numFmtId="0" fontId="18" fillId="0" borderId="0" xfId="0" applyFont="1" applyAlignment="1">
      <alignment horizontal="center" vertical="top"/>
    </xf>
    <xf numFmtId="0" fontId="17" fillId="0" borderId="0" xfId="0" applyFont="1" applyAlignment="1">
      <alignment horizontal="center" vertical="top"/>
    </xf>
    <xf numFmtId="0" fontId="19" fillId="0" borderId="0" xfId="0" applyFont="1" applyAlignment="1">
      <alignment horizontal="center" vertical="top"/>
    </xf>
    <xf numFmtId="0" fontId="18" fillId="0" borderId="0" xfId="0" applyFont="1" applyFill="1" applyBorder="1" applyAlignment="1">
      <alignment horizontal="center" wrapText="1"/>
    </xf>
    <xf numFmtId="0" fontId="18" fillId="0" borderId="10" xfId="0" applyFont="1" applyFill="1" applyBorder="1" applyAlignment="1">
      <alignment horizontal="center" wrapText="1"/>
    </xf>
    <xf numFmtId="41" fontId="18" fillId="0" borderId="0" xfId="0" applyNumberFormat="1" applyFont="1" applyFill="1" applyAlignment="1">
      <alignment horizontal="center" vertical="top" wrapText="1"/>
    </xf>
    <xf numFmtId="0" fontId="18" fillId="4" borderId="0" xfId="0" applyFont="1" applyFill="1" applyAlignment="1">
      <alignment horizontal="center" vertical="center" wrapText="1"/>
    </xf>
    <xf numFmtId="4" fontId="17" fillId="0" borderId="0" xfId="0" applyNumberFormat="1" applyFont="1" applyAlignment="1">
      <alignment horizontal="center" vertical="top"/>
    </xf>
    <xf numFmtId="4" fontId="17" fillId="0" borderId="0" xfId="0" applyNumberFormat="1" applyFont="1" applyAlignment="1">
      <alignment horizontal="left" vertical="top"/>
    </xf>
    <xf numFmtId="3" fontId="17" fillId="10" borderId="0" xfId="0" applyNumberFormat="1" applyFont="1" applyFill="1" applyAlignment="1">
      <alignment horizontal="left" vertical="top" wrapText="1"/>
    </xf>
    <xf numFmtId="0" fontId="14" fillId="0" borderId="0" xfId="0" applyFont="1" applyAlignment="1">
      <alignment horizontal="center" vertical="top"/>
    </xf>
  </cellXfs>
  <cellStyles count="534">
    <cellStyle name="Comma" xfId="1" builtinId="3"/>
    <cellStyle name="Comma 10" xfId="101" xr:uid="{4C6F1EF9-67E1-4FA8-A091-5B7D33805E26}"/>
    <cellStyle name="Comma 10 2" xfId="223" xr:uid="{A18150C6-E375-4F10-94E6-AAD4992EC5CC}"/>
    <cellStyle name="Comma 10 2 2" xfId="472" xr:uid="{033BDF73-6C20-4379-AA19-9917715979B4}"/>
    <cellStyle name="Comma 10 2 3" xfId="327" xr:uid="{E107A6FC-76E5-4651-81C6-2BE1BA404258}"/>
    <cellStyle name="Comma 10 3" xfId="264" xr:uid="{E8419EC8-5108-4650-8FE6-035F8512C896}"/>
    <cellStyle name="Comma 10 3 2" xfId="513" xr:uid="{7009A5A3-CF5A-4600-AB85-646F0C84D9C8}"/>
    <cellStyle name="Comma 10 3 3" xfId="368" xr:uid="{EF3E1E43-794D-4185-B5D0-98D570917D8B}"/>
    <cellStyle name="Comma 10 4" xfId="172" xr:uid="{AEFA24A6-891A-4872-A80D-FABE2A48E876}"/>
    <cellStyle name="Comma 10 4 2" xfId="447" xr:uid="{1D095EFD-F3F7-45B7-9163-E987F4E0A25F}"/>
    <cellStyle name="Comma 10 5" xfId="409" xr:uid="{6178EDD5-8BFB-4A08-94C4-33BFF4689217}"/>
    <cellStyle name="Comma 10 6" xfId="302" xr:uid="{85A599FC-42FB-438D-89C6-B127390D9434}"/>
    <cellStyle name="Comma 11" xfId="117" xr:uid="{01D37127-9C22-47B0-93D5-E16BC40339C9}"/>
    <cellStyle name="Comma 11 2" xfId="238" xr:uid="{1D4D3180-2E39-4028-BCFF-C73D965074E5}"/>
    <cellStyle name="Comma 11 2 2" xfId="487" xr:uid="{662B802D-990C-44E8-B0E6-F0EEAE713084}"/>
    <cellStyle name="Comma 11 2 3" xfId="342" xr:uid="{078C88AC-7AD8-4742-9A3C-84315C55A81E}"/>
    <cellStyle name="Comma 11 3" xfId="279" xr:uid="{ED459779-CCAE-4FB9-9397-5CA9A1BC9C6C}"/>
    <cellStyle name="Comma 11 3 2" xfId="528" xr:uid="{8087BA20-6F03-44D0-812D-D4C6ECF88FC3}"/>
    <cellStyle name="Comma 11 3 3" xfId="383" xr:uid="{B2EA60B3-7533-4914-9CEF-78107CC0D45A}"/>
    <cellStyle name="Comma 11 4" xfId="175" xr:uid="{14851336-F92A-4560-B334-E95614211F91}"/>
    <cellStyle name="Comma 11 4 2" xfId="450" xr:uid="{521904D0-B020-407A-AC4D-C82BCE9AB680}"/>
    <cellStyle name="Comma 11 5" xfId="424" xr:uid="{112BCF42-F94C-48A1-BA03-7581551BF654}"/>
    <cellStyle name="Comma 11 6" xfId="305" xr:uid="{5011B954-A172-4794-874A-BC38D4D8C839}"/>
    <cellStyle name="Comma 12" xfId="121" xr:uid="{9A85E201-77D2-46DE-9CF6-1B662C6CBFE2}"/>
    <cellStyle name="Comma 12 2" xfId="282" xr:uid="{506E810E-5C4A-44B5-AC2F-F5C8EF439A37}"/>
    <cellStyle name="Comma 12 2 2" xfId="531" xr:uid="{FF08405E-6F9C-4BD6-B0A4-1EC0CAF7E2C0}"/>
    <cellStyle name="Comma 12 2 3" xfId="386" xr:uid="{29446482-4D69-4AA0-8A9F-A974C73CAB54}"/>
    <cellStyle name="Comma 12 3" xfId="241" xr:uid="{8C20C588-7D07-4269-8060-6499D95EAA07}"/>
    <cellStyle name="Comma 12 3 2" xfId="490" xr:uid="{8CEC1789-71DD-4BFA-A6A2-AA6A0D59BB33}"/>
    <cellStyle name="Comma 12 4" xfId="427" xr:uid="{F3AEF256-A3C0-4B14-8F5D-F07ECA2801E9}"/>
    <cellStyle name="Comma 12 5" xfId="345" xr:uid="{D8965866-2040-492F-A9E0-276A34C73F46}"/>
    <cellStyle name="Comma 14" xfId="113" xr:uid="{82F41F39-5553-4D21-94F3-EFECE66AF850}"/>
    <cellStyle name="Comma 14 2" xfId="275" xr:uid="{BA989F09-4861-4F82-91D1-FA9F559809F6}"/>
    <cellStyle name="Comma 14 2 2" xfId="524" xr:uid="{11345C39-100A-4C2E-BA6A-42312576A7A2}"/>
    <cellStyle name="Comma 14 2 3" xfId="379" xr:uid="{180DE1D0-AA0C-434E-8DFB-64B1E8D12C4F}"/>
    <cellStyle name="Comma 14 3" xfId="234" xr:uid="{A22A7B26-CF66-4A7C-ABB8-AB83C246CF86}"/>
    <cellStyle name="Comma 14 3 2" xfId="483" xr:uid="{3508EEE3-2A82-4D4D-AB97-327EFBD7F9CB}"/>
    <cellStyle name="Comma 14 4" xfId="420" xr:uid="{CF5E9A61-8907-4C92-92EB-822090A6B134}"/>
    <cellStyle name="Comma 14 5" xfId="338" xr:uid="{2C96AF8A-DC82-4E26-8FAE-423024156848}"/>
    <cellStyle name="Comma 2" xfId="18" xr:uid="{00000000-0005-0000-0000-000001000000}"/>
    <cellStyle name="Comma 2 2" xfId="36" xr:uid="{54C6F439-F1EF-442B-8877-652FE571D4B2}"/>
    <cellStyle name="Comma 2 2 2" xfId="155" xr:uid="{6BB0D6A1-F1A2-49E9-A671-0942FE8FED09}"/>
    <cellStyle name="Comma 2 2 3" xfId="130" xr:uid="{49B8846F-8CF4-4F9C-B6AD-B8FD60C43A3E}"/>
    <cellStyle name="Comma 2 2 3 2" xfId="431" xr:uid="{902C01DE-E020-4905-AEF1-12A40F8BA880}"/>
    <cellStyle name="Comma 2 2 4" xfId="286" xr:uid="{9AE605DC-C1A0-4CA0-AEC6-289D6238BA83}"/>
    <cellStyle name="Comma 2 3" xfId="55" xr:uid="{59756260-8E9A-41EF-A3F4-5781048EEFDB}"/>
    <cellStyle name="Comma 2 3 2" xfId="200" xr:uid="{E7813D4D-23FC-4EE6-8997-C701BBB92C6D}"/>
    <cellStyle name="Comma 2 3 2 2" xfId="458" xr:uid="{6DE66D42-F7D6-4BE9-8CCB-77966E734FB9}"/>
    <cellStyle name="Comma 2 3 2 3" xfId="313" xr:uid="{A619AAE7-1845-42FA-B23A-463E9DD5A507}"/>
    <cellStyle name="Comma 2 3 3" xfId="250" xr:uid="{016C3B59-CB47-4F3F-8433-97B7B6D55295}"/>
    <cellStyle name="Comma 2 3 3 2" xfId="499" xr:uid="{1885B197-82DC-4071-8CDB-6F0BB17CE693}"/>
    <cellStyle name="Comma 2 3 3 3" xfId="354" xr:uid="{36ADDB4B-6BC0-48A0-B2A9-52EFC6D042EA}"/>
    <cellStyle name="Comma 2 3 4" xfId="139" xr:uid="{021435D1-2720-4386-A989-81A4F4B2525E}"/>
    <cellStyle name="Comma 2 3 5" xfId="395" xr:uid="{EA96FA38-C681-4AFC-80B9-949B356294EC}"/>
    <cellStyle name="Comma 2 4" xfId="60" xr:uid="{F4B45EA4-2DAB-47F3-823C-88969533BE99}"/>
    <cellStyle name="Comma 2 4 2" xfId="204" xr:uid="{C3BACFE9-8FB0-4025-8776-6ED787F92025}"/>
    <cellStyle name="Comma 2 4 2 2" xfId="462" xr:uid="{831255D7-E297-4110-9C3C-B61BB0A40116}"/>
    <cellStyle name="Comma 2 4 2 3" xfId="317" xr:uid="{63CD834C-2F17-4666-AEC9-328D8ED20A0D}"/>
    <cellStyle name="Comma 2 4 3" xfId="254" xr:uid="{64C09325-0538-41D6-92BB-4236CBFE0CEF}"/>
    <cellStyle name="Comma 2 4 3 2" xfId="503" xr:uid="{04B1A9AF-E16E-4525-9724-B322ED3F8EDA}"/>
    <cellStyle name="Comma 2 4 3 3" xfId="358" xr:uid="{44E263B2-E0DE-4453-A2F4-29CE6202AD0E}"/>
    <cellStyle name="Comma 2 4 4" xfId="162" xr:uid="{AD234235-DD78-42DC-9218-B5CD8576813D}"/>
    <cellStyle name="Comma 2 4 5" xfId="399" xr:uid="{1B2D899F-7F66-4BAB-8DEC-8DE406CA0632}"/>
    <cellStyle name="Comma 2 5" xfId="63" xr:uid="{586C2F45-99C6-4C8D-8CA6-748EB7413F5D}"/>
    <cellStyle name="Comma 2 6" xfId="93" xr:uid="{C0B42ACD-F6FF-4A5B-A6F4-F1DD474D4F22}"/>
    <cellStyle name="Comma 2 7" xfId="103" xr:uid="{0D9FD938-CE54-4FC6-A8B5-DBFDFD62F35A}"/>
    <cellStyle name="Comma 2 7 2" xfId="266" xr:uid="{5441EA6E-3324-4F9D-B8BE-20429BADA93D}"/>
    <cellStyle name="Comma 2 7 2 2" xfId="515" xr:uid="{295DB216-B84E-468E-89FC-67DE2FEE2E86}"/>
    <cellStyle name="Comma 2 7 2 3" xfId="370" xr:uid="{87A5C8A8-098E-49B6-9380-72DDD09776C2}"/>
    <cellStyle name="Comma 2 7 3" xfId="225" xr:uid="{9493F79B-F44C-455E-8D51-39072F11900A}"/>
    <cellStyle name="Comma 2 7 3 2" xfId="474" xr:uid="{89148158-73DA-4B07-9EB3-F967F4336B8D}"/>
    <cellStyle name="Comma 2 7 4" xfId="411" xr:uid="{42FD2F94-CC5E-4808-B567-C91572592F62}"/>
    <cellStyle name="Comma 2 7 5" xfId="329" xr:uid="{30502410-0027-4353-9C3A-68DE3BAC3842}"/>
    <cellStyle name="Comma 3" xfId="20" xr:uid="{00000000-0005-0000-0000-000002000000}"/>
    <cellStyle name="Comma 3 10" xfId="389" xr:uid="{99404A33-593E-49F4-B5F2-EADBA7BFF5AE}"/>
    <cellStyle name="Comma 3 2" xfId="27" xr:uid="{2724E0FD-1B24-48A3-AC0E-1A298D895F44}"/>
    <cellStyle name="Comma 3 2 2" xfId="182" xr:uid="{C4738562-1E0E-45CC-9167-D607CE6F4C8B}"/>
    <cellStyle name="Comma 3 2 3" xfId="136" xr:uid="{477C88B3-5841-4103-89E9-D56598697A8E}"/>
    <cellStyle name="Comma 3 3" xfId="34" xr:uid="{0C86E9D8-4CFE-4FC6-B437-FB95397DB5CF}"/>
    <cellStyle name="Comma 3 3 2" xfId="188" xr:uid="{FA5F731E-1413-4918-B844-BF1006D36A8C}"/>
    <cellStyle name="Comma 3 3 3" xfId="148" xr:uid="{35B0F0F9-5FEF-43CC-8EA8-0B5500AA4F9F}"/>
    <cellStyle name="Comma 3 4" xfId="57" xr:uid="{3C2F77B5-DBA0-4155-AB98-422FA7EA8966}"/>
    <cellStyle name="Comma 3 4 2" xfId="201" xr:uid="{F51EAC98-06FF-4B9D-BCB0-62F50C367219}"/>
    <cellStyle name="Comma 3 4 2 2" xfId="459" xr:uid="{D7A03509-D806-4CAE-8445-0146D7B31925}"/>
    <cellStyle name="Comma 3 4 2 3" xfId="314" xr:uid="{FB1B6C4B-5C75-4D9B-B515-2976B0F93393}"/>
    <cellStyle name="Comma 3 4 3" xfId="251" xr:uid="{C4275E87-DE18-488B-89CA-A76119407EB3}"/>
    <cellStyle name="Comma 3 4 3 2" xfId="500" xr:uid="{754BDDA0-5BCB-40B3-BFF8-FADD6A77A593}"/>
    <cellStyle name="Comma 3 4 3 3" xfId="355" xr:uid="{DAC41A84-3FE8-4A06-BAE2-D901CD885EE3}"/>
    <cellStyle name="Comma 3 4 4" xfId="150" xr:uid="{9DD8059A-A401-4627-921F-E0729B13026F}"/>
    <cellStyle name="Comma 3 4 5" xfId="396" xr:uid="{1CF153D8-D7C7-444D-9D3E-84A0BE7292FD}"/>
    <cellStyle name="Comma 3 5" xfId="84" xr:uid="{0B098789-D5A4-4039-B0BD-B6A742B72EDA}"/>
    <cellStyle name="Comma 3 5 2" xfId="217" xr:uid="{CBF93B38-13FA-4CBC-810D-F911CF9E3C1C}"/>
    <cellStyle name="Comma 3 5 3" xfId="156" xr:uid="{6D0EB977-0627-425C-9A24-6F4C19ED45E4}"/>
    <cellStyle name="Comma 3 5 3 2" xfId="439" xr:uid="{4BBC1570-1963-4EDD-8BA7-84327990CFD4}"/>
    <cellStyle name="Comma 3 5 4" xfId="294" xr:uid="{DFA74DF4-E8A1-40EE-83A4-432E5EA67251}"/>
    <cellStyle name="Comma 3 6" xfId="114" xr:uid="{E5B5644A-3F94-4E6E-8CC6-1900C822F9E4}"/>
    <cellStyle name="Comma 3 6 2" xfId="276" xr:uid="{5F2469E8-60A5-40D5-AB80-BE70ED47C560}"/>
    <cellStyle name="Comma 3 6 2 2" xfId="525" xr:uid="{8CF49F2B-939E-4F35-9FFB-3A5FBD3A4BA7}"/>
    <cellStyle name="Comma 3 6 2 3" xfId="380" xr:uid="{000CD21A-D623-4F17-8D17-0014F46AF3E4}"/>
    <cellStyle name="Comma 3 6 3" xfId="235" xr:uid="{098110D6-3788-4767-941C-52770F2E0D23}"/>
    <cellStyle name="Comma 3 6 3 2" xfId="484" xr:uid="{447405A7-BAF4-44BA-AB87-FB4D00DD71F2}"/>
    <cellStyle name="Comma 3 6 4" xfId="421" xr:uid="{AF0BFC50-8618-429B-BCD6-2AD44F263519}"/>
    <cellStyle name="Comma 3 6 5" xfId="339" xr:uid="{49CDD0F8-96C3-4593-93BA-BDDDFC366AA2}"/>
    <cellStyle name="Comma 3 7" xfId="177" xr:uid="{A9636D14-76D4-4D0E-99D4-095E9E123F60}"/>
    <cellStyle name="Comma 3 7 2" xfId="452" xr:uid="{B8CAA4EB-5140-45F9-BC42-E403359C155A}"/>
    <cellStyle name="Comma 3 7 3" xfId="307" xr:uid="{9F32CA24-ED5F-4A82-ABB3-3003E0F58F19}"/>
    <cellStyle name="Comma 3 8" xfId="244" xr:uid="{F819DD9B-E731-442D-A0C4-9C3D847DF07B}"/>
    <cellStyle name="Comma 3 8 2" xfId="493" xr:uid="{FF031067-8167-4689-A97E-50CA4A1166EE}"/>
    <cellStyle name="Comma 3 8 3" xfId="348" xr:uid="{37F3F56D-D8AC-436F-9D24-63AAAAEECE63}"/>
    <cellStyle name="Comma 3 9" xfId="134" xr:uid="{C5B72B04-9A97-4D70-BD88-55F0CF59FE0E}"/>
    <cellStyle name="Comma 4" xfId="29" xr:uid="{05738F35-6FB9-468E-AE55-7B388138D50D}"/>
    <cellStyle name="Comma 4 2" xfId="80" xr:uid="{ECCACA60-553E-4AF1-B2C9-93300A1AF7BD}"/>
    <cellStyle name="Comma 4 3" xfId="86" xr:uid="{01201052-E5A1-48CA-B6D3-C6B4D10B826F}"/>
    <cellStyle name="Comma 4 3 2" xfId="261" xr:uid="{1DD786F8-CC5E-43BD-80D1-BC2423CF32BE}"/>
    <cellStyle name="Comma 4 3 2 2" xfId="510" xr:uid="{721093DC-D8ED-4839-A155-1892CD61F6C6}"/>
    <cellStyle name="Comma 4 3 2 3" xfId="365" xr:uid="{171DCA47-A917-4C2E-BF00-2FA228995718}"/>
    <cellStyle name="Comma 4 3 3" xfId="219" xr:uid="{B2BC2B0D-6369-4C71-A58F-C450EDD0797E}"/>
    <cellStyle name="Comma 4 3 3 2" xfId="469" xr:uid="{2935599F-714B-48E6-A60C-D6A9F7EA07FC}"/>
    <cellStyle name="Comma 4 3 4" xfId="406" xr:uid="{FCDA5B7A-3EE1-4ED5-8D7C-DCF5095972FC}"/>
    <cellStyle name="Comma 4 3 5" xfId="324" xr:uid="{3F9CCA52-1D5D-4042-AEA2-237B50FBF568}"/>
    <cellStyle name="Comma 4 4" xfId="110" xr:uid="{F71691D1-AC0F-420C-A643-51D70BCF560D}"/>
    <cellStyle name="Comma 4 4 2" xfId="272" xr:uid="{18F2C667-D7A3-4B74-92EB-9001489E8423}"/>
    <cellStyle name="Comma 4 4 2 2" xfId="521" xr:uid="{3DDEBFAB-1F35-48E0-AD47-511ABA59E82E}"/>
    <cellStyle name="Comma 4 4 2 3" xfId="376" xr:uid="{B5A68A22-A7D2-4048-8EB0-2CC5FC039046}"/>
    <cellStyle name="Comma 4 4 3" xfId="231" xr:uid="{1D8DC0C9-1513-4478-B2C0-6CC792539C23}"/>
    <cellStyle name="Comma 4 4 3 2" xfId="480" xr:uid="{8E6135AB-AB2E-4859-93F4-B60DD21B5182}"/>
    <cellStyle name="Comma 4 4 4" xfId="417" xr:uid="{706FAA89-A156-4F20-BAB6-69D8A2F5A41A}"/>
    <cellStyle name="Comma 4 4 5" xfId="335" xr:uid="{72B04501-58AA-4B9E-BBA8-C4699BC7A51D}"/>
    <cellStyle name="Comma 4 5" xfId="184" xr:uid="{8EFE5FC8-E2CA-4FE2-B3D5-571D65A3D998}"/>
    <cellStyle name="Comma 4 6" xfId="138" xr:uid="{C7E9F524-30B2-4709-9AAC-DEF374072777}"/>
    <cellStyle name="Comma 4 6 2" xfId="436" xr:uid="{B35AA648-A844-4C6F-9C5C-7AE9E3FE56E1}"/>
    <cellStyle name="Comma 4 7" xfId="291" xr:uid="{046E1EC8-33D5-4234-8C1E-3321C099C485}"/>
    <cellStyle name="Comma 5" xfId="35" xr:uid="{563B0792-10D0-4166-ACCB-A23CD03CA8F8}"/>
    <cellStyle name="Comma 6" xfId="42" xr:uid="{83088F5E-7582-4CFC-A8AC-3F45C9EEFD86}"/>
    <cellStyle name="Comma 6 2" xfId="97" xr:uid="{B5A15DAD-A5CC-4390-AE76-ACC92490E9D5}"/>
    <cellStyle name="Comma 6 3" xfId="191" xr:uid="{8E9DED2C-3716-411E-9952-4C91864E869B}"/>
    <cellStyle name="Comma 7" xfId="50" xr:uid="{14A5DBFF-8C69-44D8-8968-44E43ACC0CDC}"/>
    <cellStyle name="Comma 7 2" xfId="197" xr:uid="{B5E87B87-406A-4F29-B280-6D198A1AD470}"/>
    <cellStyle name="Comma 7 2 2" xfId="456" xr:uid="{F559C835-8902-406E-9E07-8CE0E4EB30FC}"/>
    <cellStyle name="Comma 7 2 3" xfId="311" xr:uid="{D9D76BF9-9D56-4D4B-B36E-4425A3182F74}"/>
    <cellStyle name="Comma 7 3" xfId="248" xr:uid="{607EFAF6-4166-4C7A-BC65-B1345454429C}"/>
    <cellStyle name="Comma 7 3 2" xfId="497" xr:uid="{7497EC3D-58C8-4468-8398-7FADEFE4F907}"/>
    <cellStyle name="Comma 7 3 3" xfId="352" xr:uid="{B3AFF47C-5245-4641-9D5A-F10988FB2AA7}"/>
    <cellStyle name="Comma 7 4" xfId="153" xr:uid="{2824E48F-F91E-4292-B1D6-9D87F04DC49F}"/>
    <cellStyle name="Comma 7 5" xfId="393" xr:uid="{C3CBA747-FA5C-411A-85C5-3DE568A5E9A1}"/>
    <cellStyle name="Comma 8" xfId="74" xr:uid="{6DB8E091-B0BC-4074-B10F-A969830E9ED1}"/>
    <cellStyle name="Comma 9" xfId="83" xr:uid="{85A24EBF-57CB-42E3-89B6-30BD05912B69}"/>
    <cellStyle name="Comma 9 2" xfId="216" xr:uid="{9D0FCF7F-54A6-4B2B-931A-D9FFDC597E5F}"/>
    <cellStyle name="Comma 9 3" xfId="166" xr:uid="{B76C6368-91BC-407C-9CB9-51E903997926}"/>
    <cellStyle name="Currency" xfId="2" builtinId="4"/>
    <cellStyle name="Currency 10" xfId="88" xr:uid="{6177D67B-7E3E-4814-B462-0AE111D1A2E7}"/>
    <cellStyle name="Currency 11" xfId="90" xr:uid="{2683B9A1-CA7B-4A39-AB73-71FC68F60453}"/>
    <cellStyle name="Currency 12" xfId="118" xr:uid="{6C4BEE2B-D191-47AF-B613-FF1E168116F4}"/>
    <cellStyle name="Currency 12 2" xfId="280" xr:uid="{D5C06594-BDF7-468B-B44D-E16607788A7C}"/>
    <cellStyle name="Currency 12 2 2" xfId="529" xr:uid="{81F87352-3C55-4AC1-BAB6-E9D1BF28645C}"/>
    <cellStyle name="Currency 12 2 3" xfId="384" xr:uid="{6E6906CD-3177-44C6-BA44-AC10F4AD21C3}"/>
    <cellStyle name="Currency 12 3" xfId="239" xr:uid="{6B5649B8-52A2-4E40-8413-1D9E01887CDE}"/>
    <cellStyle name="Currency 12 3 2" xfId="488" xr:uid="{341D1F23-B123-4069-9D8A-EF3E290EE42C}"/>
    <cellStyle name="Currency 12 4" xfId="425" xr:uid="{68BAE4EA-F342-491E-9D04-BD2874A26C19}"/>
    <cellStyle name="Currency 12 5" xfId="343" xr:uid="{89581685-30CB-4FC3-A431-50313961F869}"/>
    <cellStyle name="Currency 13" xfId="122" xr:uid="{DBDBDF77-EDE4-497A-A368-4A270C45F5A4}"/>
    <cellStyle name="Currency 13 2" xfId="283" xr:uid="{972A9575-FEA6-4B4C-9E1A-D2197476B3EB}"/>
    <cellStyle name="Currency 13 2 2" xfId="532" xr:uid="{F44F99BF-8B56-437D-8E01-170A841B5B87}"/>
    <cellStyle name="Currency 13 2 3" xfId="387" xr:uid="{4A446060-FC98-4FCE-825B-9FF8AD6D863F}"/>
    <cellStyle name="Currency 13 3" xfId="242" xr:uid="{000F442C-2704-40D4-B968-AEF9F3EAA1CB}"/>
    <cellStyle name="Currency 13 3 2" xfId="491" xr:uid="{725D2051-4BF3-4638-A358-E06DB541DF5F}"/>
    <cellStyle name="Currency 13 4" xfId="428" xr:uid="{F5C45754-4641-4D5F-B349-56FB97B9EC07}"/>
    <cellStyle name="Currency 13 5" xfId="346" xr:uid="{48B6152A-F49C-4047-B5A9-2AC8C60BA77B}"/>
    <cellStyle name="Currency 2" xfId="3" xr:uid="{00000000-0005-0000-0000-000004000000}"/>
    <cellStyle name="Currency 2 2" xfId="37" xr:uid="{87CB8EE6-CC26-4CA3-9A77-E1887D44FE79}"/>
    <cellStyle name="Currency 2 2 2" xfId="105" xr:uid="{B2246478-8ECA-42F8-A91E-931E358827E9}"/>
    <cellStyle name="Currency 2 3" xfId="78" xr:uid="{EEDC41D4-0DD0-4BAF-825B-93F890778BFB}"/>
    <cellStyle name="Currency 2 3 2" xfId="213" xr:uid="{9DBD5327-0B5C-4EAB-B41C-681458183243}"/>
    <cellStyle name="Currency 2 3 2 2" xfId="467" xr:uid="{CF7BEA5A-2F00-4A39-B0B3-4C822F45314F}"/>
    <cellStyle name="Currency 2 3 2 3" xfId="322" xr:uid="{B414C9FE-548A-4CAC-AED2-34186F43CE4B}"/>
    <cellStyle name="Currency 2 3 3" xfId="259" xr:uid="{271F3562-835E-440C-9C5F-2B1BA70A6483}"/>
    <cellStyle name="Currency 2 3 3 2" xfId="508" xr:uid="{5FA0B803-474D-4C95-ACAC-82D6E5A25491}"/>
    <cellStyle name="Currency 2 3 3 3" xfId="363" xr:uid="{D6D3BB48-B723-4731-BDEA-4C0C2574A9C2}"/>
    <cellStyle name="Currency 2 3 4" xfId="165" xr:uid="{FFCEF630-062A-4E22-8B74-1CD07DFF9511}"/>
    <cellStyle name="Currency 2 3 4 2" xfId="441" xr:uid="{D7CD7ED3-102C-4C9B-98C7-FDBE46E8C23F}"/>
    <cellStyle name="Currency 2 3 5" xfId="404" xr:uid="{69A56C55-719B-4F48-96B4-EADC122BFCF9}"/>
    <cellStyle name="Currency 2 3 6" xfId="296" xr:uid="{1403EA34-D8F3-4F9C-A17C-38E8F91FE078}"/>
    <cellStyle name="Currency 3" xfId="30" xr:uid="{84ECCECA-FF66-457C-BA09-9FC37977AE17}"/>
    <cellStyle name="Currency 3 2" xfId="45" xr:uid="{8E7CE415-1104-4454-AD89-A20425214112}"/>
    <cellStyle name="Currency 3 2 2" xfId="70" xr:uid="{0F12E8EB-3468-4BDA-8F18-52EC02FA0F8E}"/>
    <cellStyle name="Currency 3 3" xfId="96" xr:uid="{04FB327E-4B4B-40BD-87B8-3EA48F46B24C}"/>
    <cellStyle name="Currency 3 4" xfId="115" xr:uid="{A54F7122-8A9F-423C-BE95-8C6C0AFCFDD3}"/>
    <cellStyle name="Currency 3 4 2" xfId="277" xr:uid="{A92AEA67-793C-4789-AD99-129DAA86F8E3}"/>
    <cellStyle name="Currency 3 4 2 2" xfId="526" xr:uid="{E1E1B3DD-B0E5-4854-8F72-A69E7027F6DC}"/>
    <cellStyle name="Currency 3 4 2 3" xfId="381" xr:uid="{76E178EB-DAA6-4569-A32D-57271B7B48BA}"/>
    <cellStyle name="Currency 3 4 3" xfId="236" xr:uid="{C00730B1-0467-4CFE-B6B7-60BFCE8756DF}"/>
    <cellStyle name="Currency 3 4 3 2" xfId="485" xr:uid="{03755552-33D4-4568-A159-B75FA4E5B4E6}"/>
    <cellStyle name="Currency 3 4 4" xfId="422" xr:uid="{B9126733-266A-4ACF-A474-A2E89E2B294D}"/>
    <cellStyle name="Currency 3 4 5" xfId="340" xr:uid="{2017E45C-A4AA-4CAA-AFE3-ACA1B310BC89}"/>
    <cellStyle name="Currency 3 5" xfId="185" xr:uid="{295AE917-4E0E-418C-95C6-62A05FE01DF8}"/>
    <cellStyle name="Currency 3 6" xfId="140" xr:uid="{5765A699-50EE-4E29-8B47-07EDEF4569B9}"/>
    <cellStyle name="Currency 4" xfId="41" xr:uid="{F566133D-94A2-4D11-B47D-0483B3713930}"/>
    <cellStyle name="Currency 4 2" xfId="72" xr:uid="{A3EB2344-468D-4CF2-A565-013D12D96A43}"/>
    <cellStyle name="Currency 4 3" xfId="99" xr:uid="{CF20CAA3-8757-4756-84FF-4F741817BBE0}"/>
    <cellStyle name="Currency 4 4" xfId="190" xr:uid="{6F66E7AF-7653-43DB-98F5-CCE16C5CB1E8}"/>
    <cellStyle name="Currency 4 5" xfId="142" xr:uid="{E700B39C-BCEE-4B54-81EB-57BE0B5FC88C}"/>
    <cellStyle name="Currency 5" xfId="48" xr:uid="{6DAAAA12-45BB-45B2-A526-C28FA5D7BC6C}"/>
    <cellStyle name="Currency 5 2" xfId="195" xr:uid="{5D5BF128-CD25-4D1F-8D3C-4163DC6069CE}"/>
    <cellStyle name="Currency 5 3" xfId="143" xr:uid="{D2B7E15A-A5E4-4626-BAE7-4794F0AF698B}"/>
    <cellStyle name="Currency 5 3 2" xfId="438" xr:uid="{A8B3939C-0041-423E-9DBE-B656DDBBE2B7}"/>
    <cellStyle name="Currency 5 4" xfId="293" xr:uid="{F3549CA4-9E84-49B3-B9B5-9982E29D9BAD}"/>
    <cellStyle name="Currency 6" xfId="52" xr:uid="{DC127EEC-261F-48DB-99A4-819A98B2F4E0}"/>
    <cellStyle name="Currency 6 2" xfId="199" xr:uid="{8AC62CB4-0A3D-4C4B-ABBF-5343B087DFBB}"/>
    <cellStyle name="Currency 6 2 2" xfId="457" xr:uid="{F188EA10-DD1E-4626-A2AD-B1CC866AFBC5}"/>
    <cellStyle name="Currency 6 2 3" xfId="312" xr:uid="{3E83B1A7-BF87-4E77-940C-6AEB9A3D4D3B}"/>
    <cellStyle name="Currency 6 3" xfId="249" xr:uid="{AE425EE0-9585-4C24-A81E-83047EEACC49}"/>
    <cellStyle name="Currency 6 3 2" xfId="498" xr:uid="{36A27479-5D8C-4CA6-B6D3-8D0841DC17D9}"/>
    <cellStyle name="Currency 6 3 3" xfId="353" xr:uid="{66B19E17-E918-4131-81C9-F82B623E39FD}"/>
    <cellStyle name="Currency 6 4" xfId="144" xr:uid="{01771B1E-9B28-4F40-87E1-60F57668363F}"/>
    <cellStyle name="Currency 6 5" xfId="394" xr:uid="{5F8D801A-4313-4257-BBF4-C57F1617CF37}"/>
    <cellStyle name="Currency 7" xfId="64" xr:uid="{54633DA9-61DF-4C97-A3A0-BFD0967DC9A7}"/>
    <cellStyle name="Currency 7 2" xfId="207" xr:uid="{F3491FD6-3ACC-450D-AEB1-2C9A80059779}"/>
    <cellStyle name="Currency 7 2 2" xfId="465" xr:uid="{8962B67D-8896-4F67-A44D-4DFF7CFC82F5}"/>
    <cellStyle name="Currency 7 2 3" xfId="320" xr:uid="{4219B197-C288-4AF9-AB8E-7E5171256A19}"/>
    <cellStyle name="Currency 7 3" xfId="257" xr:uid="{6B649983-7231-46A0-8072-06A28F928599}"/>
    <cellStyle name="Currency 7 3 2" xfId="506" xr:uid="{65019F11-0380-4B59-BA7E-DCAFD4FB0659}"/>
    <cellStyle name="Currency 7 3 3" xfId="361" xr:uid="{63131AD5-9683-467A-A52D-E4B1DBBDC9EE}"/>
    <cellStyle name="Currency 7 4" xfId="152" xr:uid="{2BFA0B3A-137C-4145-982B-746CF8457254}"/>
    <cellStyle name="Currency 7 5" xfId="402" xr:uid="{7D9D0B18-B2AC-4DA9-BAF6-E5AF9CD085E0}"/>
    <cellStyle name="Currency 8" xfId="68" xr:uid="{BB1822A9-1506-4127-A7C2-972EEFEB10EA}"/>
    <cellStyle name="Currency 9" xfId="79" xr:uid="{CFFE9D8F-E3C6-4B84-8D56-F302E9939A3B}"/>
    <cellStyle name="Currency 9 2" xfId="214" xr:uid="{3DAA478C-935E-48ED-B901-3852D9AB9857}"/>
    <cellStyle name="Currency 9 3" xfId="173" xr:uid="{F9ECA7E8-704A-4767-B329-F48C2BDA6C1D}"/>
    <cellStyle name="Currency 9 3 2" xfId="448" xr:uid="{BADA61A8-42F3-4188-BF13-F1217AE17DF6}"/>
    <cellStyle name="Currency 9 4" xfId="303" xr:uid="{B31ED97E-5C78-4987-B854-135CF0E7511F}"/>
    <cellStyle name="Followed Hyperlink" xfId="4" builtinId="9" customBuiltin="1"/>
    <cellStyle name="Followed Hyperlink 2" xfId="126" xr:uid="{CADF696A-36F5-4A8F-AA72-78DF7AC09D5D}"/>
    <cellStyle name="Followed Hyperlink 3" xfId="125" xr:uid="{6D4D9128-791D-41A1-85E2-0DC7F021E87E}"/>
    <cellStyle name="Hyperlink" xfId="5" builtinId="8" customBuiltin="1"/>
    <cellStyle name="Hyperlink 2" xfId="127" xr:uid="{D49BD441-C257-4E34-94B8-5B3707302802}"/>
    <cellStyle name="Hyperlink 3" xfId="124" xr:uid="{38DBD1BF-31FD-4227-8688-3A90DC9A23CE}"/>
    <cellStyle name="Manual-Input" xfId="17" xr:uid="{00000000-0005-0000-0000-000007000000}"/>
    <cellStyle name="Normal" xfId="0" builtinId="0"/>
    <cellStyle name="Normal 10" xfId="89" xr:uid="{12A1E5A9-0BF5-403C-ADDC-227D9E2843B5}"/>
    <cellStyle name="Normal 10 2" xfId="221" xr:uid="{37931A97-BA6A-43FE-8550-CADFAD1C10B6}"/>
    <cellStyle name="Normal 10 3" xfId="157" xr:uid="{9733158F-4515-497B-8D5D-E3A909418C05}"/>
    <cellStyle name="Normal 11" xfId="100" xr:uid="{1E5A451B-5A9C-4DD4-A8AD-D3BD668AD312}"/>
    <cellStyle name="Normal 11 2" xfId="222" xr:uid="{CD3C65B2-5EBF-4A50-B418-987F0007E6B1}"/>
    <cellStyle name="Normal 11 2 2" xfId="471" xr:uid="{8C310B7E-A607-4725-B228-987B61EC2BBA}"/>
    <cellStyle name="Normal 11 2 3" xfId="326" xr:uid="{85ED82B9-CBCC-40D7-B9F1-6E6187AED3C7}"/>
    <cellStyle name="Normal 11 3" xfId="263" xr:uid="{383DA189-243D-4B9A-8AF4-8D7063541D1A}"/>
    <cellStyle name="Normal 11 3 2" xfId="512" xr:uid="{6346BF8B-0D19-417D-9CE5-9AA988638700}"/>
    <cellStyle name="Normal 11 3 3" xfId="367" xr:uid="{66C4ABB5-0691-4AD0-A5C1-24B48E4B7552}"/>
    <cellStyle name="Normal 11 4" xfId="171" xr:uid="{E058FFAC-AA0D-4829-898E-20F84EECD304}"/>
    <cellStyle name="Normal 11 4 2" xfId="446" xr:uid="{FBB94BAD-2A0D-4BA6-A667-4FE5DCDADA37}"/>
    <cellStyle name="Normal 11 5" xfId="408" xr:uid="{B81A3CEE-0265-4007-A0F0-E8FB1CB800FD}"/>
    <cellStyle name="Normal 11 6" xfId="301" xr:uid="{B39F744E-B04A-4320-881B-498A443C403A}"/>
    <cellStyle name="Normal 12" xfId="116" xr:uid="{7DF3E21C-D574-45A4-AB1C-3AAD85D883DB}"/>
    <cellStyle name="Normal 12 2" xfId="237" xr:uid="{CF3E6B84-0C49-41B9-9848-E7645DDD00BC}"/>
    <cellStyle name="Normal 12 2 2" xfId="486" xr:uid="{A2D7EB6B-CC10-497D-95E2-D8CDE9A62088}"/>
    <cellStyle name="Normal 12 2 3" xfId="341" xr:uid="{44ED8854-F9A5-4B94-9847-9EFAA32278DE}"/>
    <cellStyle name="Normal 12 3" xfId="278" xr:uid="{F5D7D99D-FC1B-426F-8247-D15E85A7B128}"/>
    <cellStyle name="Normal 12 3 2" xfId="527" xr:uid="{C3001CAE-1551-42B5-AA0F-AD01C3ADF4F1}"/>
    <cellStyle name="Normal 12 3 3" xfId="382" xr:uid="{BF892FF3-9759-4723-8A0C-FF7AD0B512B2}"/>
    <cellStyle name="Normal 12 4" xfId="174" xr:uid="{8EBF7D02-A359-4010-87A0-7804ECBB3658}"/>
    <cellStyle name="Normal 12 4 2" xfId="449" xr:uid="{640245C3-E3F2-4766-AD9A-636F48CFC7B6}"/>
    <cellStyle name="Normal 12 5" xfId="423" xr:uid="{E2DBC4EF-A83D-4CDD-AB70-BB70B0AD7AAE}"/>
    <cellStyle name="Normal 12 6" xfId="304" xr:uid="{9A017E7A-E235-4CBE-BB36-EDE8D91EBD63}"/>
    <cellStyle name="Normal 13" xfId="120" xr:uid="{9F5A81E8-F80B-4215-9DC8-0D380769BF02}"/>
    <cellStyle name="Normal 13 2" xfId="281" xr:uid="{4BB79537-33E2-4794-8741-7BE6D82DAE7E}"/>
    <cellStyle name="Normal 13 2 2" xfId="530" xr:uid="{28EEA33D-3535-4130-B4C3-A56315ADE8BF}"/>
    <cellStyle name="Normal 13 2 3" xfId="385" xr:uid="{291A12D9-EBA5-4812-B55C-41B47EFDF584}"/>
    <cellStyle name="Normal 13 3" xfId="240" xr:uid="{E24E2BCD-A78C-427F-96D7-D1EA52AF0EA9}"/>
    <cellStyle name="Normal 13 3 2" xfId="489" xr:uid="{A18743BE-F736-4E7E-9C5B-ECA90DC630D9}"/>
    <cellStyle name="Normal 13 4" xfId="426" xr:uid="{1A7558EC-E567-4259-B3AC-C9CA8F6D8B65}"/>
    <cellStyle name="Normal 13 5" xfId="344" xr:uid="{1CCABABA-598C-4B39-8921-1AB6657096EE}"/>
    <cellStyle name="Normal 16" xfId="54" xr:uid="{9A140913-1FF0-4050-AF17-3F725168255D}"/>
    <cellStyle name="Normal 2" xfId="16" xr:uid="{00000000-0005-0000-0000-000009000000}"/>
    <cellStyle name="Normal 2 10" xfId="92" xr:uid="{87F7C32E-602C-48EC-A92B-335B4D5D476C}"/>
    <cellStyle name="Normal 2 10 3 8 2" xfId="22" xr:uid="{00000000-0005-0000-0000-00000A000000}"/>
    <cellStyle name="Normal 2 10 3 8 2 2" xfId="246" xr:uid="{AE089D8B-2C28-45F8-BDB0-1233045D922F}"/>
    <cellStyle name="Normal 2 10 3 8 2 2 2" xfId="495" xr:uid="{F0AC0E08-4D9C-4ABD-A70E-E814D2896EAE}"/>
    <cellStyle name="Normal 2 10 3 8 2 2 3" xfId="350" xr:uid="{139631D2-9EF7-4032-B4EE-4D014BD51B18}"/>
    <cellStyle name="Normal 2 10 3 8 2 3" xfId="179" xr:uid="{311262DB-F7FD-42F2-88FA-51D26C9DC1AF}"/>
    <cellStyle name="Normal 2 10 3 8 2 3 2" xfId="454" xr:uid="{51548EF7-1DD9-4872-B983-879C302D8EA1}"/>
    <cellStyle name="Normal 2 10 3 8 2 4" xfId="391" xr:uid="{2102E35F-41BB-4C67-A215-E644BEFA6A19}"/>
    <cellStyle name="Normal 2 10 3 8 2 5" xfId="309" xr:uid="{63B892F8-A6FF-476B-AA53-FADD7446DF09}"/>
    <cellStyle name="Normal 2 11" xfId="102" xr:uid="{98B19B0D-6D27-440E-908E-2D4A355F7032}"/>
    <cellStyle name="Normal 2 11 2" xfId="265" xr:uid="{7AAEC802-6465-49A5-AB46-9302252F23ED}"/>
    <cellStyle name="Normal 2 11 2 2" xfId="514" xr:uid="{7F66682B-FF40-4297-A367-C3CF09394C45}"/>
    <cellStyle name="Normal 2 11 2 3" xfId="369" xr:uid="{768214F8-9DAD-47EA-9C0D-B32B1179C2B4}"/>
    <cellStyle name="Normal 2 11 3" xfId="224" xr:uid="{3023EF69-328E-462E-A910-3824707226E7}"/>
    <cellStyle name="Normal 2 11 3 2" xfId="473" xr:uid="{5DB2AD84-5C5E-421B-8FB5-55BE5986FBB5}"/>
    <cellStyle name="Normal 2 11 4" xfId="410" xr:uid="{542BB4DD-00C8-42AC-B0B6-2588AEC4791B}"/>
    <cellStyle name="Normal 2 11 5" xfId="328" xr:uid="{E630722D-AB00-4663-9993-C06965A03F08}"/>
    <cellStyle name="Normal 2 12" xfId="119" xr:uid="{6A2996A0-4A04-4EB1-87C0-57179ED12413}"/>
    <cellStyle name="Normal 2 2" xfId="6" xr:uid="{00000000-0005-0000-0000-00000B000000}"/>
    <cellStyle name="Normal 2 2 2" xfId="33" xr:uid="{995E8FC5-F1D5-4E9A-9256-0506B9782D06}"/>
    <cellStyle name="Normal 2 2 2 2" xfId="107" xr:uid="{6F85171D-8EF1-486B-82E8-FDAD0943DFDE}"/>
    <cellStyle name="Normal 2 2 2 2 2" xfId="228" xr:uid="{96686C61-51FA-4467-A653-ED7D0665AF2B}"/>
    <cellStyle name="Normal 2 2 2 2 2 2" xfId="477" xr:uid="{00CA8AE7-F4BE-4B47-8F00-08AEFC716872}"/>
    <cellStyle name="Normal 2 2 2 2 2 3" xfId="332" xr:uid="{3FF0591F-5D10-41F9-8A72-D475D518EA07}"/>
    <cellStyle name="Normal 2 2 2 2 3" xfId="269" xr:uid="{2E1E7F57-C9AE-4017-9BE8-E7BB97EA5B29}"/>
    <cellStyle name="Normal 2 2 2 2 3 2" xfId="518" xr:uid="{A9D0513C-95E8-433D-AA56-DB2C26341AAA}"/>
    <cellStyle name="Normal 2 2 2 2 3 3" xfId="373" xr:uid="{7BD2832B-F13B-4B5F-9FA1-BF8A35D24F78}"/>
    <cellStyle name="Normal 2 2 2 2 4" xfId="169" xr:uid="{35DA75C6-BC64-421B-AD0B-8F9175EC506F}"/>
    <cellStyle name="Normal 2 2 2 2 4 2" xfId="444" xr:uid="{633C9D4C-535F-445A-B6E3-F562B78FA731}"/>
    <cellStyle name="Normal 2 2 2 2 5" xfId="414" xr:uid="{25F1740A-7839-47C7-879E-8BB9679E4A3B}"/>
    <cellStyle name="Normal 2 2 2 2 6" xfId="299" xr:uid="{7A59D4EA-63DE-4500-BC50-0825558AF162}"/>
    <cellStyle name="Normal 2 2 3" xfId="104" xr:uid="{F87584F3-393C-47DC-B139-6E5F93599796}"/>
    <cellStyle name="Normal 2 2 3 2" xfId="226" xr:uid="{A382B013-CE3C-43CC-A19C-AB30B36800EE}"/>
    <cellStyle name="Normal 2 2 3 2 2" xfId="475" xr:uid="{34E2531C-9074-457D-B8C7-058C7BEECE07}"/>
    <cellStyle name="Normal 2 2 3 2 3" xfId="330" xr:uid="{F3364504-719B-4644-BA7E-79482C1024CC}"/>
    <cellStyle name="Normal 2 2 3 3" xfId="267" xr:uid="{CDF38931-D794-41D1-9ADF-01B5FF976BE9}"/>
    <cellStyle name="Normal 2 2 3 3 2" xfId="516" xr:uid="{614FB660-1E76-4A2D-9D03-207CECFAC046}"/>
    <cellStyle name="Normal 2 2 3 3 3" xfId="371" xr:uid="{A52D18B0-B4AF-40C7-8037-EFAF9C0E58BB}"/>
    <cellStyle name="Normal 2 2 3 4" xfId="167" xr:uid="{2514823E-44E3-400D-BF5F-98AF15F1DA05}"/>
    <cellStyle name="Normal 2 2 3 4 2" xfId="442" xr:uid="{813CA415-3596-4474-8FFB-572D009D7C01}"/>
    <cellStyle name="Normal 2 2 3 5" xfId="412" xr:uid="{6F6043CF-402E-4442-8C13-BE8F041F190B}"/>
    <cellStyle name="Normal 2 2 3 6" xfId="297" xr:uid="{DB37ED9B-1F03-4CE5-9631-CADB89C5866F}"/>
    <cellStyle name="Normal 2 3" xfId="7" xr:uid="{00000000-0005-0000-0000-00000C000000}"/>
    <cellStyle name="Normal 2 3 2" xfId="131" xr:uid="{FF86457C-F612-4C4F-A454-53F19A169EB3}"/>
    <cellStyle name="Normal 2 3 2 2" xfId="432" xr:uid="{0A19BF9A-D7E0-4BED-903A-23D8292EC82E}"/>
    <cellStyle name="Normal 2 3 2 3" xfId="287" xr:uid="{04BD9ED6-9F3A-4AC8-A1CA-E4A0F5480525}"/>
    <cellStyle name="Normal 2 4" xfId="24" xr:uid="{D05E2371-8351-48E0-9DC9-F5A796FE0EC6}"/>
    <cellStyle name="Normal 2 4 2" xfId="180" xr:uid="{3DCF7B06-860B-47DA-85F3-EEA8B36C2283}"/>
    <cellStyle name="Normal 2 4 3" xfId="128" xr:uid="{A931C357-ABAE-4DB4-A67A-35A1F41BD692}"/>
    <cellStyle name="Normal 2 4 3 2" xfId="429" xr:uid="{77C1E9C2-D72F-4A8F-90A1-1408119765C3}"/>
    <cellStyle name="Normal 2 4 4" xfId="284" xr:uid="{601BBAAB-B074-4777-88DC-8282AD8BC771}"/>
    <cellStyle name="Normal 2 5" xfId="43" xr:uid="{8884734F-0EEE-4646-A7C8-6F018E0E0D71}"/>
    <cellStyle name="Normal 2 5 2" xfId="95" xr:uid="{40790F91-8D70-4AE0-B1A4-37AF9F11A3C6}"/>
    <cellStyle name="Normal 2 5 3" xfId="192" xr:uid="{91402E3A-A5C0-47DB-8579-EC0D7057505A}"/>
    <cellStyle name="Normal 2 6" xfId="47" xr:uid="{F25FFFBC-24F0-4FE1-835E-868EE86BCC13}"/>
    <cellStyle name="Normal 2 6 2" xfId="194" xr:uid="{BB09688B-CC3C-4D88-A4A1-F198FA3F03C6}"/>
    <cellStyle name="Normal 2 6 3" xfId="154" xr:uid="{FF2B14B7-AF9E-4F38-AEDE-C44A762B97BF}"/>
    <cellStyle name="Normal 2 7" xfId="51" xr:uid="{D1881FCF-1D19-4E2A-A6FC-9BA00A0D0423}"/>
    <cellStyle name="Normal 2 7 2" xfId="198" xr:uid="{BF56AFBF-BD6F-410A-9601-1665824CB3F4}"/>
    <cellStyle name="Normal 2 7 3" xfId="161" xr:uid="{2131156D-5A21-4B72-9053-B34F5CCBC7E2}"/>
    <cellStyle name="Normal 2 8" xfId="58" xr:uid="{C9223291-4F2A-4D9C-B1E0-6FA0F3329FD3}"/>
    <cellStyle name="Normal 2 8 2" xfId="202" xr:uid="{E53FC024-812B-4FF3-850F-28E3998A9A7E}"/>
    <cellStyle name="Normal 2 8 2 2" xfId="460" xr:uid="{743CD283-0B63-4355-A62B-D02DF11838B7}"/>
    <cellStyle name="Normal 2 8 2 3" xfId="315" xr:uid="{C1B77351-85F6-438B-8FCF-FABD16C5B510}"/>
    <cellStyle name="Normal 2 8 3" xfId="252" xr:uid="{F74A241C-73D3-48B9-9567-3CB631F30C70}"/>
    <cellStyle name="Normal 2 8 3 2" xfId="501" xr:uid="{E8EAA0D2-B42B-43B2-8EDA-166BC53098CE}"/>
    <cellStyle name="Normal 2 8 3 3" xfId="356" xr:uid="{E96DF6E5-4671-4835-928C-1F5F4DE6EAEA}"/>
    <cellStyle name="Normal 2 8 4" xfId="163" xr:uid="{5E63546B-537E-4740-A13C-2D3D8D70FC52}"/>
    <cellStyle name="Normal 2 8 5" xfId="397" xr:uid="{D311DE9B-984D-4952-AB70-A5C1574D8839}"/>
    <cellStyle name="Normal 2 9" xfId="76" xr:uid="{FD7AC96A-BF65-40C1-BD19-EC814476D0B3}"/>
    <cellStyle name="Normal 3" xfId="19" xr:uid="{00000000-0005-0000-0000-00000D000000}"/>
    <cellStyle name="Normal 3 2" xfId="26" xr:uid="{9151D792-0A8F-4FDB-AD2F-2E3D6B47A5BE}"/>
    <cellStyle name="Normal 3 2 2" xfId="71" xr:uid="{B0862CD5-64B8-4A0A-B488-D9BD7A6B1322}"/>
    <cellStyle name="Normal 3 2 2 2" xfId="211" xr:uid="{CA7E147D-C23E-458E-BBE5-B25F53D58089}"/>
    <cellStyle name="Normal 3 2 2 3" xfId="145" xr:uid="{07FF9602-7C50-46AB-8104-FB5222BB5388}"/>
    <cellStyle name="Normal 3 2 3" xfId="82" xr:uid="{884C6879-9F35-4F40-B3E3-A5256B73E04E}"/>
    <cellStyle name="Normal 3 2 3 2" xfId="215" xr:uid="{ADE7EC23-FA9A-4FAA-9039-C4CE727C7252}"/>
    <cellStyle name="Normal 3 2 3 3" xfId="159" xr:uid="{74C31DD3-5DC2-4564-A3B0-D360E8BEE6FB}"/>
    <cellStyle name="Normal 3 2 4" xfId="94" xr:uid="{CD6FACB2-B9BC-4F32-9E72-D56D7672F9E2}"/>
    <cellStyle name="Normal 3 2 5" xfId="181" xr:uid="{D9B0C30E-FD1E-48FF-AA7D-47867E8C5F51}"/>
    <cellStyle name="Normal 3 3" xfId="73" xr:uid="{FA19EB06-738C-4F2D-A58E-21A01FD0E2AB}"/>
    <cellStyle name="Normal 3 4" xfId="77" xr:uid="{3C0B7455-AE6A-48F0-A700-1AB5BE573C30}"/>
    <cellStyle name="Normal 3 4 2" xfId="212" xr:uid="{5B87F943-2048-49F8-A076-26664AEF3AAB}"/>
    <cellStyle name="Normal 3 4 2 2" xfId="466" xr:uid="{097FFBCE-0411-49CF-942E-99397C8F02EC}"/>
    <cellStyle name="Normal 3 4 2 3" xfId="321" xr:uid="{08AD3A38-A6BA-49AE-B548-B9E464735538}"/>
    <cellStyle name="Normal 3 4 3" xfId="258" xr:uid="{ACFFF254-F3AC-440D-BC94-776667A51920}"/>
    <cellStyle name="Normal 3 4 3 2" xfId="507" xr:uid="{D0BA53AE-CDD2-4737-B6E0-C16B2D3D9B58}"/>
    <cellStyle name="Normal 3 4 3 3" xfId="362" xr:uid="{70140252-A4EE-4453-AF4A-C4F486468D4C}"/>
    <cellStyle name="Normal 3 4 4" xfId="164" xr:uid="{B03D78AA-1096-4C70-A4E8-64FDAB6621F5}"/>
    <cellStyle name="Normal 3 4 4 2" xfId="440" xr:uid="{75701785-E316-453D-90EE-8899EBC31DDD}"/>
    <cellStyle name="Normal 3 4 5" xfId="403" xr:uid="{695914C4-2A9D-43BA-8212-635B861EED16}"/>
    <cellStyle name="Normal 3 4 6" xfId="295" xr:uid="{66C0D9A3-1C31-4A00-8D12-04DCED82DB88}"/>
    <cellStyle name="Normal 3 5" xfId="176" xr:uid="{9AAC6BA8-5F6C-4F7A-B4FB-92620DEB2508}"/>
    <cellStyle name="Normal 3 5 2" xfId="451" xr:uid="{A1A74219-715A-4B7C-98D0-3F4AE3423643}"/>
    <cellStyle name="Normal 3 5 3" xfId="306" xr:uid="{B3734A8D-B629-446D-B21E-938FABCE4053}"/>
    <cellStyle name="Normal 3 6" xfId="243" xr:uid="{6D282071-A375-45CE-8DF8-E24A3FE93B0C}"/>
    <cellStyle name="Normal 3 6 2" xfId="492" xr:uid="{51053DAA-B229-47AB-92CD-F9A72EB9C2E5}"/>
    <cellStyle name="Normal 3 6 3" xfId="347" xr:uid="{4F837485-0466-4E95-9FAF-A8910EF161BC}"/>
    <cellStyle name="Normal 3 7" xfId="388" xr:uid="{878024B0-E9ED-47BE-8BCE-75DC0C466A7E}"/>
    <cellStyle name="Normal 4" xfId="32" xr:uid="{4B27C634-7EA7-418B-8165-4D5A70805AB8}"/>
    <cellStyle name="Normal 4 2" xfId="38" xr:uid="{E39F1F54-701F-48DD-B4B2-A8F007961161}"/>
    <cellStyle name="Normal 4 3" xfId="109" xr:uid="{DAB7B0A1-6FA0-47A2-B7C2-F78C59B89615}"/>
    <cellStyle name="Normal 4 3 2" xfId="271" xr:uid="{1F795732-15F9-4DEF-B981-6D3CC8EFD043}"/>
    <cellStyle name="Normal 4 3 2 2" xfId="520" xr:uid="{5BD31F14-0316-42FE-AB8F-A56F2B86DD9A}"/>
    <cellStyle name="Normal 4 3 2 3" xfId="375" xr:uid="{C41FBEB4-9156-4CBD-B026-D07768A85209}"/>
    <cellStyle name="Normal 4 3 3" xfId="230" xr:uid="{2B308340-C6FD-4046-AB80-4E71B1630FDA}"/>
    <cellStyle name="Normal 4 3 3 2" xfId="479" xr:uid="{EF9B1F29-5B81-4429-ABF6-19A84C154011}"/>
    <cellStyle name="Normal 4 3 4" xfId="416" xr:uid="{09064985-D531-45CB-9710-E6AF9DBE582C}"/>
    <cellStyle name="Normal 4 3 5" xfId="334" xr:uid="{B043C7A6-AE4F-4D5D-BBE3-17FD43D70FB7}"/>
    <cellStyle name="Normal 4 4" xfId="187" xr:uid="{A9B07987-8AF0-492E-B70A-F15C0C183664}"/>
    <cellStyle name="Normal 48" xfId="61" xr:uid="{D559CB68-ADDA-4E46-9760-F433A2E3695C}"/>
    <cellStyle name="Normal 48 2" xfId="205" xr:uid="{D84BD5D7-D692-4A1A-9380-9F892608122B}"/>
    <cellStyle name="Normal 48 2 2" xfId="463" xr:uid="{2EDDE6D6-415D-48D1-B001-ACAF8FDB455A}"/>
    <cellStyle name="Normal 48 2 3" xfId="318" xr:uid="{6EA591BC-9228-4E3A-A6E7-9B038779175B}"/>
    <cellStyle name="Normal 48 3" xfId="255" xr:uid="{743EC0CC-25E7-42C5-BA75-AC73B494EB56}"/>
    <cellStyle name="Normal 48 3 2" xfId="504" xr:uid="{573965DE-D7A8-41C2-B3D1-1EB3468A2034}"/>
    <cellStyle name="Normal 48 3 3" xfId="359" xr:uid="{F3FF3160-DBF7-4594-AA92-EDA3AEA2A233}"/>
    <cellStyle name="Normal 48 4" xfId="132" xr:uid="{406CEA3C-2594-4949-BE65-155EA5A5813A}"/>
    <cellStyle name="Normal 48 4 2" xfId="433" xr:uid="{C35F626A-AE1E-40CE-836E-F4A2C27AA6F5}"/>
    <cellStyle name="Normal 48 5" xfId="400" xr:uid="{8CB728E9-8B2C-4997-9CC1-6FEF4A2D78CF}"/>
    <cellStyle name="Normal 48 6" xfId="288" xr:uid="{F212E431-FC65-4EBB-9261-1C0F081E46B4}"/>
    <cellStyle name="Normal 5" xfId="40" xr:uid="{C36E02FA-0361-4F2A-824D-9D21C2DCE895}"/>
    <cellStyle name="Normal 5 2" xfId="81" xr:uid="{297DAEED-2C13-4F46-915D-C742488C358A}"/>
    <cellStyle name="Normal 5 3" xfId="85" xr:uid="{E6D019F9-3853-454A-A68C-2ED5DA49B616}"/>
    <cellStyle name="Normal 5 3 2" xfId="260" xr:uid="{15DC49D1-B834-435E-BEBE-D943FD64C916}"/>
    <cellStyle name="Normal 5 3 2 2" xfId="509" xr:uid="{EF7E05DC-3EA0-4CB1-AB4B-A7570D3A1C33}"/>
    <cellStyle name="Normal 5 3 2 3" xfId="364" xr:uid="{C15F929C-CAC6-41ED-8FC6-B5AAC0BF5A0A}"/>
    <cellStyle name="Normal 5 3 3" xfId="218" xr:uid="{E408C60F-B7F7-447E-8D06-A79A377B6C66}"/>
    <cellStyle name="Normal 5 3 3 2" xfId="468" xr:uid="{AD84C87D-8233-4EEB-9916-8CF07F19D707}"/>
    <cellStyle name="Normal 5 3 4" xfId="405" xr:uid="{C29C0152-DD74-4FBD-AA1D-18330C946216}"/>
    <cellStyle name="Normal 5 3 5" xfId="323" xr:uid="{B06F9AA0-87F4-48F5-A65B-A3EA38F0451F}"/>
    <cellStyle name="Normal 5 4" xfId="189" xr:uid="{BF781992-F70B-44C2-888A-C7D2CC8E218D}"/>
    <cellStyle name="Normal 5 5" xfId="137" xr:uid="{86ACEB49-243D-4591-A4F9-AAFD41C46ABB}"/>
    <cellStyle name="Normal 5 5 2" xfId="435" xr:uid="{C9B2FB10-4CB9-46C2-BAAC-04B0BA35AE0F}"/>
    <cellStyle name="Normal 5 6" xfId="290" xr:uid="{AC19A155-2964-4120-9FB1-FF6EF64AA022}"/>
    <cellStyle name="Normal 6" xfId="8" xr:uid="{00000000-0005-0000-0000-00000E000000}"/>
    <cellStyle name="Normal 6 2" xfId="67" xr:uid="{893B1297-DB91-4862-91FB-75675FA4E0B4}"/>
    <cellStyle name="Normal 6 2 2" xfId="108" xr:uid="{9104CE72-EB10-4F3A-9599-BBF661F40372}"/>
    <cellStyle name="Normal 6 2 2 2" xfId="229" xr:uid="{72A5387B-0E93-40B0-9DD5-73099D24FCBB}"/>
    <cellStyle name="Normal 6 2 2 2 2" xfId="478" xr:uid="{46BFA0DA-2F64-4D38-A126-90BA91B1B293}"/>
    <cellStyle name="Normal 6 2 2 2 3" xfId="333" xr:uid="{90D18F43-29BF-4D0A-AD9E-36DC57C91E9C}"/>
    <cellStyle name="Normal 6 2 2 3" xfId="270" xr:uid="{64FD0A79-E5AA-4565-91DA-2C302CAFF46D}"/>
    <cellStyle name="Normal 6 2 2 3 2" xfId="519" xr:uid="{48CDA873-0985-4AB6-9760-10148AB30300}"/>
    <cellStyle name="Normal 6 2 2 3 3" xfId="374" xr:uid="{0B84BAE2-AA24-4E52-AB4B-42629F5A1F33}"/>
    <cellStyle name="Normal 6 2 2 4" xfId="170" xr:uid="{2D08D788-E1CB-4285-82A5-1A798A0DCDA6}"/>
    <cellStyle name="Normal 6 2 2 4 2" xfId="445" xr:uid="{EC1058DD-28E6-43E3-B331-6E1EB885AB03}"/>
    <cellStyle name="Normal 6 2 2 5" xfId="415" xr:uid="{670744C0-E689-413D-819C-41D037D0A050}"/>
    <cellStyle name="Normal 6 2 2 6" xfId="300" xr:uid="{B4E94788-E8B7-43AF-B51B-5F173FB7DF46}"/>
    <cellStyle name="Normal 6 3" xfId="106" xr:uid="{DE36A383-E003-4375-B82A-99697B50F189}"/>
    <cellStyle name="Normal 6 3 2" xfId="227" xr:uid="{FF3353A0-01A5-4BFC-B589-8489039C0A3E}"/>
    <cellStyle name="Normal 6 3 2 2" xfId="476" xr:uid="{5B65EC24-8B83-4CC0-A101-B654154329FD}"/>
    <cellStyle name="Normal 6 3 2 3" xfId="331" xr:uid="{6B78131A-334D-4F0C-9771-B629EB397D68}"/>
    <cellStyle name="Normal 6 3 3" xfId="268" xr:uid="{40356713-4E9D-4991-9450-ED6135B8FCA7}"/>
    <cellStyle name="Normal 6 3 3 2" xfId="517" xr:uid="{6FF63AE7-21DD-4FF3-AA47-D1A7F6B95791}"/>
    <cellStyle name="Normal 6 3 3 3" xfId="372" xr:uid="{674587AD-5D14-4FBE-AF12-F10D3C761084}"/>
    <cellStyle name="Normal 6 3 4" xfId="168" xr:uid="{31EEA926-EA74-4ACD-897A-65BF1029A804}"/>
    <cellStyle name="Normal 6 3 4 2" xfId="443" xr:uid="{05FCF02A-F003-41E8-9BE2-D730DE82E7D2}"/>
    <cellStyle name="Normal 6 3 5" xfId="413" xr:uid="{E3918F55-5909-4F20-80E2-6C3185813236}"/>
    <cellStyle name="Normal 6 3 6" xfId="298" xr:uid="{8FDEA2C1-0F7A-4352-92EE-6F9791EF7BD4}"/>
    <cellStyle name="Normal 7" xfId="46" xr:uid="{0A7B3410-5993-4F52-8CBF-E2C6B3C3AF36}"/>
    <cellStyle name="Normal 7 2" xfId="193" xr:uid="{55CE8DB7-2484-4B69-8FD8-6218356E43B7}"/>
    <cellStyle name="Normal 7 3" xfId="146" xr:uid="{D15E873E-9B2A-4273-9134-F7054BD3D3AE}"/>
    <cellStyle name="Normal 73" xfId="87" xr:uid="{8F6C7311-7CF2-4C22-A836-78E41F7CC18E}"/>
    <cellStyle name="Normal 73 2" xfId="220" xr:uid="{E57CAAB3-7F17-478C-A7D4-CD3661CF1976}"/>
    <cellStyle name="Normal 73 2 2" xfId="470" xr:uid="{4FB78F26-2276-477F-9D53-1EDF17A542B8}"/>
    <cellStyle name="Normal 73 2 3" xfId="325" xr:uid="{0123E9BD-2150-4D4A-BCDB-2059F9D9F7FC}"/>
    <cellStyle name="Normal 73 3" xfId="262" xr:uid="{DAC0B6BA-7928-41D7-AEB7-5C02657B5683}"/>
    <cellStyle name="Normal 73 3 2" xfId="511" xr:uid="{493A5954-520E-4D0C-B9CD-71F3F0BAAB13}"/>
    <cellStyle name="Normal 73 3 3" xfId="366" xr:uid="{10CEC422-4D02-4ED6-9B52-96542C07E5B7}"/>
    <cellStyle name="Normal 73 4" xfId="141" xr:uid="{B6AC2AB5-3CB5-4E5A-9023-BE0868D5B958}"/>
    <cellStyle name="Normal 73 4 2" xfId="437" xr:uid="{5CE1990B-98DA-457A-86FB-46FB0CFA38ED}"/>
    <cellStyle name="Normal 73 5" xfId="407" xr:uid="{D7130224-B326-498E-8ADB-DF30118D63F7}"/>
    <cellStyle name="Normal 73 6" xfId="292" xr:uid="{B3F04535-392D-4BF2-B21F-C6FD82CBAF38}"/>
    <cellStyle name="Normal 77 2" xfId="112" xr:uid="{59A80A87-7271-47A3-81D6-436B119E2623}"/>
    <cellStyle name="Normal 77 2 2" xfId="274" xr:uid="{8E3049CC-E488-4EC1-8FC5-72B7E5292EF0}"/>
    <cellStyle name="Normal 77 2 2 2" xfId="523" xr:uid="{FCF0A831-5623-4A65-973A-9183E5CD8211}"/>
    <cellStyle name="Normal 77 2 2 3" xfId="378" xr:uid="{B93F3CE6-6EE2-4CCA-8147-6EDCA9D89880}"/>
    <cellStyle name="Normal 77 2 3" xfId="233" xr:uid="{FE407E42-5C41-4C4C-8F37-4FE9B6C8FC87}"/>
    <cellStyle name="Normal 77 2 3 2" xfId="482" xr:uid="{B60A1E24-BEF8-46FC-9205-3F3136F08979}"/>
    <cellStyle name="Normal 77 2 4" xfId="419" xr:uid="{AFA69C91-F9B4-4999-8C89-6655FC312520}"/>
    <cellStyle name="Normal 77 2 5" xfId="337" xr:uid="{AE48A955-84AB-478C-80E3-5FBA6E010389}"/>
    <cellStyle name="Normal 8" xfId="49" xr:uid="{00562EE2-4A99-4B53-B9D1-9F12695692C2}"/>
    <cellStyle name="Normal 8 2" xfId="53" xr:uid="{36819F9D-D0A3-4698-88B4-DC7BCF4D30C8}"/>
    <cellStyle name="Normal 8 3" xfId="196" xr:uid="{BECF3D4E-7724-49A3-B41F-6DA161E6DC7D}"/>
    <cellStyle name="Normal 8 3 2" xfId="455" xr:uid="{6B06B929-6153-474E-809E-98C16E9F50CD}"/>
    <cellStyle name="Normal 8 3 3" xfId="310" xr:uid="{A39363C0-9EDE-4E32-839B-373E332B1467}"/>
    <cellStyle name="Normal 8 4" xfId="247" xr:uid="{19AAFD0C-8219-4585-BCA0-80DE36340A43}"/>
    <cellStyle name="Normal 8 4 2" xfId="496" xr:uid="{7985AC2A-8BA3-44B5-A281-6B6FE539CCD8}"/>
    <cellStyle name="Normal 8 4 3" xfId="351" xr:uid="{A9079DDC-DEFB-4FED-AC4E-9C875D0C1D25}"/>
    <cellStyle name="Normal 8 5" xfId="392" xr:uid="{56D111FC-8277-4684-A44F-3C3478DA9449}"/>
    <cellStyle name="Normal 9" xfId="66" xr:uid="{FF8127B8-8C96-4F00-B623-E3D1B6C81C5F}"/>
    <cellStyle name="Normal 9 2" xfId="209" xr:uid="{4B13107F-3EC2-4F87-8FBC-82F553A7EB27}"/>
    <cellStyle name="Normal 9 3" xfId="151" xr:uid="{3C6F59FD-E263-48DE-AAE5-7FAF20A84EB2}"/>
    <cellStyle name="Normal_Avista WA ELEC TY2006 Staff Rebuttal 05 capstruc" xfId="533" xr:uid="{F92F1E96-701E-40AA-A28D-6467DAA41B5F}"/>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Normal_WAGas6_97 2" xfId="123" xr:uid="{C6360322-990B-4EF2-82B4-C4EB78FA43E9}"/>
    <cellStyle name="Percent" xfId="14" builtinId="5"/>
    <cellStyle name="Percent 10" xfId="91" xr:uid="{67EBFA3D-59DE-40A6-87EF-8C10F6D8A767}"/>
    <cellStyle name="Percent 2" xfId="15" xr:uid="{00000000-0005-0000-0000-000017000000}"/>
    <cellStyle name="Percent 2 2" xfId="28" xr:uid="{371E6140-36CF-4787-B78E-2BE1960677E7}"/>
    <cellStyle name="Percent 2 2 2" xfId="56" xr:uid="{1E1CF987-9B20-4FF4-ADCD-CB8E37456A52}"/>
    <cellStyle name="Percent 2 2 3" xfId="183" xr:uid="{FD990299-7C2C-4BF3-99FD-B3EB44B21F8C}"/>
    <cellStyle name="Percent 2 2 4" xfId="129" xr:uid="{1FE41F66-D504-44C9-81F9-64ACF164294D}"/>
    <cellStyle name="Percent 2 2 4 2" xfId="430" xr:uid="{019E9654-52F8-4418-BE32-250CDC106B3A}"/>
    <cellStyle name="Percent 2 2 5" xfId="285" xr:uid="{F1BD56B1-841D-4EE4-A402-9F60F2D421D5}"/>
    <cellStyle name="Percent 2 3" xfId="59" xr:uid="{5F535453-382A-405E-A3CD-A2020EC3BAE6}"/>
    <cellStyle name="Percent 2 3 2" xfId="203" xr:uid="{B6C7D858-D0AA-44E9-9A65-A626509EE0D0}"/>
    <cellStyle name="Percent 2 3 2 2" xfId="461" xr:uid="{5967EE42-871F-4462-A2CC-A28759B03C2B}"/>
    <cellStyle name="Percent 2 3 2 3" xfId="316" xr:uid="{044E497B-0A93-4ED0-81B2-EFCD5067674B}"/>
    <cellStyle name="Percent 2 3 3" xfId="253" xr:uid="{158C3897-7886-40A7-B145-BB4A2694C2A5}"/>
    <cellStyle name="Percent 2 3 3 2" xfId="502" xr:uid="{42A81190-CE12-444A-A284-C200AF6DD6A1}"/>
    <cellStyle name="Percent 2 3 3 3" xfId="357" xr:uid="{7FA717B7-AB0A-477F-A905-8FF978E9DD48}"/>
    <cellStyle name="Percent 2 3 4" xfId="149" xr:uid="{26E917A9-573F-4386-9914-B2D31CD09BA3}"/>
    <cellStyle name="Percent 2 3 5" xfId="398" xr:uid="{A19C3030-E46C-4193-9D79-63FD3FD61692}"/>
    <cellStyle name="Percent 3" xfId="21" xr:uid="{00000000-0005-0000-0000-000018000000}"/>
    <cellStyle name="Percent 3 2" xfId="75" xr:uid="{D45C38B8-CB8E-47D2-834C-3D2DB1FB99AA}"/>
    <cellStyle name="Percent 3 3" xfId="98" xr:uid="{A3705D7E-99C4-4F0C-B002-06CCC1417C02}"/>
    <cellStyle name="Percent 3 4" xfId="178" xr:uid="{8F558B02-A995-489B-AE4E-481B3E639863}"/>
    <cellStyle name="Percent 3 4 2" xfId="453" xr:uid="{2B4A4404-C3CB-46D7-8FDC-6770EB567744}"/>
    <cellStyle name="Percent 3 4 3" xfId="308" xr:uid="{A760E67D-E9FD-414F-8323-7D106CF54D5C}"/>
    <cellStyle name="Percent 3 5" xfId="245" xr:uid="{FF2A8414-348F-4A01-8ECC-6998CB3D9B35}"/>
    <cellStyle name="Percent 3 5 2" xfId="494" xr:uid="{5EAF9786-E86D-496B-9480-91D9C7572AA0}"/>
    <cellStyle name="Percent 3 5 3" xfId="349" xr:uid="{73C9EE46-2B31-46C1-B6C7-3E6F57061F8D}"/>
    <cellStyle name="Percent 3 6" xfId="135" xr:uid="{0C6908BE-FD47-4EB5-9B63-39713E92519B}"/>
    <cellStyle name="Percent 3 7" xfId="390" xr:uid="{F3163F01-BF5C-4ED7-A734-F697DB256037}"/>
    <cellStyle name="Percent 35" xfId="62" xr:uid="{54B1A122-7D7C-4E8F-A47F-077E5B72A9F4}"/>
    <cellStyle name="Percent 35 2" xfId="206" xr:uid="{3F26C41E-A53F-482C-A42C-658CA9BE7CB0}"/>
    <cellStyle name="Percent 35 2 2" xfId="464" xr:uid="{8EAB33B4-22FC-4813-AE14-4B8938FCA4DB}"/>
    <cellStyle name="Percent 35 2 3" xfId="319" xr:uid="{FA11873C-1024-40E4-96BA-699A34482E4C}"/>
    <cellStyle name="Percent 35 3" xfId="256" xr:uid="{FEBDEAD3-18AD-499B-83C8-400A4BA6D17A}"/>
    <cellStyle name="Percent 35 3 2" xfId="505" xr:uid="{E3656E03-FD53-4272-8521-15B7231C304C}"/>
    <cellStyle name="Percent 35 3 3" xfId="360" xr:uid="{4A949865-DD22-41AD-BDA2-FA442E51C8EA}"/>
    <cellStyle name="Percent 35 4" xfId="133" xr:uid="{9D62E3F6-DF4A-40E5-88DA-BF1B5D3F783F}"/>
    <cellStyle name="Percent 35 4 2" xfId="434" xr:uid="{C4A98B27-9B7A-46A3-B172-D6DE09B194A3}"/>
    <cellStyle name="Percent 35 5" xfId="401" xr:uid="{D9F18B8E-32A0-47DD-98D3-4796B25BE2D6}"/>
    <cellStyle name="Percent 35 6" xfId="289" xr:uid="{519E93E1-BA23-44E8-ADE8-F6FC70A9A3EC}"/>
    <cellStyle name="Percent 4" xfId="25" xr:uid="{BCF4B526-26A7-4A30-965B-11B52E609739}"/>
    <cellStyle name="Percent 4 2" xfId="111" xr:uid="{16506E3E-2952-4B2B-AD80-9845C00378E7}"/>
    <cellStyle name="Percent 4 2 2" xfId="273" xr:uid="{9474F52D-5A1A-4ADA-978A-56C0C54B47A1}"/>
    <cellStyle name="Percent 4 2 2 2" xfId="522" xr:uid="{5779D7BA-C033-4648-967B-3B51E3A81B19}"/>
    <cellStyle name="Percent 4 2 2 3" xfId="377" xr:uid="{39D08406-F352-4516-B4FA-F83E7902B441}"/>
    <cellStyle name="Percent 4 2 3" xfId="232" xr:uid="{F347ED60-048E-48AB-BD0C-ABA162EE9B8B}"/>
    <cellStyle name="Percent 4 2 3 2" xfId="481" xr:uid="{123284D9-EEB3-496E-9B47-305888979A84}"/>
    <cellStyle name="Percent 4 2 4" xfId="418" xr:uid="{01716E04-D076-43C4-BD26-6727D41CEA2D}"/>
    <cellStyle name="Percent 4 2 5" xfId="336" xr:uid="{510BE3DF-B501-4558-8DF2-C6ADBD55209C}"/>
    <cellStyle name="Percent 5" xfId="31" xr:uid="{0AAD14B4-24A4-47E9-95D7-DA51B07F15BF}"/>
    <cellStyle name="Percent 5 2" xfId="186" xr:uid="{76C668E9-7D99-4B1A-B33F-272267520282}"/>
    <cellStyle name="Percent 5 3" xfId="147" xr:uid="{CA5681F0-D604-40C3-86E1-9147A132C3D3}"/>
    <cellStyle name="Percent 6" xfId="39" xr:uid="{D688978D-F5FB-44B2-B088-FE6932B14056}"/>
    <cellStyle name="Percent 7" xfId="44" xr:uid="{4F9EBE74-6685-4EF5-9A1A-DECD934E8494}"/>
    <cellStyle name="Percent 8" xfId="65" xr:uid="{B6F73998-690F-41DD-B386-3244C00136AD}"/>
    <cellStyle name="Percent 8 2" xfId="208" xr:uid="{4D724EA2-83DC-46D0-9E70-407219F55500}"/>
    <cellStyle name="Percent 8 3" xfId="158" xr:uid="{FF0B058F-4050-47C0-A763-C94E669DDE7B}"/>
    <cellStyle name="Percent 9" xfId="69" xr:uid="{5E49280E-CAB7-4763-90EA-2AE88BC7C539}"/>
    <cellStyle name="Percent 9 2" xfId="210" xr:uid="{83BEBB17-F0B2-4817-9FC0-F6951BFF05C4}"/>
    <cellStyle name="Percent 9 3" xfId="160" xr:uid="{5F7120B5-EBB9-40C2-BA68-5BADCBCF23C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0033CC"/>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21</xdr:col>
      <xdr:colOff>67830</xdr:colOff>
      <xdr:row>82</xdr:row>
      <xdr:rowOff>33193</xdr:rowOff>
    </xdr:from>
    <xdr:to>
      <xdr:col>28</xdr:col>
      <xdr:colOff>444500</xdr:colOff>
      <xdr:row>82</xdr:row>
      <xdr:rowOff>881784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5228455" y="12717318"/>
          <a:ext cx="6155170" cy="84859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09/30/2021 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2) restating power supply expenses to </a:t>
          </a:r>
          <a:r>
            <a:rPr lang="en-US" sz="900" b="0" u="sng" baseline="0">
              <a:solidFill>
                <a:schemeClr val="dk1"/>
              </a:solidFill>
              <a:effectLst/>
              <a:latin typeface="+mn-lt"/>
              <a:ea typeface="+mn-ea"/>
              <a:cs typeface="+mn-cs"/>
            </a:rPr>
            <a:t>annualized</a:t>
          </a:r>
          <a:r>
            <a:rPr lang="en-US" sz="900" b="0" baseline="0">
              <a:solidFill>
                <a:schemeClr val="dk1"/>
              </a:solidFill>
              <a:effectLst/>
              <a:latin typeface="+mn-lt"/>
              <a:ea typeface="+mn-ea"/>
              <a:cs typeface="+mn-cs"/>
            </a:rPr>
            <a:t> authorized Power Supply  amounts in Adj 2.19 (revenue associated with the approved annual authorized level is included in ADj. 3.01 Pro Forma Normalization); and 3)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09.2021 AMA Rate base to EOP adjustment 2.15.</a:t>
          </a:r>
          <a:endParaRPr lang="en-US" sz="9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390523</xdr:colOff>
      <xdr:row>2</xdr:row>
      <xdr:rowOff>114302</xdr:rowOff>
    </xdr:from>
    <xdr:to>
      <xdr:col>6</xdr:col>
      <xdr:colOff>390523</xdr:colOff>
      <xdr:row>2</xdr:row>
      <xdr:rowOff>409575</xdr:rowOff>
    </xdr:to>
    <xdr:sp macro="" textlink="">
      <xdr:nvSpPr>
        <xdr:cNvPr id="4" name="Left Brace 3">
          <a:extLst>
            <a:ext uri="{FF2B5EF4-FFF2-40B4-BE49-F238E27FC236}">
              <a16:creationId xmlns:a16="http://schemas.microsoft.com/office/drawing/2014/main" id="{173005AB-929A-4207-A0AA-9DB0EBF1B279}"/>
            </a:ext>
          </a:extLst>
        </xdr:cNvPr>
        <xdr:cNvSpPr/>
      </xdr:nvSpPr>
      <xdr:spPr bwMode="auto">
        <a:xfrm rot="5400000">
          <a:off x="5553074" y="247651"/>
          <a:ext cx="295273" cy="847725"/>
        </a:xfrm>
        <a:prstGeom prst="leftBrace">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5</xdr:col>
      <xdr:colOff>814385</xdr:colOff>
      <xdr:row>2</xdr:row>
      <xdr:rowOff>76200</xdr:rowOff>
    </xdr:from>
    <xdr:to>
      <xdr:col>7</xdr:col>
      <xdr:colOff>419100</xdr:colOff>
      <xdr:row>2</xdr:row>
      <xdr:rowOff>114302</xdr:rowOff>
    </xdr:to>
    <xdr:cxnSp macro="">
      <xdr:nvCxnSpPr>
        <xdr:cNvPr id="8" name="Straight Connector 7">
          <a:extLst>
            <a:ext uri="{FF2B5EF4-FFF2-40B4-BE49-F238E27FC236}">
              <a16:creationId xmlns:a16="http://schemas.microsoft.com/office/drawing/2014/main" id="{1D75D946-C078-4C6B-930F-97F87E318AC2}"/>
            </a:ext>
          </a:extLst>
        </xdr:cNvPr>
        <xdr:cNvCxnSpPr>
          <a:stCxn id="4" idx="1"/>
        </xdr:cNvCxnSpPr>
      </xdr:nvCxnSpPr>
      <xdr:spPr bwMode="auto">
        <a:xfrm flipV="1">
          <a:off x="5700710" y="485775"/>
          <a:ext cx="1214440" cy="38102"/>
        </a:xfrm>
        <a:prstGeom prst="line">
          <a:avLst/>
        </a:prstGeom>
        <a:solidFill>
          <a:srgbClr val="FFFFFF"/>
        </a:solidFill>
        <a:ln w="9525" cap="flat" cmpd="sng" algn="ctr">
          <a:solidFill>
            <a:srgbClr val="000000"/>
          </a:solidFill>
          <a:prstDash val="lgDash"/>
          <a:round/>
          <a:headEnd type="none" w="med" len="med"/>
          <a:tailEnd type="none" w="med" len="med"/>
        </a:ln>
        <a:effectLst/>
      </xdr:spPr>
    </xdr:cxnSp>
    <xdr:clientData/>
  </xdr:twoCellAnchor>
  <xdr:twoCellAnchor>
    <xdr:from>
      <xdr:col>7</xdr:col>
      <xdr:colOff>428625</xdr:colOff>
      <xdr:row>2</xdr:row>
      <xdr:rowOff>76200</xdr:rowOff>
    </xdr:from>
    <xdr:to>
      <xdr:col>7</xdr:col>
      <xdr:colOff>428626</xdr:colOff>
      <xdr:row>2</xdr:row>
      <xdr:rowOff>266700</xdr:rowOff>
    </xdr:to>
    <xdr:cxnSp macro="">
      <xdr:nvCxnSpPr>
        <xdr:cNvPr id="10" name="Straight Arrow Connector 9">
          <a:extLst>
            <a:ext uri="{FF2B5EF4-FFF2-40B4-BE49-F238E27FC236}">
              <a16:creationId xmlns:a16="http://schemas.microsoft.com/office/drawing/2014/main" id="{E54B1CC1-B844-4E12-9C21-D09DEEB86317}"/>
            </a:ext>
          </a:extLst>
        </xdr:cNvPr>
        <xdr:cNvCxnSpPr/>
      </xdr:nvCxnSpPr>
      <xdr:spPr bwMode="auto">
        <a:xfrm>
          <a:off x="6924675" y="485775"/>
          <a:ext cx="1" cy="190500"/>
        </a:xfrm>
        <a:prstGeom prst="straightConnector1">
          <a:avLst/>
        </a:prstGeom>
        <a:solidFill>
          <a:srgbClr val="FFFFFF"/>
        </a:solidFill>
        <a:ln w="9525" cap="flat" cmpd="sng" algn="ctr">
          <a:solidFill>
            <a:srgbClr val="000000"/>
          </a:solidFill>
          <a:prstDash val="dash"/>
          <a:round/>
          <a:headEnd type="none" w="med" len="med"/>
          <a:tailEnd type="triangle"/>
        </a:ln>
        <a:effectLst/>
      </xdr:spPr>
    </xdr:cxnSp>
    <xdr:clientData/>
  </xdr:twoCellAnchor>
  <xdr:twoCellAnchor>
    <xdr:from>
      <xdr:col>5</xdr:col>
      <xdr:colOff>409575</xdr:colOff>
      <xdr:row>22</xdr:row>
      <xdr:rowOff>66677</xdr:rowOff>
    </xdr:from>
    <xdr:to>
      <xdr:col>6</xdr:col>
      <xdr:colOff>409575</xdr:colOff>
      <xdr:row>22</xdr:row>
      <xdr:rowOff>361950</xdr:rowOff>
    </xdr:to>
    <xdr:sp macro="" textlink="">
      <xdr:nvSpPr>
        <xdr:cNvPr id="16" name="Left Brace 15">
          <a:extLst>
            <a:ext uri="{FF2B5EF4-FFF2-40B4-BE49-F238E27FC236}">
              <a16:creationId xmlns:a16="http://schemas.microsoft.com/office/drawing/2014/main" id="{B27CE17A-212A-4468-B9EF-1A00899B5087}"/>
            </a:ext>
          </a:extLst>
        </xdr:cNvPr>
        <xdr:cNvSpPr/>
      </xdr:nvSpPr>
      <xdr:spPr bwMode="auto">
        <a:xfrm rot="5400000">
          <a:off x="5572126" y="4543426"/>
          <a:ext cx="295273" cy="847725"/>
        </a:xfrm>
        <a:prstGeom prst="leftBrace">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5</xdr:col>
      <xdr:colOff>833437</xdr:colOff>
      <xdr:row>22</xdr:row>
      <xdr:rowOff>28575</xdr:rowOff>
    </xdr:from>
    <xdr:to>
      <xdr:col>7</xdr:col>
      <xdr:colOff>438152</xdr:colOff>
      <xdr:row>22</xdr:row>
      <xdr:rowOff>66677</xdr:rowOff>
    </xdr:to>
    <xdr:cxnSp macro="">
      <xdr:nvCxnSpPr>
        <xdr:cNvPr id="17" name="Straight Connector 16">
          <a:extLst>
            <a:ext uri="{FF2B5EF4-FFF2-40B4-BE49-F238E27FC236}">
              <a16:creationId xmlns:a16="http://schemas.microsoft.com/office/drawing/2014/main" id="{E3CB8836-13CE-4D82-8722-9CECAE440175}"/>
            </a:ext>
          </a:extLst>
        </xdr:cNvPr>
        <xdr:cNvCxnSpPr>
          <a:stCxn id="16" idx="1"/>
        </xdr:cNvCxnSpPr>
      </xdr:nvCxnSpPr>
      <xdr:spPr bwMode="auto">
        <a:xfrm flipV="1">
          <a:off x="5719762" y="4781550"/>
          <a:ext cx="1214440" cy="38102"/>
        </a:xfrm>
        <a:prstGeom prst="line">
          <a:avLst/>
        </a:prstGeom>
        <a:solidFill>
          <a:srgbClr val="FFFFFF"/>
        </a:solidFill>
        <a:ln w="9525" cap="flat" cmpd="sng" algn="ctr">
          <a:solidFill>
            <a:srgbClr val="000000"/>
          </a:solidFill>
          <a:prstDash val="lgDash"/>
          <a:round/>
          <a:headEnd type="none" w="med" len="med"/>
          <a:tailEnd type="none" w="med" len="med"/>
        </a:ln>
        <a:effectLst/>
      </xdr:spPr>
    </xdr:cxnSp>
    <xdr:clientData/>
  </xdr:twoCellAnchor>
  <xdr:twoCellAnchor>
    <xdr:from>
      <xdr:col>7</xdr:col>
      <xdr:colOff>447677</xdr:colOff>
      <xdr:row>22</xdr:row>
      <xdr:rowOff>28575</xdr:rowOff>
    </xdr:from>
    <xdr:to>
      <xdr:col>7</xdr:col>
      <xdr:colOff>447678</xdr:colOff>
      <xdr:row>22</xdr:row>
      <xdr:rowOff>219075</xdr:rowOff>
    </xdr:to>
    <xdr:cxnSp macro="">
      <xdr:nvCxnSpPr>
        <xdr:cNvPr id="18" name="Straight Arrow Connector 17">
          <a:extLst>
            <a:ext uri="{FF2B5EF4-FFF2-40B4-BE49-F238E27FC236}">
              <a16:creationId xmlns:a16="http://schemas.microsoft.com/office/drawing/2014/main" id="{4541DC07-8FB9-4ECD-BEBB-B3A6A8AA34E7}"/>
            </a:ext>
          </a:extLst>
        </xdr:cNvPr>
        <xdr:cNvCxnSpPr/>
      </xdr:nvCxnSpPr>
      <xdr:spPr bwMode="auto">
        <a:xfrm>
          <a:off x="6943727" y="4781550"/>
          <a:ext cx="1" cy="190500"/>
        </a:xfrm>
        <a:prstGeom prst="straightConnector1">
          <a:avLst/>
        </a:prstGeom>
        <a:solidFill>
          <a:srgbClr val="FFFFFF"/>
        </a:solidFill>
        <a:ln w="9525" cap="flat" cmpd="sng" algn="ctr">
          <a:solidFill>
            <a:srgbClr val="000000"/>
          </a:solidFill>
          <a:prstDash val="dash"/>
          <a:round/>
          <a:headEnd type="none" w="med" len="med"/>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garcia\Desktop\NWN%20UG%20221\Adjustment%20Workpapers\Final%20Revenue%20Requirement%20Model%20and%20linked%20files\Working%20Copy%20of%20OM%20for%20Rate%20Case_12_09_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avistacorp.sharepoint.com/Advanced%20Metering/AMI%20Washington/Project%20Initiation/Meter%20Hardware%20Budget%20(version%2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Q:\Rolanda's%20Main%20Saved%20file\Headcount%20Dashboards\Post%20VSIP%20Headcount%20Dashboard\Organization%20List%20Jan%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01m107\c01m107\2017\2017%20ID%20Elec%20and%20Gas%20GRC\Adjustments\Adjustments\Uncollectible%20Expenses%20Transaction%20Amount%20-%20JS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20/2020%20WA%20Elec%20and%20Gas%20GRC/Adjustments/2.04%20REGULATORY%20EXPENSE/Reg%20Fees%20Model%20cop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PSNT01\data\Documents%20and%20Settings\blv\Desktop\in%20progress\2006PurLog.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Nat%20Gas%20Mode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20/2020%20WA%20Elec%20and%20Gas%20GRC/Rebuttal%20Testimony/4)%20Andrews/Andrews%20Workpapers/ROE%20Cal%20-%20Rebuttal-Case%202019%20WA%20Electric%20RR%20Model%20AMA%2010.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20/2020%20WA%20Elec%20and%20Gas%20GRC/Rebuttal%20Testimony/Andrews/ROE%20Cal%20Rebuttal-Case%202019%20WA%20Natural%20Gas%20RR%20Model%20AMA%2010.2021%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016\2016%20OR%20GAS%20GRC%20UG%20325\Adjustments\2.06-2.09%202016-2018%20Capital\6.30%20Workpapers\Don't%20Send\TTP%20Models\TTP%20Model%20-%202016%20-%206.29.2016%20(Q2%20TTP%20Update)%20-%20for%20Jan-Jun%20ADF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ULTS%20OF%20OPERATIONS\ROO%207\96\roo%20databa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tility/UG%20Files/UG%20288%20Avista%20Rate%20Case%202015/Workpapers/UG-___%20Smith%20WP%20(Avista)%20(May%202015)/Smith%20Native%20Format%20Workpapers/3.03%20G-SW/2)%202014%20YE%20OR%20Labor%20Detail%20-%20For%203YR%20CPI%20Analys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j9l\Local%20Settings\Temporary%20Internet%20Files\Content.Outlook\2VPN24R4\FTE%20and%20Earnings%202008%20Summar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k3y\Local%20Settings\Temporary%20Internet%20Files\Content.Outlook\S1RG6O1H\FTE%20and%20Earnings%202008%20Detail%20v0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1/2021%20ID%20Elec%20and%20Gas%20GRC/Adjustments/2019%20ID%20Electric%20RR%20Model-09.01.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WP%20CBR/WWP%202017-12%20CBR/12.2017%20CBR%20WA%20Electric%20Mode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ults%20of%20Operations/2019/2019.11/1A-2019.11_Avista%20Electric%20Pu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O&amp;M by Cost Center"/>
      <sheetName val="Quick Summary"/>
      <sheetName val="Global Parameters"/>
      <sheetName val="FTE Forecast"/>
      <sheetName val="Payroll OH Summary"/>
      <sheetName val="FERC Summary"/>
      <sheetName val="O&amp;M Payroll"/>
      <sheetName val="COH Payroll"/>
      <sheetName val="Merchandise Payroll"/>
      <sheetName val="Other Income Payroll"/>
      <sheetName val="Clearing Payroll"/>
      <sheetName val="Capital Payroll"/>
      <sheetName val="Payroll Summary"/>
      <sheetName val="O&amp;M Non Payroll"/>
      <sheetName val="COH Non Payroll"/>
      <sheetName val="Merchandise Non Payroll"/>
      <sheetName val="Other Income Non Payroll"/>
      <sheetName val="Clearing Non Payroll"/>
      <sheetName val="FERC Allocation Worksheet"/>
      <sheetName val="FERC and State Allocation"/>
      <sheetName val="State Allocation Factors"/>
      <sheetName val="Pension Treatment"/>
      <sheetName val="Rate Case Expenses"/>
      <sheetName val="Base Year by FERC"/>
      <sheetName val="2011 9 Month Actuals by FERC"/>
      <sheetName val="2011 FCST payroll by FERC"/>
      <sheetName val="2011 FCST non payroll by FERC"/>
      <sheetName val="MDR 58"/>
      <sheetName val="MDR 93"/>
      <sheetName val="MDR 96"/>
      <sheetName val="MDR 103"/>
      <sheetName val="MDR 104"/>
      <sheetName val="MDR 105"/>
      <sheetName val="Sheet1"/>
    </sheetNames>
    <sheetDataSet>
      <sheetData sheetId="0" refreshError="1"/>
      <sheetData sheetId="1" refreshError="1"/>
      <sheetData sheetId="2" refreshError="1"/>
      <sheetData sheetId="3">
        <row r="8">
          <cell r="D8">
            <v>0.95099999999999996</v>
          </cell>
          <cell r="E8">
            <v>1.0738000000000001</v>
          </cell>
          <cell r="F8">
            <v>1.0660000000000001</v>
          </cell>
        </row>
        <row r="9">
          <cell r="D9">
            <v>0.8054</v>
          </cell>
          <cell r="E9">
            <v>0.79430000000000001</v>
          </cell>
          <cell r="F9">
            <v>0.78569999999999995</v>
          </cell>
        </row>
        <row r="10">
          <cell r="D10">
            <v>0.40229999999999999</v>
          </cell>
          <cell r="E10">
            <v>0.79430000000000001</v>
          </cell>
          <cell r="F10">
            <v>0.78569999999999995</v>
          </cell>
        </row>
        <row r="11">
          <cell r="D11">
            <v>0.15</v>
          </cell>
        </row>
        <row r="12">
          <cell r="D12">
            <v>0.16200000000000001</v>
          </cell>
        </row>
        <row r="13">
          <cell r="D13">
            <v>0.86956521739130432</v>
          </cell>
        </row>
        <row r="14">
          <cell r="D14">
            <v>0.15</v>
          </cell>
        </row>
        <row r="19">
          <cell r="D19">
            <v>0.02</v>
          </cell>
          <cell r="E19">
            <v>3.2500000000000001E-2</v>
          </cell>
          <cell r="F19">
            <v>3.2500000000000001E-2</v>
          </cell>
        </row>
        <row r="20">
          <cell r="D20">
            <v>1.72E-2</v>
          </cell>
          <cell r="E20">
            <v>3.2500000000000001E-2</v>
          </cell>
          <cell r="F20">
            <v>3.2500000000000001E-2</v>
          </cell>
        </row>
        <row r="26">
          <cell r="E26">
            <v>0.02</v>
          </cell>
          <cell r="F26">
            <v>2.1000000000000001E-2</v>
          </cell>
        </row>
        <row r="79">
          <cell r="H79">
            <v>1160529</v>
          </cell>
        </row>
        <row r="80">
          <cell r="H80">
            <v>406000</v>
          </cell>
        </row>
        <row r="81">
          <cell r="H81">
            <v>2922739.6181292487</v>
          </cell>
        </row>
        <row r="82">
          <cell r="H82">
            <v>738000</v>
          </cell>
        </row>
        <row r="83">
          <cell r="H83">
            <v>349760.63614601147</v>
          </cell>
        </row>
        <row r="84">
          <cell r="H84">
            <v>311494.25265989843</v>
          </cell>
        </row>
        <row r="85">
          <cell r="H85">
            <v>620467.85838108498</v>
          </cell>
        </row>
        <row r="86">
          <cell r="H86">
            <v>450000</v>
          </cell>
        </row>
        <row r="88">
          <cell r="H88">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Structure 01"/>
      <sheetName val="Exec &amp; Dir  Jan 2013"/>
      <sheetName val="Exec &amp; Dir  Aug 2012"/>
      <sheetName val="Inactivated Orgs"/>
      <sheetName val="Instructions"/>
      <sheetName val="Org by Officer"/>
    </sheetNames>
    <sheetDataSet>
      <sheetData sheetId="0">
        <row r="3">
          <cell r="A3" t="str">
            <v>Org</v>
          </cell>
          <cell r="B3" t="str">
            <v>Ctr - 1</v>
          </cell>
          <cell r="C3" t="str">
            <v>Name</v>
          </cell>
          <cell r="D3" t="str">
            <v>Person Resp</v>
          </cell>
          <cell r="E3" t="str">
            <v>Previous Org(s)</v>
          </cell>
          <cell r="F3" t="str">
            <v>Budget Contact</v>
          </cell>
          <cell r="G3" t="str">
            <v>Ext</v>
          </cell>
        </row>
      </sheetData>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6"/>
      <sheetName val="Macro1"/>
    </sheetNames>
    <sheetDataSet>
      <sheetData sheetId="0" refreshError="1"/>
      <sheetData sheetId="1" refreshError="1"/>
      <sheetData sheetId="2">
        <row r="85">
          <cell r="A85" t="str">
            <v>Recover</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E-1"/>
      <sheetName val="Reg Fees 2.04"/>
      <sheetName val="E-RE-2"/>
      <sheetName val="G-RE-2"/>
      <sheetName val="Reg Fees"/>
      <sheetName val="Acerno_Cache_XXXXX"/>
      <sheetName val="Liability"/>
      <sheetName val="Revenue-E"/>
      <sheetName val="Revenue-G"/>
      <sheetName val="Input"/>
      <sheetName val="Macro1"/>
      <sheetName val="G-RE-1"/>
    </sheetNames>
    <sheetDataSet>
      <sheetData sheetId="0"/>
      <sheetData sheetId="1"/>
      <sheetData sheetId="2"/>
      <sheetData sheetId="3"/>
      <sheetData sheetId="4"/>
      <sheetData sheetId="5"/>
      <sheetData sheetId="6"/>
      <sheetData sheetId="7"/>
      <sheetData sheetId="8"/>
      <sheetData sheetId="9">
        <row r="3">
          <cell r="C3" t="str">
            <v>Twelve Months Ended December 31, 2019</v>
          </cell>
        </row>
      </sheetData>
      <sheetData sheetId="10">
        <row r="56">
          <cell r="A56" t="str">
            <v>Recover</v>
          </cell>
        </row>
      </sheetData>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tenance Detail"/>
      <sheetName val="Groups"/>
      <sheetName val="Dell Leases-Current"/>
      <sheetName val="Discontinued Maint."/>
      <sheetName val="Dues, Subs, Books"/>
      <sheetName val="Contracts_T&amp;Cs"/>
    </sheetNames>
    <sheetDataSet>
      <sheetData sheetId="0"/>
      <sheetData sheetId="1"/>
      <sheetData sheetId="2" refreshError="1">
        <row r="1">
          <cell r="E1" t="str">
            <v>Construction Operation Services</v>
          </cell>
        </row>
        <row r="2">
          <cell r="E2" t="str">
            <v>Customer Acquisition Systems</v>
          </cell>
        </row>
        <row r="3">
          <cell r="E3" t="str">
            <v>Customer Field Services</v>
          </cell>
        </row>
        <row r="4">
          <cell r="E4" t="str">
            <v>Customer Information Systems</v>
          </cell>
        </row>
        <row r="5">
          <cell r="E5" t="str">
            <v>e-Commerce Site &amp; Intranet</v>
          </cell>
        </row>
        <row r="6">
          <cell r="E6" t="str">
            <v>Engineering Systems</v>
          </cell>
        </row>
        <row r="7">
          <cell r="E7" t="str">
            <v>Finance, Acctg, Info Mgmt &amp; Procurement</v>
          </cell>
        </row>
        <row r="8">
          <cell r="E8" t="str">
            <v>Gas Supply Systems</v>
          </cell>
        </row>
        <row r="9">
          <cell r="E9" t="str">
            <v>Grand Total</v>
          </cell>
        </row>
        <row r="10">
          <cell r="E10" t="str">
            <v>Human Resources and Payroll</v>
          </cell>
        </row>
        <row r="11">
          <cell r="E11" t="str">
            <v>Personal Office Technology</v>
          </cell>
        </row>
        <row r="12">
          <cell r="E12" t="str">
            <v>Other</v>
          </cell>
        </row>
        <row r="13">
          <cell r="E13" t="str">
            <v>Reporting and Other Areas</v>
          </cell>
        </row>
        <row r="14">
          <cell r="E14" t="str">
            <v>Sarbanes Oxley Compliance</v>
          </cell>
        </row>
        <row r="15">
          <cell r="E15" t="str">
            <v xml:space="preserve">  Allocate-DB</v>
          </cell>
        </row>
        <row r="16">
          <cell r="E16" t="str">
            <v xml:space="preserve">  Allocate-General Admin</v>
          </cell>
        </row>
        <row r="17">
          <cell r="E17" t="str">
            <v xml:space="preserve">  Allocate-iSeries</v>
          </cell>
        </row>
        <row r="18">
          <cell r="E18" t="str">
            <v xml:space="preserve">  Allocate-Network</v>
          </cell>
        </row>
        <row r="19">
          <cell r="E19" t="str">
            <v xml:space="preserve">  Allocate-NT</v>
          </cell>
        </row>
        <row r="20">
          <cell r="E20" t="str">
            <v xml:space="preserve">  Allocate-Platform General</v>
          </cell>
        </row>
      </sheetData>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PC PROP0SED RATES-12.2022"/>
      <sheetName val="PC PROP0SED RATES-12.2023"/>
      <sheetName val="PCCF"/>
      <sheetName val="PROP0SED RATES-12.2022"/>
      <sheetName val="PROP0SED RATES-12.2023"/>
      <sheetName val="RR SUMMARY"/>
      <sheetName val="CF"/>
      <sheetName val="ADJ DETAIL INPUT"/>
      <sheetName val="ADJ SUMMARY"/>
      <sheetName val="CF WA Gas"/>
      <sheetName val="ROO INPUT 1.00"/>
      <sheetName val="DEBT CALC 2.14"/>
      <sheetName val="DEBT CALC 2.14 (2)"/>
      <sheetName val="Exh. 6 pg 3-4 Gas RY2 Escalatn"/>
      <sheetName val="LEAD SHEETS-DO NOT ENTER"/>
      <sheetName val="Recap Summary"/>
      <sheetName val="Gas 2022-2024 Summary"/>
      <sheetName val="PROP0SED RATES-Original"/>
      <sheetName val="ADJ Cites to Exh EMA-5 &amp; EMA-11"/>
    </sheetNames>
    <sheetDataSet>
      <sheetData sheetId="0"/>
      <sheetData sheetId="1">
        <row r="59">
          <cell r="L59">
            <v>31800.685595999999</v>
          </cell>
        </row>
      </sheetData>
      <sheetData sheetId="2">
        <row r="59">
          <cell r="K59">
            <v>32259.652536000001</v>
          </cell>
        </row>
      </sheetData>
      <sheetData sheetId="3"/>
      <sheetData sheetId="4">
        <row r="59">
          <cell r="L59">
            <v>36200.685595999996</v>
          </cell>
        </row>
        <row r="81">
          <cell r="L81">
            <v>514942</v>
          </cell>
        </row>
      </sheetData>
      <sheetData sheetId="5">
        <row r="59">
          <cell r="K59">
            <v>37613.43883923391</v>
          </cell>
        </row>
        <row r="81">
          <cell r="K81">
            <v>535042</v>
          </cell>
        </row>
      </sheetData>
      <sheetData sheetId="6"/>
      <sheetData sheetId="7"/>
      <sheetData sheetId="8"/>
      <sheetData sheetId="9"/>
      <sheetData sheetId="10"/>
      <sheetData sheetId="11"/>
      <sheetData sheetId="12">
        <row r="65">
          <cell r="G65">
            <v>12719.0674</v>
          </cell>
        </row>
      </sheetData>
      <sheetData sheetId="13">
        <row r="65">
          <cell r="G65">
            <v>13215.537399999999</v>
          </cell>
        </row>
      </sheetData>
      <sheetData sheetId="14"/>
      <sheetData sheetId="15"/>
      <sheetData sheetId="16"/>
      <sheetData sheetId="17"/>
      <sheetData sheetId="18"/>
      <sheetData sheetId="1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lized ROE - Elec&amp;Gas-PF"/>
      <sheetName val="12.21 EOP -Norm ROE - Elec&amp;Gas"/>
      <sheetName val="PROPOSED RATES -AWEC"/>
      <sheetName val="PROPOSED RATES - PC"/>
      <sheetName val="PROPOSED RATES - Staff"/>
      <sheetName val="RR SUMMARY"/>
      <sheetName val="CF "/>
      <sheetName val="Acerno_Cache_XXXXX"/>
      <sheetName val="ADJ DETAIL-INPUT"/>
      <sheetName val="COMPARISON"/>
      <sheetName val="ADJ SUMMARY"/>
      <sheetName val="LEAD SHEETS-DO NOT ENTER"/>
      <sheetName val="ROO INPUT"/>
      <sheetName val="DEBT CALC"/>
      <sheetName val="Normalized ROE - Elec&amp;Gas"/>
    </sheetNames>
    <sheetDataSet>
      <sheetData sheetId="0"/>
      <sheetData sheetId="1"/>
      <sheetData sheetId="2">
        <row r="56">
          <cell r="I56">
            <v>105074.63915940949</v>
          </cell>
        </row>
      </sheetData>
      <sheetData sheetId="3"/>
      <sheetData sheetId="4"/>
      <sheetData sheetId="5">
        <row r="13">
          <cell r="L13">
            <v>0.48499999999999999</v>
          </cell>
        </row>
      </sheetData>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0SED RATES - AWEC"/>
      <sheetName val="PROP0SED RATES - PC"/>
      <sheetName val="PROP0SED RATES - Staff"/>
      <sheetName val="RR SUMMARY"/>
      <sheetName val="CF"/>
      <sheetName val="ADJ DETAIL INPUT"/>
      <sheetName val="Acerno_Cache_XXXXX"/>
      <sheetName val="Recap Summary"/>
      <sheetName val="ADJ SUMMARY"/>
      <sheetName val="DEBT CALC"/>
      <sheetName val="ROO INPUT"/>
      <sheetName val="LEAD SHEETS-DO NOT ENTER"/>
    </sheetNames>
    <sheetDataSet>
      <sheetData sheetId="0">
        <row r="59">
          <cell r="J59">
            <v>24646.242333098518</v>
          </cell>
        </row>
      </sheetData>
      <sheetData sheetId="1">
        <row r="59">
          <cell r="J59">
            <v>27871.242333098518</v>
          </cell>
        </row>
      </sheetData>
      <sheetData sheetId="2">
        <row r="59">
          <cell r="J59">
            <v>29090.242333098518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Washington"/>
      <sheetName val="WA PF Major Smry"/>
      <sheetName val="WA PF Major(E)"/>
      <sheetName val="WA PF Major(G)"/>
      <sheetName val="Idaho"/>
      <sheetName val="Oregon"/>
      <sheetName val="2016 Inputs"/>
      <sheetName val="Actl Forcst - WA E"/>
      <sheetName val="Actl Forcst - WA G"/>
      <sheetName val="Actl Forcst - ID E"/>
      <sheetName val="Actl Forcst - ID G"/>
      <sheetName val="Actl Forcst - OR"/>
      <sheetName val="Actl Forcst - TotalCo"/>
      <sheetName val="Actual"/>
      <sheetName val="Actual_Transfers"/>
      <sheetName val="Budget"/>
      <sheetName val="CAP16.3"/>
      <sheetName val="Sheet3"/>
      <sheetName val="Sheet2"/>
      <sheetName val="Allocation Factors"/>
      <sheetName val="Specific Allocation"/>
      <sheetName val="AllocationFactors_Actuals"/>
      <sheetName val="Sheet1"/>
      <sheetName val="WA 5000s General to Software"/>
      <sheetName val="ID 5000s General to Software"/>
      <sheetName val="OR 5000s General to Softw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Allocation Factors</v>
          </cell>
        </row>
        <row r="3">
          <cell r="A3" t="str">
            <v>Allocation Categories</v>
          </cell>
        </row>
        <row r="4">
          <cell r="A4" t="str">
            <v>Elec Distribution 360-373 CD AN</v>
          </cell>
        </row>
        <row r="5">
          <cell r="A5" t="str">
            <v>Elec Distribution 360-373 CD AA</v>
          </cell>
        </row>
        <row r="6">
          <cell r="A6" t="str">
            <v>Elec Distribution 360-373 ED AN</v>
          </cell>
        </row>
        <row r="7">
          <cell r="A7" t="str">
            <v>Elec Distribution 360-373 ED ID</v>
          </cell>
        </row>
        <row r="8">
          <cell r="A8" t="str">
            <v>Elec Distribution 360-373 ED WA</v>
          </cell>
        </row>
        <row r="9">
          <cell r="A9" t="str">
            <v>Elec Distribution 360-373 ED MT</v>
          </cell>
        </row>
        <row r="10">
          <cell r="A10" t="str">
            <v>Elec Transmission 350-359 ED AN</v>
          </cell>
        </row>
        <row r="11">
          <cell r="A11" t="str">
            <v>Elec Transmission 350-359 ED ID</v>
          </cell>
        </row>
        <row r="12">
          <cell r="A12" t="str">
            <v>Elec Transmission 350-359 ED WA</v>
          </cell>
        </row>
        <row r="13">
          <cell r="A13" t="str">
            <v>Gas Distribution 374-387 GD AA</v>
          </cell>
        </row>
        <row r="14">
          <cell r="A14" t="str">
            <v>Gas Distribution 374-387 GD AN</v>
          </cell>
        </row>
        <row r="15">
          <cell r="A15" t="str">
            <v>Gas Distribution 374-387 GD ID</v>
          </cell>
        </row>
        <row r="16">
          <cell r="A16" t="str">
            <v>Gas Distribution 374-387 GD OR</v>
          </cell>
        </row>
        <row r="17">
          <cell r="A17" t="str">
            <v>Gas Distribution 374-387 GD WA</v>
          </cell>
        </row>
        <row r="18">
          <cell r="A18" t="str">
            <v>Gas Underground Storage 350-357 GD AA</v>
          </cell>
        </row>
        <row r="19">
          <cell r="A19" t="str">
            <v>Gas Underground Storage 350-357 GD AN</v>
          </cell>
        </row>
        <row r="20">
          <cell r="A20" t="str">
            <v>Gas Underground Storage 350-357 GD OR</v>
          </cell>
        </row>
        <row r="21">
          <cell r="A21" t="str">
            <v>General 389-391 / 393-395 / 397-398 CD AA</v>
          </cell>
        </row>
        <row r="22">
          <cell r="A22" t="str">
            <v>General 389-391 / 393-395 / 397-398 CD AN</v>
          </cell>
        </row>
        <row r="23">
          <cell r="A23" t="str">
            <v>General 389-391 / 393-395 / 397-398 CD ID</v>
          </cell>
        </row>
        <row r="24">
          <cell r="A24" t="str">
            <v>General 389-391 / 393-395 / 397-398 CD WA</v>
          </cell>
        </row>
        <row r="25">
          <cell r="A25" t="str">
            <v>General 389-391 / 393-395 / 397-398 ED AN</v>
          </cell>
        </row>
        <row r="26">
          <cell r="A26" t="str">
            <v>General 389-391 / 393-395 / 397-398 GD AA</v>
          </cell>
        </row>
        <row r="27">
          <cell r="A27" t="str">
            <v>General 389-391 / 393-395 / 397-398 ED WA</v>
          </cell>
        </row>
        <row r="28">
          <cell r="A28" t="str">
            <v>General 389-391 / 393-395 / 397-398 ED ID</v>
          </cell>
        </row>
        <row r="29">
          <cell r="A29" t="str">
            <v>General 389-391 / 393-395 / 397-398 ED AA</v>
          </cell>
        </row>
        <row r="30">
          <cell r="A30" t="str">
            <v>General 389-391 / 393-395 / 397-398 GD WA</v>
          </cell>
        </row>
        <row r="31">
          <cell r="A31" t="str">
            <v>General 389-391 / 393-395 / 397-398 GD OR</v>
          </cell>
        </row>
        <row r="32">
          <cell r="A32" t="str">
            <v>General 389-391 / 393-395 / 397-398 GD AN</v>
          </cell>
        </row>
        <row r="33">
          <cell r="A33" t="str">
            <v>Hydro 331-336 ED AN</v>
          </cell>
        </row>
        <row r="34">
          <cell r="A34" t="str">
            <v>Other Elec Production / Turbines 340-346 ED AN</v>
          </cell>
        </row>
        <row r="35">
          <cell r="A35" t="str">
            <v>Other Elec Production / Turbines 340-346 CD WA</v>
          </cell>
        </row>
        <row r="36">
          <cell r="A36" t="str">
            <v>Software 303 CD AA</v>
          </cell>
        </row>
        <row r="37">
          <cell r="A37" t="str">
            <v>Software 303 CD ID</v>
          </cell>
        </row>
        <row r="38">
          <cell r="A38" t="str">
            <v>Software 303 CD WA</v>
          </cell>
        </row>
        <row r="39">
          <cell r="A39" t="str">
            <v>Software 303 ED AN</v>
          </cell>
        </row>
        <row r="40">
          <cell r="A40" t="str">
            <v>Software 303 ED MT</v>
          </cell>
        </row>
        <row r="41">
          <cell r="A41" t="str">
            <v>Software 303 ED WA</v>
          </cell>
        </row>
        <row r="42">
          <cell r="A42" t="str">
            <v>Software 303 CD AN</v>
          </cell>
        </row>
        <row r="43">
          <cell r="A43" t="str">
            <v>Software 303 GD AA</v>
          </cell>
        </row>
        <row r="44">
          <cell r="A44" t="str">
            <v>Thermal 311-316 ED AN</v>
          </cell>
        </row>
        <row r="45">
          <cell r="A45" t="str">
            <v>Transportation and Tools 392 / 396 CD AA</v>
          </cell>
        </row>
        <row r="46">
          <cell r="A46" t="str">
            <v>Transportation and Tools 392 / 396 CD AN</v>
          </cell>
        </row>
        <row r="47">
          <cell r="A47" t="str">
            <v>Transportation and Tools 392 / 396 CD WA</v>
          </cell>
        </row>
        <row r="48">
          <cell r="A48" t="str">
            <v>Transportation and Tools 392 / 396 CD ID</v>
          </cell>
        </row>
        <row r="49">
          <cell r="A49" t="str">
            <v>Transportation and Tools 392 / 396 ED AN</v>
          </cell>
        </row>
        <row r="50">
          <cell r="A50" t="str">
            <v>Transportation and Tools 392 / 396 ED WA</v>
          </cell>
        </row>
        <row r="51">
          <cell r="A51" t="str">
            <v>Transportation and Tools 392 / 396 ED ID</v>
          </cell>
        </row>
        <row r="52">
          <cell r="A52" t="str">
            <v>Transportation and Tools 392 / 396 GD AN</v>
          </cell>
        </row>
        <row r="53">
          <cell r="A53" t="str">
            <v>Transportation and Tools 392 / 396 GD ID</v>
          </cell>
        </row>
        <row r="54">
          <cell r="A54" t="str">
            <v>Transportation and Tools 392 / 396 GD WA</v>
          </cell>
        </row>
        <row r="55">
          <cell r="A55" t="str">
            <v>Transportation and Tools 392 / 396 GD OR</v>
          </cell>
        </row>
        <row r="56">
          <cell r="A56" t="str">
            <v>Gas Distribution 374-387 GD AA 1001</v>
          </cell>
        </row>
        <row r="57">
          <cell r="A57" t="str">
            <v>Gas Distribution 374-387 GD AA 1050</v>
          </cell>
        </row>
        <row r="58">
          <cell r="A58" t="str">
            <v>Gas Distribution 374-387 GD AA 1051</v>
          </cell>
        </row>
        <row r="59">
          <cell r="A59" t="str">
            <v>Gas Distribution 374-387 GD AA 1053</v>
          </cell>
        </row>
        <row r="60">
          <cell r="A60" t="str">
            <v>Gas Distribution 374-387 GD AA 3000</v>
          </cell>
        </row>
        <row r="61">
          <cell r="A61" t="str">
            <v>Gas Distribution 374-387 GD AA 3001</v>
          </cell>
        </row>
        <row r="62">
          <cell r="A62" t="str">
            <v>Gas Distribution 374-387 GD AA 3002</v>
          </cell>
        </row>
        <row r="63">
          <cell r="A63" t="str">
            <v>Gas Distribution 374-387 GD AA 3003</v>
          </cell>
        </row>
        <row r="64">
          <cell r="A64" t="str">
            <v>Gas Distribution 374-387 GD AA 3004</v>
          </cell>
        </row>
        <row r="65">
          <cell r="A65" t="str">
            <v>Gas Distribution 374-387 GD AA 3005</v>
          </cell>
        </row>
        <row r="66">
          <cell r="A66" t="str">
            <v>Gas Distribution 374-387 GD AA 3006</v>
          </cell>
        </row>
        <row r="67">
          <cell r="A67" t="str">
            <v>Gas Distribution 374-387 GD AA 3007</v>
          </cell>
        </row>
        <row r="68">
          <cell r="A68" t="str">
            <v>Gas Distribution 374-387 GD AA 3008</v>
          </cell>
        </row>
        <row r="69">
          <cell r="A69" t="str">
            <v>Gas Distribution 374-387 GD AA 3054</v>
          </cell>
        </row>
        <row r="70">
          <cell r="A70" t="str">
            <v>Gas Distribution 374-387 GD AA 3055</v>
          </cell>
        </row>
        <row r="71">
          <cell r="A71" t="str">
            <v>Gas Distribution 374-387 GD AA 3057</v>
          </cell>
        </row>
        <row r="72">
          <cell r="A72" t="str">
            <v>Gas Distribution 374-387 GD AA 3117</v>
          </cell>
        </row>
        <row r="73">
          <cell r="A73" t="str">
            <v>Gas Distribution 374-387 ED ID</v>
          </cell>
        </row>
        <row r="74">
          <cell r="A74" t="str">
            <v>Elec Distribution 360-373 ED AN 1000</v>
          </cell>
        </row>
        <row r="75">
          <cell r="A75" t="str">
            <v>Elec Distribution 360-373 ED AN 1002</v>
          </cell>
        </row>
        <row r="76">
          <cell r="A76" t="str">
            <v>Elec Distribution 360-373 ED AN 1003</v>
          </cell>
        </row>
        <row r="77">
          <cell r="A77" t="str">
            <v>Elec Distribution 360-373 ED AN 1004</v>
          </cell>
        </row>
        <row r="78">
          <cell r="A78" t="str">
            <v>Elec Distribution 360-373 ED AN 1005</v>
          </cell>
        </row>
        <row r="79">
          <cell r="A79" t="str">
            <v>Elec Distribution 360-373 ED AN 1006</v>
          </cell>
        </row>
        <row r="80">
          <cell r="A80" t="str">
            <v>Elec Distribution 360-373 ED AN 2054</v>
          </cell>
        </row>
        <row r="81">
          <cell r="A81" t="str">
            <v>Elec Distribution 360-373 ED AN 2055</v>
          </cell>
        </row>
        <row r="82">
          <cell r="A82" t="str">
            <v>Elec Distribution 360-373 ED AN 2056</v>
          </cell>
        </row>
        <row r="83">
          <cell r="A83" t="str">
            <v>Elec Distribution 360-373 ED AN 2059</v>
          </cell>
        </row>
        <row r="84">
          <cell r="A84" t="str">
            <v>Elec Distribution 360-373 ED AN 2060</v>
          </cell>
        </row>
        <row r="85">
          <cell r="A85" t="str">
            <v>Elec Distribution 360-373 ED AN 2204</v>
          </cell>
        </row>
        <row r="86">
          <cell r="A86" t="str">
            <v>Elec Distribution 360-373 ED AN 2414</v>
          </cell>
        </row>
        <row r="87">
          <cell r="A87" t="str">
            <v>Elec Distribution 360-373 ED AN 2423</v>
          </cell>
        </row>
        <row r="88">
          <cell r="A88" t="str">
            <v>Elec Distribution 360-373 ED AN 2470</v>
          </cell>
        </row>
        <row r="89">
          <cell r="A89" t="str">
            <v>Elec Distribution 360-373 ED AN 2516</v>
          </cell>
        </row>
        <row r="90">
          <cell r="A90" t="str">
            <v>Elec Distribution 360-373 ED AN 2535</v>
          </cell>
        </row>
        <row r="91">
          <cell r="A91" t="str">
            <v>Elec Distribution 360-373 ED AN 2584</v>
          </cell>
        </row>
        <row r="92">
          <cell r="A92" t="str">
            <v>Elec Distribution 360-373 ED AN 2599</v>
          </cell>
        </row>
        <row r="93">
          <cell r="A93" t="str">
            <v>Elec Distribution 360-373 ED AN 6000</v>
          </cell>
        </row>
        <row r="94">
          <cell r="A94" t="str">
            <v>Elec Distribution 360-373 CD WA 2586</v>
          </cell>
        </row>
      </sheetData>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o database"/>
    </sheetNames>
    <definedNames>
      <definedName name="_xlnm.Database" refersTo="#REF!"/>
    </defined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tate Summary"/>
      <sheetName val="Macro1"/>
    </sheetNames>
    <sheetDataSet>
      <sheetData sheetId="0"/>
      <sheetData sheetId="1">
        <row r="43">
          <cell r="A43"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100">
          <cell r="B100" t="str">
            <v>ACC</v>
          </cell>
          <cell r="C100" t="str">
            <v>One-Time Accrual</v>
          </cell>
          <cell r="D100" t="str">
            <v>WVD</v>
          </cell>
          <cell r="E100">
            <v>99</v>
          </cell>
        </row>
        <row r="101">
          <cell r="B101" t="str">
            <v>ACF</v>
          </cell>
          <cell r="C101" t="str">
            <v>1time Accrual - Family Lv</v>
          </cell>
          <cell r="D101" t="str">
            <v>WVD</v>
          </cell>
          <cell r="E101">
            <v>99</v>
          </cell>
        </row>
        <row r="102">
          <cell r="B102" t="str">
            <v>ACP</v>
          </cell>
          <cell r="C102" t="str">
            <v>One Time Accrual Paid Cash</v>
          </cell>
          <cell r="D102" t="str">
            <v>WVD</v>
          </cell>
          <cell r="E102">
            <v>99</v>
          </cell>
        </row>
        <row r="103">
          <cell r="B103" t="str">
            <v>BI1</v>
          </cell>
          <cell r="C103" t="str">
            <v>Bilingual Premium OT</v>
          </cell>
          <cell r="D103" t="str">
            <v>WOD</v>
          </cell>
          <cell r="E103">
            <v>99</v>
          </cell>
        </row>
        <row r="104">
          <cell r="B104" t="str">
            <v>BI2</v>
          </cell>
          <cell r="C104" t="str">
            <v>Bilingual Premium DT</v>
          </cell>
          <cell r="D104" t="str">
            <v>WOD</v>
          </cell>
          <cell r="E104">
            <v>99</v>
          </cell>
        </row>
        <row r="105">
          <cell r="B105" t="str">
            <v>BIL</v>
          </cell>
          <cell r="C105" t="str">
            <v>Bilingual Premium</v>
          </cell>
          <cell r="D105" t="str">
            <v>WRD</v>
          </cell>
          <cell r="E105">
            <v>99</v>
          </cell>
        </row>
        <row r="106">
          <cell r="B106" t="str">
            <v>CLO</v>
          </cell>
          <cell r="C106" t="str">
            <v>Call Out - Double Time</v>
          </cell>
          <cell r="D106" t="str">
            <v>WOD</v>
          </cell>
          <cell r="E106">
            <v>99</v>
          </cell>
        </row>
        <row r="107">
          <cell r="B107" t="str">
            <v>CLS</v>
          </cell>
          <cell r="C107" t="str">
            <v>Call Out - Straight Time</v>
          </cell>
          <cell r="D107" t="str">
            <v>WRD</v>
          </cell>
          <cell r="E107">
            <v>99</v>
          </cell>
        </row>
        <row r="108">
          <cell r="B108" t="str">
            <v>CSO</v>
          </cell>
          <cell r="C108" t="str">
            <v>Call Out - Sat/Sun - Dt</v>
          </cell>
          <cell r="D108" t="str">
            <v>WOD</v>
          </cell>
          <cell r="E108">
            <v>99</v>
          </cell>
        </row>
        <row r="109">
          <cell r="B109" t="str">
            <v>CSS</v>
          </cell>
          <cell r="C109" t="str">
            <v>Call Out -Sat/Sun-Strght</v>
          </cell>
          <cell r="D109" t="str">
            <v>WRD</v>
          </cell>
          <cell r="E109">
            <v>99</v>
          </cell>
        </row>
        <row r="110">
          <cell r="B110" t="str">
            <v>CVT</v>
          </cell>
          <cell r="C110" t="str">
            <v>Community Volunteer Time</v>
          </cell>
          <cell r="D110" t="str">
            <v>WRD</v>
          </cell>
          <cell r="E110">
            <v>99</v>
          </cell>
        </row>
        <row r="111">
          <cell r="B111" t="str">
            <v>DBT</v>
          </cell>
          <cell r="C111" t="str">
            <v>Overtime At Double</v>
          </cell>
          <cell r="D111" t="str">
            <v>WOD</v>
          </cell>
          <cell r="E111">
            <v>99</v>
          </cell>
        </row>
        <row r="112">
          <cell r="B112" t="str">
            <v>DC1</v>
          </cell>
          <cell r="C112" t="str">
            <v>Doubletime W-O W-Comp - 1</v>
          </cell>
          <cell r="D112" t="str">
            <v>WOD</v>
          </cell>
          <cell r="E112">
            <v>99</v>
          </cell>
        </row>
        <row r="113">
          <cell r="B113" t="str">
            <v>DC2</v>
          </cell>
          <cell r="C113" t="str">
            <v>Doubletime W-O W-Comp - 2</v>
          </cell>
          <cell r="D113" t="str">
            <v>WOD</v>
          </cell>
          <cell r="E113">
            <v>99</v>
          </cell>
        </row>
        <row r="114">
          <cell r="B114" t="str">
            <v>DC3</v>
          </cell>
          <cell r="C114" t="str">
            <v>Doubletime W-O W-Comp - 3</v>
          </cell>
          <cell r="D114" t="str">
            <v>WOD</v>
          </cell>
          <cell r="E114">
            <v>99</v>
          </cell>
        </row>
        <row r="115">
          <cell r="B115" t="str">
            <v>DC4</v>
          </cell>
          <cell r="C115" t="str">
            <v>Doubletime W-O W-Comp - 4</v>
          </cell>
          <cell r="D115" t="str">
            <v>WOD</v>
          </cell>
          <cell r="E115">
            <v>99</v>
          </cell>
        </row>
        <row r="116">
          <cell r="B116" t="str">
            <v>DC5</v>
          </cell>
          <cell r="C116" t="str">
            <v>Doubletime W-O W-Comp - 5</v>
          </cell>
          <cell r="D116" t="str">
            <v>WOD</v>
          </cell>
          <cell r="E116">
            <v>99</v>
          </cell>
        </row>
        <row r="117">
          <cell r="B117" t="str">
            <v>DIS</v>
          </cell>
          <cell r="C117" t="str">
            <v>Sick Pay</v>
          </cell>
          <cell r="D117" t="str">
            <v>WVD</v>
          </cell>
          <cell r="E117">
            <v>99</v>
          </cell>
        </row>
        <row r="118">
          <cell r="B118" t="str">
            <v>DOT</v>
          </cell>
          <cell r="C118" t="str">
            <v>Donation of Leave Time</v>
          </cell>
          <cell r="D118" t="str">
            <v>WVD</v>
          </cell>
          <cell r="E118">
            <v>99</v>
          </cell>
        </row>
        <row r="119">
          <cell r="B119" t="str">
            <v>DP1</v>
          </cell>
          <cell r="C119" t="str">
            <v>Day 7 Retire Base @ 2 -1</v>
          </cell>
          <cell r="D119" t="str">
            <v>WOD</v>
          </cell>
          <cell r="E119">
            <v>99</v>
          </cell>
        </row>
        <row r="120">
          <cell r="B120" t="str">
            <v>DP2</v>
          </cell>
          <cell r="C120" t="str">
            <v>Day 7 Retire Base @ 2 -2</v>
          </cell>
          <cell r="D120" t="str">
            <v>WOD</v>
          </cell>
          <cell r="E120">
            <v>99</v>
          </cell>
        </row>
        <row r="121">
          <cell r="B121" t="str">
            <v>DP3</v>
          </cell>
          <cell r="C121" t="str">
            <v>Day 7 Retire Base @ 2 -3</v>
          </cell>
          <cell r="D121" t="str">
            <v>WOD</v>
          </cell>
          <cell r="E121">
            <v>99</v>
          </cell>
        </row>
        <row r="122">
          <cell r="B122" t="str">
            <v>DP4</v>
          </cell>
          <cell r="C122" t="str">
            <v>Day 7 Retire Base @ 2 -4</v>
          </cell>
          <cell r="D122" t="str">
            <v>WOD</v>
          </cell>
          <cell r="E122">
            <v>99</v>
          </cell>
        </row>
        <row r="123">
          <cell r="B123" t="str">
            <v>DP5</v>
          </cell>
          <cell r="C123" t="str">
            <v>Day 7 Retire Base @ 2 -5</v>
          </cell>
          <cell r="D123" t="str">
            <v>WOD</v>
          </cell>
          <cell r="E123">
            <v>99</v>
          </cell>
        </row>
        <row r="124">
          <cell r="B124" t="str">
            <v>DP6</v>
          </cell>
          <cell r="C124" t="str">
            <v>Day 7 Retire Base @ 2 -6</v>
          </cell>
          <cell r="D124" t="str">
            <v>WOD</v>
          </cell>
          <cell r="E124">
            <v>99</v>
          </cell>
        </row>
        <row r="125">
          <cell r="B125" t="str">
            <v>DP7</v>
          </cell>
          <cell r="C125" t="str">
            <v>Day 7 Retire Base @ 2 -7</v>
          </cell>
          <cell r="D125" t="str">
            <v>WOD</v>
          </cell>
          <cell r="E125">
            <v>99</v>
          </cell>
        </row>
        <row r="126">
          <cell r="B126" t="str">
            <v>DP8</v>
          </cell>
          <cell r="C126" t="str">
            <v>Day 7 Retire Base @ 2 -8</v>
          </cell>
          <cell r="D126" t="str">
            <v>WOD</v>
          </cell>
          <cell r="E126">
            <v>99</v>
          </cell>
        </row>
        <row r="127">
          <cell r="B127" t="str">
            <v>DT1</v>
          </cell>
          <cell r="C127" t="str">
            <v>Overtime At Double</v>
          </cell>
          <cell r="D127" t="str">
            <v>WOD</v>
          </cell>
          <cell r="E127">
            <v>99</v>
          </cell>
        </row>
        <row r="128">
          <cell r="B128" t="str">
            <v>DT2</v>
          </cell>
          <cell r="C128" t="str">
            <v>Overtime At Double - 2</v>
          </cell>
          <cell r="D128" t="str">
            <v>WOD</v>
          </cell>
          <cell r="E128">
            <v>99</v>
          </cell>
        </row>
        <row r="129">
          <cell r="B129" t="str">
            <v>DT3</v>
          </cell>
          <cell r="C129" t="str">
            <v>Overtime At Double - 3</v>
          </cell>
          <cell r="D129" t="str">
            <v>WOD</v>
          </cell>
          <cell r="E129">
            <v>99</v>
          </cell>
        </row>
        <row r="130">
          <cell r="B130" t="str">
            <v>DT4</v>
          </cell>
          <cell r="C130" t="str">
            <v>Overtime At Double - 4</v>
          </cell>
          <cell r="D130" t="str">
            <v>WOD</v>
          </cell>
          <cell r="E130">
            <v>99</v>
          </cell>
        </row>
        <row r="131">
          <cell r="B131" t="str">
            <v>DT5</v>
          </cell>
          <cell r="C131" t="str">
            <v>Overtime At Double - 5</v>
          </cell>
          <cell r="D131" t="str">
            <v>WOD</v>
          </cell>
          <cell r="E131">
            <v>99</v>
          </cell>
        </row>
        <row r="132">
          <cell r="B132" t="str">
            <v>DT6</v>
          </cell>
          <cell r="C132" t="str">
            <v>Overtime At Double - 6</v>
          </cell>
          <cell r="D132" t="str">
            <v>WOD</v>
          </cell>
          <cell r="E132">
            <v>99</v>
          </cell>
        </row>
        <row r="133">
          <cell r="B133" t="str">
            <v>DT7</v>
          </cell>
          <cell r="C133" t="str">
            <v>Overtime At Double - 7</v>
          </cell>
          <cell r="D133" t="str">
            <v>WOD</v>
          </cell>
          <cell r="E133">
            <v>99</v>
          </cell>
        </row>
        <row r="134">
          <cell r="B134" t="str">
            <v>DT8</v>
          </cell>
          <cell r="C134" t="str">
            <v>Overtime At Double - 8</v>
          </cell>
          <cell r="D134" t="str">
            <v>WOD</v>
          </cell>
          <cell r="E134">
            <v>99</v>
          </cell>
        </row>
        <row r="135">
          <cell r="B135" t="str">
            <v>DTP</v>
          </cell>
          <cell r="C135" t="str">
            <v>Doubletime</v>
          </cell>
          <cell r="D135" t="str">
            <v>WOD</v>
          </cell>
          <cell r="E135">
            <v>99</v>
          </cell>
        </row>
        <row r="136">
          <cell r="B136" t="str">
            <v>FLH</v>
          </cell>
          <cell r="C136" t="str">
            <v>Floating Holiday</v>
          </cell>
          <cell r="D136" t="str">
            <v>WVD</v>
          </cell>
          <cell r="E136">
            <v>99</v>
          </cell>
        </row>
        <row r="137">
          <cell r="B137" t="str">
            <v>FNL</v>
          </cell>
          <cell r="C137" t="str">
            <v>Funeral Leave</v>
          </cell>
          <cell r="D137" t="str">
            <v>WVD</v>
          </cell>
          <cell r="E137">
            <v>99</v>
          </cell>
        </row>
        <row r="138">
          <cell r="B138" t="str">
            <v>GIL</v>
          </cell>
          <cell r="C138" t="str">
            <v>Gill Ranch Storage</v>
          </cell>
          <cell r="D138" t="str">
            <v>WRD</v>
          </cell>
          <cell r="E138">
            <v>99</v>
          </cell>
        </row>
        <row r="139">
          <cell r="B139" t="str">
            <v>HLA</v>
          </cell>
          <cell r="C139" t="str">
            <v>Holiday Allowance</v>
          </cell>
          <cell r="D139" t="str">
            <v>WVD</v>
          </cell>
          <cell r="E139">
            <v>99</v>
          </cell>
        </row>
        <row r="140">
          <cell r="B140" t="str">
            <v>HM1</v>
          </cell>
          <cell r="C140" t="str">
            <v>Hazard Materials Overtime</v>
          </cell>
          <cell r="D140" t="str">
            <v>WOD</v>
          </cell>
          <cell r="E140">
            <v>99</v>
          </cell>
        </row>
        <row r="141">
          <cell r="B141" t="str">
            <v>HM2</v>
          </cell>
          <cell r="C141" t="str">
            <v>Hazard Materials Doubletime</v>
          </cell>
          <cell r="D141" t="str">
            <v>WOD</v>
          </cell>
          <cell r="E141">
            <v>99</v>
          </cell>
        </row>
        <row r="142">
          <cell r="B142" t="str">
            <v>HM8</v>
          </cell>
          <cell r="C142" t="str">
            <v>6th Day Hzd Mat @ 1.5</v>
          </cell>
          <cell r="D142" t="str">
            <v>WOD</v>
          </cell>
          <cell r="E142">
            <v>99</v>
          </cell>
        </row>
        <row r="143">
          <cell r="B143" t="str">
            <v>HM9</v>
          </cell>
          <cell r="C143" t="str">
            <v>7th Day Hzd Mat @2</v>
          </cell>
          <cell r="D143" t="str">
            <v>WOD</v>
          </cell>
          <cell r="E143">
            <v>99</v>
          </cell>
        </row>
        <row r="144">
          <cell r="B144" t="str">
            <v>HOL</v>
          </cell>
          <cell r="C144" t="str">
            <v>Holiday Pay</v>
          </cell>
          <cell r="D144" t="str">
            <v>WVD</v>
          </cell>
          <cell r="E144">
            <v>99</v>
          </cell>
        </row>
        <row r="145">
          <cell r="B145" t="str">
            <v>HPD</v>
          </cell>
          <cell r="C145" t="str">
            <v>High Pay Doubletime</v>
          </cell>
          <cell r="D145" t="str">
            <v>WOD</v>
          </cell>
          <cell r="E145">
            <v>99</v>
          </cell>
        </row>
        <row r="146">
          <cell r="B146" t="str">
            <v>HPO</v>
          </cell>
          <cell r="C146" t="str">
            <v>High Pay Overtime</v>
          </cell>
          <cell r="D146" t="str">
            <v>WOD</v>
          </cell>
          <cell r="E146">
            <v>99</v>
          </cell>
        </row>
        <row r="147">
          <cell r="B147" t="str">
            <v>HPY</v>
          </cell>
          <cell r="C147" t="str">
            <v>High Pay Work</v>
          </cell>
          <cell r="D147" t="str">
            <v>WRD</v>
          </cell>
          <cell r="E147">
            <v>99</v>
          </cell>
        </row>
        <row r="148">
          <cell r="B148" t="str">
            <v>HZ2</v>
          </cell>
          <cell r="C148" t="str">
            <v>Haz Pay Doubletime</v>
          </cell>
          <cell r="D148" t="str">
            <v>WOD</v>
          </cell>
          <cell r="E148">
            <v>99</v>
          </cell>
        </row>
        <row r="149">
          <cell r="B149" t="str">
            <v>HZ8</v>
          </cell>
          <cell r="C149" t="str">
            <v>6th Day Hazard @1.5</v>
          </cell>
          <cell r="D149" t="str">
            <v>WOD</v>
          </cell>
          <cell r="E149">
            <v>99</v>
          </cell>
        </row>
        <row r="150">
          <cell r="B150" t="str">
            <v>HZ9</v>
          </cell>
          <cell r="C150" t="str">
            <v>7th Day Hazard @2</v>
          </cell>
          <cell r="D150" t="str">
            <v>WOD</v>
          </cell>
          <cell r="E150">
            <v>99</v>
          </cell>
        </row>
        <row r="151">
          <cell r="B151" t="str">
            <v>HZD</v>
          </cell>
          <cell r="C151" t="str">
            <v>Hazardous Coord - Strght</v>
          </cell>
          <cell r="D151" t="str">
            <v>WRD</v>
          </cell>
          <cell r="E151">
            <v>99</v>
          </cell>
        </row>
        <row r="152">
          <cell r="B152" t="str">
            <v>HZM</v>
          </cell>
          <cell r="C152" t="str">
            <v>Hazard Materials Differential</v>
          </cell>
          <cell r="D152" t="str">
            <v>WRD</v>
          </cell>
          <cell r="E152">
            <v>99</v>
          </cell>
        </row>
        <row r="153">
          <cell r="B153" t="str">
            <v>HZO</v>
          </cell>
          <cell r="C153" t="str">
            <v>Hazard Coord Overtime</v>
          </cell>
          <cell r="D153" t="str">
            <v>WOD</v>
          </cell>
          <cell r="E153">
            <v>99</v>
          </cell>
        </row>
        <row r="154">
          <cell r="B154" t="str">
            <v>IDD</v>
          </cell>
          <cell r="C154" t="str">
            <v>Ind Dis Differential</v>
          </cell>
          <cell r="D154" t="str">
            <v>WVD</v>
          </cell>
          <cell r="E154">
            <v>99</v>
          </cell>
        </row>
        <row r="155">
          <cell r="B155" t="str">
            <v>IDS</v>
          </cell>
          <cell r="C155" t="str">
            <v>Industrial Disability</v>
          </cell>
          <cell r="D155" t="str">
            <v>WVD</v>
          </cell>
          <cell r="E155">
            <v>99</v>
          </cell>
        </row>
        <row r="156">
          <cell r="B156" t="str">
            <v>JRD</v>
          </cell>
          <cell r="C156" t="str">
            <v>Jury Duty Differential</v>
          </cell>
          <cell r="D156" t="str">
            <v>WVD</v>
          </cell>
          <cell r="E156">
            <v>99</v>
          </cell>
        </row>
        <row r="157">
          <cell r="B157" t="str">
            <v>JUR</v>
          </cell>
          <cell r="C157" t="str">
            <v>Jury Duty</v>
          </cell>
          <cell r="D157" t="str">
            <v>WVD</v>
          </cell>
          <cell r="E157">
            <v>99</v>
          </cell>
        </row>
        <row r="158">
          <cell r="B158" t="str">
            <v>LDO</v>
          </cell>
          <cell r="C158" t="str">
            <v>Light Duty Diff - Overtime</v>
          </cell>
          <cell r="D158" t="str">
            <v>WOD</v>
          </cell>
          <cell r="E158">
            <v>99</v>
          </cell>
        </row>
        <row r="159">
          <cell r="B159" t="str">
            <v>LDR</v>
          </cell>
          <cell r="C159" t="str">
            <v>Light Duty Diff - Regular</v>
          </cell>
          <cell r="D159" t="str">
            <v>WRD</v>
          </cell>
          <cell r="E159">
            <v>99</v>
          </cell>
        </row>
        <row r="160">
          <cell r="B160" t="str">
            <v>LPD</v>
          </cell>
          <cell r="C160" t="str">
            <v>Lead Pay Doubletime</v>
          </cell>
          <cell r="D160" t="str">
            <v>WOD</v>
          </cell>
          <cell r="E160">
            <v>99</v>
          </cell>
        </row>
        <row r="161">
          <cell r="B161" t="str">
            <v>LPO</v>
          </cell>
          <cell r="C161" t="str">
            <v>Lead Pay Overtime</v>
          </cell>
          <cell r="D161" t="str">
            <v>WOD</v>
          </cell>
          <cell r="E161">
            <v>99</v>
          </cell>
        </row>
        <row r="162">
          <cell r="B162" t="str">
            <v>LPR</v>
          </cell>
          <cell r="C162" t="str">
            <v>Lead Pay</v>
          </cell>
          <cell r="D162" t="str">
            <v>WRD</v>
          </cell>
          <cell r="E162">
            <v>99</v>
          </cell>
        </row>
        <row r="163">
          <cell r="B163" t="str">
            <v>MLV</v>
          </cell>
          <cell r="C163" t="str">
            <v>Military Leave Differentl</v>
          </cell>
          <cell r="D163" t="str">
            <v>WVD</v>
          </cell>
          <cell r="E163">
            <v>99</v>
          </cell>
        </row>
        <row r="164">
          <cell r="B164" t="str">
            <v>OC1</v>
          </cell>
          <cell r="C164" t="str">
            <v>Overtime W-O W-Comp - 1</v>
          </cell>
          <cell r="D164" t="str">
            <v>WOD</v>
          </cell>
          <cell r="E164">
            <v>99</v>
          </cell>
        </row>
        <row r="165">
          <cell r="B165" t="str">
            <v>OC2</v>
          </cell>
          <cell r="C165" t="str">
            <v>Overtime W-O W-Comp - 2</v>
          </cell>
          <cell r="D165" t="str">
            <v>WOD</v>
          </cell>
          <cell r="E165">
            <v>99</v>
          </cell>
        </row>
        <row r="166">
          <cell r="B166" t="str">
            <v>OC3</v>
          </cell>
          <cell r="C166" t="str">
            <v>Overtime W-O W-Comp - 3</v>
          </cell>
          <cell r="D166" t="str">
            <v>WOD</v>
          </cell>
          <cell r="E166">
            <v>99</v>
          </cell>
        </row>
        <row r="167">
          <cell r="B167" t="str">
            <v>OC4</v>
          </cell>
          <cell r="C167" t="str">
            <v>Overtime W-O W-Comp - 4</v>
          </cell>
          <cell r="D167" t="str">
            <v>WOD</v>
          </cell>
          <cell r="E167">
            <v>99</v>
          </cell>
        </row>
        <row r="168">
          <cell r="B168" t="str">
            <v>OC5</v>
          </cell>
          <cell r="C168" t="str">
            <v>Overtime W-O W-Comp - 5</v>
          </cell>
          <cell r="D168" t="str">
            <v>WOD</v>
          </cell>
          <cell r="E168">
            <v>99</v>
          </cell>
        </row>
        <row r="169">
          <cell r="B169" t="str">
            <v>OP1</v>
          </cell>
          <cell r="C169" t="str">
            <v>Day 6 Retire Base @1.5 -1</v>
          </cell>
          <cell r="D169" t="str">
            <v>WOD</v>
          </cell>
          <cell r="E169">
            <v>99</v>
          </cell>
        </row>
        <row r="170">
          <cell r="B170" t="str">
            <v>OP2</v>
          </cell>
          <cell r="C170" t="str">
            <v>Day 6 Retire Base @1.5 -2</v>
          </cell>
          <cell r="D170" t="str">
            <v>WOD</v>
          </cell>
          <cell r="E170">
            <v>99</v>
          </cell>
        </row>
        <row r="171">
          <cell r="B171" t="str">
            <v>OP3</v>
          </cell>
          <cell r="C171" t="str">
            <v>Day 6 Retire Base @1.5 -3</v>
          </cell>
          <cell r="D171" t="str">
            <v>WOD</v>
          </cell>
          <cell r="E171">
            <v>99</v>
          </cell>
        </row>
        <row r="172">
          <cell r="B172" t="str">
            <v>OP4</v>
          </cell>
          <cell r="C172" t="str">
            <v>Day 6 Retire Base @1.5 -4</v>
          </cell>
          <cell r="D172" t="str">
            <v>WOD</v>
          </cell>
          <cell r="E172">
            <v>99</v>
          </cell>
        </row>
        <row r="173">
          <cell r="B173" t="str">
            <v>OP5</v>
          </cell>
          <cell r="C173" t="str">
            <v>Day 6 Retire Base @1.5 -5</v>
          </cell>
          <cell r="D173" t="str">
            <v>WOD</v>
          </cell>
          <cell r="E173">
            <v>99</v>
          </cell>
        </row>
        <row r="174">
          <cell r="B174" t="str">
            <v>OP6</v>
          </cell>
          <cell r="C174" t="str">
            <v>Day 6 Retire Base @1.5 -6</v>
          </cell>
          <cell r="D174" t="str">
            <v>WOD</v>
          </cell>
          <cell r="E174">
            <v>99</v>
          </cell>
        </row>
        <row r="175">
          <cell r="B175" t="str">
            <v>OP7</v>
          </cell>
          <cell r="C175" t="str">
            <v>Day 6 Retire Base @1.5 -7</v>
          </cell>
          <cell r="D175" t="str">
            <v>WOD</v>
          </cell>
          <cell r="E175">
            <v>99</v>
          </cell>
        </row>
        <row r="176">
          <cell r="B176" t="str">
            <v>OP8</v>
          </cell>
          <cell r="C176" t="str">
            <v>Day 6 Retire Base @1.5 -8</v>
          </cell>
          <cell r="D176" t="str">
            <v>WOD</v>
          </cell>
          <cell r="E176">
            <v>99</v>
          </cell>
        </row>
        <row r="177">
          <cell r="B177" t="str">
            <v>OT2</v>
          </cell>
          <cell r="C177" t="str">
            <v>Overtime At Double</v>
          </cell>
          <cell r="D177" t="str">
            <v>WOD</v>
          </cell>
          <cell r="E177">
            <v>99</v>
          </cell>
        </row>
        <row r="178">
          <cell r="B178" t="str">
            <v>OTC</v>
          </cell>
          <cell r="C178" t="str">
            <v>Overtime half pay commission</v>
          </cell>
          <cell r="D178" t="str">
            <v>WOD</v>
          </cell>
          <cell r="E178">
            <v>99</v>
          </cell>
        </row>
        <row r="179">
          <cell r="B179" t="str">
            <v>OTP</v>
          </cell>
          <cell r="C179" t="str">
            <v>Overtime At 1.5</v>
          </cell>
          <cell r="D179" t="str">
            <v>WOD</v>
          </cell>
          <cell r="E179">
            <v>99</v>
          </cell>
        </row>
        <row r="180">
          <cell r="B180" t="str">
            <v>OV1</v>
          </cell>
          <cell r="C180" t="str">
            <v>Overtime At 1.5</v>
          </cell>
          <cell r="D180" t="str">
            <v>WOD</v>
          </cell>
          <cell r="E180">
            <v>99</v>
          </cell>
        </row>
        <row r="181">
          <cell r="B181" t="str">
            <v>OV2</v>
          </cell>
          <cell r="C181" t="str">
            <v>Overtime At 1.5 - 2</v>
          </cell>
          <cell r="D181" t="str">
            <v>WOD</v>
          </cell>
          <cell r="E181">
            <v>99</v>
          </cell>
        </row>
        <row r="182">
          <cell r="B182" t="str">
            <v>OV3</v>
          </cell>
          <cell r="C182" t="str">
            <v>Overtime At 1.5 - 3</v>
          </cell>
          <cell r="D182" t="str">
            <v>WOD</v>
          </cell>
          <cell r="E182">
            <v>99</v>
          </cell>
        </row>
        <row r="183">
          <cell r="B183" t="str">
            <v>OV4</v>
          </cell>
          <cell r="C183" t="str">
            <v>Overtime At 1.5 - 4</v>
          </cell>
          <cell r="D183" t="str">
            <v>WOD</v>
          </cell>
          <cell r="E183">
            <v>99</v>
          </cell>
        </row>
        <row r="184">
          <cell r="B184" t="str">
            <v>OV5</v>
          </cell>
          <cell r="C184" t="str">
            <v>Overtime At 1.5 - 5</v>
          </cell>
          <cell r="D184" t="str">
            <v>WOD</v>
          </cell>
          <cell r="E184">
            <v>99</v>
          </cell>
        </row>
        <row r="185">
          <cell r="B185" t="str">
            <v>OV6</v>
          </cell>
          <cell r="C185" t="str">
            <v>Overtime At 1.5 - 6</v>
          </cell>
          <cell r="D185" t="str">
            <v>WOD</v>
          </cell>
          <cell r="E185">
            <v>99</v>
          </cell>
        </row>
        <row r="186">
          <cell r="B186" t="str">
            <v>OV7</v>
          </cell>
          <cell r="C186" t="str">
            <v>Overtime At 1.5 - 7</v>
          </cell>
          <cell r="D186" t="str">
            <v>WOD</v>
          </cell>
          <cell r="E186">
            <v>99</v>
          </cell>
        </row>
        <row r="187">
          <cell r="B187" t="str">
            <v>OV8</v>
          </cell>
          <cell r="C187" t="str">
            <v>Overtime At 1.5 - 8</v>
          </cell>
          <cell r="D187" t="str">
            <v>WOD</v>
          </cell>
          <cell r="E187">
            <v>99</v>
          </cell>
        </row>
        <row r="188">
          <cell r="B188" t="str">
            <v>OVT</v>
          </cell>
          <cell r="C188" t="str">
            <v>Overtime at 1.5</v>
          </cell>
          <cell r="D188" t="str">
            <v>WOD</v>
          </cell>
          <cell r="E188">
            <v>99</v>
          </cell>
        </row>
        <row r="189">
          <cell r="B189" t="str">
            <v>PAL</v>
          </cell>
          <cell r="C189" t="str">
            <v>Palomar</v>
          </cell>
          <cell r="D189" t="str">
            <v>WRD</v>
          </cell>
          <cell r="E189">
            <v>99</v>
          </cell>
        </row>
        <row r="190">
          <cell r="B190" t="str">
            <v>PD1</v>
          </cell>
          <cell r="C190" t="str">
            <v>Saturday Premium</v>
          </cell>
          <cell r="D190" t="str">
            <v>WOD</v>
          </cell>
          <cell r="E190">
            <v>99</v>
          </cell>
        </row>
        <row r="191">
          <cell r="B191" t="str">
            <v>PD2</v>
          </cell>
          <cell r="C191" t="str">
            <v>Sunday Premium Pay</v>
          </cell>
          <cell r="D191" t="str">
            <v>WOD</v>
          </cell>
          <cell r="E191">
            <v>99</v>
          </cell>
        </row>
        <row r="192">
          <cell r="B192" t="str">
            <v>PER</v>
          </cell>
          <cell r="C192" t="str">
            <v>Personal Holiday</v>
          </cell>
          <cell r="D192" t="str">
            <v>WVD</v>
          </cell>
          <cell r="E192">
            <v>99</v>
          </cell>
        </row>
        <row r="193">
          <cell r="B193" t="str">
            <v>PLD</v>
          </cell>
          <cell r="C193" t="str">
            <v>Parental Leave - Sick -Bu</v>
          </cell>
          <cell r="D193" t="str">
            <v>WVD</v>
          </cell>
          <cell r="E193">
            <v>99</v>
          </cell>
        </row>
        <row r="194">
          <cell r="B194" t="str">
            <v>PLS</v>
          </cell>
          <cell r="C194" t="str">
            <v>Parental Leave - Sick-Nbu</v>
          </cell>
          <cell r="D194" t="str">
            <v>WVD</v>
          </cell>
          <cell r="E194">
            <v>99</v>
          </cell>
        </row>
        <row r="195">
          <cell r="B195" t="str">
            <v>PO1</v>
          </cell>
          <cell r="C195" t="str">
            <v>Saturday Premium</v>
          </cell>
          <cell r="D195" t="str">
            <v>WOD</v>
          </cell>
          <cell r="E195">
            <v>99</v>
          </cell>
        </row>
        <row r="196">
          <cell r="B196" t="str">
            <v>PO2</v>
          </cell>
          <cell r="C196" t="str">
            <v>Sunday</v>
          </cell>
          <cell r="D196" t="str">
            <v>WOD</v>
          </cell>
          <cell r="E196">
            <v>99</v>
          </cell>
        </row>
        <row r="197">
          <cell r="B197" t="str">
            <v>PR1</v>
          </cell>
          <cell r="C197" t="str">
            <v>Saturday - Regular</v>
          </cell>
          <cell r="D197" t="str">
            <v>WRD</v>
          </cell>
          <cell r="E197">
            <v>99</v>
          </cell>
        </row>
        <row r="198">
          <cell r="B198" t="str">
            <v>PR2</v>
          </cell>
          <cell r="C198" t="str">
            <v>Sunday - Regular</v>
          </cell>
          <cell r="D198" t="str">
            <v>WRD</v>
          </cell>
          <cell r="E198">
            <v>99</v>
          </cell>
        </row>
        <row r="199">
          <cell r="B199" t="str">
            <v>PTB</v>
          </cell>
          <cell r="C199" t="str">
            <v>Accrued PTO</v>
          </cell>
          <cell r="D199" t="str">
            <v>WVD</v>
          </cell>
          <cell r="E199">
            <v>99</v>
          </cell>
        </row>
        <row r="200">
          <cell r="B200" t="str">
            <v>PTF</v>
          </cell>
          <cell r="C200" t="str">
            <v>Personal Time - Family Lv</v>
          </cell>
          <cell r="D200" t="str">
            <v>WVD</v>
          </cell>
          <cell r="E200">
            <v>99</v>
          </cell>
        </row>
        <row r="201">
          <cell r="B201" t="str">
            <v>PTO</v>
          </cell>
          <cell r="C201" t="str">
            <v>Personal Time Off</v>
          </cell>
          <cell r="D201" t="str">
            <v>WVD</v>
          </cell>
          <cell r="E201">
            <v>99</v>
          </cell>
        </row>
        <row r="202">
          <cell r="B202" t="str">
            <v>PTP</v>
          </cell>
          <cell r="C202" t="str">
            <v>Personal Time - Paid</v>
          </cell>
          <cell r="D202" t="str">
            <v>WVD</v>
          </cell>
          <cell r="E202">
            <v>99</v>
          </cell>
        </row>
        <row r="203">
          <cell r="B203" t="str">
            <v>REG</v>
          </cell>
          <cell r="C203" t="str">
            <v>Regular Pay</v>
          </cell>
          <cell r="D203" t="str">
            <v>WRD</v>
          </cell>
          <cell r="E203">
            <v>99</v>
          </cell>
        </row>
        <row r="204">
          <cell r="B204" t="str">
            <v>RET</v>
          </cell>
          <cell r="C204" t="str">
            <v>Retroactive Pay Adjust</v>
          </cell>
          <cell r="D204" t="str">
            <v>WRD</v>
          </cell>
          <cell r="E204">
            <v>99</v>
          </cell>
        </row>
        <row r="205">
          <cell r="B205" t="str">
            <v>RG1</v>
          </cell>
          <cell r="C205" t="str">
            <v>Regular Pay</v>
          </cell>
          <cell r="D205" t="str">
            <v>WRD</v>
          </cell>
          <cell r="E205">
            <v>99</v>
          </cell>
        </row>
        <row r="206">
          <cell r="B206" t="str">
            <v>RG2</v>
          </cell>
          <cell r="C206" t="str">
            <v>Regular Pay - 2</v>
          </cell>
          <cell r="D206" t="str">
            <v>WRD</v>
          </cell>
          <cell r="E206">
            <v>99</v>
          </cell>
        </row>
        <row r="207">
          <cell r="B207" t="str">
            <v>RG3</v>
          </cell>
          <cell r="C207" t="str">
            <v>Regular Pay - 3</v>
          </cell>
          <cell r="D207" t="str">
            <v>WRD</v>
          </cell>
          <cell r="E207">
            <v>99</v>
          </cell>
        </row>
        <row r="208">
          <cell r="B208" t="str">
            <v>RG4</v>
          </cell>
          <cell r="C208" t="str">
            <v>Regular Pay - 4</v>
          </cell>
          <cell r="D208" t="str">
            <v>WRD</v>
          </cell>
          <cell r="E208">
            <v>99</v>
          </cell>
        </row>
        <row r="209">
          <cell r="B209" t="str">
            <v>RG5</v>
          </cell>
          <cell r="C209" t="str">
            <v>Regular Pay - 5</v>
          </cell>
          <cell r="D209" t="str">
            <v>WRD</v>
          </cell>
          <cell r="E209">
            <v>99</v>
          </cell>
        </row>
        <row r="210">
          <cell r="B210" t="str">
            <v>RG6</v>
          </cell>
          <cell r="C210" t="str">
            <v>Regular Pay - 6</v>
          </cell>
          <cell r="D210" t="str">
            <v>WRD</v>
          </cell>
          <cell r="E210">
            <v>99</v>
          </cell>
        </row>
        <row r="211">
          <cell r="B211" t="str">
            <v>RG7</v>
          </cell>
          <cell r="C211" t="str">
            <v>Regular Pay - 7</v>
          </cell>
          <cell r="D211" t="str">
            <v>WRD</v>
          </cell>
          <cell r="E211">
            <v>99</v>
          </cell>
        </row>
        <row r="212">
          <cell r="B212" t="str">
            <v>RG8</v>
          </cell>
          <cell r="C212" t="str">
            <v>Regular Pay - 8</v>
          </cell>
          <cell r="D212" t="str">
            <v>WRD</v>
          </cell>
          <cell r="E212">
            <v>99</v>
          </cell>
        </row>
        <row r="213">
          <cell r="B213" t="str">
            <v>RGA</v>
          </cell>
          <cell r="C213" t="str">
            <v>Regular Pay A</v>
          </cell>
          <cell r="D213" t="str">
            <v>WRD</v>
          </cell>
          <cell r="E213">
            <v>99</v>
          </cell>
        </row>
        <row r="214">
          <cell r="B214" t="str">
            <v>RGB</v>
          </cell>
          <cell r="C214" t="str">
            <v>Regular Pay B</v>
          </cell>
          <cell r="D214" t="str">
            <v>WRD</v>
          </cell>
          <cell r="E214">
            <v>99</v>
          </cell>
        </row>
        <row r="215">
          <cell r="B215" t="str">
            <v>RGC</v>
          </cell>
          <cell r="C215" t="str">
            <v>Regular Pay C</v>
          </cell>
          <cell r="D215" t="str">
            <v>WRD</v>
          </cell>
          <cell r="E215">
            <v>99</v>
          </cell>
        </row>
        <row r="216">
          <cell r="B216" t="str">
            <v>RGT</v>
          </cell>
          <cell r="C216" t="str">
            <v>Regular Pay - Transfer</v>
          </cell>
          <cell r="D216" t="str">
            <v>WRD</v>
          </cell>
          <cell r="E216">
            <v>99</v>
          </cell>
        </row>
        <row r="217">
          <cell r="B217" t="str">
            <v>RT2</v>
          </cell>
          <cell r="C217" t="str">
            <v>Retroactive Pay Adjust 2</v>
          </cell>
          <cell r="D217" t="str">
            <v>WRD</v>
          </cell>
          <cell r="E217">
            <v>99</v>
          </cell>
        </row>
        <row r="218">
          <cell r="B218" t="str">
            <v>SCK</v>
          </cell>
          <cell r="C218" t="str">
            <v>Sick Pay</v>
          </cell>
          <cell r="D218" t="str">
            <v>WVD</v>
          </cell>
          <cell r="E218">
            <v>99</v>
          </cell>
        </row>
        <row r="219">
          <cell r="B219" t="str">
            <v>SH1</v>
          </cell>
          <cell r="C219" t="str">
            <v>Swingshift Differential</v>
          </cell>
          <cell r="D219" t="str">
            <v>WRD</v>
          </cell>
          <cell r="E219">
            <v>99</v>
          </cell>
        </row>
        <row r="220">
          <cell r="B220" t="str">
            <v>SH2</v>
          </cell>
          <cell r="C220" t="str">
            <v>Graveyard Shift Differentl</v>
          </cell>
          <cell r="D220" t="str">
            <v>WRD</v>
          </cell>
          <cell r="E220">
            <v>99</v>
          </cell>
        </row>
        <row r="221">
          <cell r="B221" t="str">
            <v>SH3</v>
          </cell>
          <cell r="C221" t="str">
            <v>Swing Differential OT</v>
          </cell>
          <cell r="D221" t="str">
            <v>WOD</v>
          </cell>
          <cell r="E221">
            <v>99</v>
          </cell>
        </row>
        <row r="222">
          <cell r="B222" t="str">
            <v>SH4</v>
          </cell>
          <cell r="C222" t="str">
            <v>Grave Differential OT</v>
          </cell>
          <cell r="D222" t="str">
            <v>WOD</v>
          </cell>
          <cell r="E222">
            <v>99</v>
          </cell>
        </row>
        <row r="223">
          <cell r="B223" t="str">
            <v>SH5</v>
          </cell>
          <cell r="C223" t="str">
            <v>Swing Differential DT</v>
          </cell>
          <cell r="D223" t="str">
            <v>WOD</v>
          </cell>
          <cell r="E223">
            <v>99</v>
          </cell>
        </row>
        <row r="224">
          <cell r="B224" t="str">
            <v>SH6</v>
          </cell>
          <cell r="C224" t="str">
            <v>Grave Differential DT</v>
          </cell>
          <cell r="D224" t="str">
            <v>WOD</v>
          </cell>
          <cell r="E224">
            <v>99</v>
          </cell>
        </row>
        <row r="225">
          <cell r="B225" t="str">
            <v>SH8</v>
          </cell>
          <cell r="C225" t="str">
            <v>6th Day Swing Diff @1.5</v>
          </cell>
          <cell r="D225" t="str">
            <v>WOD</v>
          </cell>
          <cell r="E225">
            <v>99</v>
          </cell>
        </row>
        <row r="226">
          <cell r="B226" t="str">
            <v>SH9</v>
          </cell>
          <cell r="C226" t="str">
            <v>6th Day Grave Diff @1.5</v>
          </cell>
          <cell r="D226" t="str">
            <v>WOD</v>
          </cell>
          <cell r="E226">
            <v>99</v>
          </cell>
        </row>
        <row r="227">
          <cell r="B227" t="str">
            <v>SHA</v>
          </cell>
          <cell r="C227" t="str">
            <v>7th Day Swing Diff @2</v>
          </cell>
          <cell r="D227" t="str">
            <v>WOD</v>
          </cell>
          <cell r="E227">
            <v>99</v>
          </cell>
        </row>
        <row r="228">
          <cell r="B228" t="str">
            <v>SHB</v>
          </cell>
          <cell r="C228" t="str">
            <v>7th Day Grave Diff @2</v>
          </cell>
          <cell r="D228" t="str">
            <v>WOD</v>
          </cell>
          <cell r="E228">
            <v>99</v>
          </cell>
        </row>
        <row r="229">
          <cell r="B229" t="str">
            <v>SK2</v>
          </cell>
          <cell r="C229" t="str">
            <v>Sick Pay - Half Pay</v>
          </cell>
          <cell r="D229" t="str">
            <v>WVD</v>
          </cell>
          <cell r="E229">
            <v>99</v>
          </cell>
        </row>
        <row r="230">
          <cell r="B230" t="str">
            <v>STB</v>
          </cell>
          <cell r="C230" t="str">
            <v>Stand By</v>
          </cell>
          <cell r="D230" t="str">
            <v>WRD</v>
          </cell>
          <cell r="E230">
            <v>99</v>
          </cell>
        </row>
        <row r="231">
          <cell r="B231" t="str">
            <v>STD</v>
          </cell>
          <cell r="C231" t="str">
            <v>Short Term Disability</v>
          </cell>
          <cell r="D231" t="str">
            <v>WVD</v>
          </cell>
          <cell r="E231">
            <v>99</v>
          </cell>
        </row>
        <row r="232">
          <cell r="B232" t="str">
            <v>VAC</v>
          </cell>
          <cell r="C232" t="str">
            <v>Vacation Pay</v>
          </cell>
          <cell r="D232" t="str">
            <v>WVD</v>
          </cell>
          <cell r="E232">
            <v>99</v>
          </cell>
        </row>
        <row r="233">
          <cell r="B233" t="str">
            <v>VCF</v>
          </cell>
          <cell r="C233" t="str">
            <v>Vacation - Family Leave</v>
          </cell>
          <cell r="D233" t="str">
            <v>WVD</v>
          </cell>
          <cell r="E233">
            <v>99</v>
          </cell>
        </row>
        <row r="234">
          <cell r="B234" t="str">
            <v>VCT</v>
          </cell>
          <cell r="C234" t="str">
            <v>Accrued Vacation</v>
          </cell>
          <cell r="D234" t="str">
            <v>WVD</v>
          </cell>
          <cell r="E234">
            <v>99</v>
          </cell>
        </row>
        <row r="235">
          <cell r="B235" t="str">
            <v>VPB</v>
          </cell>
          <cell r="C235" t="str">
            <v>Vacation Cash Out</v>
          </cell>
          <cell r="D235" t="str">
            <v>WVD</v>
          </cell>
          <cell r="E235">
            <v>99</v>
          </cell>
        </row>
        <row r="236">
          <cell r="B236" t="str">
            <v>VST</v>
          </cell>
          <cell r="C236" t="str">
            <v>Vacation Sick Time</v>
          </cell>
          <cell r="D236" t="str">
            <v>WVD</v>
          </cell>
          <cell r="E236">
            <v>99</v>
          </cell>
        </row>
      </sheetData>
      <sheetData sheetId="2">
        <row r="2">
          <cell r="A2" t="str">
            <v>BFD</v>
          </cell>
          <cell r="B2" t="str">
            <v>$100 Cash Gift Gross-Up</v>
          </cell>
        </row>
        <row r="3">
          <cell r="A3" t="str">
            <v>ACF</v>
          </cell>
          <cell r="B3" t="str">
            <v>1time Accrual - Family Lv</v>
          </cell>
        </row>
        <row r="4">
          <cell r="A4" t="str">
            <v>SH9</v>
          </cell>
          <cell r="B4" t="str">
            <v>6th Day Grave Diff @1.5</v>
          </cell>
        </row>
        <row r="5">
          <cell r="A5" t="str">
            <v>HZ8</v>
          </cell>
          <cell r="B5" t="str">
            <v>6th Day Hazard @1.5</v>
          </cell>
        </row>
        <row r="6">
          <cell r="A6" t="str">
            <v>HM8</v>
          </cell>
          <cell r="B6" t="str">
            <v>6th Day Hzd Mat @ 1.5</v>
          </cell>
        </row>
        <row r="7">
          <cell r="A7" t="str">
            <v>SH8</v>
          </cell>
          <cell r="B7" t="str">
            <v>6th Day Swing Diff @1.5</v>
          </cell>
        </row>
        <row r="8">
          <cell r="A8" t="str">
            <v>SHB</v>
          </cell>
          <cell r="B8" t="str">
            <v>7th Day Grave Diff @2</v>
          </cell>
        </row>
        <row r="9">
          <cell r="A9" t="str">
            <v>HZ9</v>
          </cell>
          <cell r="B9" t="str">
            <v>7th Day Hazard @2</v>
          </cell>
        </row>
        <row r="10">
          <cell r="A10" t="str">
            <v>HM9</v>
          </cell>
          <cell r="B10" t="str">
            <v>7th Day Hzd Mat @2</v>
          </cell>
        </row>
        <row r="11">
          <cell r="A11" t="str">
            <v>SHA</v>
          </cell>
          <cell r="B11" t="str">
            <v>7th Day Swing Diff @2</v>
          </cell>
        </row>
        <row r="12">
          <cell r="A12" t="str">
            <v>PTB</v>
          </cell>
          <cell r="B12" t="str">
            <v>Accrued PTO</v>
          </cell>
        </row>
        <row r="13">
          <cell r="A13" t="str">
            <v>VCT</v>
          </cell>
          <cell r="B13" t="str">
            <v>Accrued Vacation</v>
          </cell>
        </row>
        <row r="14">
          <cell r="A14" t="str">
            <v>ADV</v>
          </cell>
          <cell r="B14" t="str">
            <v>Advance</v>
          </cell>
        </row>
        <row r="15">
          <cell r="A15" t="str">
            <v>AD9</v>
          </cell>
          <cell r="B15" t="str">
            <v>Advance 09</v>
          </cell>
        </row>
        <row r="16">
          <cell r="A16" t="str">
            <v>CAR</v>
          </cell>
          <cell r="B16" t="str">
            <v>Auto Allowance</v>
          </cell>
        </row>
        <row r="17">
          <cell r="A17" t="str">
            <v>BEN</v>
          </cell>
          <cell r="B17" t="str">
            <v>Benefit Allowance</v>
          </cell>
        </row>
        <row r="18">
          <cell r="A18" t="str">
            <v>BNP</v>
          </cell>
          <cell r="B18" t="str">
            <v>Benefit Allowance - Part Time</v>
          </cell>
        </row>
        <row r="19">
          <cell r="A19" t="str">
            <v>BAA</v>
          </cell>
          <cell r="B19" t="str">
            <v>Benefit Allowance Adjustment</v>
          </cell>
        </row>
        <row r="20">
          <cell r="A20" t="str">
            <v>BDD</v>
          </cell>
          <cell r="B20" t="str">
            <v>Benefit Allowance DP Dental</v>
          </cell>
        </row>
        <row r="21">
          <cell r="A21" t="str">
            <v>BDM</v>
          </cell>
          <cell r="B21" t="str">
            <v>Benefit Allowance DP Medical</v>
          </cell>
        </row>
        <row r="22">
          <cell r="A22" t="str">
            <v>BND</v>
          </cell>
          <cell r="B22" t="str">
            <v>Benefit Allowance Dental</v>
          </cell>
        </row>
        <row r="23">
          <cell r="A23" t="str">
            <v>BNL</v>
          </cell>
          <cell r="B23" t="str">
            <v>Benefit Allowance Life &amp; AD/D</v>
          </cell>
        </row>
        <row r="24">
          <cell r="A24" t="str">
            <v>BNM</v>
          </cell>
          <cell r="B24" t="str">
            <v>Benefit Allowance Medical</v>
          </cell>
        </row>
        <row r="25">
          <cell r="A25" t="str">
            <v>BNR</v>
          </cell>
          <cell r="B25" t="str">
            <v>Benefits Allowance - Retiree</v>
          </cell>
        </row>
        <row r="26">
          <cell r="A26" t="str">
            <v>BIL</v>
          </cell>
          <cell r="B26" t="str">
            <v>Bilingual Premium</v>
          </cell>
        </row>
        <row r="27">
          <cell r="A27" t="str">
            <v>BI2</v>
          </cell>
          <cell r="B27" t="str">
            <v>Bilingual Premium DT</v>
          </cell>
        </row>
        <row r="28">
          <cell r="A28" t="str">
            <v>BI1</v>
          </cell>
          <cell r="B28" t="str">
            <v>Bilingual Premium OT</v>
          </cell>
        </row>
        <row r="29">
          <cell r="A29" t="str">
            <v>DED</v>
          </cell>
          <cell r="B29" t="str">
            <v>Bonus-Deceased</v>
          </cell>
        </row>
        <row r="30">
          <cell r="A30" t="str">
            <v>BNS</v>
          </cell>
          <cell r="B30" t="str">
            <v>Bonus/Exempt</v>
          </cell>
        </row>
        <row r="31">
          <cell r="A31" t="str">
            <v>BUB</v>
          </cell>
          <cell r="B31" t="str">
            <v>Bu Benefit Allowance</v>
          </cell>
        </row>
        <row r="32">
          <cell r="A32" t="str">
            <v>CLO</v>
          </cell>
          <cell r="B32" t="str">
            <v>Call Out - Double Time</v>
          </cell>
        </row>
        <row r="33">
          <cell r="A33" t="str">
            <v>CSO</v>
          </cell>
          <cell r="B33" t="str">
            <v>Call Out - Sat/Sun - Dt</v>
          </cell>
        </row>
        <row r="34">
          <cell r="A34" t="str">
            <v>CLS</v>
          </cell>
          <cell r="B34" t="str">
            <v>Call Out - Straight Time</v>
          </cell>
        </row>
        <row r="35">
          <cell r="A35" t="str">
            <v>CSS</v>
          </cell>
          <cell r="B35" t="str">
            <v>Call Out -Sat/Sun-Strght</v>
          </cell>
        </row>
        <row r="36">
          <cell r="A36" t="str">
            <v>CAP</v>
          </cell>
          <cell r="B36" t="str">
            <v>Cap Allownce</v>
          </cell>
        </row>
        <row r="37">
          <cell r="A37" t="str">
            <v>CEL</v>
          </cell>
          <cell r="B37" t="str">
            <v>Cell Phone Reimbursement</v>
          </cell>
        </row>
        <row r="38">
          <cell r="A38" t="str">
            <v>CB2</v>
          </cell>
          <cell r="B38" t="str">
            <v>Co. Bonus Non-Pension</v>
          </cell>
        </row>
        <row r="39">
          <cell r="A39" t="str">
            <v>COM</v>
          </cell>
          <cell r="B39" t="str">
            <v>Commissions Earned</v>
          </cell>
        </row>
        <row r="40">
          <cell r="A40" t="str">
            <v>CVT</v>
          </cell>
          <cell r="B40" t="str">
            <v>Community Volunteer Time</v>
          </cell>
        </row>
        <row r="41">
          <cell r="A41" t="str">
            <v>CBS</v>
          </cell>
          <cell r="B41" t="str">
            <v>Company Bonus</v>
          </cell>
        </row>
        <row r="42">
          <cell r="A42" t="str">
            <v>UCR</v>
          </cell>
          <cell r="B42" t="str">
            <v>Company Car</v>
          </cell>
        </row>
        <row r="43">
          <cell r="A43" t="str">
            <v>CMP</v>
          </cell>
          <cell r="B43" t="str">
            <v>Compensatory Time</v>
          </cell>
        </row>
        <row r="44">
          <cell r="A44" t="str">
            <v>CON</v>
          </cell>
          <cell r="B44" t="str">
            <v>Contest Award</v>
          </cell>
        </row>
        <row r="45">
          <cell r="A45" t="str">
            <v>OP1</v>
          </cell>
          <cell r="B45" t="str">
            <v>Day 6 Retire Base @1.5 -1</v>
          </cell>
        </row>
        <row r="46">
          <cell r="A46" t="str">
            <v>OP2</v>
          </cell>
          <cell r="B46" t="str">
            <v>Day 6 Retire Base @1.5 -2</v>
          </cell>
        </row>
        <row r="47">
          <cell r="A47" t="str">
            <v>OP3</v>
          </cell>
          <cell r="B47" t="str">
            <v>Day 6 Retire Base @1.5 -3</v>
          </cell>
        </row>
        <row r="48">
          <cell r="A48" t="str">
            <v>OP4</v>
          </cell>
          <cell r="B48" t="str">
            <v>Day 6 Retire Base @1.5 -4</v>
          </cell>
        </row>
        <row r="49">
          <cell r="A49" t="str">
            <v>OP5</v>
          </cell>
          <cell r="B49" t="str">
            <v>Day 6 Retire Base @1.5 -5</v>
          </cell>
        </row>
        <row r="50">
          <cell r="A50" t="str">
            <v>OP6</v>
          </cell>
          <cell r="B50" t="str">
            <v>Day 6 Retire Base @1.5 -6</v>
          </cell>
        </row>
        <row r="51">
          <cell r="A51" t="str">
            <v>OP7</v>
          </cell>
          <cell r="B51" t="str">
            <v>Day 6 Retire Base @1.5 -7</v>
          </cell>
        </row>
        <row r="52">
          <cell r="A52" t="str">
            <v>OP8</v>
          </cell>
          <cell r="B52" t="str">
            <v>Day 6 Retire Base @1.5 -8</v>
          </cell>
        </row>
        <row r="53">
          <cell r="A53" t="str">
            <v>DP1</v>
          </cell>
          <cell r="B53" t="str">
            <v>Day 7 Retire Base @ 2 -1</v>
          </cell>
        </row>
        <row r="54">
          <cell r="A54" t="str">
            <v>DP2</v>
          </cell>
          <cell r="B54" t="str">
            <v>Day 7 Retire Base @ 2 -2</v>
          </cell>
        </row>
        <row r="55">
          <cell r="A55" t="str">
            <v>DP3</v>
          </cell>
          <cell r="B55" t="str">
            <v>Day 7 Retire Base @ 2 -3</v>
          </cell>
        </row>
        <row r="56">
          <cell r="A56" t="str">
            <v>DP4</v>
          </cell>
          <cell r="B56" t="str">
            <v>Day 7 Retire Base @ 2 -4</v>
          </cell>
        </row>
        <row r="57">
          <cell r="A57" t="str">
            <v>DP5</v>
          </cell>
          <cell r="B57" t="str">
            <v>Day 7 Retire Base @ 2 -5</v>
          </cell>
        </row>
        <row r="58">
          <cell r="A58" t="str">
            <v>DP6</v>
          </cell>
          <cell r="B58" t="str">
            <v>Day 7 Retire Base @ 2 -6</v>
          </cell>
        </row>
        <row r="59">
          <cell r="A59" t="str">
            <v>DP7</v>
          </cell>
          <cell r="B59" t="str">
            <v>Day 7 Retire Base @ 2 -7</v>
          </cell>
        </row>
        <row r="60">
          <cell r="A60" t="str">
            <v>DP8</v>
          </cell>
          <cell r="B60" t="str">
            <v>Day 7 Retire Base @ 2 -8</v>
          </cell>
        </row>
        <row r="61">
          <cell r="A61" t="str">
            <v>HMO</v>
          </cell>
          <cell r="B61" t="str">
            <v>Dental Insurance Refund</v>
          </cell>
        </row>
        <row r="62">
          <cell r="A62" t="str">
            <v>DOT</v>
          </cell>
          <cell r="B62" t="str">
            <v>Donation of Leave Time</v>
          </cell>
        </row>
        <row r="63">
          <cell r="A63" t="str">
            <v>DTP</v>
          </cell>
          <cell r="B63" t="str">
            <v>Doubletime</v>
          </cell>
        </row>
        <row r="64">
          <cell r="A64" t="str">
            <v>DC1</v>
          </cell>
          <cell r="B64" t="str">
            <v>Doubletime W-O W-Comp - 1</v>
          </cell>
        </row>
        <row r="65">
          <cell r="A65" t="str">
            <v>DC2</v>
          </cell>
          <cell r="B65" t="str">
            <v>Doubletime W-O W-Comp - 2</v>
          </cell>
        </row>
        <row r="66">
          <cell r="A66" t="str">
            <v>DC3</v>
          </cell>
          <cell r="B66" t="str">
            <v>Doubletime W-O W-Comp - 3</v>
          </cell>
        </row>
        <row r="67">
          <cell r="A67" t="str">
            <v>DC4</v>
          </cell>
          <cell r="B67" t="str">
            <v>Doubletime W-O W-Comp - 4</v>
          </cell>
        </row>
        <row r="68">
          <cell r="A68" t="str">
            <v>DC5</v>
          </cell>
          <cell r="B68" t="str">
            <v>Doubletime W-O W-Comp - 5</v>
          </cell>
        </row>
        <row r="69">
          <cell r="A69" t="str">
            <v>EDC</v>
          </cell>
          <cell r="B69" t="str">
            <v>EDC distribution</v>
          </cell>
        </row>
        <row r="70">
          <cell r="A70" t="str">
            <v>EDP</v>
          </cell>
          <cell r="B70" t="str">
            <v>EDC distribution</v>
          </cell>
        </row>
        <row r="71">
          <cell r="A71" t="str">
            <v>ERI</v>
          </cell>
          <cell r="B71" t="str">
            <v>Early Retirement Incentive</v>
          </cell>
        </row>
        <row r="72">
          <cell r="A72" t="str">
            <v>ELC</v>
          </cell>
          <cell r="B72" t="str">
            <v>Electric Steal Award</v>
          </cell>
        </row>
        <row r="73">
          <cell r="A73" t="str">
            <v>AUX</v>
          </cell>
          <cell r="B73" t="str">
            <v>Exec Auto Compensation</v>
          </cell>
        </row>
        <row r="74">
          <cell r="A74" t="str">
            <v>FLV</v>
          </cell>
          <cell r="B74" t="str">
            <v>Family Leave W/O Pay</v>
          </cell>
        </row>
        <row r="75">
          <cell r="A75" t="str">
            <v>FLH</v>
          </cell>
          <cell r="B75" t="str">
            <v>Floating Holiday</v>
          </cell>
        </row>
        <row r="76">
          <cell r="A76" t="str">
            <v>FNL</v>
          </cell>
          <cell r="B76" t="str">
            <v>Funeral Leave</v>
          </cell>
        </row>
        <row r="77">
          <cell r="A77" t="str">
            <v>GAS</v>
          </cell>
          <cell r="B77" t="str">
            <v>Gas Steal Award</v>
          </cell>
        </row>
        <row r="78">
          <cell r="A78" t="str">
            <v>GIL</v>
          </cell>
          <cell r="B78" t="str">
            <v>Gill Ranch Storage</v>
          </cell>
        </row>
        <row r="79">
          <cell r="A79" t="str">
            <v>SH6</v>
          </cell>
          <cell r="B79" t="str">
            <v>Grave Differential DT</v>
          </cell>
        </row>
        <row r="80">
          <cell r="A80" t="str">
            <v>SH4</v>
          </cell>
          <cell r="B80" t="str">
            <v>Grave Differential OT</v>
          </cell>
        </row>
        <row r="81">
          <cell r="A81" t="str">
            <v>SH2</v>
          </cell>
          <cell r="B81" t="str">
            <v>Graveyard Shift Differentl</v>
          </cell>
        </row>
        <row r="82">
          <cell r="A82" t="str">
            <v>GUB</v>
          </cell>
          <cell r="B82" t="str">
            <v>Gross Up Bonus</v>
          </cell>
        </row>
        <row r="83">
          <cell r="A83" t="str">
            <v>HZ2</v>
          </cell>
          <cell r="B83" t="str">
            <v>Haz Pay Doubletime</v>
          </cell>
        </row>
        <row r="84">
          <cell r="A84" t="str">
            <v>HZO</v>
          </cell>
          <cell r="B84" t="str">
            <v>Hazard Coord Overtime</v>
          </cell>
        </row>
        <row r="85">
          <cell r="A85" t="str">
            <v>HZM</v>
          </cell>
          <cell r="B85" t="str">
            <v>Hazard Materials Differential</v>
          </cell>
        </row>
        <row r="86">
          <cell r="A86" t="str">
            <v>HM2</v>
          </cell>
          <cell r="B86" t="str">
            <v>Hazard Materials Doubletime</v>
          </cell>
        </row>
        <row r="87">
          <cell r="A87" t="str">
            <v>HM1</v>
          </cell>
          <cell r="B87" t="str">
            <v>Hazard Materials Overtime</v>
          </cell>
        </row>
        <row r="88">
          <cell r="A88" t="str">
            <v>HZD</v>
          </cell>
          <cell r="B88" t="str">
            <v>Hazardous Coord - Strght</v>
          </cell>
        </row>
        <row r="89">
          <cell r="A89" t="str">
            <v>HPD</v>
          </cell>
          <cell r="B89" t="str">
            <v>High Pay Doubletime</v>
          </cell>
        </row>
        <row r="90">
          <cell r="A90" t="str">
            <v>HPO</v>
          </cell>
          <cell r="B90" t="str">
            <v>High Pay Overtime</v>
          </cell>
        </row>
        <row r="91">
          <cell r="A91" t="str">
            <v>HPY</v>
          </cell>
          <cell r="B91" t="str">
            <v>High Pay Work</v>
          </cell>
        </row>
        <row r="92">
          <cell r="A92" t="str">
            <v>HLA</v>
          </cell>
          <cell r="B92" t="str">
            <v>Holiday Allowance</v>
          </cell>
        </row>
        <row r="93">
          <cell r="A93" t="str">
            <v>HOL</v>
          </cell>
          <cell r="B93" t="str">
            <v>Holiday Pay</v>
          </cell>
        </row>
        <row r="94">
          <cell r="A94" t="str">
            <v>IDD</v>
          </cell>
          <cell r="B94" t="str">
            <v>Ind Dis Differential</v>
          </cell>
        </row>
        <row r="95">
          <cell r="A95" t="str">
            <v>IDS</v>
          </cell>
          <cell r="B95" t="str">
            <v>Industrial Disability</v>
          </cell>
        </row>
        <row r="96">
          <cell r="A96" t="str">
            <v>JUR</v>
          </cell>
          <cell r="B96" t="str">
            <v>Jury Duty</v>
          </cell>
        </row>
        <row r="97">
          <cell r="A97" t="str">
            <v>JRD</v>
          </cell>
          <cell r="B97" t="str">
            <v>Jury Duty Differential</v>
          </cell>
        </row>
        <row r="98">
          <cell r="A98" t="str">
            <v>LPR</v>
          </cell>
          <cell r="B98" t="str">
            <v>Lead Pay</v>
          </cell>
        </row>
        <row r="99">
          <cell r="A99" t="str">
            <v>LPD</v>
          </cell>
          <cell r="B99" t="str">
            <v>Lead Pay Doubletime</v>
          </cell>
        </row>
        <row r="100">
          <cell r="A100" t="str">
            <v>LPO</v>
          </cell>
          <cell r="B100" t="str">
            <v>Lead Pay Overtime</v>
          </cell>
        </row>
        <row r="101">
          <cell r="A101" t="str">
            <v>LWO</v>
          </cell>
          <cell r="B101" t="str">
            <v>Leave Without Pay</v>
          </cell>
        </row>
        <row r="102">
          <cell r="A102" t="str">
            <v>LWV</v>
          </cell>
          <cell r="B102" t="str">
            <v>Leave Without Pay -- Voluntary</v>
          </cell>
        </row>
        <row r="103">
          <cell r="A103" t="str">
            <v>LDO</v>
          </cell>
          <cell r="B103" t="str">
            <v>Light Duty Diff - Overtime</v>
          </cell>
        </row>
        <row r="104">
          <cell r="A104" t="str">
            <v>LDR</v>
          </cell>
          <cell r="B104" t="str">
            <v>Light Duty Diff - Regular</v>
          </cell>
        </row>
        <row r="105">
          <cell r="A105" t="str">
            <v>LTP</v>
          </cell>
          <cell r="B105" t="str">
            <v>Long Term Incentive Plan</v>
          </cell>
        </row>
        <row r="106">
          <cell r="A106" t="str">
            <v>LMP</v>
          </cell>
          <cell r="B106" t="str">
            <v>Lump Sum</v>
          </cell>
        </row>
        <row r="107">
          <cell r="A107" t="str">
            <v>MLS</v>
          </cell>
          <cell r="B107" t="str">
            <v>Meal Allowance</v>
          </cell>
        </row>
        <row r="108">
          <cell r="A108" t="str">
            <v>MBS</v>
          </cell>
          <cell r="B108" t="str">
            <v>Merit Bonus</v>
          </cell>
        </row>
        <row r="109">
          <cell r="A109" t="str">
            <v>MIL</v>
          </cell>
          <cell r="B109" t="str">
            <v>Mileage Reimbursement</v>
          </cell>
        </row>
        <row r="110">
          <cell r="A110" t="str">
            <v>MLV</v>
          </cell>
          <cell r="B110" t="str">
            <v>Military Leave Differentl</v>
          </cell>
        </row>
        <row r="111">
          <cell r="A111" t="str">
            <v>MLW</v>
          </cell>
          <cell r="B111" t="str">
            <v>Military Lve W/Out Pay</v>
          </cell>
        </row>
        <row r="112">
          <cell r="A112" t="str">
            <v>MVA</v>
          </cell>
          <cell r="B112" t="str">
            <v>Moving Allowance</v>
          </cell>
        </row>
        <row r="113">
          <cell r="A113" t="str">
            <v>TR1</v>
          </cell>
          <cell r="B113" t="str">
            <v>Moving Allowance - Qualified</v>
          </cell>
        </row>
        <row r="114">
          <cell r="A114" t="str">
            <v>NTF</v>
          </cell>
          <cell r="B114" t="str">
            <v>Non FWT Taxable Fringe Benefit</v>
          </cell>
        </row>
        <row r="115">
          <cell r="A115" t="str">
            <v>BDR</v>
          </cell>
          <cell r="B115" t="str">
            <v>Non-Cash Domestic Part Taxable</v>
          </cell>
        </row>
        <row r="116">
          <cell r="A116" t="str">
            <v>NCF</v>
          </cell>
          <cell r="B116" t="str">
            <v>Non-Cash Fringe Benefit</v>
          </cell>
        </row>
        <row r="117">
          <cell r="A117" t="str">
            <v>NQS</v>
          </cell>
          <cell r="B117" t="str">
            <v>Non-Qualified Stock Options</v>
          </cell>
        </row>
        <row r="118">
          <cell r="A118" t="str">
            <v>ACA</v>
          </cell>
          <cell r="B118" t="str">
            <v>One Time Accrual Adjustment</v>
          </cell>
        </row>
        <row r="119">
          <cell r="A119" t="str">
            <v>ACP</v>
          </cell>
          <cell r="B119" t="str">
            <v>One Time Accrual Paid Cash</v>
          </cell>
        </row>
        <row r="120">
          <cell r="A120" t="str">
            <v>ACC</v>
          </cell>
          <cell r="B120" t="str">
            <v>One-Time Accrual</v>
          </cell>
        </row>
        <row r="121">
          <cell r="A121" t="str">
            <v>WCD</v>
          </cell>
          <cell r="B121" t="str">
            <v>Oregon Workers Comp Days</v>
          </cell>
        </row>
        <row r="122">
          <cell r="A122" t="str">
            <v>OTP</v>
          </cell>
          <cell r="B122" t="str">
            <v>Overtime At 1.5</v>
          </cell>
        </row>
        <row r="123">
          <cell r="A123" t="str">
            <v>OV1</v>
          </cell>
          <cell r="B123" t="str">
            <v>Overtime At 1.5</v>
          </cell>
        </row>
        <row r="124">
          <cell r="A124" t="str">
            <v>OV2</v>
          </cell>
          <cell r="B124" t="str">
            <v>Overtime At 1.5 - 2</v>
          </cell>
        </row>
        <row r="125">
          <cell r="A125" t="str">
            <v>OV3</v>
          </cell>
          <cell r="B125" t="str">
            <v>Overtime At 1.5 - 3</v>
          </cell>
        </row>
        <row r="126">
          <cell r="A126" t="str">
            <v>OV4</v>
          </cell>
          <cell r="B126" t="str">
            <v>Overtime At 1.5 - 4</v>
          </cell>
        </row>
        <row r="127">
          <cell r="A127" t="str">
            <v>OV5</v>
          </cell>
          <cell r="B127" t="str">
            <v>Overtime At 1.5 - 5</v>
          </cell>
        </row>
        <row r="128">
          <cell r="A128" t="str">
            <v>OV6</v>
          </cell>
          <cell r="B128" t="str">
            <v>Overtime At 1.5 - 6</v>
          </cell>
        </row>
        <row r="129">
          <cell r="A129" t="str">
            <v>OV7</v>
          </cell>
          <cell r="B129" t="str">
            <v>Overtime At 1.5 - 7</v>
          </cell>
        </row>
        <row r="130">
          <cell r="A130" t="str">
            <v>OV8</v>
          </cell>
          <cell r="B130" t="str">
            <v>Overtime At 1.5 - 8</v>
          </cell>
        </row>
        <row r="131">
          <cell r="A131" t="str">
            <v>DBT</v>
          </cell>
          <cell r="B131" t="str">
            <v>Overtime At Double</v>
          </cell>
        </row>
        <row r="132">
          <cell r="A132" t="str">
            <v>DT1</v>
          </cell>
          <cell r="B132" t="str">
            <v>Overtime At Double</v>
          </cell>
        </row>
        <row r="133">
          <cell r="A133" t="str">
            <v>OT2</v>
          </cell>
          <cell r="B133" t="str">
            <v>Overtime At Double</v>
          </cell>
        </row>
        <row r="134">
          <cell r="A134" t="str">
            <v>DT2</v>
          </cell>
          <cell r="B134" t="str">
            <v>Overtime At Double - 2</v>
          </cell>
        </row>
        <row r="135">
          <cell r="A135" t="str">
            <v>DT3</v>
          </cell>
          <cell r="B135" t="str">
            <v>Overtime At Double - 3</v>
          </cell>
        </row>
        <row r="136">
          <cell r="A136" t="str">
            <v>DT4</v>
          </cell>
          <cell r="B136" t="str">
            <v>Overtime At Double - 4</v>
          </cell>
        </row>
        <row r="137">
          <cell r="A137" t="str">
            <v>DT5</v>
          </cell>
          <cell r="B137" t="str">
            <v>Overtime At Double - 5</v>
          </cell>
        </row>
        <row r="138">
          <cell r="A138" t="str">
            <v>DT6</v>
          </cell>
          <cell r="B138" t="str">
            <v>Overtime At Double - 6</v>
          </cell>
        </row>
        <row r="139">
          <cell r="A139" t="str">
            <v>DT7</v>
          </cell>
          <cell r="B139" t="str">
            <v>Overtime At Double - 7</v>
          </cell>
        </row>
        <row r="140">
          <cell r="A140" t="str">
            <v>DT8</v>
          </cell>
          <cell r="B140" t="str">
            <v>Overtime At Double - 8</v>
          </cell>
        </row>
        <row r="141">
          <cell r="A141" t="str">
            <v>OC1</v>
          </cell>
          <cell r="B141" t="str">
            <v>Overtime W-O W-Comp - 1</v>
          </cell>
        </row>
        <row r="142">
          <cell r="A142" t="str">
            <v>OC2</v>
          </cell>
          <cell r="B142" t="str">
            <v>Overtime W-O W-Comp - 2</v>
          </cell>
        </row>
        <row r="143">
          <cell r="A143" t="str">
            <v>OC3</v>
          </cell>
          <cell r="B143" t="str">
            <v>Overtime W-O W-Comp - 3</v>
          </cell>
        </row>
        <row r="144">
          <cell r="A144" t="str">
            <v>OC4</v>
          </cell>
          <cell r="B144" t="str">
            <v>Overtime W-O W-Comp - 4</v>
          </cell>
        </row>
        <row r="145">
          <cell r="A145" t="str">
            <v>OC5</v>
          </cell>
          <cell r="B145" t="str">
            <v>Overtime W-O W-Comp - 5</v>
          </cell>
        </row>
        <row r="146">
          <cell r="A146" t="str">
            <v>OVT</v>
          </cell>
          <cell r="B146" t="str">
            <v>Overtime at 1.5</v>
          </cell>
        </row>
        <row r="147">
          <cell r="A147" t="str">
            <v>OTC</v>
          </cell>
          <cell r="B147" t="str">
            <v>Overtime half pay commission</v>
          </cell>
        </row>
        <row r="148">
          <cell r="A148" t="str">
            <v>PAL</v>
          </cell>
          <cell r="B148" t="str">
            <v>Palomar</v>
          </cell>
        </row>
        <row r="149">
          <cell r="A149" t="str">
            <v>PLD</v>
          </cell>
          <cell r="B149" t="str">
            <v>Parental Leave - Sick -Bu</v>
          </cell>
        </row>
        <row r="150">
          <cell r="A150" t="str">
            <v>PLS</v>
          </cell>
          <cell r="B150" t="str">
            <v>Parental Leave - Sick-Nbu</v>
          </cell>
        </row>
        <row r="151">
          <cell r="A151" t="str">
            <v>PRD</v>
          </cell>
          <cell r="B151" t="str">
            <v>Per Diem</v>
          </cell>
        </row>
        <row r="152">
          <cell r="A152" t="str">
            <v>PER</v>
          </cell>
          <cell r="B152" t="str">
            <v>Personal Holiday</v>
          </cell>
        </row>
        <row r="153">
          <cell r="A153" t="str">
            <v>PTF</v>
          </cell>
          <cell r="B153" t="str">
            <v>Personal Time - Family Lv</v>
          </cell>
        </row>
        <row r="154">
          <cell r="A154" t="str">
            <v>PTP</v>
          </cell>
          <cell r="B154" t="str">
            <v>Personal Time - Paid</v>
          </cell>
        </row>
        <row r="155">
          <cell r="A155" t="str">
            <v>PTO</v>
          </cell>
          <cell r="B155" t="str">
            <v>Personal Time Off</v>
          </cell>
        </row>
        <row r="156">
          <cell r="A156" t="str">
            <v>PTA</v>
          </cell>
          <cell r="B156" t="str">
            <v>Personal Time Off Adjustment</v>
          </cell>
        </row>
        <row r="157">
          <cell r="A157" t="str">
            <v>SP0</v>
          </cell>
          <cell r="B157" t="str">
            <v>Refund</v>
          </cell>
        </row>
        <row r="158">
          <cell r="A158" t="str">
            <v>REG</v>
          </cell>
          <cell r="B158" t="str">
            <v>Regular Pay</v>
          </cell>
        </row>
        <row r="159">
          <cell r="A159" t="str">
            <v>RG1</v>
          </cell>
          <cell r="B159" t="str">
            <v>Regular Pay</v>
          </cell>
        </row>
        <row r="160">
          <cell r="A160" t="str">
            <v>RG2</v>
          </cell>
          <cell r="B160" t="str">
            <v>Regular Pay - 2</v>
          </cell>
        </row>
        <row r="161">
          <cell r="A161" t="str">
            <v>RG3</v>
          </cell>
          <cell r="B161" t="str">
            <v>Regular Pay - 3</v>
          </cell>
        </row>
        <row r="162">
          <cell r="A162" t="str">
            <v>RG4</v>
          </cell>
          <cell r="B162" t="str">
            <v>Regular Pay - 4</v>
          </cell>
        </row>
        <row r="163">
          <cell r="A163" t="str">
            <v>RG5</v>
          </cell>
          <cell r="B163" t="str">
            <v>Regular Pay - 5</v>
          </cell>
        </row>
        <row r="164">
          <cell r="A164" t="str">
            <v>RG6</v>
          </cell>
          <cell r="B164" t="str">
            <v>Regular Pay - 6</v>
          </cell>
        </row>
        <row r="165">
          <cell r="A165" t="str">
            <v>RG7</v>
          </cell>
          <cell r="B165" t="str">
            <v>Regular Pay - 7</v>
          </cell>
        </row>
        <row r="166">
          <cell r="A166" t="str">
            <v>RG8</v>
          </cell>
          <cell r="B166" t="str">
            <v>Regular Pay - 8</v>
          </cell>
        </row>
        <row r="167">
          <cell r="A167" t="str">
            <v>RGT</v>
          </cell>
          <cell r="B167" t="str">
            <v>Regular Pay - Transfer</v>
          </cell>
        </row>
        <row r="168">
          <cell r="A168" t="str">
            <v>RGA</v>
          </cell>
          <cell r="B168" t="str">
            <v>Regular Pay A</v>
          </cell>
        </row>
        <row r="169">
          <cell r="A169" t="str">
            <v>RGB</v>
          </cell>
          <cell r="B169" t="str">
            <v>Regular Pay B</v>
          </cell>
        </row>
        <row r="170">
          <cell r="A170" t="str">
            <v>RGC</v>
          </cell>
          <cell r="B170" t="str">
            <v>Regular Pay C</v>
          </cell>
        </row>
        <row r="171">
          <cell r="A171" t="str">
            <v>RAR</v>
          </cell>
          <cell r="B171" t="str">
            <v>Remote Access Reimbursement</v>
          </cell>
        </row>
        <row r="172">
          <cell r="A172" t="str">
            <v>SP8</v>
          </cell>
          <cell r="B172" t="str">
            <v>Ret Domestic Partner Benefit</v>
          </cell>
        </row>
        <row r="173">
          <cell r="A173" t="str">
            <v>SP2</v>
          </cell>
          <cell r="B173" t="str">
            <v>Retiree Excess Life Insurance</v>
          </cell>
        </row>
        <row r="174">
          <cell r="A174" t="str">
            <v>RTA</v>
          </cell>
          <cell r="B174" t="str">
            <v>Retirement Trust Add'l Pay</v>
          </cell>
        </row>
        <row r="175">
          <cell r="A175" t="str">
            <v>RTF</v>
          </cell>
          <cell r="B175" t="str">
            <v>Retirement Trust Fund</v>
          </cell>
        </row>
        <row r="176">
          <cell r="A176" t="str">
            <v>RET</v>
          </cell>
          <cell r="B176" t="str">
            <v>Retroactive Pay Adjust</v>
          </cell>
        </row>
        <row r="177">
          <cell r="A177" t="str">
            <v>RT2</v>
          </cell>
          <cell r="B177" t="str">
            <v>Retroactive Pay Adjust 2</v>
          </cell>
        </row>
        <row r="178">
          <cell r="A178" t="str">
            <v>SAF</v>
          </cell>
          <cell r="B178" t="str">
            <v>Safety Award</v>
          </cell>
        </row>
        <row r="179">
          <cell r="A179" t="str">
            <v>PR1</v>
          </cell>
          <cell r="B179" t="str">
            <v>Saturday - Regular</v>
          </cell>
        </row>
        <row r="180">
          <cell r="A180" t="str">
            <v>PD1</v>
          </cell>
          <cell r="B180" t="str">
            <v>Saturday Premium</v>
          </cell>
        </row>
        <row r="181">
          <cell r="A181" t="str">
            <v>PO1</v>
          </cell>
          <cell r="B181" t="str">
            <v>Saturday Premium</v>
          </cell>
        </row>
        <row r="182">
          <cell r="A182" t="str">
            <v>SEP</v>
          </cell>
          <cell r="B182" t="str">
            <v>Separation</v>
          </cell>
        </row>
        <row r="183">
          <cell r="A183" t="str">
            <v>SEV</v>
          </cell>
          <cell r="B183" t="str">
            <v>Severance Pay</v>
          </cell>
        </row>
        <row r="184">
          <cell r="A184" t="str">
            <v>SVR</v>
          </cell>
          <cell r="B184" t="str">
            <v>Severance Pay r</v>
          </cell>
        </row>
        <row r="185">
          <cell r="A185" t="str">
            <v>STD</v>
          </cell>
          <cell r="B185" t="str">
            <v>Short Term Disability</v>
          </cell>
        </row>
        <row r="186">
          <cell r="A186" t="str">
            <v>SCA</v>
          </cell>
          <cell r="B186" t="str">
            <v>Sick Adjustment</v>
          </cell>
        </row>
        <row r="187">
          <cell r="A187" t="str">
            <v>DIS</v>
          </cell>
          <cell r="B187" t="str">
            <v>Sick Pay</v>
          </cell>
        </row>
        <row r="188">
          <cell r="A188" t="str">
            <v>SCK</v>
          </cell>
          <cell r="B188" t="str">
            <v>Sick Pay</v>
          </cell>
        </row>
        <row r="189">
          <cell r="A189" t="str">
            <v>SK2</v>
          </cell>
          <cell r="B189" t="str">
            <v>Sick Pay - Half Pay</v>
          </cell>
        </row>
        <row r="190">
          <cell r="A190" t="str">
            <v>SBN</v>
          </cell>
          <cell r="B190" t="str">
            <v>Spot Bonus</v>
          </cell>
        </row>
        <row r="191">
          <cell r="A191" t="str">
            <v>STB</v>
          </cell>
          <cell r="B191" t="str">
            <v>Stand By</v>
          </cell>
        </row>
        <row r="192">
          <cell r="A192" t="str">
            <v>SUG</v>
          </cell>
          <cell r="B192" t="str">
            <v>Suggestion Awards</v>
          </cell>
        </row>
        <row r="193">
          <cell r="A193" t="str">
            <v>PO2</v>
          </cell>
          <cell r="B193" t="str">
            <v>Sunday</v>
          </cell>
        </row>
        <row r="194">
          <cell r="A194" t="str">
            <v>PR2</v>
          </cell>
          <cell r="B194" t="str">
            <v>Sunday - Regular</v>
          </cell>
        </row>
        <row r="195">
          <cell r="A195" t="str">
            <v>PD2</v>
          </cell>
          <cell r="B195" t="str">
            <v>Sunday Premium Pay</v>
          </cell>
        </row>
        <row r="196">
          <cell r="A196" t="str">
            <v>SP7</v>
          </cell>
          <cell r="B196" t="str">
            <v>Suppl. Pnsn 60 mo. #7 DeBolt</v>
          </cell>
        </row>
        <row r="197">
          <cell r="A197" t="str">
            <v>SP1</v>
          </cell>
          <cell r="B197" t="str">
            <v>Supplmntl Pension #1 - 1958</v>
          </cell>
        </row>
        <row r="198">
          <cell r="A198" t="str">
            <v>SP3</v>
          </cell>
          <cell r="B198" t="str">
            <v>Supplmntl Pension #3 - 1983</v>
          </cell>
        </row>
        <row r="199">
          <cell r="A199" t="str">
            <v>SP4</v>
          </cell>
          <cell r="B199" t="str">
            <v>Supplmntl Pension #4 - EDC Dif</v>
          </cell>
        </row>
        <row r="200">
          <cell r="A200" t="str">
            <v>SP5</v>
          </cell>
          <cell r="B200" t="str">
            <v>Supplmntl Pension #5 - De Bolt</v>
          </cell>
        </row>
        <row r="201">
          <cell r="A201" t="str">
            <v>SP6</v>
          </cell>
          <cell r="B201" t="str">
            <v>Supplmntl Pension #6 - JA Ande</v>
          </cell>
        </row>
        <row r="202">
          <cell r="A202" t="str">
            <v>SH5</v>
          </cell>
          <cell r="B202" t="str">
            <v>Swing Differential DT</v>
          </cell>
        </row>
        <row r="203">
          <cell r="A203" t="str">
            <v>SH3</v>
          </cell>
          <cell r="B203" t="str">
            <v>Swing Differential OT</v>
          </cell>
        </row>
        <row r="204">
          <cell r="A204" t="str">
            <v>SH1</v>
          </cell>
          <cell r="B204" t="str">
            <v>Swingshift Differential</v>
          </cell>
        </row>
        <row r="205">
          <cell r="A205" t="str">
            <v>TIP</v>
          </cell>
          <cell r="B205" t="str">
            <v>Tip - Prospect Payroll</v>
          </cell>
        </row>
        <row r="206">
          <cell r="A206" t="str">
            <v>TRV</v>
          </cell>
          <cell r="B206" t="str">
            <v>Travel Allowance</v>
          </cell>
        </row>
        <row r="207">
          <cell r="A207" t="str">
            <v>TRI</v>
          </cell>
          <cell r="B207" t="str">
            <v>Tri Met</v>
          </cell>
        </row>
        <row r="208">
          <cell r="A208" t="str">
            <v>VCF</v>
          </cell>
          <cell r="B208" t="str">
            <v>Vacation - Family Leave</v>
          </cell>
        </row>
        <row r="209">
          <cell r="A209" t="str">
            <v>VAA</v>
          </cell>
          <cell r="B209" t="str">
            <v>Vacation Adjustment</v>
          </cell>
        </row>
        <row r="210">
          <cell r="A210" t="str">
            <v>VAB</v>
          </cell>
          <cell r="B210" t="str">
            <v>Vacation Banked</v>
          </cell>
        </row>
        <row r="211">
          <cell r="A211" t="str">
            <v>VPB</v>
          </cell>
          <cell r="B211" t="str">
            <v>Vacation Cash Out</v>
          </cell>
        </row>
        <row r="212">
          <cell r="A212" t="str">
            <v>VAC</v>
          </cell>
          <cell r="B212" t="str">
            <v>Vacation Pay</v>
          </cell>
        </row>
        <row r="213">
          <cell r="A213" t="str">
            <v>VST</v>
          </cell>
          <cell r="B213" t="str">
            <v>Vacation Sick Time</v>
          </cell>
        </row>
        <row r="214">
          <cell r="A214" t="str">
            <v>LMV</v>
          </cell>
          <cell r="B214" t="str">
            <v>Voluntary Leave Without Pay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Earnings"/>
      <sheetName val="Earnings"/>
      <sheetName val="Earnings and Job Codes"/>
      <sheetName val="Executive Listing"/>
      <sheetName val="Sheet6"/>
    </sheetNames>
    <sheetDataSet>
      <sheetData sheetId="0"/>
      <sheetData sheetId="1"/>
      <sheetData sheetId="2">
        <row r="2">
          <cell r="A2" t="str">
            <v>BNS</v>
          </cell>
          <cell r="B2" t="str">
            <v>Bonus/Exempt</v>
          </cell>
          <cell r="C2" t="str">
            <v>B</v>
          </cell>
          <cell r="D2">
            <v>0</v>
          </cell>
        </row>
        <row r="3">
          <cell r="A3" t="str">
            <v>CBS</v>
          </cell>
          <cell r="B3" t="str">
            <v>Company Bonus</v>
          </cell>
          <cell r="C3" t="str">
            <v>B</v>
          </cell>
          <cell r="D3">
            <v>0</v>
          </cell>
        </row>
        <row r="4">
          <cell r="A4" t="str">
            <v>GUB</v>
          </cell>
          <cell r="B4" t="str">
            <v>Gross Up Bonus</v>
          </cell>
          <cell r="C4" t="str">
            <v>B</v>
          </cell>
          <cell r="D4">
            <v>0</v>
          </cell>
        </row>
        <row r="5">
          <cell r="A5" t="str">
            <v>LTP</v>
          </cell>
          <cell r="B5" t="str">
            <v>Long Term Incentive Plan</v>
          </cell>
          <cell r="C5" t="str">
            <v>B</v>
          </cell>
          <cell r="D5">
            <v>0</v>
          </cell>
        </row>
        <row r="6">
          <cell r="A6" t="str">
            <v>MVA</v>
          </cell>
          <cell r="B6" t="str">
            <v>Moving Allowance</v>
          </cell>
          <cell r="C6" t="str">
            <v>B</v>
          </cell>
          <cell r="D6">
            <v>0</v>
          </cell>
        </row>
        <row r="7">
          <cell r="A7" t="str">
            <v>SBN</v>
          </cell>
          <cell r="B7" t="str">
            <v>Spot Bonus</v>
          </cell>
          <cell r="C7" t="str">
            <v>B</v>
          </cell>
          <cell r="D7">
            <v>0</v>
          </cell>
        </row>
        <row r="8">
          <cell r="A8" t="str">
            <v>BI1</v>
          </cell>
          <cell r="B8" t="str">
            <v>Bilingual Premium OT</v>
          </cell>
          <cell r="C8" t="str">
            <v>O</v>
          </cell>
          <cell r="D8">
            <v>0</v>
          </cell>
        </row>
        <row r="9">
          <cell r="A9" t="str">
            <v>BIL</v>
          </cell>
          <cell r="B9" t="str">
            <v>Bilingual Premium</v>
          </cell>
          <cell r="C9" t="str">
            <v>O</v>
          </cell>
          <cell r="D9">
            <v>0</v>
          </cell>
        </row>
        <row r="10">
          <cell r="A10" t="str">
            <v>CLO</v>
          </cell>
          <cell r="B10" t="str">
            <v>Call Out - Double Time</v>
          </cell>
          <cell r="C10" t="str">
            <v>O</v>
          </cell>
          <cell r="D10">
            <v>0</v>
          </cell>
        </row>
        <row r="11">
          <cell r="A11" t="str">
            <v>CSO</v>
          </cell>
          <cell r="B11" t="str">
            <v>Call Out - Sat/Sun - Dt</v>
          </cell>
          <cell r="C11" t="str">
            <v>O</v>
          </cell>
          <cell r="D11">
            <v>0</v>
          </cell>
        </row>
        <row r="12">
          <cell r="A12" t="str">
            <v>DP1</v>
          </cell>
          <cell r="B12" t="str">
            <v>Day 7 Retire Base @ 2 -1</v>
          </cell>
          <cell r="C12" t="str">
            <v>O</v>
          </cell>
          <cell r="D12">
            <v>0</v>
          </cell>
        </row>
        <row r="13">
          <cell r="A13" t="str">
            <v>DT1</v>
          </cell>
          <cell r="B13" t="str">
            <v>Overtime At Double</v>
          </cell>
          <cell r="C13" t="str">
            <v>O</v>
          </cell>
          <cell r="D13">
            <v>0</v>
          </cell>
        </row>
        <row r="14">
          <cell r="A14" t="str">
            <v>DT2</v>
          </cell>
          <cell r="B14" t="str">
            <v>Overtime At Double - 2</v>
          </cell>
          <cell r="C14" t="str">
            <v>O</v>
          </cell>
          <cell r="D14">
            <v>0</v>
          </cell>
        </row>
        <row r="15">
          <cell r="A15" t="str">
            <v>DT3</v>
          </cell>
          <cell r="B15" t="str">
            <v>Overtime At Double - 3</v>
          </cell>
          <cell r="C15" t="str">
            <v>O</v>
          </cell>
          <cell r="D15">
            <v>0</v>
          </cell>
        </row>
        <row r="16">
          <cell r="A16" t="str">
            <v>DT4</v>
          </cell>
          <cell r="B16" t="str">
            <v>Overtime At Double - 4</v>
          </cell>
          <cell r="C16" t="str">
            <v>O</v>
          </cell>
          <cell r="D16">
            <v>0</v>
          </cell>
        </row>
        <row r="17">
          <cell r="A17" t="str">
            <v>DT6</v>
          </cell>
          <cell r="B17" t="str">
            <v>Overtime At Double - 6</v>
          </cell>
          <cell r="C17" t="str">
            <v>O</v>
          </cell>
          <cell r="D17">
            <v>0</v>
          </cell>
        </row>
        <row r="18">
          <cell r="A18" t="str">
            <v>DT7</v>
          </cell>
          <cell r="B18" t="str">
            <v>Overtime At Double - 7</v>
          </cell>
          <cell r="C18" t="str">
            <v>O</v>
          </cell>
          <cell r="D18">
            <v>0</v>
          </cell>
        </row>
        <row r="19">
          <cell r="A19" t="str">
            <v>HM1</v>
          </cell>
          <cell r="B19" t="str">
            <v>Hazard Materials Overtime</v>
          </cell>
          <cell r="C19" t="str">
            <v>O</v>
          </cell>
          <cell r="D19">
            <v>0</v>
          </cell>
        </row>
        <row r="20">
          <cell r="A20" t="str">
            <v>HM2</v>
          </cell>
          <cell r="B20" t="str">
            <v>Hazard Materials Doubletime</v>
          </cell>
          <cell r="C20" t="str">
            <v>O</v>
          </cell>
          <cell r="D20">
            <v>0</v>
          </cell>
        </row>
        <row r="21">
          <cell r="A21" t="str">
            <v>HPD</v>
          </cell>
          <cell r="B21" t="str">
            <v>High Pay Doubletime</v>
          </cell>
          <cell r="C21" t="str">
            <v>O</v>
          </cell>
          <cell r="D21">
            <v>0</v>
          </cell>
        </row>
        <row r="22">
          <cell r="A22" t="str">
            <v>HPO</v>
          </cell>
          <cell r="B22" t="str">
            <v>High Pay Overtime</v>
          </cell>
          <cell r="C22" t="str">
            <v>O</v>
          </cell>
          <cell r="D22">
            <v>0</v>
          </cell>
        </row>
        <row r="23">
          <cell r="A23" t="str">
            <v>HPY</v>
          </cell>
          <cell r="B23" t="str">
            <v>High Pay Work</v>
          </cell>
          <cell r="C23" t="str">
            <v>O</v>
          </cell>
          <cell r="D23">
            <v>0</v>
          </cell>
        </row>
        <row r="24">
          <cell r="A24" t="str">
            <v>HZ2</v>
          </cell>
          <cell r="B24" t="str">
            <v>Haz Pay Doubletime</v>
          </cell>
          <cell r="C24" t="str">
            <v>O</v>
          </cell>
          <cell r="D24">
            <v>0</v>
          </cell>
        </row>
        <row r="25">
          <cell r="A25" t="str">
            <v>HZD</v>
          </cell>
          <cell r="B25" t="str">
            <v>Hazardous Coord - Strght</v>
          </cell>
          <cell r="C25" t="str">
            <v>O</v>
          </cell>
          <cell r="D25">
            <v>0</v>
          </cell>
        </row>
        <row r="26">
          <cell r="A26" t="str">
            <v>HZM</v>
          </cell>
          <cell r="B26" t="str">
            <v>Hazard Materials Differential</v>
          </cell>
          <cell r="C26" t="str">
            <v>O</v>
          </cell>
          <cell r="D26">
            <v>0</v>
          </cell>
        </row>
        <row r="27">
          <cell r="A27" t="str">
            <v>HZO</v>
          </cell>
          <cell r="B27" t="str">
            <v>Hazard Coord Overtime</v>
          </cell>
          <cell r="C27" t="str">
            <v>O</v>
          </cell>
          <cell r="D27">
            <v>0</v>
          </cell>
        </row>
        <row r="28">
          <cell r="A28" t="str">
            <v>LPD</v>
          </cell>
          <cell r="B28" t="str">
            <v>Lead Pay Doubletime</v>
          </cell>
          <cell r="C28" t="str">
            <v>O</v>
          </cell>
          <cell r="D28">
            <v>0</v>
          </cell>
        </row>
        <row r="29">
          <cell r="A29" t="str">
            <v>LPO</v>
          </cell>
          <cell r="B29" t="str">
            <v>Lead Pay Overtime</v>
          </cell>
          <cell r="C29" t="str">
            <v>O</v>
          </cell>
          <cell r="D29">
            <v>0</v>
          </cell>
        </row>
        <row r="30">
          <cell r="A30" t="str">
            <v>LPR</v>
          </cell>
          <cell r="B30" t="str">
            <v>Lead Pay</v>
          </cell>
          <cell r="C30" t="str">
            <v>O</v>
          </cell>
          <cell r="D30">
            <v>0</v>
          </cell>
        </row>
        <row r="31">
          <cell r="A31" t="str">
            <v>MLS</v>
          </cell>
          <cell r="B31" t="str">
            <v>Meal Allowance</v>
          </cell>
          <cell r="C31" t="str">
            <v>O</v>
          </cell>
          <cell r="D31">
            <v>0</v>
          </cell>
        </row>
        <row r="32">
          <cell r="A32" t="str">
            <v>OP1</v>
          </cell>
          <cell r="B32" t="str">
            <v>Day 6 Retire Base @1.5 -1</v>
          </cell>
          <cell r="C32" t="str">
            <v>O</v>
          </cell>
          <cell r="D32">
            <v>0</v>
          </cell>
        </row>
        <row r="33">
          <cell r="A33" t="str">
            <v>OT2</v>
          </cell>
          <cell r="B33" t="str">
            <v>Overtime At Double</v>
          </cell>
          <cell r="C33" t="str">
            <v>O</v>
          </cell>
          <cell r="D33">
            <v>0</v>
          </cell>
        </row>
        <row r="34">
          <cell r="A34" t="str">
            <v>OTC</v>
          </cell>
          <cell r="B34" t="str">
            <v>Overtime half pay commission</v>
          </cell>
          <cell r="C34" t="str">
            <v>O</v>
          </cell>
          <cell r="D34">
            <v>0</v>
          </cell>
        </row>
        <row r="35">
          <cell r="A35" t="str">
            <v>OTP</v>
          </cell>
          <cell r="B35" t="str">
            <v>Overtime At 1.5</v>
          </cell>
          <cell r="C35" t="str">
            <v>O</v>
          </cell>
          <cell r="D35">
            <v>0</v>
          </cell>
        </row>
        <row r="36">
          <cell r="A36" t="str">
            <v>OV1</v>
          </cell>
          <cell r="B36" t="str">
            <v>Overtime At 1.5</v>
          </cell>
          <cell r="C36" t="str">
            <v>O</v>
          </cell>
          <cell r="D36">
            <v>0</v>
          </cell>
        </row>
        <row r="37">
          <cell r="A37" t="str">
            <v>OV2</v>
          </cell>
          <cell r="B37" t="str">
            <v>Overtime At 1.5 - 2</v>
          </cell>
          <cell r="C37" t="str">
            <v>O</v>
          </cell>
          <cell r="D37">
            <v>0</v>
          </cell>
        </row>
        <row r="38">
          <cell r="A38" t="str">
            <v>OV3</v>
          </cell>
          <cell r="B38" t="str">
            <v>Overtime At 1.5 - 3</v>
          </cell>
          <cell r="C38" t="str">
            <v>O</v>
          </cell>
          <cell r="D38">
            <v>0</v>
          </cell>
        </row>
        <row r="39">
          <cell r="A39" t="str">
            <v>OV4</v>
          </cell>
          <cell r="B39" t="str">
            <v>Overtime At 1.5 - 4</v>
          </cell>
          <cell r="C39" t="str">
            <v>O</v>
          </cell>
          <cell r="D39">
            <v>0</v>
          </cell>
        </row>
        <row r="40">
          <cell r="A40" t="str">
            <v>OV6</v>
          </cell>
          <cell r="B40" t="str">
            <v>Overtime At 1.5 - 6</v>
          </cell>
          <cell r="C40" t="str">
            <v>O</v>
          </cell>
          <cell r="D40">
            <v>0</v>
          </cell>
        </row>
        <row r="41">
          <cell r="A41" t="str">
            <v>PD1</v>
          </cell>
          <cell r="B41" t="str">
            <v>Saturday Premium</v>
          </cell>
          <cell r="C41" t="str">
            <v>O</v>
          </cell>
          <cell r="D41">
            <v>0</v>
          </cell>
        </row>
        <row r="42">
          <cell r="A42" t="str">
            <v>PD2</v>
          </cell>
          <cell r="B42" t="str">
            <v>Sunday Premium Pay</v>
          </cell>
          <cell r="C42" t="str">
            <v>O</v>
          </cell>
          <cell r="D42">
            <v>0</v>
          </cell>
        </row>
        <row r="43">
          <cell r="A43" t="str">
            <v>PO1</v>
          </cell>
          <cell r="B43" t="str">
            <v>Saturday Premium</v>
          </cell>
          <cell r="C43" t="str">
            <v>O</v>
          </cell>
          <cell r="D43">
            <v>0</v>
          </cell>
        </row>
        <row r="44">
          <cell r="A44" t="str">
            <v>PO2</v>
          </cell>
          <cell r="B44" t="str">
            <v>Sunday</v>
          </cell>
          <cell r="C44" t="str">
            <v>O</v>
          </cell>
          <cell r="D44">
            <v>0</v>
          </cell>
        </row>
        <row r="45">
          <cell r="A45" t="str">
            <v>PR1</v>
          </cell>
          <cell r="B45" t="str">
            <v>Saturday - Regular</v>
          </cell>
          <cell r="C45" t="str">
            <v>O</v>
          </cell>
          <cell r="D45">
            <v>0</v>
          </cell>
        </row>
        <row r="46">
          <cell r="A46" t="str">
            <v>PR2</v>
          </cell>
          <cell r="B46" t="str">
            <v>Sunday - Regular</v>
          </cell>
          <cell r="C46" t="str">
            <v>O</v>
          </cell>
          <cell r="D46">
            <v>0</v>
          </cell>
        </row>
        <row r="47">
          <cell r="A47" t="str">
            <v>SH1</v>
          </cell>
          <cell r="B47" t="str">
            <v>Swingshift Differential</v>
          </cell>
          <cell r="C47" t="str">
            <v>O</v>
          </cell>
          <cell r="D47">
            <v>0</v>
          </cell>
        </row>
        <row r="48">
          <cell r="A48" t="str">
            <v>SH2</v>
          </cell>
          <cell r="B48" t="str">
            <v>Graveyard Shift Differentl</v>
          </cell>
          <cell r="C48" t="str">
            <v>O</v>
          </cell>
          <cell r="D48">
            <v>0</v>
          </cell>
        </row>
        <row r="49">
          <cell r="A49" t="str">
            <v>SH3</v>
          </cell>
          <cell r="B49" t="str">
            <v>Swing Differential OT</v>
          </cell>
          <cell r="C49" t="str">
            <v>O</v>
          </cell>
          <cell r="D49">
            <v>0</v>
          </cell>
        </row>
        <row r="50">
          <cell r="A50" t="str">
            <v>SH4</v>
          </cell>
          <cell r="B50" t="str">
            <v>Grave Differential OT</v>
          </cell>
          <cell r="C50" t="str">
            <v>O</v>
          </cell>
          <cell r="D50">
            <v>0</v>
          </cell>
        </row>
        <row r="51">
          <cell r="A51" t="str">
            <v>SH5</v>
          </cell>
          <cell r="B51" t="str">
            <v>Swing Differential DT</v>
          </cell>
          <cell r="C51" t="str">
            <v>O</v>
          </cell>
          <cell r="D51">
            <v>0</v>
          </cell>
        </row>
        <row r="52">
          <cell r="A52" t="str">
            <v>SH6</v>
          </cell>
          <cell r="B52" t="str">
            <v>Grave Differential DT</v>
          </cell>
          <cell r="C52" t="str">
            <v>O</v>
          </cell>
          <cell r="D52">
            <v>0</v>
          </cell>
        </row>
        <row r="53">
          <cell r="A53" t="str">
            <v>SHA</v>
          </cell>
          <cell r="B53" t="str">
            <v>7th Day Swing Diff @2</v>
          </cell>
          <cell r="C53" t="str">
            <v>O</v>
          </cell>
          <cell r="D53">
            <v>0</v>
          </cell>
        </row>
        <row r="54">
          <cell r="A54" t="str">
            <v>SHB</v>
          </cell>
          <cell r="B54" t="str">
            <v>7th Day Grave Diff @2</v>
          </cell>
          <cell r="C54" t="str">
            <v>O</v>
          </cell>
          <cell r="D54">
            <v>0</v>
          </cell>
        </row>
        <row r="55">
          <cell r="A55" t="str">
            <v>STB</v>
          </cell>
          <cell r="B55" t="str">
            <v>Stand By</v>
          </cell>
          <cell r="C55" t="str">
            <v>O</v>
          </cell>
          <cell r="D55">
            <v>0</v>
          </cell>
        </row>
        <row r="56">
          <cell r="A56" t="str">
            <v>CAR</v>
          </cell>
          <cell r="B56" t="str">
            <v>Auto Allowance</v>
          </cell>
          <cell r="C56" t="str">
            <v>R</v>
          </cell>
          <cell r="D56">
            <v>0</v>
          </cell>
        </row>
        <row r="57">
          <cell r="A57" t="str">
            <v>COM</v>
          </cell>
          <cell r="B57" t="str">
            <v>Commissions Earned</v>
          </cell>
          <cell r="C57" t="str">
            <v>R</v>
          </cell>
          <cell r="D57">
            <v>0</v>
          </cell>
        </row>
        <row r="58">
          <cell r="A58" t="str">
            <v>GIL</v>
          </cell>
          <cell r="B58" t="str">
            <v>Gill Ranch Storage</v>
          </cell>
          <cell r="C58" t="str">
            <v>R</v>
          </cell>
          <cell r="D58">
            <v>1</v>
          </cell>
        </row>
        <row r="59">
          <cell r="A59" t="str">
            <v>LMP</v>
          </cell>
          <cell r="B59" t="str">
            <v>Lump Sum</v>
          </cell>
          <cell r="C59" t="str">
            <v>R</v>
          </cell>
          <cell r="D59">
            <v>1</v>
          </cell>
        </row>
        <row r="60">
          <cell r="A60" t="str">
            <v>REG</v>
          </cell>
          <cell r="B60" t="str">
            <v>Regular Pay</v>
          </cell>
          <cell r="C60" t="str">
            <v>R</v>
          </cell>
          <cell r="D60">
            <v>1</v>
          </cell>
        </row>
        <row r="61">
          <cell r="A61" t="str">
            <v>RET</v>
          </cell>
          <cell r="B61" t="str">
            <v>Retroactive Pay Adjust</v>
          </cell>
          <cell r="C61" t="str">
            <v>R</v>
          </cell>
          <cell r="D61">
            <v>1</v>
          </cell>
        </row>
        <row r="62">
          <cell r="A62" t="str">
            <v>RG1</v>
          </cell>
          <cell r="B62" t="str">
            <v>Regular Pay</v>
          </cell>
          <cell r="C62" t="str">
            <v>R</v>
          </cell>
          <cell r="D62">
            <v>1</v>
          </cell>
        </row>
        <row r="63">
          <cell r="A63" t="str">
            <v>RG2</v>
          </cell>
          <cell r="B63" t="str">
            <v>Regular Pay - 2</v>
          </cell>
          <cell r="C63" t="str">
            <v>R</v>
          </cell>
          <cell r="D63">
            <v>1</v>
          </cell>
        </row>
        <row r="64">
          <cell r="A64" t="str">
            <v>RG3</v>
          </cell>
          <cell r="B64" t="str">
            <v>Regular Pay - 3</v>
          </cell>
          <cell r="C64" t="str">
            <v>R</v>
          </cell>
          <cell r="D64">
            <v>1</v>
          </cell>
        </row>
        <row r="65">
          <cell r="A65" t="str">
            <v>RG4</v>
          </cell>
          <cell r="B65" t="str">
            <v>Regular Pay - 4</v>
          </cell>
          <cell r="C65" t="str">
            <v>R</v>
          </cell>
          <cell r="D65">
            <v>1</v>
          </cell>
        </row>
        <row r="66">
          <cell r="A66" t="str">
            <v>RG5</v>
          </cell>
          <cell r="B66" t="str">
            <v>Regular Pay - 5</v>
          </cell>
          <cell r="C66" t="str">
            <v>R</v>
          </cell>
          <cell r="D66">
            <v>1</v>
          </cell>
        </row>
        <row r="67">
          <cell r="A67" t="str">
            <v>RG6</v>
          </cell>
          <cell r="B67" t="str">
            <v>Regular Pay - 6</v>
          </cell>
          <cell r="C67" t="str">
            <v>R</v>
          </cell>
          <cell r="D67">
            <v>1</v>
          </cell>
        </row>
        <row r="68">
          <cell r="A68" t="str">
            <v>RG7</v>
          </cell>
          <cell r="B68" t="str">
            <v>Regular Pay - 7</v>
          </cell>
          <cell r="C68" t="str">
            <v>R</v>
          </cell>
          <cell r="D68">
            <v>1</v>
          </cell>
        </row>
        <row r="69">
          <cell r="A69" t="str">
            <v>RG8</v>
          </cell>
          <cell r="B69" t="str">
            <v>Regular Pay - 8</v>
          </cell>
          <cell r="C69" t="str">
            <v>R</v>
          </cell>
          <cell r="D69">
            <v>1</v>
          </cell>
        </row>
        <row r="70">
          <cell r="A70" t="str">
            <v>RGA</v>
          </cell>
          <cell r="B70" t="str">
            <v>Regular Pay A</v>
          </cell>
          <cell r="C70" t="str">
            <v>R</v>
          </cell>
          <cell r="D70">
            <v>1</v>
          </cell>
        </row>
        <row r="71">
          <cell r="A71" t="str">
            <v>ACC</v>
          </cell>
          <cell r="B71" t="str">
            <v>One-Time Accrual</v>
          </cell>
          <cell r="C71" t="str">
            <v>V</v>
          </cell>
          <cell r="D71">
            <v>1</v>
          </cell>
        </row>
        <row r="72">
          <cell r="A72" t="str">
            <v>DIS</v>
          </cell>
          <cell r="B72" t="str">
            <v>Sick Pay</v>
          </cell>
          <cell r="C72" t="str">
            <v>V</v>
          </cell>
          <cell r="D72">
            <v>1</v>
          </cell>
        </row>
        <row r="73">
          <cell r="A73" t="str">
            <v>DOT</v>
          </cell>
          <cell r="B73" t="str">
            <v>Donation of Leave Time</v>
          </cell>
          <cell r="C73" t="str">
            <v>V</v>
          </cell>
          <cell r="D73">
            <v>1</v>
          </cell>
        </row>
        <row r="74">
          <cell r="A74" t="str">
            <v>FLH</v>
          </cell>
          <cell r="B74" t="str">
            <v>Floating Holiday</v>
          </cell>
          <cell r="C74" t="str">
            <v>V</v>
          </cell>
          <cell r="D74">
            <v>1</v>
          </cell>
        </row>
        <row r="75">
          <cell r="A75" t="str">
            <v>FNL</v>
          </cell>
          <cell r="B75" t="str">
            <v>Funeral Leave</v>
          </cell>
          <cell r="C75" t="str">
            <v>V</v>
          </cell>
          <cell r="D75">
            <v>1</v>
          </cell>
        </row>
        <row r="76">
          <cell r="A76" t="str">
            <v>HOL</v>
          </cell>
          <cell r="B76" t="str">
            <v>Holiday Pay</v>
          </cell>
          <cell r="C76" t="str">
            <v>V</v>
          </cell>
          <cell r="D76">
            <v>1</v>
          </cell>
        </row>
        <row r="77">
          <cell r="A77" t="str">
            <v>IDS</v>
          </cell>
          <cell r="B77" t="str">
            <v>Industrial Disability</v>
          </cell>
          <cell r="C77" t="str">
            <v>V</v>
          </cell>
          <cell r="D77">
            <v>1</v>
          </cell>
        </row>
        <row r="78">
          <cell r="A78" t="str">
            <v>JUR</v>
          </cell>
          <cell r="B78" t="str">
            <v>Jury Duty</v>
          </cell>
          <cell r="C78" t="str">
            <v>V</v>
          </cell>
          <cell r="D78">
            <v>1</v>
          </cell>
        </row>
        <row r="79">
          <cell r="A79" t="str">
            <v>PTO</v>
          </cell>
          <cell r="B79" t="str">
            <v>Personal Time Off</v>
          </cell>
          <cell r="C79" t="str">
            <v>V</v>
          </cell>
          <cell r="D79">
            <v>1</v>
          </cell>
        </row>
        <row r="80">
          <cell r="A80" t="str">
            <v>PTP</v>
          </cell>
          <cell r="B80" t="str">
            <v>Personal Time - Paid</v>
          </cell>
          <cell r="C80" t="str">
            <v>V</v>
          </cell>
          <cell r="D80">
            <v>0</v>
          </cell>
        </row>
        <row r="81">
          <cell r="A81" t="str">
            <v>SCK</v>
          </cell>
          <cell r="B81" t="str">
            <v>Sick Pay</v>
          </cell>
          <cell r="C81" t="str">
            <v>V</v>
          </cell>
          <cell r="D81">
            <v>1</v>
          </cell>
        </row>
        <row r="82">
          <cell r="A82" t="str">
            <v>STD</v>
          </cell>
          <cell r="B82" t="str">
            <v>Short Term Disability</v>
          </cell>
          <cell r="C82" t="str">
            <v>V</v>
          </cell>
          <cell r="D82">
            <v>1</v>
          </cell>
        </row>
        <row r="83">
          <cell r="A83" t="str">
            <v>VAC</v>
          </cell>
          <cell r="B83" t="str">
            <v>Vacation Pay</v>
          </cell>
          <cell r="C83" t="str">
            <v>V</v>
          </cell>
          <cell r="D83">
            <v>1</v>
          </cell>
        </row>
        <row r="84">
          <cell r="A84" t="str">
            <v>SEV</v>
          </cell>
          <cell r="B84" t="str">
            <v>Severance Pay</v>
          </cell>
          <cell r="C84" t="str">
            <v>Z</v>
          </cell>
          <cell r="D84">
            <v>0</v>
          </cell>
        </row>
        <row r="85">
          <cell r="A85" t="str">
            <v>SVR</v>
          </cell>
          <cell r="B85" t="str">
            <v>Severance Pay r</v>
          </cell>
          <cell r="C85" t="str">
            <v>Z</v>
          </cell>
          <cell r="D85">
            <v>0</v>
          </cell>
        </row>
        <row r="86">
          <cell r="A86" t="str">
            <v>ADV</v>
          </cell>
          <cell r="B86" t="str">
            <v>Advance</v>
          </cell>
          <cell r="C86" t="str">
            <v>ZZZ</v>
          </cell>
          <cell r="D86">
            <v>0</v>
          </cell>
        </row>
        <row r="87">
          <cell r="A87" t="str">
            <v>BDD</v>
          </cell>
          <cell r="B87" t="str">
            <v>Benefit Allowance DP Dental</v>
          </cell>
          <cell r="C87" t="str">
            <v>ZZZ</v>
          </cell>
          <cell r="D87">
            <v>0</v>
          </cell>
        </row>
        <row r="88">
          <cell r="A88" t="str">
            <v>BDM</v>
          </cell>
          <cell r="B88" t="str">
            <v>Benefit Allowance DP Medical</v>
          </cell>
          <cell r="C88" t="str">
            <v>ZZZ</v>
          </cell>
          <cell r="D88">
            <v>0</v>
          </cell>
        </row>
        <row r="89">
          <cell r="A89" t="str">
            <v>BEN</v>
          </cell>
          <cell r="B89" t="str">
            <v>Benefit Allowance</v>
          </cell>
          <cell r="C89" t="str">
            <v>ZZZ</v>
          </cell>
          <cell r="D89">
            <v>0</v>
          </cell>
        </row>
        <row r="90">
          <cell r="A90" t="str">
            <v>BFD</v>
          </cell>
          <cell r="B90" t="str">
            <v>$100 Cash Gift Gross-Up</v>
          </cell>
          <cell r="C90" t="str">
            <v>ZZZ</v>
          </cell>
          <cell r="D90">
            <v>0</v>
          </cell>
        </row>
        <row r="91">
          <cell r="A91" t="str">
            <v>BND</v>
          </cell>
          <cell r="B91" t="str">
            <v>Benefit Allowance Dental</v>
          </cell>
          <cell r="C91" t="str">
            <v>ZZZ</v>
          </cell>
          <cell r="D91">
            <v>0</v>
          </cell>
        </row>
        <row r="92">
          <cell r="A92" t="str">
            <v>BNM</v>
          </cell>
          <cell r="B92" t="str">
            <v>Benefit Allowance Medical</v>
          </cell>
          <cell r="C92" t="str">
            <v>ZZZ</v>
          </cell>
          <cell r="D92">
            <v>0</v>
          </cell>
        </row>
        <row r="93">
          <cell r="A93" t="str">
            <v>CEL</v>
          </cell>
          <cell r="B93" t="str">
            <v>Cell Phone Reimbursement</v>
          </cell>
          <cell r="C93" t="str">
            <v>ZZZ</v>
          </cell>
          <cell r="D93">
            <v>0</v>
          </cell>
        </row>
        <row r="94">
          <cell r="A94" t="str">
            <v>EDP</v>
          </cell>
          <cell r="B94" t="str">
            <v>EDC distribution</v>
          </cell>
          <cell r="C94" t="str">
            <v>ZZZ</v>
          </cell>
          <cell r="D94">
            <v>0</v>
          </cell>
        </row>
        <row r="95">
          <cell r="A95" t="str">
            <v>ELC</v>
          </cell>
          <cell r="B95" t="str">
            <v>Electric Steal Award</v>
          </cell>
          <cell r="C95" t="str">
            <v>ZZZ</v>
          </cell>
          <cell r="D95">
            <v>0</v>
          </cell>
        </row>
        <row r="96">
          <cell r="A96" t="str">
            <v>HMO</v>
          </cell>
          <cell r="B96" t="str">
            <v>Dental Insurance Refund</v>
          </cell>
          <cell r="C96" t="str">
            <v>ZZZ</v>
          </cell>
          <cell r="D96">
            <v>0</v>
          </cell>
        </row>
        <row r="97">
          <cell r="A97" t="str">
            <v>LWO</v>
          </cell>
          <cell r="B97" t="str">
            <v>Leave Without Pay</v>
          </cell>
          <cell r="C97" t="str">
            <v>ZZZ</v>
          </cell>
          <cell r="D97">
            <v>0</v>
          </cell>
        </row>
        <row r="98">
          <cell r="A98" t="str">
            <v>MIL</v>
          </cell>
          <cell r="B98" t="str">
            <v>Mileage Reimbursement</v>
          </cell>
          <cell r="C98" t="str">
            <v>ZZZ</v>
          </cell>
          <cell r="D98">
            <v>0</v>
          </cell>
        </row>
        <row r="99">
          <cell r="A99" t="str">
            <v>NCF</v>
          </cell>
          <cell r="B99" t="str">
            <v>Non-Cash Fringe Benefit</v>
          </cell>
          <cell r="C99" t="str">
            <v>ZZZ</v>
          </cell>
          <cell r="D99">
            <v>0</v>
          </cell>
        </row>
        <row r="100">
          <cell r="A100" t="str">
            <v>NQS</v>
          </cell>
          <cell r="B100" t="str">
            <v>Non-Qualified Stock Options</v>
          </cell>
          <cell r="C100" t="str">
            <v>ZZZ</v>
          </cell>
          <cell r="D100">
            <v>0</v>
          </cell>
        </row>
        <row r="101">
          <cell r="A101" t="str">
            <v>RAR</v>
          </cell>
          <cell r="B101" t="str">
            <v>Remote Access Reimbursement</v>
          </cell>
          <cell r="C101" t="str">
            <v>ZZZ</v>
          </cell>
          <cell r="D101">
            <v>0</v>
          </cell>
        </row>
        <row r="102">
          <cell r="A102" t="str">
            <v>UCR</v>
          </cell>
          <cell r="B102" t="str">
            <v>Company Car</v>
          </cell>
          <cell r="C102" t="str">
            <v>ZZZ</v>
          </cell>
          <cell r="D102">
            <v>0</v>
          </cell>
        </row>
      </sheetData>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 2021"/>
      <sheetName val="PROPOSED RATES 2022"/>
      <sheetName val="RR SUMMARY"/>
      <sheetName val="CF "/>
      <sheetName val="ADJ DETAIL-INPUT"/>
      <sheetName val="ADJ SUMMARY"/>
      <sheetName val="Acerno_Cache_XXXXX"/>
      <sheetName val="ROO INPUT"/>
      <sheetName val="DEBT CALC"/>
      <sheetName val="PCA LCAR Calc-21-22"/>
      <sheetName val="LEAD SHEETS-DO NOT ENTER"/>
      <sheetName val="COMPARISON"/>
      <sheetName val="SharedInputs"/>
      <sheetName val="Sheet1"/>
      <sheetName val="1-Yr RR SUMMARY"/>
      <sheetName val="1-yr ADJ DETAIL-INPUT"/>
      <sheetName val="1 YR ADJ SUMMARY"/>
      <sheetName val="not used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ADJ DETAIL-INPUT"/>
      <sheetName val="RR SUMMARY"/>
      <sheetName val="CF "/>
      <sheetName val="LEAD SHEETS-DO NOT ENTER"/>
      <sheetName val="ADJ SUMMARY"/>
      <sheetName val="ROO INPUT"/>
      <sheetName val="DEBT CALC"/>
      <sheetName val="Normalized ROE - Elec&amp;Ga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E-CHK"/>
      <sheetName val="E-CHK-UI"/>
      <sheetName val="E-ALL"/>
      <sheetName val="E-OPS"/>
      <sheetName val="E-456"/>
      <sheetName val="E-555"/>
      <sheetName val="E-557"/>
      <sheetName val="E-908"/>
      <sheetName val="E-INT"/>
      <sheetName val="E-FIT"/>
      <sheetName val="E-SCM"/>
      <sheetName val="E-DTE"/>
      <sheetName val="E-OTX"/>
      <sheetName val="E-PLT"/>
      <sheetName val="E-APL"/>
      <sheetName val="E-DEPX"/>
      <sheetName val="E-AMTX"/>
      <sheetName val="E-ADEP"/>
      <sheetName val="E-AAMT"/>
      <sheetName val="C-GPL"/>
      <sheetName val="C-IPL"/>
      <sheetName val="C-DTX"/>
      <sheetName val="C-WKC"/>
      <sheetName val="E-ROR"/>
    </sheetNames>
    <sheetDataSet>
      <sheetData sheetId="0"/>
      <sheetData sheetId="1">
        <row r="2">
          <cell r="H2">
            <v>1</v>
          </cell>
        </row>
        <row r="3">
          <cell r="H3" t="str">
            <v>A</v>
          </cell>
        </row>
        <row r="4">
          <cell r="H4" t="str">
            <v>For Month Ended November 30, 2019</v>
          </cell>
        </row>
        <row r="5">
          <cell r="H5" t="str">
            <v>Average of Monthly Averages Basis</v>
          </cell>
        </row>
      </sheetData>
      <sheetData sheetId="2"/>
      <sheetData sheetId="3"/>
      <sheetData sheetId="4"/>
      <sheetData sheetId="5">
        <row r="110">
          <cell r="L110">
            <v>3100395</v>
          </cell>
        </row>
      </sheetData>
      <sheetData sheetId="6"/>
      <sheetData sheetId="7"/>
      <sheetData sheetId="8"/>
      <sheetData sheetId="9"/>
      <sheetData sheetId="10"/>
      <sheetData sheetId="11"/>
      <sheetData sheetId="12">
        <row r="64">
          <cell r="I64">
            <v>-5258296</v>
          </cell>
        </row>
      </sheetData>
      <sheetData sheetId="13"/>
      <sheetData sheetId="14"/>
      <sheetData sheetId="15">
        <row r="84">
          <cell r="K84">
            <v>1849368369</v>
          </cell>
        </row>
      </sheetData>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5FD03-7F54-4617-822F-3E5CC0CB5D83}">
  <sheetPr>
    <tabColor rgb="FFFF0000"/>
  </sheetPr>
  <dimension ref="A1:N38"/>
  <sheetViews>
    <sheetView tabSelected="1" zoomScaleNormal="100" workbookViewId="0">
      <selection activeCell="Q20" sqref="Q20"/>
    </sheetView>
  </sheetViews>
  <sheetFormatPr defaultRowHeight="12.75"/>
  <cols>
    <col min="2" max="2" width="22.42578125" customWidth="1"/>
    <col min="4" max="4" width="14.85546875" customWidth="1"/>
    <col min="5" max="5" width="14.140625" customWidth="1"/>
    <col min="6" max="6" width="14.85546875" customWidth="1"/>
    <col min="8" max="8" width="6.5703125" customWidth="1"/>
    <col min="9" max="9" width="0.28515625" hidden="1" customWidth="1"/>
    <col min="10" max="10" width="22.42578125" hidden="1" customWidth="1"/>
    <col min="11" max="11" width="9.140625" hidden="1" customWidth="1"/>
    <col min="12" max="12" width="14.85546875" hidden="1" customWidth="1"/>
    <col min="13" max="13" width="14.140625" hidden="1" customWidth="1"/>
    <col min="14" max="14" width="14.85546875" hidden="1" customWidth="1"/>
  </cols>
  <sheetData>
    <row r="1" spans="1:14" ht="15">
      <c r="A1" s="1355" t="s">
        <v>1272</v>
      </c>
      <c r="B1" s="1355"/>
      <c r="C1" s="1355"/>
      <c r="D1" s="1355"/>
      <c r="E1" s="1355"/>
      <c r="F1" s="1355"/>
      <c r="I1" s="1355" t="s">
        <v>1257</v>
      </c>
      <c r="J1" s="1355"/>
      <c r="K1" s="1355"/>
      <c r="L1" s="1355"/>
      <c r="M1" s="1355"/>
      <c r="N1" s="1355"/>
    </row>
    <row r="2" spans="1:14" ht="20.25" customHeight="1">
      <c r="A2" s="1182" t="s">
        <v>1258</v>
      </c>
      <c r="B2" s="1179"/>
      <c r="C2" s="1325"/>
      <c r="D2" s="1190" t="s">
        <v>91</v>
      </c>
      <c r="E2" s="1190" t="s">
        <v>91</v>
      </c>
      <c r="F2" s="1326" t="s">
        <v>1259</v>
      </c>
      <c r="I2" s="1182" t="s">
        <v>1258</v>
      </c>
      <c r="J2" s="1179"/>
      <c r="K2" s="1325"/>
      <c r="L2" s="1190" t="s">
        <v>91</v>
      </c>
      <c r="M2" s="1190" t="s">
        <v>91</v>
      </c>
      <c r="N2" s="1326" t="s">
        <v>1259</v>
      </c>
    </row>
    <row r="3" spans="1:14" ht="20.25" customHeight="1">
      <c r="A3" s="1182" t="s">
        <v>1260</v>
      </c>
      <c r="B3" s="1179"/>
      <c r="C3" s="1325"/>
      <c r="D3" s="1190" t="s">
        <v>1115</v>
      </c>
      <c r="E3" s="1190" t="s">
        <v>1154</v>
      </c>
      <c r="F3" s="1326" t="s">
        <v>1261</v>
      </c>
      <c r="G3">
        <v>2023</v>
      </c>
      <c r="I3" s="1182" t="s">
        <v>1260</v>
      </c>
      <c r="J3" s="1179"/>
      <c r="K3" s="1325"/>
      <c r="L3" s="1190" t="s">
        <v>1115</v>
      </c>
      <c r="M3" s="1190" t="s">
        <v>1154</v>
      </c>
      <c r="N3" s="1326" t="s">
        <v>1261</v>
      </c>
    </row>
    <row r="4" spans="1:14" ht="20.25" customHeight="1">
      <c r="A4" s="1327"/>
      <c r="B4" s="1179"/>
      <c r="C4" s="1325"/>
      <c r="D4" s="1328"/>
      <c r="E4" s="1328"/>
      <c r="F4" s="1329"/>
      <c r="I4" s="1327"/>
      <c r="J4" s="1179"/>
      <c r="K4" s="1325"/>
      <c r="L4" s="1328"/>
      <c r="M4" s="1328"/>
      <c r="N4" s="1329"/>
    </row>
    <row r="5" spans="1:14" ht="20.25" customHeight="1">
      <c r="A5" s="1179" t="s">
        <v>1262</v>
      </c>
      <c r="B5" s="1179"/>
      <c r="C5" s="1325"/>
      <c r="D5" s="1330">
        <f>'PROPOSED RATES-12.2022'!K81</f>
        <v>2042744.6773308404</v>
      </c>
      <c r="E5" s="1330">
        <f>'[16]PROP0SED RATES-12.2022'!$L$81</f>
        <v>514942</v>
      </c>
      <c r="F5" s="1331">
        <f>SUM(D5:E5)</f>
        <v>2557686.6773308404</v>
      </c>
      <c r="G5" s="1179"/>
      <c r="I5" s="1179" t="s">
        <v>1262</v>
      </c>
      <c r="J5" s="1179"/>
      <c r="K5" s="1325"/>
      <c r="L5" s="1330">
        <v>1700977</v>
      </c>
      <c r="M5" s="1330">
        <v>414409</v>
      </c>
      <c r="N5" s="1331">
        <f>SUM(L5:M5)</f>
        <v>2115386</v>
      </c>
    </row>
    <row r="6" spans="1:14" ht="20.25" customHeight="1">
      <c r="A6" s="1179" t="s">
        <v>1263</v>
      </c>
      <c r="B6" s="1179"/>
      <c r="C6" s="1325"/>
      <c r="D6" s="1332">
        <f>'[17]RR SUMMARY'!L13</f>
        <v>0.48499999999999999</v>
      </c>
      <c r="E6" s="1332">
        <f>D6</f>
        <v>0.48499999999999999</v>
      </c>
      <c r="F6" s="1333">
        <f>E6</f>
        <v>0.48499999999999999</v>
      </c>
      <c r="I6" s="1179" t="s">
        <v>1263</v>
      </c>
      <c r="J6" s="1179"/>
      <c r="K6" s="1325"/>
      <c r="L6" s="1332">
        <v>0.47370000000000001</v>
      </c>
      <c r="M6" s="1332">
        <v>0.47370000000000001</v>
      </c>
      <c r="N6" s="1333">
        <f>M6</f>
        <v>0.47370000000000001</v>
      </c>
    </row>
    <row r="7" spans="1:14" ht="20.25" customHeight="1">
      <c r="A7" s="1179" t="s">
        <v>1264</v>
      </c>
      <c r="B7" s="1179"/>
      <c r="C7" s="1325"/>
      <c r="D7" s="1334">
        <f>ROUND(D5*D6,0)</f>
        <v>990731</v>
      </c>
      <c r="E7" s="1334">
        <f t="shared" ref="E7:F7" si="0">ROUND(E5*E6,0)</f>
        <v>249747</v>
      </c>
      <c r="F7" s="1335">
        <f t="shared" si="0"/>
        <v>1240478</v>
      </c>
      <c r="I7" s="1179" t="s">
        <v>1264</v>
      </c>
      <c r="J7" s="1179"/>
      <c r="K7" s="1325"/>
      <c r="L7" s="1334">
        <f>ROUND(L5*L6,0)</f>
        <v>805753</v>
      </c>
      <c r="M7" s="1334">
        <f t="shared" ref="M7:N7" si="1">ROUND(M5*M6,0)</f>
        <v>196306</v>
      </c>
      <c r="N7" s="1335">
        <f t="shared" si="1"/>
        <v>1002058</v>
      </c>
    </row>
    <row r="8" spans="1:14" ht="20.25" customHeight="1">
      <c r="A8" s="1179" t="s">
        <v>1265</v>
      </c>
      <c r="B8" s="1179"/>
      <c r="C8" s="1325"/>
      <c r="D8" s="1179"/>
      <c r="E8" s="1179"/>
      <c r="F8" s="1336"/>
      <c r="I8" s="1179" t="s">
        <v>1265</v>
      </c>
      <c r="J8" s="1179"/>
      <c r="K8" s="1325"/>
      <c r="L8" s="1179"/>
      <c r="M8" s="1179"/>
      <c r="N8" s="1336"/>
    </row>
    <row r="9" spans="1:14" ht="20.25" customHeight="1">
      <c r="A9" s="1179"/>
      <c r="B9" s="1179" t="s">
        <v>1266</v>
      </c>
      <c r="C9" s="1325"/>
      <c r="D9" s="1330">
        <f>'PC PROPOSED RATES-12.2022'!K57</f>
        <v>115191.76543931506</v>
      </c>
      <c r="E9" s="1330">
        <f>'[16]PC PROP0SED RATES-12.2022'!$L$59</f>
        <v>31800.685595999999</v>
      </c>
      <c r="F9" s="1331">
        <f>SUM(D9:E9)</f>
        <v>146992.45103531505</v>
      </c>
      <c r="I9" s="1179"/>
      <c r="J9" s="1179" t="s">
        <v>1266</v>
      </c>
      <c r="K9" s="1325"/>
      <c r="L9" s="1330">
        <v>108443.15615400001</v>
      </c>
      <c r="M9" s="1330">
        <v>24794.584751999999</v>
      </c>
      <c r="N9" s="1331">
        <f>SUM(L9:M9)</f>
        <v>133237.74090600002</v>
      </c>
    </row>
    <row r="10" spans="1:14" ht="20.25" customHeight="1">
      <c r="A10" s="1179"/>
      <c r="B10" s="1179" t="s">
        <v>1267</v>
      </c>
      <c r="C10" s="1325"/>
      <c r="D10" s="1337">
        <f>'DEBT CALC 2.14'!G68*-1</f>
        <v>-50432.871930071757</v>
      </c>
      <c r="E10" s="1337">
        <f>'[16]DEBT CALC 2.14'!$G$65*-1</f>
        <v>-12719.0674</v>
      </c>
      <c r="F10" s="1338">
        <f>SUM(D10:E10)</f>
        <v>-63151.939330071757</v>
      </c>
      <c r="I10" s="1179"/>
      <c r="J10" s="1179" t="s">
        <v>1267</v>
      </c>
      <c r="K10" s="1325"/>
      <c r="L10" s="1337">
        <v>-44055.304299999996</v>
      </c>
      <c r="M10" s="1337">
        <v>-10733.193099999999</v>
      </c>
      <c r="N10" s="1338">
        <f>SUM(L10:M10)</f>
        <v>-54788.497399999993</v>
      </c>
    </row>
    <row r="11" spans="1:14" ht="20.25" customHeight="1">
      <c r="A11" s="1179" t="s">
        <v>1268</v>
      </c>
      <c r="B11" s="1179"/>
      <c r="C11" s="1325"/>
      <c r="D11" s="1339">
        <f>SUM(D9:D10)</f>
        <v>64758.893509243302</v>
      </c>
      <c r="E11" s="1339">
        <f>SUM(E9:E10)</f>
        <v>19081.618195999999</v>
      </c>
      <c r="F11" s="1340">
        <f>SUM(F9:F10)</f>
        <v>83840.511705243291</v>
      </c>
      <c r="I11" s="1179" t="s">
        <v>1268</v>
      </c>
      <c r="J11" s="1179"/>
      <c r="K11" s="1325"/>
      <c r="L11" s="1339">
        <f>SUM(L9:L10)</f>
        <v>64387.851854000015</v>
      </c>
      <c r="M11" s="1339">
        <f>SUM(M9:M10)</f>
        <v>14061.391652</v>
      </c>
      <c r="N11" s="1340">
        <f>SUM(N9:N10)</f>
        <v>78449.243506000028</v>
      </c>
    </row>
    <row r="12" spans="1:14" ht="20.25" customHeight="1" thickBot="1">
      <c r="A12" s="1179" t="s">
        <v>1260</v>
      </c>
      <c r="B12" s="1179"/>
      <c r="C12" s="1325"/>
      <c r="D12" s="1341">
        <f>ROUND(D11/D7,5)</f>
        <v>6.5360000000000001E-2</v>
      </c>
      <c r="E12" s="1341">
        <f>ROUND(E11/E7,5)</f>
        <v>7.6399999999999996E-2</v>
      </c>
      <c r="F12" s="1342">
        <f>ROUND(F11/F7,5)</f>
        <v>6.7589999999999997E-2</v>
      </c>
      <c r="I12" s="1179" t="s">
        <v>1260</v>
      </c>
      <c r="J12" s="1179"/>
      <c r="K12" s="1325"/>
      <c r="L12" s="1343">
        <f>ROUND(L11/L7,5)</f>
        <v>7.9909999999999995E-2</v>
      </c>
      <c r="M12" s="1343">
        <f>ROUND(M11/M7,5)</f>
        <v>7.1629999999999999E-2</v>
      </c>
      <c r="N12" s="1344">
        <f>ROUND(N11/N7,5)</f>
        <v>7.8289999999999998E-2</v>
      </c>
    </row>
    <row r="13" spans="1:14" ht="20.25" customHeight="1" thickTop="1">
      <c r="D13" s="1345"/>
      <c r="E13" s="1345"/>
    </row>
    <row r="14" spans="1:14" ht="13.5" thickBot="1">
      <c r="A14" s="1346"/>
      <c r="B14" s="1346"/>
      <c r="C14" s="1346"/>
      <c r="D14" s="1346"/>
      <c r="E14" s="1346"/>
      <c r="F14" s="1346"/>
      <c r="I14" s="1346"/>
      <c r="J14" s="1346"/>
      <c r="K14" s="1346"/>
      <c r="L14" s="1346"/>
      <c r="M14" s="1346"/>
      <c r="N14" s="1346"/>
    </row>
    <row r="17" spans="1:14" ht="16.5" customHeight="1">
      <c r="A17" s="1355" t="s">
        <v>1271</v>
      </c>
      <c r="B17" s="1355"/>
      <c r="C17" s="1355"/>
      <c r="D17" s="1355"/>
      <c r="E17" s="1355"/>
      <c r="F17" s="1355"/>
      <c r="G17">
        <v>2024</v>
      </c>
    </row>
    <row r="18" spans="1:14" ht="16.5" customHeight="1">
      <c r="A18" s="1182" t="s">
        <v>1258</v>
      </c>
      <c r="B18" s="1179"/>
      <c r="C18" s="1325"/>
      <c r="D18" s="1190" t="s">
        <v>91</v>
      </c>
      <c r="E18" s="1190" t="s">
        <v>91</v>
      </c>
      <c r="F18" s="1326" t="s">
        <v>1259</v>
      </c>
      <c r="I18" s="1179"/>
      <c r="L18" s="1347"/>
      <c r="M18" s="1347"/>
      <c r="N18" s="1347"/>
    </row>
    <row r="19" spans="1:14" ht="16.5" customHeight="1">
      <c r="A19" s="1182" t="s">
        <v>1260</v>
      </c>
      <c r="B19" s="1179"/>
      <c r="C19" s="1325"/>
      <c r="D19" s="1190" t="s">
        <v>1115</v>
      </c>
      <c r="E19" s="1190" t="s">
        <v>1154</v>
      </c>
      <c r="F19" s="1326" t="s">
        <v>1261</v>
      </c>
      <c r="I19" s="1179"/>
      <c r="L19" s="1348"/>
      <c r="M19" s="1348"/>
      <c r="N19" s="1348"/>
    </row>
    <row r="20" spans="1:14" ht="16.5" customHeight="1">
      <c r="A20" s="1327"/>
      <c r="B20" s="1179"/>
      <c r="C20" s="1325"/>
      <c r="D20" s="1328"/>
      <c r="E20" s="1328"/>
      <c r="F20" s="1329"/>
      <c r="I20" s="1179"/>
      <c r="L20" s="1349"/>
      <c r="M20" s="1349"/>
      <c r="N20" s="1349"/>
    </row>
    <row r="21" spans="1:14" ht="16.5" customHeight="1">
      <c r="A21" s="1179" t="s">
        <v>1262</v>
      </c>
      <c r="B21" s="1179"/>
      <c r="C21" s="1325"/>
      <c r="D21" s="1330">
        <f>'PROPOSED RATES-12.2023'!J81</f>
        <v>2123481.9957257686</v>
      </c>
      <c r="E21" s="1330">
        <f>'[16]PROP0SED RATES-12.2023'!$K$81</f>
        <v>535042</v>
      </c>
      <c r="F21" s="1331">
        <f>SUM(D21:E21)</f>
        <v>2658523.9957257686</v>
      </c>
      <c r="I21" s="1179"/>
      <c r="L21" s="1350"/>
      <c r="M21" s="1350"/>
      <c r="N21" s="1350"/>
    </row>
    <row r="22" spans="1:14" ht="16.5" customHeight="1">
      <c r="A22" s="1179" t="s">
        <v>1263</v>
      </c>
      <c r="B22" s="1179"/>
      <c r="C22" s="1325"/>
      <c r="D22" s="1332">
        <f>D6</f>
        <v>0.48499999999999999</v>
      </c>
      <c r="E22" s="1332">
        <f>E6</f>
        <v>0.48499999999999999</v>
      </c>
      <c r="F22" s="1333">
        <f>E22</f>
        <v>0.48499999999999999</v>
      </c>
    </row>
    <row r="23" spans="1:14" ht="16.5" customHeight="1">
      <c r="A23" s="1179" t="s">
        <v>1264</v>
      </c>
      <c r="B23" s="1179"/>
      <c r="C23" s="1325"/>
      <c r="D23" s="1334">
        <f>ROUND(D21*D22,0)</f>
        <v>1029889</v>
      </c>
      <c r="E23" s="1334">
        <f t="shared" ref="E23:F23" si="2">ROUND(E21*E22,0)</f>
        <v>259495</v>
      </c>
      <c r="F23" s="1335">
        <f t="shared" si="2"/>
        <v>1289384</v>
      </c>
    </row>
    <row r="24" spans="1:14" ht="16.5" customHeight="1">
      <c r="A24" s="1179" t="s">
        <v>1265</v>
      </c>
      <c r="B24" s="1179"/>
      <c r="C24" s="1325"/>
      <c r="D24" s="1179"/>
      <c r="E24" s="1179"/>
      <c r="F24" s="1336"/>
      <c r="I24" s="1179"/>
      <c r="L24" s="1351"/>
      <c r="M24" s="1351"/>
      <c r="N24" s="1351"/>
    </row>
    <row r="25" spans="1:14" ht="16.5" customHeight="1">
      <c r="A25" s="1179"/>
      <c r="B25" s="1179" t="s">
        <v>1266</v>
      </c>
      <c r="C25" s="1325"/>
      <c r="D25" s="1330">
        <f>'PC PROPOSED RATES-12.2023'!J57</f>
        <v>113578.56096982959</v>
      </c>
      <c r="E25" s="1330">
        <f>'[16]PC PROP0SED RATES-12.2023'!$K$59</f>
        <v>32259.652536000001</v>
      </c>
      <c r="F25" s="1331">
        <f>SUM(D25:E25)</f>
        <v>145838.2135058296</v>
      </c>
      <c r="I25" s="1179"/>
      <c r="L25" s="1348"/>
      <c r="M25" s="1348"/>
      <c r="N25" s="1348"/>
    </row>
    <row r="26" spans="1:14" ht="16.5" customHeight="1">
      <c r="A26" s="1179"/>
      <c r="B26" s="1179" t="s">
        <v>1267</v>
      </c>
      <c r="C26" s="1325"/>
      <c r="D26" s="1337">
        <f>'DEBT CALC 2.14 (2)'!G80*-1</f>
        <v>-52402.383694426477</v>
      </c>
      <c r="E26" s="1337">
        <f>'[16]DEBT CALC 2.14 (2)'!$G$65*-1</f>
        <v>-13215.537399999999</v>
      </c>
      <c r="F26" s="1338">
        <f>SUM(D26:E26)</f>
        <v>-65617.921094426478</v>
      </c>
      <c r="I26" s="1179"/>
      <c r="L26" s="1352"/>
      <c r="M26" s="1352"/>
      <c r="N26" s="1352"/>
    </row>
    <row r="27" spans="1:14" ht="16.5" customHeight="1">
      <c r="A27" s="1179" t="s">
        <v>1268</v>
      </c>
      <c r="B27" s="1179"/>
      <c r="C27" s="1325"/>
      <c r="D27" s="1339">
        <f>SUM(D25:D26)</f>
        <v>61176.177275403112</v>
      </c>
      <c r="E27" s="1339">
        <f>SUM(E25:E26)</f>
        <v>19044.115136</v>
      </c>
      <c r="F27" s="1340">
        <f>SUM(F25:F26)</f>
        <v>80220.292411403119</v>
      </c>
      <c r="I27" s="1179"/>
      <c r="L27" s="1350"/>
      <c r="M27" s="1350"/>
      <c r="N27" s="1350"/>
    </row>
    <row r="28" spans="1:14" ht="16.5" customHeight="1" thickBot="1">
      <c r="A28" s="1179" t="s">
        <v>1260</v>
      </c>
      <c r="B28" s="1179"/>
      <c r="C28" s="1325"/>
      <c r="D28" s="1341">
        <f>ROUND(D27/D23,5)</f>
        <v>5.9400000000000001E-2</v>
      </c>
      <c r="E28" s="1341">
        <f>ROUND(E27/E23,5)</f>
        <v>7.3389999999999997E-2</v>
      </c>
      <c r="F28" s="1342">
        <f>ROUND(F27/F23,5)</f>
        <v>6.2219999999999998E-2</v>
      </c>
    </row>
    <row r="29" spans="1:14" ht="16.5" customHeight="1" thickTop="1">
      <c r="D29" s="1345"/>
      <c r="E29" s="1345"/>
    </row>
    <row r="30" spans="1:14" ht="16.5" customHeight="1" thickBot="1">
      <c r="A30" s="1346"/>
      <c r="B30" s="1346"/>
      <c r="C30" s="1346"/>
      <c r="D30" s="1346"/>
      <c r="E30" s="1346"/>
      <c r="F30" s="1346"/>
    </row>
    <row r="32" spans="1:14" ht="15.75" customHeight="1">
      <c r="A32" s="1356" t="s">
        <v>1273</v>
      </c>
      <c r="B32" s="1356"/>
      <c r="C32" s="1356"/>
      <c r="D32" s="1356"/>
      <c r="E32" s="1356"/>
      <c r="F32" s="1356"/>
    </row>
    <row r="33" spans="1:6">
      <c r="A33" s="1356"/>
      <c r="B33" s="1356"/>
      <c r="C33" s="1356"/>
      <c r="D33" s="1356"/>
      <c r="E33" s="1356"/>
      <c r="F33" s="1356"/>
    </row>
    <row r="34" spans="1:6">
      <c r="A34" s="1356"/>
      <c r="B34" s="1356"/>
      <c r="C34" s="1356"/>
      <c r="D34" s="1356"/>
      <c r="E34" s="1356"/>
      <c r="F34" s="1356"/>
    </row>
    <row r="35" spans="1:6">
      <c r="A35" s="1356"/>
      <c r="B35" s="1356"/>
      <c r="C35" s="1356"/>
      <c r="D35" s="1356"/>
      <c r="E35" s="1356"/>
      <c r="F35" s="1356"/>
    </row>
    <row r="36" spans="1:6">
      <c r="A36" s="1356"/>
      <c r="B36" s="1356"/>
      <c r="C36" s="1356"/>
      <c r="D36" s="1356"/>
      <c r="E36" s="1356"/>
      <c r="F36" s="1356"/>
    </row>
    <row r="37" spans="1:6">
      <c r="A37" s="1356"/>
      <c r="B37" s="1356"/>
      <c r="C37" s="1356"/>
      <c r="D37" s="1356"/>
      <c r="E37" s="1356"/>
      <c r="F37" s="1356"/>
    </row>
    <row r="38" spans="1:6" ht="93" customHeight="1">
      <c r="A38" s="1356"/>
      <c r="B38" s="1356"/>
      <c r="C38" s="1356"/>
      <c r="D38" s="1356"/>
      <c r="E38" s="1356"/>
      <c r="F38" s="1356"/>
    </row>
  </sheetData>
  <mergeCells count="4">
    <mergeCell ref="A1:F1"/>
    <mergeCell ref="I1:N1"/>
    <mergeCell ref="A17:F17"/>
    <mergeCell ref="A32:F38"/>
  </mergeCells>
  <pageMargins left="0.7" right="0.7" top="0.75" bottom="0.75" header="0.3" footer="0.3"/>
  <pageSetup scale="92"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sheetPr>
  <dimension ref="A1:BZ102"/>
  <sheetViews>
    <sheetView topLeftCell="C1" zoomScaleNormal="100" workbookViewId="0">
      <pane xSplit="3" ySplit="11" topLeftCell="AW15" activePane="bottomRight" state="frozen"/>
      <selection activeCell="C1" sqref="C1"/>
      <selection pane="topRight" activeCell="F1" sqref="F1"/>
      <selection pane="bottomLeft" activeCell="C12" sqref="C12"/>
      <selection pane="bottomRight" activeCell="BF51" sqref="BF51"/>
    </sheetView>
  </sheetViews>
  <sheetFormatPr defaultColWidth="10.5703125" defaultRowHeight="12"/>
  <cols>
    <col min="1" max="1" width="4.5703125" style="382" customWidth="1"/>
    <col min="2" max="3" width="1.5703125" style="381" customWidth="1"/>
    <col min="4" max="4" width="35.42578125" style="381" customWidth="1"/>
    <col min="5" max="5" width="12.5703125" style="406" customWidth="1"/>
    <col min="6" max="6" width="11.140625" style="406" customWidth="1"/>
    <col min="7" max="7" width="13" style="406" customWidth="1"/>
    <col min="8" max="8" width="9.85546875" style="406" customWidth="1"/>
    <col min="9" max="9" width="11.5703125" style="406" customWidth="1"/>
    <col min="10" max="10" width="11.28515625" style="406" customWidth="1"/>
    <col min="11" max="11" width="12.28515625" style="406" customWidth="1"/>
    <col min="12" max="12" width="13.28515625" style="406" customWidth="1"/>
    <col min="13" max="13" width="10.28515625" style="406" customWidth="1"/>
    <col min="14" max="14" width="9.85546875" style="406" customWidth="1"/>
    <col min="15" max="15" width="11.7109375" style="406" customWidth="1"/>
    <col min="16" max="16" width="8" style="406" customWidth="1"/>
    <col min="17" max="17" width="8.42578125" style="406" customWidth="1"/>
    <col min="18" max="18" width="13.28515625" style="406" customWidth="1"/>
    <col min="19" max="19" width="9.85546875" style="406" customWidth="1"/>
    <col min="20" max="20" width="17.5703125" style="839" customWidth="1"/>
    <col min="21" max="21" width="10.140625" style="839" customWidth="1"/>
    <col min="22" max="22" width="9.42578125" style="406" customWidth="1"/>
    <col min="23" max="23" width="15.5703125" style="406" customWidth="1"/>
    <col min="24" max="24" width="11.42578125" style="406" customWidth="1"/>
    <col min="25" max="25" width="12.42578125" style="839" customWidth="1"/>
    <col min="26" max="26" width="12" style="839" customWidth="1"/>
    <col min="27" max="27" width="11" style="839" customWidth="1"/>
    <col min="28" max="28" width="19" style="839" customWidth="1"/>
    <col min="29" max="29" width="11" style="404" customWidth="1"/>
    <col min="30" max="30" width="12.85546875" style="406" customWidth="1"/>
    <col min="31" max="31" width="17.85546875" style="406" customWidth="1"/>
    <col min="32" max="32" width="13.85546875" style="406" customWidth="1"/>
    <col min="33" max="33" width="19.5703125" style="406" customWidth="1"/>
    <col min="34" max="34" width="13" style="406" customWidth="1"/>
    <col min="35" max="35" width="13.42578125" style="839" customWidth="1"/>
    <col min="36" max="36" width="22.140625" style="406" customWidth="1"/>
    <col min="37" max="37" width="14.28515625" style="405" customWidth="1"/>
    <col min="38" max="38" width="15.42578125" style="926" customWidth="1"/>
    <col min="39" max="39" width="13.85546875" style="406" customWidth="1"/>
    <col min="40" max="40" width="14.42578125" style="406" customWidth="1"/>
    <col min="41" max="41" width="14" style="405" customWidth="1"/>
    <col min="42" max="42" width="13.85546875" style="406" customWidth="1"/>
    <col min="43" max="43" width="14.28515625" style="406" customWidth="1"/>
    <col min="44" max="44" width="13.7109375" style="406" customWidth="1"/>
    <col min="45" max="45" width="15.5703125" style="406" customWidth="1"/>
    <col min="46" max="46" width="17.85546875" style="406" customWidth="1"/>
    <col min="47" max="47" width="15.5703125" style="406" customWidth="1"/>
    <col min="48" max="48" width="16.140625" style="406" customWidth="1"/>
    <col min="49" max="49" width="15.5703125" style="406" customWidth="1"/>
    <col min="50" max="50" width="19.7109375" style="406" customWidth="1"/>
    <col min="51" max="51" width="21.5703125" style="406" customWidth="1"/>
    <col min="52" max="52" width="20.5703125" style="406" customWidth="1"/>
    <col min="53" max="53" width="16.5703125" style="406" customWidth="1"/>
    <col min="54" max="54" width="15.7109375" style="406" customWidth="1"/>
    <col min="55" max="55" width="15.28515625" style="406" bestFit="1" customWidth="1"/>
    <col min="56" max="56" width="14.5703125" style="406" customWidth="1"/>
    <col min="57" max="57" width="13.85546875" style="406" customWidth="1"/>
    <col min="58" max="59" width="14.7109375" style="406" customWidth="1"/>
    <col min="60" max="60" width="11.5703125" style="407" customWidth="1"/>
    <col min="61" max="61" width="1.42578125" style="439" customWidth="1"/>
    <col min="62" max="62" width="11.140625" style="406" customWidth="1"/>
    <col min="63" max="63" width="12" style="839" customWidth="1"/>
    <col min="64" max="64" width="17" style="926" customWidth="1"/>
    <col min="65" max="65" width="11.28515625" style="406" customWidth="1"/>
    <col min="66" max="66" width="10.7109375" style="406" customWidth="1"/>
    <col min="67" max="67" width="11.85546875" style="406" customWidth="1"/>
    <col min="68" max="68" width="14.42578125" style="406" customWidth="1"/>
    <col min="69" max="69" width="11.5703125" style="406" customWidth="1"/>
    <col min="70" max="70" width="16.42578125" style="406" customWidth="1"/>
    <col min="71" max="71" width="14.140625" style="406" customWidth="1"/>
    <col min="72" max="72" width="14.28515625" style="406" customWidth="1"/>
    <col min="73" max="73" width="15.140625" style="406" customWidth="1"/>
    <col min="74" max="74" width="14.85546875" style="406" customWidth="1"/>
    <col min="75" max="75" width="14.7109375" style="406" customWidth="1"/>
    <col min="76" max="76" width="11.7109375" style="406" customWidth="1"/>
    <col min="77" max="77" width="14.5703125" style="406" customWidth="1"/>
    <col min="78" max="16384" width="10.5703125" style="381"/>
  </cols>
  <sheetData>
    <row r="1" spans="1:77" ht="19.5" customHeight="1">
      <c r="A1" s="517" t="s">
        <v>184</v>
      </c>
      <c r="D1" s="382"/>
      <c r="E1" s="728"/>
      <c r="F1" s="890" t="s">
        <v>634</v>
      </c>
      <c r="G1" s="404"/>
      <c r="H1" s="404"/>
      <c r="I1" s="404"/>
      <c r="J1" s="408"/>
      <c r="K1" s="404"/>
      <c r="L1" s="404"/>
      <c r="M1" s="404"/>
      <c r="N1" s="404"/>
      <c r="O1" s="404"/>
      <c r="P1" s="404"/>
      <c r="Q1" s="404"/>
      <c r="R1" s="404"/>
      <c r="U1" s="855"/>
      <c r="V1" s="822"/>
      <c r="W1" s="808"/>
      <c r="Z1" s="871"/>
      <c r="AA1" s="840"/>
      <c r="AE1" s="404"/>
      <c r="AG1" s="404"/>
      <c r="AH1" s="902"/>
      <c r="AJ1" s="904"/>
      <c r="AK1" s="406"/>
      <c r="AL1" s="437"/>
      <c r="AO1" s="406"/>
      <c r="AQ1" s="404"/>
      <c r="AS1" s="904"/>
      <c r="AT1" s="808"/>
      <c r="AU1" s="904"/>
      <c r="AV1" s="1075"/>
      <c r="AW1" s="808"/>
      <c r="AX1" s="808"/>
      <c r="AY1" s="1383" t="s">
        <v>1236</v>
      </c>
      <c r="AZ1" s="1383" t="s">
        <v>1236</v>
      </c>
      <c r="BA1" s="984"/>
      <c r="BB1" s="904"/>
      <c r="BC1" s="904"/>
      <c r="BD1" s="904"/>
      <c r="BE1" s="904"/>
      <c r="BF1" s="904"/>
      <c r="BG1" s="904"/>
      <c r="BH1" s="404"/>
      <c r="BJ1" s="902"/>
      <c r="BK1" s="883" t="s">
        <v>1002</v>
      </c>
      <c r="BL1" s="803"/>
      <c r="BO1" s="404"/>
      <c r="BQ1" s="904"/>
      <c r="BR1" s="1381" t="s">
        <v>1236</v>
      </c>
      <c r="BS1" s="984"/>
      <c r="BV1" s="904"/>
      <c r="BW1" s="904"/>
      <c r="BY1" s="904"/>
    </row>
    <row r="2" spans="1:77" ht="14.25" customHeight="1">
      <c r="A2" s="517" t="s">
        <v>666</v>
      </c>
      <c r="D2" s="382"/>
      <c r="E2" s="729"/>
      <c r="G2" s="404"/>
      <c r="H2" s="808"/>
      <c r="I2" s="404"/>
      <c r="J2" s="404"/>
      <c r="K2" s="404"/>
      <c r="M2" s="404"/>
      <c r="N2" s="822"/>
      <c r="O2" s="404"/>
      <c r="P2" s="818"/>
      <c r="Q2" s="818"/>
      <c r="R2" s="818"/>
      <c r="S2" s="808"/>
      <c r="T2" s="840"/>
      <c r="U2" s="856"/>
      <c r="V2" s="822"/>
      <c r="Z2" s="856"/>
      <c r="AA2" s="872"/>
      <c r="AD2" s="906"/>
      <c r="AE2" s="906"/>
      <c r="AG2" s="902"/>
      <c r="AJ2" s="412"/>
      <c r="AK2" s="937"/>
      <c r="AL2" s="437"/>
      <c r="AM2" s="469"/>
      <c r="AN2" s="1073"/>
      <c r="AO2" s="937"/>
      <c r="AR2" s="469"/>
      <c r="AS2" s="818"/>
      <c r="AU2" s="412"/>
      <c r="AV2" s="819"/>
      <c r="AY2" s="1383"/>
      <c r="AZ2" s="1383"/>
      <c r="BA2" s="752"/>
      <c r="BB2" s="819"/>
      <c r="BC2" s="818"/>
      <c r="BD2" s="818"/>
      <c r="BE2" s="818"/>
      <c r="BF2" s="818"/>
      <c r="BG2" s="818"/>
      <c r="BH2" s="469"/>
      <c r="BI2" s="469"/>
      <c r="BL2" s="437"/>
      <c r="BM2" s="1073"/>
      <c r="BP2" s="942"/>
      <c r="BQ2" s="818"/>
      <c r="BR2" s="1381"/>
      <c r="BS2" s="752"/>
      <c r="BV2" s="818"/>
      <c r="BW2" s="1386" t="s">
        <v>1274</v>
      </c>
      <c r="BX2" s="605"/>
      <c r="BY2" s="818"/>
    </row>
    <row r="3" spans="1:77" ht="17.25" customHeight="1">
      <c r="A3" s="517" t="s">
        <v>916</v>
      </c>
      <c r="D3" s="382"/>
      <c r="E3" s="815" t="s">
        <v>994</v>
      </c>
      <c r="F3" s="891"/>
      <c r="G3" s="809"/>
      <c r="H3" s="809"/>
      <c r="I3" s="809"/>
      <c r="J3" s="809"/>
      <c r="K3" s="437"/>
      <c r="L3" s="817"/>
      <c r="N3" s="822"/>
      <c r="P3" s="819"/>
      <c r="Q3" s="819"/>
      <c r="R3" s="819"/>
      <c r="S3" s="808"/>
      <c r="T3" s="840"/>
      <c r="U3" s="857"/>
      <c r="W3" s="827"/>
      <c r="X3" s="408"/>
      <c r="Y3" s="867"/>
      <c r="Z3" s="873"/>
      <c r="AA3" s="872"/>
      <c r="AB3" s="867"/>
      <c r="AD3" s="906"/>
      <c r="AE3" s="906"/>
      <c r="AF3" s="408"/>
      <c r="AG3" s="902"/>
      <c r="AH3" s="817"/>
      <c r="AI3" s="878"/>
      <c r="AJ3" s="819"/>
      <c r="AK3" s="937"/>
      <c r="AL3" s="437"/>
      <c r="AM3" s="902"/>
      <c r="AN3" s="1073"/>
      <c r="AO3" s="937"/>
      <c r="AP3" s="817"/>
      <c r="AQ3" s="817"/>
      <c r="AR3" s="902"/>
      <c r="AS3" s="818"/>
      <c r="AT3" s="827"/>
      <c r="AU3" s="819"/>
      <c r="AV3" s="819"/>
      <c r="AW3" s="817"/>
      <c r="AX3" s="817"/>
      <c r="AY3" s="1383"/>
      <c r="AZ3" s="1383"/>
      <c r="BA3" s="753"/>
      <c r="BB3" s="819"/>
      <c r="BC3" s="818"/>
      <c r="BD3" s="818"/>
      <c r="BE3" s="818"/>
      <c r="BF3" s="818"/>
      <c r="BG3" s="1386" t="s">
        <v>1274</v>
      </c>
      <c r="BH3" s="404"/>
      <c r="BJ3" s="817"/>
      <c r="BK3" s="878"/>
      <c r="BL3" s="437"/>
      <c r="BM3" s="1073"/>
      <c r="BN3" s="817"/>
      <c r="BO3" s="817"/>
      <c r="BP3" s="1065"/>
      <c r="BQ3" s="818"/>
      <c r="BR3" s="1381"/>
      <c r="BS3" s="753"/>
      <c r="BT3" s="819"/>
      <c r="BU3" s="819"/>
      <c r="BV3" s="818"/>
      <c r="BW3" s="1386"/>
      <c r="BY3" s="818"/>
    </row>
    <row r="4" spans="1:77" ht="17.25" customHeight="1">
      <c r="A4" s="517" t="s">
        <v>185</v>
      </c>
      <c r="D4" s="382"/>
      <c r="E4" s="816" t="s">
        <v>995</v>
      </c>
      <c r="F4" s="891"/>
      <c r="G4" s="809"/>
      <c r="H4" s="809"/>
      <c r="I4" s="809"/>
      <c r="J4" s="809"/>
      <c r="K4" s="809"/>
      <c r="L4" s="809"/>
      <c r="M4" s="809"/>
      <c r="N4" s="1072"/>
      <c r="O4" s="809"/>
      <c r="P4" s="810"/>
      <c r="Q4" s="810"/>
      <c r="R4" s="810"/>
      <c r="S4" s="810"/>
      <c r="T4" s="841"/>
      <c r="U4" s="858"/>
      <c r="V4" s="823"/>
      <c r="W4" s="827"/>
      <c r="X4" s="437"/>
      <c r="Y4" s="868"/>
      <c r="Z4" s="874"/>
      <c r="AA4" s="872"/>
      <c r="AB4" s="868"/>
      <c r="AC4" s="437"/>
      <c r="AD4" s="906"/>
      <c r="AE4" s="906"/>
      <c r="AF4" s="408"/>
      <c r="AG4" s="823"/>
      <c r="AH4" s="817"/>
      <c r="AI4" s="878"/>
      <c r="AJ4" s="469"/>
      <c r="AK4" s="937"/>
      <c r="AL4" s="920"/>
      <c r="AM4" s="917"/>
      <c r="AN4" s="1067"/>
      <c r="AO4" s="937"/>
      <c r="AP4" s="817"/>
      <c r="AQ4" s="817"/>
      <c r="AR4" s="823"/>
      <c r="AS4" s="818"/>
      <c r="AT4" s="817"/>
      <c r="AU4" s="942"/>
      <c r="AV4" s="1067"/>
      <c r="AW4" s="1067"/>
      <c r="AX4" s="1321" t="s">
        <v>1254</v>
      </c>
      <c r="AY4" s="1383"/>
      <c r="AZ4" s="1383"/>
      <c r="BA4" s="752"/>
      <c r="BB4" s="818"/>
      <c r="BC4" s="818"/>
      <c r="BD4" s="1321" t="s">
        <v>1255</v>
      </c>
      <c r="BE4" s="1321" t="s">
        <v>1255</v>
      </c>
      <c r="BF4" s="818"/>
      <c r="BG4" s="1386"/>
      <c r="BI4" s="752"/>
      <c r="BJ4" s="817"/>
      <c r="BK4" s="878"/>
      <c r="BL4" s="920"/>
      <c r="BM4" s="1074"/>
      <c r="BN4" s="817"/>
      <c r="BO4" s="817"/>
      <c r="BP4" s="1065"/>
      <c r="BQ4" s="818"/>
      <c r="BR4" s="1381"/>
      <c r="BS4" s="752"/>
      <c r="BT4" s="819"/>
      <c r="BU4" s="819"/>
      <c r="BV4" s="818"/>
      <c r="BW4" s="1386"/>
      <c r="BX4" s="408"/>
      <c r="BY4" s="761" t="s">
        <v>965</v>
      </c>
    </row>
    <row r="5" spans="1:77" s="384" customFormat="1" ht="12" customHeight="1">
      <c r="A5" s="722"/>
      <c r="B5" s="723"/>
      <c r="C5" s="723"/>
      <c r="D5" s="724"/>
      <c r="E5" s="730"/>
      <c r="F5" s="892"/>
      <c r="G5" s="406"/>
      <c r="H5" s="810"/>
      <c r="I5" s="811"/>
      <c r="J5" s="810"/>
      <c r="K5" s="810"/>
      <c r="L5" s="811"/>
      <c r="M5" s="811"/>
      <c r="N5" s="811"/>
      <c r="O5" s="811"/>
      <c r="P5" s="820"/>
      <c r="Q5" s="821"/>
      <c r="R5" s="820"/>
      <c r="S5" s="811"/>
      <c r="T5" s="842"/>
      <c r="U5" s="859"/>
      <c r="V5" s="824"/>
      <c r="W5" s="730"/>
      <c r="X5" s="811"/>
      <c r="Y5" s="842"/>
      <c r="Z5" s="875"/>
      <c r="AA5" s="876"/>
      <c r="AB5" s="842"/>
      <c r="AC5" s="362"/>
      <c r="AD5" s="919"/>
      <c r="AE5" s="406"/>
      <c r="AF5" s="723"/>
      <c r="AG5" s="723"/>
      <c r="AH5" s="723"/>
      <c r="AI5" s="879"/>
      <c r="AJ5" s="905"/>
      <c r="AK5" s="935"/>
      <c r="AL5" s="921"/>
      <c r="AM5" s="723"/>
      <c r="AN5" s="723"/>
      <c r="AO5" s="935"/>
      <c r="AP5" s="905"/>
      <c r="AQ5" s="905"/>
      <c r="AR5" s="935"/>
      <c r="AS5" s="905"/>
      <c r="AT5" s="730"/>
      <c r="AU5" s="905"/>
      <c r="AV5" s="914"/>
      <c r="AW5" s="730"/>
      <c r="AX5" s="1322"/>
      <c r="AY5" s="1384"/>
      <c r="AZ5" s="1384"/>
      <c r="BA5" s="905"/>
      <c r="BB5" s="905"/>
      <c r="BC5" s="905"/>
      <c r="BD5" s="1322"/>
      <c r="BE5" s="1322"/>
      <c r="BF5" s="905"/>
      <c r="BG5" s="1386"/>
      <c r="BH5" s="760" t="s">
        <v>964</v>
      </c>
      <c r="BI5" s="753"/>
      <c r="BJ5" s="723"/>
      <c r="BK5" s="879"/>
      <c r="BL5" s="921"/>
      <c r="BM5" s="723"/>
      <c r="BN5" s="905"/>
      <c r="BO5" s="905"/>
      <c r="BP5" s="935"/>
      <c r="BQ5" s="905"/>
      <c r="BR5" s="1382"/>
      <c r="BS5" s="905"/>
      <c r="BT5" s="914"/>
      <c r="BU5" s="1320"/>
      <c r="BV5" s="905"/>
      <c r="BW5" s="905"/>
      <c r="BX5" s="760" t="s">
        <v>965</v>
      </c>
      <c r="BY5" s="762" t="s">
        <v>967</v>
      </c>
    </row>
    <row r="6" spans="1:77" s="384" customFormat="1" ht="12" customHeight="1">
      <c r="A6" s="385"/>
      <c r="B6" s="386"/>
      <c r="C6" s="387"/>
      <c r="D6" s="387"/>
      <c r="E6" s="731"/>
      <c r="F6" s="812" t="s">
        <v>1</v>
      </c>
      <c r="G6" s="812" t="s">
        <v>1</v>
      </c>
      <c r="H6" s="812" t="s">
        <v>253</v>
      </c>
      <c r="I6" s="812" t="s">
        <v>3</v>
      </c>
      <c r="J6" s="812" t="s">
        <v>5</v>
      </c>
      <c r="K6" s="812" t="s">
        <v>15</v>
      </c>
      <c r="L6" s="812" t="s">
        <v>16</v>
      </c>
      <c r="M6" s="812" t="s">
        <v>4</v>
      </c>
      <c r="N6" s="812" t="s">
        <v>583</v>
      </c>
      <c r="O6" s="812" t="s">
        <v>6</v>
      </c>
      <c r="P6" s="812" t="s">
        <v>5</v>
      </c>
      <c r="Q6" s="812" t="s">
        <v>223</v>
      </c>
      <c r="R6" s="812" t="s">
        <v>615</v>
      </c>
      <c r="S6" s="894" t="s">
        <v>3</v>
      </c>
      <c r="T6" s="843" t="s">
        <v>638</v>
      </c>
      <c r="U6" s="860" t="s">
        <v>664</v>
      </c>
      <c r="V6" s="230" t="s">
        <v>5</v>
      </c>
      <c r="W6" s="828" t="s">
        <v>920</v>
      </c>
      <c r="X6" s="230" t="s">
        <v>3</v>
      </c>
      <c r="Y6" s="869" t="s">
        <v>118</v>
      </c>
      <c r="Z6" s="860" t="s">
        <v>639</v>
      </c>
      <c r="AA6" s="1053" t="s">
        <v>647</v>
      </c>
      <c r="AB6" s="1091" t="s">
        <v>1066</v>
      </c>
      <c r="AC6" s="970" t="s">
        <v>20</v>
      </c>
      <c r="AD6" s="1056" t="s">
        <v>7</v>
      </c>
      <c r="AE6" s="898" t="s">
        <v>7</v>
      </c>
      <c r="AF6" s="898" t="s">
        <v>7</v>
      </c>
      <c r="AG6" s="230" t="s">
        <v>230</v>
      </c>
      <c r="AH6" s="230" t="s">
        <v>230</v>
      </c>
      <c r="AI6" s="869" t="s">
        <v>7</v>
      </c>
      <c r="AJ6" s="230" t="s">
        <v>998</v>
      </c>
      <c r="AK6" s="908" t="s">
        <v>7</v>
      </c>
      <c r="AL6" s="922" t="s">
        <v>230</v>
      </c>
      <c r="AM6" s="230" t="s">
        <v>230</v>
      </c>
      <c r="AN6" s="230" t="s">
        <v>230</v>
      </c>
      <c r="AO6" s="908" t="s">
        <v>942</v>
      </c>
      <c r="AP6" s="230" t="s">
        <v>230</v>
      </c>
      <c r="AQ6" s="898" t="s">
        <v>7</v>
      </c>
      <c r="AR6" s="230" t="s">
        <v>230</v>
      </c>
      <c r="AS6" s="908" t="s">
        <v>7</v>
      </c>
      <c r="AT6" s="828" t="s">
        <v>948</v>
      </c>
      <c r="AU6" s="230" t="s">
        <v>1020</v>
      </c>
      <c r="AV6" s="754" t="s">
        <v>7</v>
      </c>
      <c r="AW6" s="828" t="s">
        <v>952</v>
      </c>
      <c r="AX6" s="1317" t="s">
        <v>952</v>
      </c>
      <c r="AY6" s="908" t="s">
        <v>744</v>
      </c>
      <c r="AZ6" s="908" t="s">
        <v>744</v>
      </c>
      <c r="BA6" s="985" t="s">
        <v>1217</v>
      </c>
      <c r="BB6" s="908" t="s">
        <v>744</v>
      </c>
      <c r="BC6" s="908" t="s">
        <v>744</v>
      </c>
      <c r="BD6" s="1310" t="s">
        <v>744</v>
      </c>
      <c r="BE6" s="1310" t="s">
        <v>744</v>
      </c>
      <c r="BF6" s="908" t="s">
        <v>744</v>
      </c>
      <c r="BG6" s="1310" t="s">
        <v>1250</v>
      </c>
      <c r="BH6" s="759" t="s">
        <v>1238</v>
      </c>
      <c r="BI6" s="752"/>
      <c r="BJ6" s="908" t="s">
        <v>7</v>
      </c>
      <c r="BK6" s="884" t="s">
        <v>7</v>
      </c>
      <c r="BL6" s="922" t="s">
        <v>230</v>
      </c>
      <c r="BM6" s="908" t="s">
        <v>230</v>
      </c>
      <c r="BN6" s="908" t="s">
        <v>230</v>
      </c>
      <c r="BO6" s="908" t="s">
        <v>7</v>
      </c>
      <c r="BP6" s="230" t="s">
        <v>1020</v>
      </c>
      <c r="BQ6" s="908" t="s">
        <v>7</v>
      </c>
      <c r="BR6" s="908" t="s">
        <v>744</v>
      </c>
      <c r="BS6" s="985" t="s">
        <v>1237</v>
      </c>
      <c r="BT6" s="908" t="s">
        <v>744</v>
      </c>
      <c r="BU6" s="1310" t="s">
        <v>744</v>
      </c>
      <c r="BV6" s="908" t="s">
        <v>744</v>
      </c>
      <c r="BW6" s="1310" t="s">
        <v>1250</v>
      </c>
      <c r="BX6" s="759" t="s">
        <v>1239</v>
      </c>
      <c r="BY6" s="763" t="s">
        <v>1240</v>
      </c>
    </row>
    <row r="7" spans="1:77" s="384" customFormat="1">
      <c r="A7" s="388" t="s">
        <v>8</v>
      </c>
      <c r="B7" s="389"/>
      <c r="C7" s="390"/>
      <c r="D7" s="390"/>
      <c r="E7" s="410" t="s">
        <v>257</v>
      </c>
      <c r="F7" s="813" t="s">
        <v>10</v>
      </c>
      <c r="G7" s="813" t="s">
        <v>255</v>
      </c>
      <c r="H7" s="813" t="s">
        <v>121</v>
      </c>
      <c r="I7" s="813" t="s">
        <v>13</v>
      </c>
      <c r="J7" s="813" t="s">
        <v>14</v>
      </c>
      <c r="K7" s="813" t="s">
        <v>29</v>
      </c>
      <c r="L7" s="813" t="s">
        <v>29</v>
      </c>
      <c r="M7" s="813" t="s">
        <v>17</v>
      </c>
      <c r="N7" s="813" t="s">
        <v>659</v>
      </c>
      <c r="O7" s="813" t="s">
        <v>19</v>
      </c>
      <c r="P7" s="813" t="s">
        <v>224</v>
      </c>
      <c r="Q7" s="813" t="s">
        <v>695</v>
      </c>
      <c r="R7" s="813" t="s">
        <v>181</v>
      </c>
      <c r="S7" s="895" t="s">
        <v>617</v>
      </c>
      <c r="T7" s="844" t="s">
        <v>662</v>
      </c>
      <c r="U7" s="861" t="s">
        <v>660</v>
      </c>
      <c r="V7" s="410" t="s">
        <v>18</v>
      </c>
      <c r="W7" s="829" t="s">
        <v>668</v>
      </c>
      <c r="X7" s="410" t="s">
        <v>116</v>
      </c>
      <c r="Y7" s="861" t="s">
        <v>2</v>
      </c>
      <c r="Z7" s="861" t="s">
        <v>640</v>
      </c>
      <c r="AA7" s="1054" t="s">
        <v>12</v>
      </c>
      <c r="AB7" s="1092" t="s">
        <v>1067</v>
      </c>
      <c r="AC7" s="743" t="s">
        <v>33</v>
      </c>
      <c r="AD7" s="752" t="s">
        <v>720</v>
      </c>
      <c r="AE7" s="899" t="s">
        <v>70</v>
      </c>
      <c r="AF7" s="899" t="s">
        <v>619</v>
      </c>
      <c r="AG7" s="410" t="s">
        <v>658</v>
      </c>
      <c r="AH7" s="410" t="s">
        <v>1048</v>
      </c>
      <c r="AI7" s="861" t="s">
        <v>721</v>
      </c>
      <c r="AJ7" s="410" t="s">
        <v>997</v>
      </c>
      <c r="AK7" s="909" t="s">
        <v>1000</v>
      </c>
      <c r="AL7" s="923" t="s">
        <v>1077</v>
      </c>
      <c r="AM7" s="410" t="s">
        <v>221</v>
      </c>
      <c r="AN7" s="410" t="s">
        <v>237</v>
      </c>
      <c r="AO7" s="909" t="s">
        <v>943</v>
      </c>
      <c r="AP7" s="410" t="s">
        <v>14</v>
      </c>
      <c r="AQ7" s="899" t="s">
        <v>677</v>
      </c>
      <c r="AR7" s="410" t="s">
        <v>648</v>
      </c>
      <c r="AS7" s="909" t="s">
        <v>944</v>
      </c>
      <c r="AT7" s="829" t="s">
        <v>949</v>
      </c>
      <c r="AU7" s="410" t="s">
        <v>1021</v>
      </c>
      <c r="AV7" s="752" t="s">
        <v>1088</v>
      </c>
      <c r="AW7" s="829" t="s">
        <v>953</v>
      </c>
      <c r="AX7" s="1318" t="s">
        <v>954</v>
      </c>
      <c r="AY7" s="909" t="s">
        <v>956</v>
      </c>
      <c r="AZ7" s="909" t="s">
        <v>956</v>
      </c>
      <c r="BA7" s="909" t="s">
        <v>1216</v>
      </c>
      <c r="BB7" s="909" t="s">
        <v>1218</v>
      </c>
      <c r="BC7" s="909" t="s">
        <v>1220</v>
      </c>
      <c r="BD7" s="1311" t="s">
        <v>1222</v>
      </c>
      <c r="BE7" s="1311" t="s">
        <v>1224</v>
      </c>
      <c r="BF7" s="909" t="s">
        <v>1225</v>
      </c>
      <c r="BG7" s="1311" t="s">
        <v>1251</v>
      </c>
      <c r="BH7" s="743" t="s">
        <v>966</v>
      </c>
      <c r="BI7" s="754"/>
      <c r="BJ7" s="410" t="s">
        <v>1047</v>
      </c>
      <c r="BK7" s="861" t="s">
        <v>1114</v>
      </c>
      <c r="BL7" s="923" t="s">
        <v>1077</v>
      </c>
      <c r="BM7" s="909" t="s">
        <v>237</v>
      </c>
      <c r="BN7" s="909" t="s">
        <v>14</v>
      </c>
      <c r="BO7" s="909" t="s">
        <v>677</v>
      </c>
      <c r="BP7" s="410" t="s">
        <v>1021</v>
      </c>
      <c r="BQ7" s="909" t="s">
        <v>944</v>
      </c>
      <c r="BR7" s="909" t="s">
        <v>956</v>
      </c>
      <c r="BS7" s="909" t="s">
        <v>1231</v>
      </c>
      <c r="BT7" s="909" t="s">
        <v>1230</v>
      </c>
      <c r="BU7" s="1311" t="s">
        <v>1228</v>
      </c>
      <c r="BV7" s="909" t="s">
        <v>1229</v>
      </c>
      <c r="BW7" s="1311" t="s">
        <v>1251</v>
      </c>
      <c r="BX7" s="743" t="s">
        <v>966</v>
      </c>
      <c r="BY7" s="764" t="s">
        <v>966</v>
      </c>
    </row>
    <row r="8" spans="1:77" s="384" customFormat="1">
      <c r="A8" s="391" t="s">
        <v>21</v>
      </c>
      <c r="B8" s="392"/>
      <c r="C8" s="393"/>
      <c r="D8" s="393" t="s">
        <v>22</v>
      </c>
      <c r="E8" s="411" t="s">
        <v>258</v>
      </c>
      <c r="F8" s="814" t="s">
        <v>24</v>
      </c>
      <c r="G8" s="814" t="s">
        <v>256</v>
      </c>
      <c r="H8" s="814" t="s">
        <v>76</v>
      </c>
      <c r="I8" s="814" t="s">
        <v>27</v>
      </c>
      <c r="J8" s="814" t="s">
        <v>28</v>
      </c>
      <c r="K8" s="814" t="s">
        <v>76</v>
      </c>
      <c r="L8" s="814" t="s">
        <v>76</v>
      </c>
      <c r="M8" s="814" t="s">
        <v>30</v>
      </c>
      <c r="N8" s="814" t="s">
        <v>29</v>
      </c>
      <c r="O8" s="814" t="s">
        <v>637</v>
      </c>
      <c r="P8" s="814" t="s">
        <v>27</v>
      </c>
      <c r="Q8" s="814" t="s">
        <v>254</v>
      </c>
      <c r="R8" s="814" t="s">
        <v>76</v>
      </c>
      <c r="S8" s="896" t="s">
        <v>618</v>
      </c>
      <c r="T8" s="845" t="s">
        <v>663</v>
      </c>
      <c r="U8" s="862"/>
      <c r="V8" s="411" t="s">
        <v>31</v>
      </c>
      <c r="W8" s="830" t="s">
        <v>669</v>
      </c>
      <c r="X8" s="411" t="s">
        <v>117</v>
      </c>
      <c r="Y8" s="862" t="s">
        <v>25</v>
      </c>
      <c r="Z8" s="862" t="s">
        <v>646</v>
      </c>
      <c r="AA8" s="1055" t="s">
        <v>26</v>
      </c>
      <c r="AB8" s="1093" t="s">
        <v>1065</v>
      </c>
      <c r="AC8" s="434" t="s">
        <v>76</v>
      </c>
      <c r="AD8" s="1057" t="s">
        <v>26</v>
      </c>
      <c r="AE8" s="900" t="s">
        <v>726</v>
      </c>
      <c r="AF8" s="900" t="s">
        <v>181</v>
      </c>
      <c r="AG8" s="411" t="s">
        <v>657</v>
      </c>
      <c r="AH8" s="411" t="s">
        <v>542</v>
      </c>
      <c r="AI8" s="862" t="s">
        <v>674</v>
      </c>
      <c r="AJ8" s="411" t="s">
        <v>996</v>
      </c>
      <c r="AK8" s="910" t="s">
        <v>1199</v>
      </c>
      <c r="AL8" s="924" t="s">
        <v>1076</v>
      </c>
      <c r="AM8" s="411" t="s">
        <v>222</v>
      </c>
      <c r="AN8" s="411" t="s">
        <v>238</v>
      </c>
      <c r="AO8" s="910" t="s">
        <v>221</v>
      </c>
      <c r="AP8" s="411" t="s">
        <v>28</v>
      </c>
      <c r="AQ8" s="900" t="s">
        <v>29</v>
      </c>
      <c r="AR8" s="411" t="s">
        <v>29</v>
      </c>
      <c r="AS8" s="910" t="s">
        <v>945</v>
      </c>
      <c r="AT8" s="830" t="s">
        <v>950</v>
      </c>
      <c r="AU8" s="411" t="s">
        <v>1024</v>
      </c>
      <c r="AV8" s="1057" t="s">
        <v>1089</v>
      </c>
      <c r="AW8" s="1078" t="s">
        <v>951</v>
      </c>
      <c r="AX8" s="1319" t="s">
        <v>955</v>
      </c>
      <c r="AY8" s="910" t="s">
        <v>1226</v>
      </c>
      <c r="AZ8" s="910" t="s">
        <v>1227</v>
      </c>
      <c r="BA8" s="910" t="s">
        <v>1235</v>
      </c>
      <c r="BB8" s="910" t="s">
        <v>1219</v>
      </c>
      <c r="BC8" s="910" t="s">
        <v>1221</v>
      </c>
      <c r="BD8" s="1312" t="s">
        <v>1223</v>
      </c>
      <c r="BE8" s="1312" t="s">
        <v>1221</v>
      </c>
      <c r="BF8" s="910" t="s">
        <v>1221</v>
      </c>
      <c r="BG8" s="1312"/>
      <c r="BH8" s="434" t="s">
        <v>33</v>
      </c>
      <c r="BI8" s="752"/>
      <c r="BJ8" s="411" t="s">
        <v>542</v>
      </c>
      <c r="BK8" s="862" t="s">
        <v>674</v>
      </c>
      <c r="BL8" s="924" t="s">
        <v>1076</v>
      </c>
      <c r="BM8" s="910" t="s">
        <v>238</v>
      </c>
      <c r="BN8" s="910" t="s">
        <v>28</v>
      </c>
      <c r="BO8" s="910" t="s">
        <v>29</v>
      </c>
      <c r="BP8" s="411" t="s">
        <v>1024</v>
      </c>
      <c r="BQ8" s="910" t="s">
        <v>945</v>
      </c>
      <c r="BR8" s="910" t="s">
        <v>1233</v>
      </c>
      <c r="BS8" s="910" t="s">
        <v>1232</v>
      </c>
      <c r="BT8" s="910" t="s">
        <v>1221</v>
      </c>
      <c r="BU8" s="1312" t="s">
        <v>1221</v>
      </c>
      <c r="BV8" s="910" t="s">
        <v>1221</v>
      </c>
      <c r="BW8" s="1312"/>
      <c r="BX8" s="434" t="s">
        <v>33</v>
      </c>
      <c r="BY8" s="762" t="s">
        <v>33</v>
      </c>
    </row>
    <row r="9" spans="1:77" s="426" customFormat="1">
      <c r="B9" s="429" t="s">
        <v>554</v>
      </c>
      <c r="E9" s="427">
        <v>1</v>
      </c>
      <c r="F9" s="428">
        <f>1+0.01</f>
        <v>1.01</v>
      </c>
      <c r="G9" s="428">
        <f>F9+0.01</f>
        <v>1.02</v>
      </c>
      <c r="H9" s="428">
        <f>G9+0.01</f>
        <v>1.03</v>
      </c>
      <c r="I9" s="428">
        <v>2.0099999999999998</v>
      </c>
      <c r="J9" s="428">
        <f>I9+0.01</f>
        <v>2.0199999999999996</v>
      </c>
      <c r="K9" s="428">
        <f t="shared" ref="K9:R9" si="0">J9+0.01</f>
        <v>2.0299999999999994</v>
      </c>
      <c r="L9" s="428">
        <f t="shared" si="0"/>
        <v>2.0399999999999991</v>
      </c>
      <c r="M9" s="428">
        <f t="shared" si="0"/>
        <v>2.0499999999999989</v>
      </c>
      <c r="N9" s="428">
        <f t="shared" si="0"/>
        <v>2.0599999999999987</v>
      </c>
      <c r="O9" s="428">
        <f t="shared" si="0"/>
        <v>2.0699999999999985</v>
      </c>
      <c r="P9" s="428">
        <f t="shared" si="0"/>
        <v>2.0799999999999983</v>
      </c>
      <c r="Q9" s="428">
        <f t="shared" si="0"/>
        <v>2.0899999999999981</v>
      </c>
      <c r="R9" s="428">
        <f t="shared" si="0"/>
        <v>2.0999999999999979</v>
      </c>
      <c r="S9" s="428">
        <f t="shared" ref="S9" si="1">R9+0.01</f>
        <v>2.1099999999999977</v>
      </c>
      <c r="T9" s="846">
        <f t="shared" ref="T9" si="2">S9+0.01</f>
        <v>2.1199999999999974</v>
      </c>
      <c r="U9" s="846">
        <f t="shared" ref="U9" si="3">T9+0.01</f>
        <v>2.1299999999999972</v>
      </c>
      <c r="V9" s="428">
        <f t="shared" ref="V9:X9" si="4">U9+0.01</f>
        <v>2.139999999999997</v>
      </c>
      <c r="W9" s="428">
        <f t="shared" si="4"/>
        <v>2.1499999999999968</v>
      </c>
      <c r="X9" s="428">
        <f t="shared" si="4"/>
        <v>2.1599999999999966</v>
      </c>
      <c r="Y9" s="846">
        <f t="shared" ref="Y9" si="5">X9+0.01</f>
        <v>2.1699999999999964</v>
      </c>
      <c r="Z9" s="846">
        <f t="shared" ref="Z9" si="6">Y9+0.01</f>
        <v>2.1799999999999962</v>
      </c>
      <c r="AA9" s="846">
        <f>Z9+0.01</f>
        <v>2.1899999999999959</v>
      </c>
      <c r="AB9" s="846">
        <f t="shared" ref="AB9" si="7">AA9+0.01</f>
        <v>2.1999999999999957</v>
      </c>
      <c r="AC9" s="1058" t="s">
        <v>582</v>
      </c>
      <c r="AD9" s="428" t="s">
        <v>724</v>
      </c>
      <c r="AE9" s="428" t="s">
        <v>725</v>
      </c>
      <c r="AF9" s="428">
        <v>3.01</v>
      </c>
      <c r="AG9" s="428">
        <f>AF9+0.01</f>
        <v>3.0199999999999996</v>
      </c>
      <c r="AH9" s="428">
        <f t="shared" ref="AH9:AX9" si="8">AG9+0.01</f>
        <v>3.0299999999999994</v>
      </c>
      <c r="AI9" s="846">
        <f t="shared" si="8"/>
        <v>3.0399999999999991</v>
      </c>
      <c r="AJ9" s="428">
        <f t="shared" si="8"/>
        <v>3.0499999999999989</v>
      </c>
      <c r="AK9" s="428">
        <f t="shared" si="8"/>
        <v>3.0599999999999987</v>
      </c>
      <c r="AL9" s="428">
        <f t="shared" si="8"/>
        <v>3.0699999999999985</v>
      </c>
      <c r="AM9" s="428">
        <f t="shared" si="8"/>
        <v>3.0799999999999983</v>
      </c>
      <c r="AN9" s="428">
        <f t="shared" si="8"/>
        <v>3.0899999999999981</v>
      </c>
      <c r="AO9" s="428">
        <f t="shared" si="8"/>
        <v>3.0999999999999979</v>
      </c>
      <c r="AP9" s="428">
        <f t="shared" si="8"/>
        <v>3.1099999999999977</v>
      </c>
      <c r="AQ9" s="428">
        <f t="shared" si="8"/>
        <v>3.1199999999999974</v>
      </c>
      <c r="AR9" s="428">
        <f t="shared" si="8"/>
        <v>3.1299999999999972</v>
      </c>
      <c r="AS9" s="428">
        <f t="shared" si="8"/>
        <v>3.139999999999997</v>
      </c>
      <c r="AT9" s="428">
        <f t="shared" si="8"/>
        <v>3.1499999999999968</v>
      </c>
      <c r="AU9" s="428">
        <f t="shared" si="8"/>
        <v>3.1599999999999966</v>
      </c>
      <c r="AV9" s="428">
        <f t="shared" si="8"/>
        <v>3.1699999999999964</v>
      </c>
      <c r="AW9" s="428">
        <f>AV9+0.01</f>
        <v>3.1799999999999962</v>
      </c>
      <c r="AX9" s="428">
        <f t="shared" si="8"/>
        <v>3.1899999999999959</v>
      </c>
      <c r="AY9" s="428">
        <f>4.01</f>
        <v>4.01</v>
      </c>
      <c r="AZ9" s="428">
        <f>AY9+0.01</f>
        <v>4.0199999999999996</v>
      </c>
      <c r="BA9" s="428">
        <f t="shared" ref="BA9:BD9" si="9">AZ9+0.01</f>
        <v>4.0299999999999994</v>
      </c>
      <c r="BB9" s="428">
        <f t="shared" si="9"/>
        <v>4.0399999999999991</v>
      </c>
      <c r="BC9" s="428">
        <f t="shared" si="9"/>
        <v>4.0499999999999989</v>
      </c>
      <c r="BD9" s="428">
        <f t="shared" si="9"/>
        <v>4.0599999999999987</v>
      </c>
      <c r="BE9" s="428">
        <f>BD9+0.01</f>
        <v>4.0699999999999985</v>
      </c>
      <c r="BF9" s="428">
        <f>BE9+0.01</f>
        <v>4.0799999999999983</v>
      </c>
      <c r="BG9" s="428" t="s">
        <v>1252</v>
      </c>
      <c r="BH9" s="744" t="s">
        <v>661</v>
      </c>
      <c r="BI9" s="755"/>
      <c r="BJ9" s="428">
        <v>5</v>
      </c>
      <c r="BK9" s="846">
        <f>5.01</f>
        <v>5.01</v>
      </c>
      <c r="BL9" s="428">
        <f>BK9+0.01</f>
        <v>5.0199999999999996</v>
      </c>
      <c r="BM9" s="428">
        <f t="shared" ref="BM9:BU9" si="10">BL9+0.01</f>
        <v>5.0299999999999994</v>
      </c>
      <c r="BN9" s="428">
        <f t="shared" si="10"/>
        <v>5.0399999999999991</v>
      </c>
      <c r="BO9" s="428">
        <f t="shared" si="10"/>
        <v>5.0499999999999989</v>
      </c>
      <c r="BP9" s="428">
        <f t="shared" si="10"/>
        <v>5.0599999999999987</v>
      </c>
      <c r="BQ9" s="428">
        <f t="shared" si="10"/>
        <v>5.0699999999999985</v>
      </c>
      <c r="BR9" s="428">
        <f t="shared" si="10"/>
        <v>5.0799999999999983</v>
      </c>
      <c r="BS9" s="428">
        <f t="shared" si="10"/>
        <v>5.0899999999999981</v>
      </c>
      <c r="BT9" s="428">
        <f t="shared" si="10"/>
        <v>5.0999999999999979</v>
      </c>
      <c r="BU9" s="428">
        <f t="shared" si="10"/>
        <v>5.1099999999999977</v>
      </c>
      <c r="BV9" s="428">
        <f>BU9+0.01</f>
        <v>5.1199999999999974</v>
      </c>
      <c r="BW9" s="428" t="s">
        <v>1253</v>
      </c>
      <c r="BX9" s="435" t="s">
        <v>661</v>
      </c>
      <c r="BY9" s="765" t="s">
        <v>968</v>
      </c>
    </row>
    <row r="10" spans="1:77" s="426" customFormat="1">
      <c r="B10" s="429" t="s">
        <v>555</v>
      </c>
      <c r="E10" s="427" t="s">
        <v>556</v>
      </c>
      <c r="F10" s="428" t="s">
        <v>557</v>
      </c>
      <c r="G10" s="428" t="s">
        <v>558</v>
      </c>
      <c r="H10" s="428" t="s">
        <v>559</v>
      </c>
      <c r="I10" s="428" t="s">
        <v>560</v>
      </c>
      <c r="J10" s="428" t="s">
        <v>587</v>
      </c>
      <c r="K10" s="428" t="s">
        <v>561</v>
      </c>
      <c r="L10" s="428" t="s">
        <v>562</v>
      </c>
      <c r="M10" s="428" t="s">
        <v>563</v>
      </c>
      <c r="N10" s="428" t="s">
        <v>564</v>
      </c>
      <c r="O10" s="428" t="s">
        <v>585</v>
      </c>
      <c r="P10" s="428" t="s">
        <v>567</v>
      </c>
      <c r="Q10" s="428" t="s">
        <v>568</v>
      </c>
      <c r="R10" s="428" t="s">
        <v>616</v>
      </c>
      <c r="S10" s="428" t="s">
        <v>621</v>
      </c>
      <c r="T10" s="846" t="s">
        <v>569</v>
      </c>
      <c r="U10" s="863" t="s">
        <v>570</v>
      </c>
      <c r="V10" s="428" t="s">
        <v>571</v>
      </c>
      <c r="W10" s="831" t="s">
        <v>947</v>
      </c>
      <c r="X10" s="428" t="s">
        <v>565</v>
      </c>
      <c r="Y10" s="846" t="s">
        <v>566</v>
      </c>
      <c r="Z10" s="863" t="s">
        <v>987</v>
      </c>
      <c r="AA10" s="846" t="s">
        <v>649</v>
      </c>
      <c r="AB10" s="846" t="s">
        <v>1068</v>
      </c>
      <c r="AC10" s="1058"/>
      <c r="AD10" s="428" t="s">
        <v>727</v>
      </c>
      <c r="AE10" s="428" t="s">
        <v>728</v>
      </c>
      <c r="AF10" s="428" t="s">
        <v>620</v>
      </c>
      <c r="AG10" s="428" t="s">
        <v>635</v>
      </c>
      <c r="AH10" s="428" t="s">
        <v>729</v>
      </c>
      <c r="AI10" s="846" t="s">
        <v>988</v>
      </c>
      <c r="AJ10" s="428" t="s">
        <v>999</v>
      </c>
      <c r="AK10" s="428" t="s">
        <v>957</v>
      </c>
      <c r="AL10" s="925" t="s">
        <v>572</v>
      </c>
      <c r="AM10" s="428" t="s">
        <v>573</v>
      </c>
      <c r="AN10" s="428" t="s">
        <v>574</v>
      </c>
      <c r="AO10" s="428" t="s">
        <v>958</v>
      </c>
      <c r="AP10" s="428" t="s">
        <v>586</v>
      </c>
      <c r="AQ10" s="831" t="s">
        <v>697</v>
      </c>
      <c r="AR10" s="428" t="s">
        <v>675</v>
      </c>
      <c r="AS10" s="831" t="s">
        <v>993</v>
      </c>
      <c r="AT10" s="831" t="s">
        <v>946</v>
      </c>
      <c r="AU10" s="428" t="s">
        <v>1022</v>
      </c>
      <c r="AV10" s="831" t="s">
        <v>723</v>
      </c>
      <c r="AW10" s="831" t="s">
        <v>990</v>
      </c>
      <c r="AX10" s="831" t="s">
        <v>989</v>
      </c>
      <c r="AY10" s="831" t="s">
        <v>959</v>
      </c>
      <c r="AZ10" s="831" t="s">
        <v>980</v>
      </c>
      <c r="BA10" s="831" t="s">
        <v>991</v>
      </c>
      <c r="BB10" s="831" t="s">
        <v>960</v>
      </c>
      <c r="BC10" s="831" t="s">
        <v>962</v>
      </c>
      <c r="BD10" s="831" t="s">
        <v>961</v>
      </c>
      <c r="BE10" s="831" t="s">
        <v>963</v>
      </c>
      <c r="BF10" s="831" t="s">
        <v>1031</v>
      </c>
      <c r="BG10" s="831"/>
      <c r="BH10" s="744"/>
      <c r="BI10" s="755"/>
      <c r="BJ10" s="428" t="s">
        <v>1046</v>
      </c>
      <c r="BK10" s="846" t="s">
        <v>981</v>
      </c>
      <c r="BL10" s="831" t="s">
        <v>982</v>
      </c>
      <c r="BM10" s="831" t="s">
        <v>983</v>
      </c>
      <c r="BN10" s="831" t="s">
        <v>984</v>
      </c>
      <c r="BO10" s="831" t="s">
        <v>985</v>
      </c>
      <c r="BP10" s="428" t="s">
        <v>1023</v>
      </c>
      <c r="BQ10" s="831" t="s">
        <v>992</v>
      </c>
      <c r="BR10" s="831" t="s">
        <v>979</v>
      </c>
      <c r="BS10" s="831" t="s">
        <v>986</v>
      </c>
      <c r="BT10" s="831" t="s">
        <v>977</v>
      </c>
      <c r="BU10" s="831" t="s">
        <v>978</v>
      </c>
      <c r="BV10" s="831" t="s">
        <v>1032</v>
      </c>
      <c r="BW10" s="831"/>
      <c r="BX10" s="603"/>
      <c r="BY10" s="831"/>
    </row>
    <row r="11" spans="1:77" s="426" customFormat="1" ht="5.25" customHeight="1">
      <c r="B11" s="429"/>
      <c r="E11" s="427"/>
      <c r="F11" s="428"/>
      <c r="G11" s="428"/>
      <c r="H11" s="428"/>
      <c r="I11" s="428"/>
      <c r="J11" s="428"/>
      <c r="K11" s="428"/>
      <c r="L11" s="428"/>
      <c r="M11" s="428"/>
      <c r="N11" s="428"/>
      <c r="O11" s="428"/>
      <c r="P11" s="428"/>
      <c r="Q11" s="428"/>
      <c r="R11" s="428"/>
      <c r="S11" s="428"/>
      <c r="T11" s="846"/>
      <c r="U11" s="863"/>
      <c r="V11" s="428"/>
      <c r="W11" s="831"/>
      <c r="X11" s="428"/>
      <c r="Y11" s="846"/>
      <c r="Z11" s="863"/>
      <c r="AA11" s="846"/>
      <c r="AB11" s="846"/>
      <c r="AC11" s="1058"/>
      <c r="AD11" s="428"/>
      <c r="AE11" s="428"/>
      <c r="AF11" s="428"/>
      <c r="AG11" s="903"/>
      <c r="AH11" s="428"/>
      <c r="AI11" s="846"/>
      <c r="AJ11" s="428"/>
      <c r="AK11" s="427"/>
      <c r="AL11" s="925"/>
      <c r="AM11" s="428"/>
      <c r="AN11" s="428"/>
      <c r="AO11" s="427"/>
      <c r="AP11" s="428"/>
      <c r="AQ11" s="831"/>
      <c r="AR11" s="428"/>
      <c r="AS11" s="831"/>
      <c r="AT11" s="831"/>
      <c r="AU11" s="428"/>
      <c r="AV11" s="831"/>
      <c r="AW11" s="831"/>
      <c r="AX11" s="831"/>
      <c r="AY11" s="831"/>
      <c r="AZ11" s="831"/>
      <c r="BA11" s="831"/>
      <c r="BB11" s="831"/>
      <c r="BC11" s="831"/>
      <c r="BD11" s="831"/>
      <c r="BE11" s="831"/>
      <c r="BF11" s="831"/>
      <c r="BG11" s="831"/>
      <c r="BH11" s="744"/>
      <c r="BI11" s="755"/>
      <c r="BJ11" s="428"/>
      <c r="BK11" s="846"/>
      <c r="BL11" s="831"/>
      <c r="BM11" s="831"/>
      <c r="BN11" s="831"/>
      <c r="BO11" s="831"/>
      <c r="BP11" s="831"/>
      <c r="BQ11" s="831"/>
      <c r="BR11" s="831"/>
      <c r="BS11" s="831"/>
      <c r="BT11" s="831"/>
      <c r="BU11" s="831"/>
      <c r="BV11" s="831"/>
      <c r="BW11" s="831"/>
      <c r="BX11" s="606"/>
      <c r="BY11" s="831"/>
    </row>
    <row r="12" spans="1:77">
      <c r="B12" s="381" t="s">
        <v>186</v>
      </c>
      <c r="U12" s="852"/>
      <c r="V12" s="412"/>
      <c r="W12" s="412"/>
      <c r="Z12" s="852"/>
      <c r="AA12" s="852"/>
      <c r="AC12" s="972"/>
      <c r="AD12" s="404"/>
      <c r="AE12" s="404"/>
      <c r="AQ12" s="412"/>
      <c r="AS12" s="412"/>
      <c r="AT12" s="412"/>
      <c r="AV12" s="412"/>
      <c r="AW12" s="412"/>
      <c r="AX12" s="412"/>
      <c r="AY12" s="412"/>
      <c r="AZ12" s="412"/>
      <c r="BA12" s="412"/>
      <c r="BB12" s="412"/>
      <c r="BC12" s="412"/>
      <c r="BD12" s="412"/>
      <c r="BE12" s="412"/>
      <c r="BF12" s="412"/>
      <c r="BG12" s="412"/>
      <c r="BH12" s="746"/>
      <c r="BO12" s="412"/>
      <c r="BQ12" s="412"/>
      <c r="BR12" s="412"/>
      <c r="BS12" s="412"/>
      <c r="BT12" s="412"/>
      <c r="BU12" s="412"/>
      <c r="BV12" s="412"/>
      <c r="BW12" s="412"/>
      <c r="BX12" s="607"/>
      <c r="BY12" s="412"/>
    </row>
    <row r="13" spans="1:77" s="395" customFormat="1">
      <c r="A13" s="394">
        <v>1</v>
      </c>
      <c r="B13" s="395" t="s">
        <v>187</v>
      </c>
      <c r="E13" s="419">
        <f>'ROO INPUT 1.00'!F14</f>
        <v>565624</v>
      </c>
      <c r="F13" s="425">
        <v>0</v>
      </c>
      <c r="G13" s="425">
        <v>0</v>
      </c>
      <c r="H13" s="425">
        <v>0</v>
      </c>
      <c r="I13" s="425">
        <v>-19433</v>
      </c>
      <c r="J13" s="425">
        <v>0</v>
      </c>
      <c r="K13" s="425">
        <v>0</v>
      </c>
      <c r="L13" s="425">
        <v>0</v>
      </c>
      <c r="M13" s="425">
        <v>0</v>
      </c>
      <c r="N13" s="425">
        <v>0</v>
      </c>
      <c r="O13" s="425">
        <v>0</v>
      </c>
      <c r="P13" s="425">
        <v>0</v>
      </c>
      <c r="Q13" s="425">
        <v>0</v>
      </c>
      <c r="R13" s="425">
        <v>-8167</v>
      </c>
      <c r="S13" s="425">
        <v>-26485</v>
      </c>
      <c r="T13" s="847">
        <v>0</v>
      </c>
      <c r="U13" s="847">
        <v>0</v>
      </c>
      <c r="V13" s="425">
        <v>0</v>
      </c>
      <c r="W13" s="425">
        <v>0</v>
      </c>
      <c r="X13" s="425">
        <v>22989</v>
      </c>
      <c r="Y13" s="847">
        <v>0</v>
      </c>
      <c r="Z13" s="847">
        <v>0</v>
      </c>
      <c r="AA13" s="847">
        <v>0</v>
      </c>
      <c r="AB13" s="847">
        <v>0</v>
      </c>
      <c r="AC13" s="973">
        <f>SUM(E13:AB13)</f>
        <v>534528</v>
      </c>
      <c r="AD13" s="425">
        <v>0</v>
      </c>
      <c r="AE13" s="425">
        <v>0</v>
      </c>
      <c r="AF13" s="425">
        <v>14875</v>
      </c>
      <c r="AG13" s="425">
        <v>0</v>
      </c>
      <c r="AH13" s="425">
        <v>0</v>
      </c>
      <c r="AI13" s="847">
        <v>0</v>
      </c>
      <c r="AJ13" s="425">
        <v>0</v>
      </c>
      <c r="AK13" s="425">
        <v>0</v>
      </c>
      <c r="AL13" s="927">
        <v>0</v>
      </c>
      <c r="AM13" s="425">
        <v>0</v>
      </c>
      <c r="AN13" s="425">
        <v>0</v>
      </c>
      <c r="AO13" s="425">
        <v>0</v>
      </c>
      <c r="AP13" s="425">
        <v>0</v>
      </c>
      <c r="AQ13" s="425">
        <v>0</v>
      </c>
      <c r="AR13" s="425">
        <v>0</v>
      </c>
      <c r="AS13" s="425">
        <v>0</v>
      </c>
      <c r="AT13" s="425">
        <v>0</v>
      </c>
      <c r="AU13" s="425">
        <v>0</v>
      </c>
      <c r="AV13" s="425">
        <v>0</v>
      </c>
      <c r="AW13" s="425">
        <v>0</v>
      </c>
      <c r="AX13" s="425">
        <v>0</v>
      </c>
      <c r="AY13" s="425">
        <v>0</v>
      </c>
      <c r="AZ13" s="425">
        <v>0</v>
      </c>
      <c r="BA13" s="425">
        <v>0</v>
      </c>
      <c r="BB13" s="425">
        <v>0</v>
      </c>
      <c r="BC13" s="425">
        <v>0</v>
      </c>
      <c r="BD13" s="425">
        <v>0</v>
      </c>
      <c r="BE13" s="425">
        <v>0</v>
      </c>
      <c r="BF13" s="425">
        <v>0</v>
      </c>
      <c r="BG13" s="425">
        <v>0</v>
      </c>
      <c r="BH13" s="747">
        <f t="shared" ref="BH13:BH18" si="11">SUM(AC13:BG13)</f>
        <v>549403</v>
      </c>
      <c r="BI13" s="756"/>
      <c r="BJ13" s="425">
        <v>0</v>
      </c>
      <c r="BK13" s="847">
        <v>0</v>
      </c>
      <c r="BL13" s="927">
        <v>0</v>
      </c>
      <c r="BM13" s="425">
        <v>0</v>
      </c>
      <c r="BN13" s="425">
        <v>0</v>
      </c>
      <c r="BO13" s="425">
        <v>0</v>
      </c>
      <c r="BP13" s="425">
        <v>0</v>
      </c>
      <c r="BQ13" s="425">
        <v>0</v>
      </c>
      <c r="BR13" s="425">
        <v>0</v>
      </c>
      <c r="BS13" s="425">
        <v>0</v>
      </c>
      <c r="BT13" s="425">
        <v>0</v>
      </c>
      <c r="BU13" s="425">
        <v>0</v>
      </c>
      <c r="BV13" s="425">
        <v>0</v>
      </c>
      <c r="BW13" s="425">
        <v>0</v>
      </c>
      <c r="BX13" s="608">
        <f t="shared" ref="BX13:BX18" si="12">SUM(BH13:BW13)</f>
        <v>549403</v>
      </c>
      <c r="BY13" s="425">
        <f>BX13-BH13</f>
        <v>0</v>
      </c>
    </row>
    <row r="14" spans="1:77" s="396" customFormat="1">
      <c r="A14" s="394">
        <v>2</v>
      </c>
      <c r="B14" s="396" t="s">
        <v>188</v>
      </c>
      <c r="E14" s="399">
        <f>'ROO INPUT 1.00'!F15</f>
        <v>1173</v>
      </c>
      <c r="F14" s="406">
        <v>0</v>
      </c>
      <c r="G14" s="406">
        <v>0</v>
      </c>
      <c r="H14" s="406">
        <v>0</v>
      </c>
      <c r="I14" s="406">
        <v>0</v>
      </c>
      <c r="J14" s="406">
        <v>0</v>
      </c>
      <c r="K14" s="406">
        <v>0</v>
      </c>
      <c r="L14" s="406">
        <v>0</v>
      </c>
      <c r="M14" s="406">
        <v>0</v>
      </c>
      <c r="N14" s="406">
        <v>0</v>
      </c>
      <c r="O14" s="406">
        <v>0</v>
      </c>
      <c r="P14" s="406">
        <v>0</v>
      </c>
      <c r="Q14" s="406">
        <v>0</v>
      </c>
      <c r="R14" s="406">
        <v>0</v>
      </c>
      <c r="S14" s="406">
        <v>0</v>
      </c>
      <c r="T14" s="839">
        <v>0</v>
      </c>
      <c r="U14" s="852">
        <v>0</v>
      </c>
      <c r="V14" s="406">
        <v>0</v>
      </c>
      <c r="W14" s="412">
        <v>0</v>
      </c>
      <c r="X14" s="406">
        <v>0</v>
      </c>
      <c r="Y14" s="839">
        <v>0</v>
      </c>
      <c r="Z14" s="852">
        <v>0</v>
      </c>
      <c r="AA14" s="839">
        <v>0</v>
      </c>
      <c r="AB14" s="839">
        <v>0</v>
      </c>
      <c r="AC14" s="972">
        <f>SUM(E14:AB14)</f>
        <v>1173</v>
      </c>
      <c r="AD14" s="406">
        <v>0</v>
      </c>
      <c r="AE14" s="406">
        <v>0</v>
      </c>
      <c r="AF14" s="406">
        <v>0</v>
      </c>
      <c r="AG14" s="406">
        <v>0</v>
      </c>
      <c r="AH14" s="406">
        <v>0</v>
      </c>
      <c r="AI14" s="839">
        <v>0</v>
      </c>
      <c r="AJ14" s="406">
        <v>0</v>
      </c>
      <c r="AK14" s="405">
        <v>0</v>
      </c>
      <c r="AL14" s="926">
        <v>0</v>
      </c>
      <c r="AM14" s="406">
        <v>0</v>
      </c>
      <c r="AN14" s="406">
        <v>0</v>
      </c>
      <c r="AO14" s="405">
        <v>0</v>
      </c>
      <c r="AP14" s="406">
        <v>0</v>
      </c>
      <c r="AQ14" s="412">
        <v>0</v>
      </c>
      <c r="AR14" s="406">
        <v>0</v>
      </c>
      <c r="AS14" s="412">
        <v>0</v>
      </c>
      <c r="AT14" s="412">
        <v>0</v>
      </c>
      <c r="AU14" s="406">
        <v>0</v>
      </c>
      <c r="AV14" s="412">
        <v>0</v>
      </c>
      <c r="AW14" s="412">
        <v>0</v>
      </c>
      <c r="AX14" s="412">
        <v>0</v>
      </c>
      <c r="AY14" s="412">
        <v>0</v>
      </c>
      <c r="AZ14" s="412">
        <v>0</v>
      </c>
      <c r="BA14" s="412">
        <v>0</v>
      </c>
      <c r="BB14" s="412">
        <v>0</v>
      </c>
      <c r="BC14" s="412">
        <v>0</v>
      </c>
      <c r="BD14" s="412">
        <v>0</v>
      </c>
      <c r="BE14" s="412">
        <v>0</v>
      </c>
      <c r="BF14" s="412">
        <v>0</v>
      </c>
      <c r="BG14" s="412">
        <v>0</v>
      </c>
      <c r="BH14" s="746">
        <f t="shared" si="11"/>
        <v>1173</v>
      </c>
      <c r="BI14" s="439"/>
      <c r="BJ14" s="406">
        <v>0</v>
      </c>
      <c r="BK14" s="839">
        <v>0</v>
      </c>
      <c r="BL14" s="926">
        <v>0</v>
      </c>
      <c r="BM14" s="406">
        <v>0</v>
      </c>
      <c r="BN14" s="406">
        <v>0</v>
      </c>
      <c r="BO14" s="412">
        <v>0</v>
      </c>
      <c r="BP14" s="406">
        <v>0</v>
      </c>
      <c r="BQ14" s="412">
        <v>0</v>
      </c>
      <c r="BR14" s="412">
        <v>0</v>
      </c>
      <c r="BS14" s="412">
        <v>0</v>
      </c>
      <c r="BT14" s="412">
        <v>0</v>
      </c>
      <c r="BU14" s="412">
        <v>0</v>
      </c>
      <c r="BV14" s="412">
        <v>0</v>
      </c>
      <c r="BW14" s="412">
        <v>0</v>
      </c>
      <c r="BX14" s="607">
        <f t="shared" si="12"/>
        <v>1173</v>
      </c>
      <c r="BY14" s="412">
        <f>BX14-BH14</f>
        <v>0</v>
      </c>
    </row>
    <row r="15" spans="1:77" s="396" customFormat="1">
      <c r="A15" s="394">
        <v>3</v>
      </c>
      <c r="B15" s="396" t="s">
        <v>189</v>
      </c>
      <c r="E15" s="732">
        <f>'ROO INPUT 1.00'!F16</f>
        <v>50450</v>
      </c>
      <c r="F15" s="413">
        <v>0</v>
      </c>
      <c r="G15" s="413">
        <v>0</v>
      </c>
      <c r="H15" s="413">
        <v>0</v>
      </c>
      <c r="I15" s="413">
        <v>0</v>
      </c>
      <c r="J15" s="413">
        <v>0</v>
      </c>
      <c r="K15" s="413">
        <v>0</v>
      </c>
      <c r="L15" s="413">
        <v>0</v>
      </c>
      <c r="M15" s="413">
        <v>0</v>
      </c>
      <c r="N15" s="413">
        <v>0</v>
      </c>
      <c r="O15" s="413">
        <v>0</v>
      </c>
      <c r="P15" s="413">
        <v>0</v>
      </c>
      <c r="Q15" s="413">
        <v>0</v>
      </c>
      <c r="R15" s="413">
        <v>0</v>
      </c>
      <c r="S15" s="413">
        <v>0</v>
      </c>
      <c r="T15" s="848">
        <v>0</v>
      </c>
      <c r="U15" s="848">
        <v>0</v>
      </c>
      <c r="V15" s="413">
        <v>0</v>
      </c>
      <c r="W15" s="413">
        <v>0</v>
      </c>
      <c r="X15" s="413">
        <v>0</v>
      </c>
      <c r="Y15" s="848">
        <v>0</v>
      </c>
      <c r="Z15" s="848">
        <v>0</v>
      </c>
      <c r="AA15" s="848">
        <v>-13832</v>
      </c>
      <c r="AB15" s="848">
        <v>0</v>
      </c>
      <c r="AC15" s="974">
        <f>SUM(E15:AB15)</f>
        <v>36618</v>
      </c>
      <c r="AD15" s="414">
        <v>53093</v>
      </c>
      <c r="AE15" s="413">
        <v>0</v>
      </c>
      <c r="AF15" s="413">
        <v>0</v>
      </c>
      <c r="AG15" s="413">
        <v>0</v>
      </c>
      <c r="AH15" s="413">
        <v>0</v>
      </c>
      <c r="AI15" s="848">
        <v>0</v>
      </c>
      <c r="AJ15" s="413">
        <v>0</v>
      </c>
      <c r="AK15" s="414">
        <v>0</v>
      </c>
      <c r="AL15" s="928">
        <v>0</v>
      </c>
      <c r="AM15" s="413">
        <v>0</v>
      </c>
      <c r="AN15" s="413">
        <v>0</v>
      </c>
      <c r="AO15" s="414">
        <v>0</v>
      </c>
      <c r="AP15" s="413">
        <v>0</v>
      </c>
      <c r="AQ15" s="413">
        <v>0</v>
      </c>
      <c r="AR15" s="413">
        <v>0</v>
      </c>
      <c r="AS15" s="413">
        <v>0</v>
      </c>
      <c r="AT15" s="413">
        <v>0</v>
      </c>
      <c r="AU15" s="413">
        <v>0</v>
      </c>
      <c r="AV15" s="413">
        <v>0</v>
      </c>
      <c r="AW15" s="413">
        <v>0</v>
      </c>
      <c r="AX15" s="413">
        <v>0</v>
      </c>
      <c r="AY15" s="413">
        <v>0</v>
      </c>
      <c r="AZ15" s="413">
        <v>0</v>
      </c>
      <c r="BA15" s="413">
        <v>0</v>
      </c>
      <c r="BB15" s="413">
        <v>0</v>
      </c>
      <c r="BC15" s="413">
        <v>0</v>
      </c>
      <c r="BD15" s="413">
        <v>0</v>
      </c>
      <c r="BE15" s="413">
        <v>0</v>
      </c>
      <c r="BF15" s="413">
        <v>0</v>
      </c>
      <c r="BG15" s="413">
        <v>0</v>
      </c>
      <c r="BH15" s="748">
        <f t="shared" si="11"/>
        <v>89711</v>
      </c>
      <c r="BI15" s="439"/>
      <c r="BJ15" s="413">
        <v>0</v>
      </c>
      <c r="BK15" s="848">
        <v>0</v>
      </c>
      <c r="BL15" s="928">
        <v>0</v>
      </c>
      <c r="BM15" s="413">
        <v>0</v>
      </c>
      <c r="BN15" s="413">
        <v>0</v>
      </c>
      <c r="BO15" s="413">
        <v>0</v>
      </c>
      <c r="BP15" s="413">
        <v>0</v>
      </c>
      <c r="BQ15" s="413">
        <v>0</v>
      </c>
      <c r="BR15" s="413">
        <v>0</v>
      </c>
      <c r="BS15" s="413">
        <v>0</v>
      </c>
      <c r="BT15" s="413">
        <v>0</v>
      </c>
      <c r="BU15" s="413">
        <v>0</v>
      </c>
      <c r="BV15" s="413">
        <v>0</v>
      </c>
      <c r="BW15" s="413">
        <v>0</v>
      </c>
      <c r="BX15" s="609">
        <f t="shared" si="12"/>
        <v>89711</v>
      </c>
      <c r="BY15" s="1298">
        <f>BX15-BH15</f>
        <v>0</v>
      </c>
    </row>
    <row r="16" spans="1:77" s="396" customFormat="1">
      <c r="A16" s="394">
        <v>4</v>
      </c>
      <c r="B16" s="396" t="s">
        <v>190</v>
      </c>
      <c r="E16" s="399">
        <f t="shared" ref="E16:AM16" si="13">SUM(E13:E15)</f>
        <v>617247</v>
      </c>
      <c r="F16" s="406">
        <f t="shared" si="13"/>
        <v>0</v>
      </c>
      <c r="G16" s="406">
        <f t="shared" si="13"/>
        <v>0</v>
      </c>
      <c r="H16" s="406">
        <f t="shared" si="13"/>
        <v>0</v>
      </c>
      <c r="I16" s="406">
        <f t="shared" si="13"/>
        <v>-19433</v>
      </c>
      <c r="J16" s="406">
        <f t="shared" ref="J16" si="14">SUM(J13:J15)</f>
        <v>0</v>
      </c>
      <c r="K16" s="406">
        <f t="shared" si="13"/>
        <v>0</v>
      </c>
      <c r="L16" s="406">
        <f t="shared" si="13"/>
        <v>0</v>
      </c>
      <c r="M16" s="406">
        <f t="shared" si="13"/>
        <v>0</v>
      </c>
      <c r="N16" s="406">
        <f t="shared" si="13"/>
        <v>0</v>
      </c>
      <c r="O16" s="406">
        <f t="shared" si="13"/>
        <v>0</v>
      </c>
      <c r="P16" s="406">
        <f t="shared" si="13"/>
        <v>0</v>
      </c>
      <c r="Q16" s="406">
        <f t="shared" si="13"/>
        <v>0</v>
      </c>
      <c r="R16" s="406">
        <f t="shared" si="13"/>
        <v>-8167</v>
      </c>
      <c r="S16" s="406">
        <f t="shared" ref="S16" si="15">SUM(S13:S15)</f>
        <v>-26485</v>
      </c>
      <c r="T16" s="839">
        <f>SUM(T13:T15)</f>
        <v>0</v>
      </c>
      <c r="U16" s="852">
        <f t="shared" ref="U16" si="16">SUM(U13:U15)</f>
        <v>0</v>
      </c>
      <c r="V16" s="406">
        <f>SUM(V13:V15)</f>
        <v>0</v>
      </c>
      <c r="W16" s="412">
        <f>SUM(W13:W15)</f>
        <v>0</v>
      </c>
      <c r="X16" s="406">
        <f>SUM(X13:X15)</f>
        <v>22989</v>
      </c>
      <c r="Y16" s="839">
        <f>SUM(Y13:Y15)</f>
        <v>0</v>
      </c>
      <c r="Z16" s="852">
        <f t="shared" ref="Z16" si="17">SUM(Z13:Z15)</f>
        <v>0</v>
      </c>
      <c r="AA16" s="839">
        <f t="shared" ref="AA16" si="18">SUM(AA13:AA15)</f>
        <v>-13832</v>
      </c>
      <c r="AB16" s="839">
        <f>SUM(AB13:AB15)</f>
        <v>0</v>
      </c>
      <c r="AC16" s="972">
        <f t="shared" si="13"/>
        <v>572319</v>
      </c>
      <c r="AD16" s="406">
        <f>SUM(AD13:AD15)</f>
        <v>53093</v>
      </c>
      <c r="AE16" s="406">
        <f t="shared" ref="AE16" si="19">SUM(AE13:AE15)</f>
        <v>0</v>
      </c>
      <c r="AF16" s="406">
        <f t="shared" ref="AF16" si="20">SUM(AF13:AF15)</f>
        <v>14875</v>
      </c>
      <c r="AG16" s="406">
        <f t="shared" ref="AG16:AL16" si="21">SUM(AG13:AG15)</f>
        <v>0</v>
      </c>
      <c r="AH16" s="406">
        <f t="shared" si="21"/>
        <v>0</v>
      </c>
      <c r="AI16" s="839">
        <f t="shared" si="21"/>
        <v>0</v>
      </c>
      <c r="AJ16" s="406">
        <f t="shared" si="21"/>
        <v>0</v>
      </c>
      <c r="AK16" s="405">
        <f t="shared" si="21"/>
        <v>0</v>
      </c>
      <c r="AL16" s="926">
        <f t="shared" si="21"/>
        <v>0</v>
      </c>
      <c r="AM16" s="406">
        <f t="shared" si="13"/>
        <v>0</v>
      </c>
      <c r="AN16" s="406">
        <f t="shared" ref="AN16" si="22">SUM(AN13:AN15)</f>
        <v>0</v>
      </c>
      <c r="AO16" s="405">
        <f>SUM(AO13:AO15)</f>
        <v>0</v>
      </c>
      <c r="AP16" s="406">
        <f>SUM(AP13:AP15)</f>
        <v>0</v>
      </c>
      <c r="AQ16" s="412">
        <f>SUM(AQ13:AQ15)</f>
        <v>0</v>
      </c>
      <c r="AR16" s="406">
        <f t="shared" ref="AR16" si="23">SUM(AR13:AR15)</f>
        <v>0</v>
      </c>
      <c r="AS16" s="412">
        <f>SUM(AS13:AS15)</f>
        <v>0</v>
      </c>
      <c r="AT16" s="412">
        <f>SUM(AT13:AT15)</f>
        <v>0</v>
      </c>
      <c r="AU16" s="406">
        <f t="shared" ref="AU16" si="24">SUM(AU13:AU15)</f>
        <v>0</v>
      </c>
      <c r="AV16" s="412">
        <f t="shared" ref="AV16" si="25">SUM(AV13:AV15)</f>
        <v>0</v>
      </c>
      <c r="AW16" s="412">
        <f t="shared" ref="AW16:AX16" si="26">SUM(AW13:AW15)</f>
        <v>0</v>
      </c>
      <c r="AX16" s="412">
        <f t="shared" si="26"/>
        <v>0</v>
      </c>
      <c r="AY16" s="412">
        <f t="shared" ref="AY16" si="27">SUM(AY13:AY15)</f>
        <v>0</v>
      </c>
      <c r="AZ16" s="412">
        <f>SUM(AZ13:AZ15)</f>
        <v>0</v>
      </c>
      <c r="BA16" s="412">
        <f>SUM(BA13:BA15)</f>
        <v>0</v>
      </c>
      <c r="BB16" s="412">
        <f>SUM(BB13:BB15)</f>
        <v>0</v>
      </c>
      <c r="BC16" s="412">
        <f>SUM(BC13:BC15)</f>
        <v>0</v>
      </c>
      <c r="BD16" s="412">
        <f t="shared" ref="BD16" si="28">SUM(BD13:BD15)</f>
        <v>0</v>
      </c>
      <c r="BE16" s="412">
        <f t="shared" ref="BE16" si="29">SUM(BE13:BE15)</f>
        <v>0</v>
      </c>
      <c r="BF16" s="412">
        <f>SUM(BF13:BF15)</f>
        <v>0</v>
      </c>
      <c r="BG16" s="412">
        <f>SUM(BG13:BG15)</f>
        <v>0</v>
      </c>
      <c r="BH16" s="746">
        <f t="shared" si="11"/>
        <v>640287</v>
      </c>
      <c r="BI16" s="439"/>
      <c r="BJ16" s="406">
        <f t="shared" ref="BJ16" si="30">SUM(BJ13:BJ15)</f>
        <v>0</v>
      </c>
      <c r="BK16" s="839">
        <f t="shared" ref="BK16" si="31">SUM(BK13:BK15)</f>
        <v>0</v>
      </c>
      <c r="BL16" s="926">
        <f>SUM(BL13:BL15)</f>
        <v>0</v>
      </c>
      <c r="BM16" s="406">
        <f t="shared" ref="BM16" si="32">SUM(BM13:BM15)</f>
        <v>0</v>
      </c>
      <c r="BN16" s="406">
        <f t="shared" ref="BN16" si="33">SUM(BN13:BN15)</f>
        <v>0</v>
      </c>
      <c r="BO16" s="412">
        <f>SUM(BO13:BO15)</f>
        <v>0</v>
      </c>
      <c r="BP16" s="406">
        <f t="shared" ref="BP16:BQ16" si="34">SUM(BP13:BP15)</f>
        <v>0</v>
      </c>
      <c r="BQ16" s="412">
        <f t="shared" si="34"/>
        <v>0</v>
      </c>
      <c r="BR16" s="412">
        <f>SUM(BR13:BR15)</f>
        <v>0</v>
      </c>
      <c r="BS16" s="412">
        <f>SUM(BS13:BS15)</f>
        <v>0</v>
      </c>
      <c r="BT16" s="412">
        <f>SUM(BT13:BT15)</f>
        <v>0</v>
      </c>
      <c r="BU16" s="412">
        <f t="shared" ref="BU16" si="35">SUM(BU13:BU15)</f>
        <v>0</v>
      </c>
      <c r="BV16" s="412">
        <f>SUM(BV13:BV15)</f>
        <v>0</v>
      </c>
      <c r="BW16" s="412">
        <f>SUM(BW13:BW15)</f>
        <v>0</v>
      </c>
      <c r="BX16" s="607">
        <f t="shared" si="12"/>
        <v>640287</v>
      </c>
      <c r="BY16" s="911">
        <f>SUM(BY13:BY15)</f>
        <v>0</v>
      </c>
    </row>
    <row r="17" spans="1:77" s="396" customFormat="1">
      <c r="A17" s="394">
        <v>5</v>
      </c>
      <c r="B17" s="396" t="s">
        <v>191</v>
      </c>
      <c r="E17" s="732">
        <f>'ROO INPUT 1.00'!F18</f>
        <v>41339</v>
      </c>
      <c r="F17" s="413">
        <v>0</v>
      </c>
      <c r="G17" s="413">
        <v>0</v>
      </c>
      <c r="H17" s="413">
        <v>0</v>
      </c>
      <c r="I17" s="413">
        <v>-14</v>
      </c>
      <c r="J17" s="413">
        <v>0</v>
      </c>
      <c r="K17" s="413">
        <v>0</v>
      </c>
      <c r="L17" s="413">
        <v>0</v>
      </c>
      <c r="M17" s="413">
        <v>0</v>
      </c>
      <c r="N17" s="413">
        <v>0</v>
      </c>
      <c r="O17" s="413">
        <v>0</v>
      </c>
      <c r="P17" s="413">
        <v>0</v>
      </c>
      <c r="Q17" s="413">
        <v>0</v>
      </c>
      <c r="R17" s="413">
        <v>6175</v>
      </c>
      <c r="S17" s="413">
        <v>13468</v>
      </c>
      <c r="T17" s="848">
        <v>0</v>
      </c>
      <c r="U17" s="848">
        <v>0</v>
      </c>
      <c r="V17" s="413">
        <v>0</v>
      </c>
      <c r="W17" s="413">
        <v>0</v>
      </c>
      <c r="X17" s="413">
        <v>0</v>
      </c>
      <c r="Y17" s="848">
        <v>0</v>
      </c>
      <c r="Z17" s="848">
        <v>0</v>
      </c>
      <c r="AA17" s="848">
        <v>-45631</v>
      </c>
      <c r="AB17" s="848">
        <v>0</v>
      </c>
      <c r="AC17" s="974">
        <f>SUM(E17:AB17)</f>
        <v>15337</v>
      </c>
      <c r="AD17" s="414">
        <f>4135</f>
        <v>4135</v>
      </c>
      <c r="AE17" s="907">
        <v>10602</v>
      </c>
      <c r="AF17" s="413">
        <v>-1512</v>
      </c>
      <c r="AG17" s="413">
        <v>0</v>
      </c>
      <c r="AH17" s="413">
        <v>0</v>
      </c>
      <c r="AI17" s="848">
        <v>0</v>
      </c>
      <c r="AJ17" s="413">
        <v>0</v>
      </c>
      <c r="AK17" s="414">
        <v>0</v>
      </c>
      <c r="AL17" s="928">
        <v>0</v>
      </c>
      <c r="AM17" s="413">
        <v>0</v>
      </c>
      <c r="AN17" s="413">
        <v>0</v>
      </c>
      <c r="AO17" s="414">
        <v>0</v>
      </c>
      <c r="AP17" s="413">
        <v>0</v>
      </c>
      <c r="AQ17" s="413">
        <v>0</v>
      </c>
      <c r="AR17" s="413">
        <v>0</v>
      </c>
      <c r="AS17" s="413">
        <v>0</v>
      </c>
      <c r="AT17" s="413">
        <v>0</v>
      </c>
      <c r="AU17" s="413">
        <v>0</v>
      </c>
      <c r="AV17" s="413">
        <v>0</v>
      </c>
      <c r="AW17" s="413">
        <v>0</v>
      </c>
      <c r="AX17" s="413">
        <v>0</v>
      </c>
      <c r="AY17" s="413">
        <v>0</v>
      </c>
      <c r="AZ17" s="413">
        <v>0</v>
      </c>
      <c r="BA17" s="413">
        <v>6923</v>
      </c>
      <c r="BB17" s="413">
        <v>0</v>
      </c>
      <c r="BC17" s="413">
        <v>0</v>
      </c>
      <c r="BD17" s="413">
        <v>0</v>
      </c>
      <c r="BE17" s="413">
        <v>0</v>
      </c>
      <c r="BF17" s="413">
        <v>0</v>
      </c>
      <c r="BG17" s="413">
        <v>0</v>
      </c>
      <c r="BH17" s="748">
        <f t="shared" si="11"/>
        <v>35485</v>
      </c>
      <c r="BI17" s="439"/>
      <c r="BJ17" s="413">
        <v>0</v>
      </c>
      <c r="BK17" s="848">
        <v>0</v>
      </c>
      <c r="BL17" s="928">
        <v>0</v>
      </c>
      <c r="BM17" s="413">
        <v>0</v>
      </c>
      <c r="BN17" s="413">
        <v>0</v>
      </c>
      <c r="BO17" s="413">
        <v>0</v>
      </c>
      <c r="BP17" s="413"/>
      <c r="BQ17" s="413">
        <v>0</v>
      </c>
      <c r="BR17" s="413">
        <v>0</v>
      </c>
      <c r="BS17" s="413">
        <f>9720-BA17</f>
        <v>2797</v>
      </c>
      <c r="BT17" s="413">
        <v>0</v>
      </c>
      <c r="BU17" s="413">
        <v>0</v>
      </c>
      <c r="BV17" s="413">
        <v>0</v>
      </c>
      <c r="BW17" s="413">
        <v>0</v>
      </c>
      <c r="BX17" s="609">
        <f t="shared" si="12"/>
        <v>38282</v>
      </c>
      <c r="BY17" s="1298">
        <f>BX17-BH17</f>
        <v>2797</v>
      </c>
    </row>
    <row r="18" spans="1:77" s="396" customFormat="1">
      <c r="A18" s="394">
        <v>6</v>
      </c>
      <c r="B18" s="396" t="s">
        <v>192</v>
      </c>
      <c r="E18" s="399">
        <f t="shared" ref="E18:AQ18" si="36">SUM(E16:E17)</f>
        <v>658586</v>
      </c>
      <c r="F18" s="406">
        <f t="shared" si="36"/>
        <v>0</v>
      </c>
      <c r="G18" s="406">
        <f t="shared" si="36"/>
        <v>0</v>
      </c>
      <c r="H18" s="406">
        <f t="shared" si="36"/>
        <v>0</v>
      </c>
      <c r="I18" s="406">
        <f t="shared" si="36"/>
        <v>-19447</v>
      </c>
      <c r="J18" s="406">
        <f t="shared" ref="J18" si="37">SUM(J16:J17)</f>
        <v>0</v>
      </c>
      <c r="K18" s="406">
        <f t="shared" si="36"/>
        <v>0</v>
      </c>
      <c r="L18" s="406">
        <f t="shared" si="36"/>
        <v>0</v>
      </c>
      <c r="M18" s="406">
        <f t="shared" si="36"/>
        <v>0</v>
      </c>
      <c r="N18" s="406">
        <f t="shared" si="36"/>
        <v>0</v>
      </c>
      <c r="O18" s="406">
        <f t="shared" si="36"/>
        <v>0</v>
      </c>
      <c r="P18" s="406">
        <f t="shared" si="36"/>
        <v>0</v>
      </c>
      <c r="Q18" s="406">
        <f t="shared" si="36"/>
        <v>0</v>
      </c>
      <c r="R18" s="406">
        <f t="shared" si="36"/>
        <v>-1992</v>
      </c>
      <c r="S18" s="406">
        <f t="shared" ref="S18" si="38">SUM(S16:S17)</f>
        <v>-13017</v>
      </c>
      <c r="T18" s="839">
        <f t="shared" ref="T18:Y18" si="39">SUM(T16:T17)</f>
        <v>0</v>
      </c>
      <c r="U18" s="852">
        <f t="shared" si="39"/>
        <v>0</v>
      </c>
      <c r="V18" s="406">
        <f t="shared" si="39"/>
        <v>0</v>
      </c>
      <c r="W18" s="412">
        <f t="shared" si="39"/>
        <v>0</v>
      </c>
      <c r="X18" s="406">
        <f t="shared" si="39"/>
        <v>22989</v>
      </c>
      <c r="Y18" s="839">
        <f t="shared" si="39"/>
        <v>0</v>
      </c>
      <c r="Z18" s="852">
        <f t="shared" ref="Z18" si="40">SUM(Z16:Z17)</f>
        <v>0</v>
      </c>
      <c r="AA18" s="839">
        <f t="shared" ref="AA18:AB18" si="41">SUM(AA16:AA17)</f>
        <v>-59463</v>
      </c>
      <c r="AB18" s="839">
        <f t="shared" si="41"/>
        <v>0</v>
      </c>
      <c r="AC18" s="972">
        <f t="shared" si="36"/>
        <v>587656</v>
      </c>
      <c r="AD18" s="406">
        <f>SUM(AD16:AD17)</f>
        <v>57228</v>
      </c>
      <c r="AE18" s="406">
        <f t="shared" ref="AE18:AL18" si="42">SUM(AE16:AE17)</f>
        <v>10602</v>
      </c>
      <c r="AF18" s="406">
        <f t="shared" si="42"/>
        <v>13363</v>
      </c>
      <c r="AG18" s="406">
        <f>SUM(AG16:AG17)</f>
        <v>0</v>
      </c>
      <c r="AH18" s="406">
        <f>SUM(AH16:AH17)</f>
        <v>0</v>
      </c>
      <c r="AI18" s="839">
        <f>SUM(AI16:AI17)</f>
        <v>0</v>
      </c>
      <c r="AJ18" s="406">
        <f t="shared" ref="AJ18" si="43">SUM(AJ16:AJ17)</f>
        <v>0</v>
      </c>
      <c r="AK18" s="405">
        <f>SUM(AK16:AK17)</f>
        <v>0</v>
      </c>
      <c r="AL18" s="926">
        <f t="shared" si="42"/>
        <v>0</v>
      </c>
      <c r="AM18" s="406">
        <f t="shared" si="36"/>
        <v>0</v>
      </c>
      <c r="AN18" s="406">
        <f t="shared" si="36"/>
        <v>0</v>
      </c>
      <c r="AO18" s="405">
        <f>SUM(AO16:AO17)</f>
        <v>0</v>
      </c>
      <c r="AP18" s="406">
        <f t="shared" ref="AP18" si="44">SUM(AP16:AP17)</f>
        <v>0</v>
      </c>
      <c r="AQ18" s="412">
        <f t="shared" si="36"/>
        <v>0</v>
      </c>
      <c r="AR18" s="406">
        <f t="shared" ref="AR18" si="45">SUM(AR16:AR17)</f>
        <v>0</v>
      </c>
      <c r="AS18" s="412">
        <f>SUM(AS16:AS17)</f>
        <v>0</v>
      </c>
      <c r="AT18" s="412">
        <f>SUM(AT16:AT17)</f>
        <v>0</v>
      </c>
      <c r="AU18" s="406">
        <f t="shared" ref="AU18" si="46">SUM(AU16:AU17)</f>
        <v>0</v>
      </c>
      <c r="AV18" s="412">
        <f t="shared" ref="AV18" si="47">SUM(AV16:AV17)</f>
        <v>0</v>
      </c>
      <c r="AW18" s="412">
        <f t="shared" ref="AW18:AX18" si="48">SUM(AW16:AW17)</f>
        <v>0</v>
      </c>
      <c r="AX18" s="412">
        <f t="shared" si="48"/>
        <v>0</v>
      </c>
      <c r="AY18" s="412">
        <f t="shared" ref="AY18" si="49">SUM(AY16:AY17)</f>
        <v>0</v>
      </c>
      <c r="AZ18" s="412">
        <f>SUM(AZ16:AZ17)</f>
        <v>0</v>
      </c>
      <c r="BA18" s="412">
        <f>SUM(BA16:BA17)</f>
        <v>6923</v>
      </c>
      <c r="BB18" s="412">
        <f>SUM(BB16:BB17)</f>
        <v>0</v>
      </c>
      <c r="BC18" s="412">
        <f>SUM(BC16:BC17)</f>
        <v>0</v>
      </c>
      <c r="BD18" s="412">
        <f t="shared" ref="BD18" si="50">SUM(BD16:BD17)</f>
        <v>0</v>
      </c>
      <c r="BE18" s="412">
        <f t="shared" ref="BE18" si="51">SUM(BE16:BE17)</f>
        <v>0</v>
      </c>
      <c r="BF18" s="412">
        <f>SUM(BF16:BF17)</f>
        <v>0</v>
      </c>
      <c r="BG18" s="412">
        <f>SUM(BG16:BG17)</f>
        <v>0</v>
      </c>
      <c r="BH18" s="746">
        <f t="shared" si="11"/>
        <v>675772</v>
      </c>
      <c r="BI18" s="439"/>
      <c r="BJ18" s="406">
        <f>SUM(BJ16:BJ17)</f>
        <v>0</v>
      </c>
      <c r="BK18" s="839">
        <f t="shared" ref="BK18" si="52">SUM(BK16:BK17)</f>
        <v>0</v>
      </c>
      <c r="BL18" s="926">
        <f t="shared" ref="BL18:BQ18" si="53">SUM(BL16:BL17)</f>
        <v>0</v>
      </c>
      <c r="BM18" s="406">
        <f t="shared" si="53"/>
        <v>0</v>
      </c>
      <c r="BN18" s="406">
        <f>SUM(BN16:BN17)</f>
        <v>0</v>
      </c>
      <c r="BO18" s="412">
        <f t="shared" si="53"/>
        <v>0</v>
      </c>
      <c r="BP18" s="406">
        <f t="shared" si="53"/>
        <v>0</v>
      </c>
      <c r="BQ18" s="412">
        <f t="shared" si="53"/>
        <v>0</v>
      </c>
      <c r="BR18" s="412">
        <f>SUM(BR16:BR17)</f>
        <v>0</v>
      </c>
      <c r="BS18" s="412">
        <f>SUM(BS16:BS17)</f>
        <v>2797</v>
      </c>
      <c r="BT18" s="412">
        <f>SUM(BT16:BT17)</f>
        <v>0</v>
      </c>
      <c r="BU18" s="412">
        <f t="shared" ref="BU18" si="54">SUM(BU16:BU17)</f>
        <v>0</v>
      </c>
      <c r="BV18" s="412">
        <f>SUM(BV16:BV17)</f>
        <v>0</v>
      </c>
      <c r="BW18" s="412">
        <f>SUM(BW16:BW17)</f>
        <v>0</v>
      </c>
      <c r="BX18" s="607">
        <f t="shared" si="12"/>
        <v>678569</v>
      </c>
      <c r="BY18" s="412">
        <f t="shared" ref="BY18" si="55">SUM(BY16:BY17)</f>
        <v>2797</v>
      </c>
    </row>
    <row r="19" spans="1:77" s="396" customFormat="1" ht="8.25" customHeight="1">
      <c r="A19" s="394"/>
      <c r="E19" s="399"/>
      <c r="F19" s="406"/>
      <c r="G19" s="406"/>
      <c r="H19" s="406"/>
      <c r="I19" s="406"/>
      <c r="J19" s="406"/>
      <c r="K19" s="406"/>
      <c r="L19" s="406"/>
      <c r="M19" s="406"/>
      <c r="N19" s="406"/>
      <c r="O19" s="406"/>
      <c r="P19" s="406"/>
      <c r="Q19" s="406"/>
      <c r="R19" s="406"/>
      <c r="S19" s="406"/>
      <c r="T19" s="839"/>
      <c r="U19" s="852"/>
      <c r="V19" s="406"/>
      <c r="W19" s="412"/>
      <c r="X19" s="406"/>
      <c r="Y19" s="839"/>
      <c r="Z19" s="852"/>
      <c r="AA19" s="839"/>
      <c r="AB19" s="839"/>
      <c r="AC19" s="972"/>
      <c r="AD19" s="406"/>
      <c r="AE19" s="406"/>
      <c r="AF19" s="406"/>
      <c r="AG19" s="406"/>
      <c r="AH19" s="406"/>
      <c r="AI19" s="839"/>
      <c r="AJ19" s="406"/>
      <c r="AK19" s="405"/>
      <c r="AL19" s="926"/>
      <c r="AM19" s="406"/>
      <c r="AN19" s="406"/>
      <c r="AO19" s="405"/>
      <c r="AP19" s="406"/>
      <c r="AQ19" s="412"/>
      <c r="AR19" s="406"/>
      <c r="AS19" s="412"/>
      <c r="AT19" s="412"/>
      <c r="AU19" s="406"/>
      <c r="AV19" s="412"/>
      <c r="AW19" s="412"/>
      <c r="AX19" s="412"/>
      <c r="AY19" s="412"/>
      <c r="AZ19" s="412"/>
      <c r="BA19" s="412"/>
      <c r="BB19" s="412"/>
      <c r="BC19" s="412"/>
      <c r="BD19" s="412"/>
      <c r="BE19" s="412"/>
      <c r="BF19" s="412"/>
      <c r="BG19" s="412"/>
      <c r="BH19" s="746"/>
      <c r="BI19" s="439"/>
      <c r="BJ19" s="406"/>
      <c r="BK19" s="839"/>
      <c r="BL19" s="926"/>
      <c r="BM19" s="406"/>
      <c r="BN19" s="406"/>
      <c r="BO19" s="412"/>
      <c r="BP19" s="406"/>
      <c r="BQ19" s="412"/>
      <c r="BR19" s="412"/>
      <c r="BS19" s="412"/>
      <c r="BT19" s="412"/>
      <c r="BU19" s="412"/>
      <c r="BV19" s="412"/>
      <c r="BW19" s="412"/>
      <c r="BX19" s="607"/>
      <c r="BY19" s="412"/>
    </row>
    <row r="20" spans="1:77" s="396" customFormat="1">
      <c r="A20" s="394"/>
      <c r="B20" s="396" t="s">
        <v>193</v>
      </c>
      <c r="E20" s="399"/>
      <c r="F20" s="406"/>
      <c r="G20" s="406"/>
      <c r="H20" s="406"/>
      <c r="I20" s="406"/>
      <c r="J20" s="406"/>
      <c r="K20" s="406"/>
      <c r="L20" s="406"/>
      <c r="M20" s="406"/>
      <c r="N20" s="406"/>
      <c r="O20" s="406"/>
      <c r="P20" s="406"/>
      <c r="Q20" s="406"/>
      <c r="R20" s="406"/>
      <c r="S20" s="406"/>
      <c r="T20" s="839"/>
      <c r="U20" s="852"/>
      <c r="V20" s="406"/>
      <c r="W20" s="412"/>
      <c r="X20" s="406"/>
      <c r="Y20" s="839"/>
      <c r="Z20" s="852"/>
      <c r="AA20" s="839"/>
      <c r="AB20" s="839"/>
      <c r="AC20" s="972"/>
      <c r="AD20" s="412"/>
      <c r="AE20" s="406"/>
      <c r="AF20" s="406"/>
      <c r="AG20" s="406"/>
      <c r="AH20" s="406"/>
      <c r="AI20" s="839"/>
      <c r="AJ20" s="406"/>
      <c r="AK20" s="406"/>
      <c r="AL20" s="926"/>
      <c r="AM20" s="406"/>
      <c r="AN20" s="406"/>
      <c r="AO20" s="406"/>
      <c r="AP20" s="406"/>
      <c r="AQ20" s="412"/>
      <c r="AR20" s="406"/>
      <c r="AS20" s="412"/>
      <c r="AT20" s="412"/>
      <c r="AU20" s="406"/>
      <c r="AV20" s="412"/>
      <c r="AW20" s="412"/>
      <c r="AX20" s="412"/>
      <c r="AY20" s="412"/>
      <c r="AZ20" s="412"/>
      <c r="BA20" s="412"/>
      <c r="BB20" s="412"/>
      <c r="BC20" s="412"/>
      <c r="BD20" s="412"/>
      <c r="BE20" s="412"/>
      <c r="BF20" s="412"/>
      <c r="BG20" s="412"/>
      <c r="BH20" s="746"/>
      <c r="BI20" s="439"/>
      <c r="BJ20" s="406"/>
      <c r="BK20" s="839"/>
      <c r="BL20" s="926"/>
      <c r="BM20" s="406"/>
      <c r="BN20" s="406"/>
      <c r="BO20" s="412"/>
      <c r="BP20" s="406"/>
      <c r="BQ20" s="412"/>
      <c r="BR20" s="412"/>
      <c r="BS20" s="412"/>
      <c r="BT20" s="412"/>
      <c r="BU20" s="412"/>
      <c r="BV20" s="412"/>
      <c r="BW20" s="412"/>
      <c r="BX20" s="607"/>
      <c r="BY20" s="412"/>
    </row>
    <row r="21" spans="1:77" s="396" customFormat="1">
      <c r="A21" s="394"/>
      <c r="B21" s="396" t="s">
        <v>194</v>
      </c>
      <c r="E21" s="399"/>
      <c r="F21" s="406"/>
      <c r="G21" s="406"/>
      <c r="H21" s="406"/>
      <c r="I21" s="406"/>
      <c r="J21" s="406"/>
      <c r="K21" s="406"/>
      <c r="L21" s="406"/>
      <c r="M21" s="406"/>
      <c r="N21" s="406"/>
      <c r="O21" s="406"/>
      <c r="P21" s="406"/>
      <c r="Q21" s="406"/>
      <c r="R21" s="406"/>
      <c r="S21" s="406"/>
      <c r="T21" s="839"/>
      <c r="U21" s="852"/>
      <c r="V21" s="406"/>
      <c r="W21" s="412"/>
      <c r="X21" s="406"/>
      <c r="Y21" s="839"/>
      <c r="Z21" s="852"/>
      <c r="AA21" s="839"/>
      <c r="AB21" s="839"/>
      <c r="AC21" s="972"/>
      <c r="AD21" s="412"/>
      <c r="AE21" s="406"/>
      <c r="AF21" s="406"/>
      <c r="AG21" s="406"/>
      <c r="AH21" s="406"/>
      <c r="AI21" s="839"/>
      <c r="AJ21" s="406"/>
      <c r="AK21" s="406"/>
      <c r="AL21" s="926"/>
      <c r="AM21" s="406"/>
      <c r="AN21" s="406"/>
      <c r="AO21" s="406"/>
      <c r="AP21" s="406"/>
      <c r="AQ21" s="412"/>
      <c r="AR21" s="406"/>
      <c r="AS21" s="412"/>
      <c r="AT21" s="412"/>
      <c r="AU21" s="406"/>
      <c r="AV21" s="412"/>
      <c r="AW21" s="412"/>
      <c r="AX21" s="412"/>
      <c r="AY21" s="412"/>
      <c r="AZ21" s="412"/>
      <c r="BA21" s="412"/>
      <c r="BB21" s="412"/>
      <c r="BC21" s="412"/>
      <c r="BD21" s="412"/>
      <c r="BE21" s="412"/>
      <c r="BF21" s="412"/>
      <c r="BG21" s="412"/>
      <c r="BH21" s="746">
        <f t="shared" ref="BH21:BH27" si="56">SUM(AC21:BG21)</f>
        <v>0</v>
      </c>
      <c r="BI21" s="439"/>
      <c r="BJ21" s="406"/>
      <c r="BK21" s="839"/>
      <c r="BL21" s="926"/>
      <c r="BM21" s="406"/>
      <c r="BN21" s="406"/>
      <c r="BO21" s="412"/>
      <c r="BP21" s="406"/>
      <c r="BQ21" s="412"/>
      <c r="BR21" s="412"/>
      <c r="BS21" s="412"/>
      <c r="BT21" s="412"/>
      <c r="BU21" s="412"/>
      <c r="BV21" s="412"/>
      <c r="BW21" s="412"/>
      <c r="BX21" s="607">
        <f t="shared" ref="BX21:BX27" si="57">SUM(BH21:BW21)</f>
        <v>0</v>
      </c>
      <c r="BY21" s="412"/>
    </row>
    <row r="22" spans="1:77" s="396" customFormat="1">
      <c r="A22" s="394">
        <v>7</v>
      </c>
      <c r="C22" s="396" t="s">
        <v>195</v>
      </c>
      <c r="E22" s="399">
        <f>'ROO INPUT 1.00'!F23</f>
        <v>156285</v>
      </c>
      <c r="F22" s="406">
        <v>0</v>
      </c>
      <c r="G22" s="406">
        <v>0</v>
      </c>
      <c r="H22" s="406">
        <v>0</v>
      </c>
      <c r="I22" s="406">
        <v>0</v>
      </c>
      <c r="J22" s="406">
        <v>0</v>
      </c>
      <c r="K22" s="406">
        <v>0</v>
      </c>
      <c r="L22" s="406">
        <v>0</v>
      </c>
      <c r="M22" s="406">
        <v>0</v>
      </c>
      <c r="N22" s="406">
        <v>0</v>
      </c>
      <c r="O22" s="406">
        <v>0</v>
      </c>
      <c r="P22" s="406">
        <v>0</v>
      </c>
      <c r="Q22" s="406">
        <v>0</v>
      </c>
      <c r="R22" s="406">
        <v>0</v>
      </c>
      <c r="S22" s="406">
        <v>-216</v>
      </c>
      <c r="T22" s="839">
        <v>0</v>
      </c>
      <c r="U22" s="852">
        <v>0</v>
      </c>
      <c r="V22" s="406">
        <v>0</v>
      </c>
      <c r="W22" s="412">
        <v>0</v>
      </c>
      <c r="X22" s="406">
        <v>19854</v>
      </c>
      <c r="Y22" s="839">
        <v>-6</v>
      </c>
      <c r="Z22" s="852">
        <v>-1694</v>
      </c>
      <c r="AA22" s="916">
        <f>-64936-AA23</f>
        <v>-44130</v>
      </c>
      <c r="AB22" s="839">
        <v>0</v>
      </c>
      <c r="AC22" s="972">
        <f>SUM(E22:AB22)</f>
        <v>130093</v>
      </c>
      <c r="AD22" s="405">
        <f>36668-AD23</f>
        <v>31129</v>
      </c>
      <c r="AE22" s="406">
        <v>0</v>
      </c>
      <c r="AF22" s="406">
        <v>0</v>
      </c>
      <c r="AG22" s="406">
        <v>153</v>
      </c>
      <c r="AH22" s="406">
        <v>0</v>
      </c>
      <c r="AI22" s="839">
        <v>0</v>
      </c>
      <c r="AJ22" s="406"/>
      <c r="AK22" s="406">
        <v>0</v>
      </c>
      <c r="AL22" s="926">
        <f>1761+355+271</f>
        <v>2387</v>
      </c>
      <c r="AM22" s="406">
        <v>0</v>
      </c>
      <c r="AN22" s="406">
        <v>-138</v>
      </c>
      <c r="AO22" s="406">
        <v>0</v>
      </c>
      <c r="AP22" s="406">
        <v>0</v>
      </c>
      <c r="AQ22" s="412">
        <v>0</v>
      </c>
      <c r="AR22" s="406">
        <v>0</v>
      </c>
      <c r="AS22" s="412">
        <f>(4475043+431634)/1000</f>
        <v>4906.6769999999997</v>
      </c>
      <c r="AT22" s="412">
        <v>0</v>
      </c>
      <c r="AU22" s="406"/>
      <c r="AV22" s="412">
        <f>785+162</f>
        <v>947</v>
      </c>
      <c r="AW22" s="412">
        <v>0</v>
      </c>
      <c r="AX22" s="1313">
        <v>0</v>
      </c>
      <c r="AY22" s="412"/>
      <c r="AZ22" s="412"/>
      <c r="BA22" s="412">
        <v>-171</v>
      </c>
      <c r="BB22" s="412">
        <v>52</v>
      </c>
      <c r="BC22" s="412"/>
      <c r="BD22" s="412">
        <v>0</v>
      </c>
      <c r="BE22" s="412">
        <v>0</v>
      </c>
      <c r="BF22" s="412">
        <v>0</v>
      </c>
      <c r="BG22" s="412">
        <v>0</v>
      </c>
      <c r="BH22" s="746">
        <f t="shared" si="56"/>
        <v>169358.677</v>
      </c>
      <c r="BI22" s="439"/>
      <c r="BJ22" s="406">
        <v>0</v>
      </c>
      <c r="BK22" s="839">
        <v>0</v>
      </c>
      <c r="BL22" s="926">
        <f>654+10+39</f>
        <v>703</v>
      </c>
      <c r="BM22" s="406">
        <v>162</v>
      </c>
      <c r="BN22" s="406">
        <v>0</v>
      </c>
      <c r="BO22" s="406">
        <v>0</v>
      </c>
      <c r="BP22" s="406">
        <v>0</v>
      </c>
      <c r="BQ22" s="412">
        <f>(1988908+191837)/1000</f>
        <v>2180.7449999999999</v>
      </c>
      <c r="BR22" s="412"/>
      <c r="BS22" s="412"/>
      <c r="BT22" s="412"/>
      <c r="BU22" s="412">
        <v>0</v>
      </c>
      <c r="BV22" s="412">
        <v>0</v>
      </c>
      <c r="BW22" s="412">
        <v>0</v>
      </c>
      <c r="BX22" s="607">
        <f t="shared" si="57"/>
        <v>172404.42199999999</v>
      </c>
      <c r="BY22" s="412">
        <f>BX22-BH22</f>
        <v>3045.7449999999953</v>
      </c>
    </row>
    <row r="23" spans="1:77" s="396" customFormat="1">
      <c r="A23" s="394">
        <v>8</v>
      </c>
      <c r="C23" s="396" t="s">
        <v>196</v>
      </c>
      <c r="E23" s="399">
        <f>'ROO INPUT 1.00'!F24</f>
        <v>95039</v>
      </c>
      <c r="F23" s="406">
        <v>0</v>
      </c>
      <c r="G23" s="406">
        <v>0</v>
      </c>
      <c r="H23" s="406">
        <v>0</v>
      </c>
      <c r="I23" s="406">
        <v>0</v>
      </c>
      <c r="J23" s="406">
        <v>0</v>
      </c>
      <c r="K23" s="406">
        <v>0</v>
      </c>
      <c r="L23" s="406">
        <v>0</v>
      </c>
      <c r="M23" s="406">
        <v>0</v>
      </c>
      <c r="N23" s="406">
        <v>0</v>
      </c>
      <c r="O23" s="406">
        <v>0</v>
      </c>
      <c r="P23" s="406">
        <v>0</v>
      </c>
      <c r="Q23" s="406">
        <v>0</v>
      </c>
      <c r="R23" s="406">
        <v>0</v>
      </c>
      <c r="S23" s="406">
        <v>0</v>
      </c>
      <c r="T23" s="839">
        <v>0</v>
      </c>
      <c r="U23" s="852">
        <v>0</v>
      </c>
      <c r="V23" s="406">
        <v>0</v>
      </c>
      <c r="W23" s="412">
        <v>0</v>
      </c>
      <c r="X23" s="406">
        <v>0</v>
      </c>
      <c r="Y23" s="839">
        <v>0</v>
      </c>
      <c r="Z23" s="852">
        <v>0</v>
      </c>
      <c r="AA23" s="916">
        <v>-20806</v>
      </c>
      <c r="AB23" s="839">
        <v>0</v>
      </c>
      <c r="AC23" s="972">
        <f>SUM(E23:AB23)</f>
        <v>74233</v>
      </c>
      <c r="AD23" s="405">
        <v>5539</v>
      </c>
      <c r="AE23" s="406">
        <v>0</v>
      </c>
      <c r="AF23" s="406">
        <v>0</v>
      </c>
      <c r="AG23" s="406">
        <v>0</v>
      </c>
      <c r="AH23" s="406">
        <v>0</v>
      </c>
      <c r="AI23" s="839">
        <v>0</v>
      </c>
      <c r="AJ23" s="406">
        <v>0</v>
      </c>
      <c r="AK23" s="406">
        <v>0</v>
      </c>
      <c r="AL23" s="926">
        <v>0</v>
      </c>
      <c r="AM23" s="406">
        <v>0</v>
      </c>
      <c r="AN23" s="406"/>
      <c r="AO23" s="406">
        <v>0</v>
      </c>
      <c r="AP23" s="406">
        <v>0</v>
      </c>
      <c r="AQ23" s="412">
        <v>0</v>
      </c>
      <c r="AR23" s="406">
        <v>0</v>
      </c>
      <c r="AS23" s="412">
        <v>0</v>
      </c>
      <c r="AT23" s="412">
        <v>0</v>
      </c>
      <c r="AU23" s="406">
        <v>0</v>
      </c>
      <c r="AV23" s="412">
        <v>0</v>
      </c>
      <c r="AW23" s="412">
        <v>0</v>
      </c>
      <c r="AX23" s="412">
        <v>0</v>
      </c>
      <c r="AY23" s="412">
        <v>0</v>
      </c>
      <c r="AZ23" s="412">
        <v>0</v>
      </c>
      <c r="BA23" s="412">
        <v>0</v>
      </c>
      <c r="BB23" s="412">
        <v>0</v>
      </c>
      <c r="BC23" s="412"/>
      <c r="BD23" s="412">
        <v>0</v>
      </c>
      <c r="BE23" s="412">
        <v>0</v>
      </c>
      <c r="BF23" s="412">
        <v>0</v>
      </c>
      <c r="BG23" s="412">
        <v>0</v>
      </c>
      <c r="BH23" s="746">
        <f t="shared" si="56"/>
        <v>79772</v>
      </c>
      <c r="BI23" s="439"/>
      <c r="BJ23" s="406">
        <v>0</v>
      </c>
      <c r="BK23" s="839">
        <v>0</v>
      </c>
      <c r="BL23" s="926">
        <v>0</v>
      </c>
      <c r="BM23" s="406"/>
      <c r="BN23" s="406">
        <v>0</v>
      </c>
      <c r="BO23" s="412">
        <v>0</v>
      </c>
      <c r="BP23" s="406">
        <v>0</v>
      </c>
      <c r="BQ23" s="412">
        <v>0</v>
      </c>
      <c r="BR23" s="412">
        <v>0</v>
      </c>
      <c r="BS23" s="412">
        <v>0</v>
      </c>
      <c r="BT23" s="412">
        <v>0</v>
      </c>
      <c r="BU23" s="412">
        <v>0</v>
      </c>
      <c r="BV23" s="412">
        <v>0</v>
      </c>
      <c r="BW23" s="412">
        <v>0</v>
      </c>
      <c r="BX23" s="607">
        <f t="shared" si="57"/>
        <v>79772</v>
      </c>
      <c r="BY23" s="412">
        <f>BX23-BH23</f>
        <v>0</v>
      </c>
    </row>
    <row r="24" spans="1:77" s="396" customFormat="1">
      <c r="A24" s="394">
        <v>9</v>
      </c>
      <c r="C24" s="396" t="s">
        <v>540</v>
      </c>
      <c r="E24" s="399">
        <f>'ROO INPUT 1.00'!F25</f>
        <v>42507</v>
      </c>
      <c r="F24" s="406">
        <v>0</v>
      </c>
      <c r="G24" s="406">
        <v>0</v>
      </c>
      <c r="H24" s="406">
        <v>0</v>
      </c>
      <c r="I24" s="406">
        <v>0</v>
      </c>
      <c r="J24" s="406">
        <v>0</v>
      </c>
      <c r="K24" s="406">
        <v>0</v>
      </c>
      <c r="L24" s="399">
        <f>'ROO INPUT 1.00'!M25</f>
        <v>0</v>
      </c>
      <c r="M24" s="406">
        <v>0</v>
      </c>
      <c r="N24" s="406">
        <v>0</v>
      </c>
      <c r="O24" s="406">
        <v>0</v>
      </c>
      <c r="P24" s="406">
        <v>0</v>
      </c>
      <c r="Q24" s="406">
        <v>0</v>
      </c>
      <c r="R24" s="406">
        <v>0</v>
      </c>
      <c r="S24" s="406">
        <v>0</v>
      </c>
      <c r="T24" s="839">
        <v>0</v>
      </c>
      <c r="U24" s="852">
        <v>0</v>
      </c>
      <c r="V24" s="406">
        <v>0</v>
      </c>
      <c r="W24" s="412">
        <v>0</v>
      </c>
      <c r="X24" s="406">
        <v>0</v>
      </c>
      <c r="Y24" s="839">
        <v>0</v>
      </c>
      <c r="Z24" s="852">
        <v>0</v>
      </c>
      <c r="AA24" s="839">
        <v>0</v>
      </c>
      <c r="AB24" s="839">
        <v>0</v>
      </c>
      <c r="AC24" s="972">
        <f>SUM(E24:AB24)</f>
        <v>42507</v>
      </c>
      <c r="AD24" s="406">
        <v>0</v>
      </c>
      <c r="AE24" s="406">
        <v>0</v>
      </c>
      <c r="AF24" s="406">
        <v>0</v>
      </c>
      <c r="AG24" s="406">
        <v>0</v>
      </c>
      <c r="AH24" s="406">
        <v>0</v>
      </c>
      <c r="AI24" s="839">
        <v>0</v>
      </c>
      <c r="AJ24" s="406">
        <v>0</v>
      </c>
      <c r="AK24" s="406">
        <v>0</v>
      </c>
      <c r="AL24" s="926">
        <v>0</v>
      </c>
      <c r="AM24" s="406">
        <v>0</v>
      </c>
      <c r="AN24" s="406">
        <v>0</v>
      </c>
      <c r="AO24" s="406">
        <v>0</v>
      </c>
      <c r="AP24" s="406">
        <v>0</v>
      </c>
      <c r="AQ24" s="412">
        <v>0</v>
      </c>
      <c r="AR24" s="406">
        <v>0</v>
      </c>
      <c r="AS24" s="412"/>
      <c r="AT24" s="412">
        <f>285+334</f>
        <v>619</v>
      </c>
      <c r="AU24" s="406"/>
      <c r="AV24" s="412">
        <f>3+1</f>
        <v>4</v>
      </c>
      <c r="AW24" s="412">
        <v>2</v>
      </c>
      <c r="AX24" s="412">
        <v>148</v>
      </c>
      <c r="AY24" s="412">
        <f>1079+873</f>
        <v>1952</v>
      </c>
      <c r="AZ24" s="412">
        <f>341+330</f>
        <v>671</v>
      </c>
      <c r="BA24" s="412">
        <v>0</v>
      </c>
      <c r="BB24" s="412">
        <v>38</v>
      </c>
      <c r="BC24" s="412">
        <v>59</v>
      </c>
      <c r="BD24" s="1313">
        <v>296</v>
      </c>
      <c r="BE24" s="1313">
        <v>0</v>
      </c>
      <c r="BF24" s="412"/>
      <c r="BG24" s="412"/>
      <c r="BH24" s="746">
        <f t="shared" si="56"/>
        <v>46296</v>
      </c>
      <c r="BI24" s="439"/>
      <c r="BJ24" s="406">
        <v>0</v>
      </c>
      <c r="BK24" s="839">
        <v>0</v>
      </c>
      <c r="BL24" s="926">
        <v>0</v>
      </c>
      <c r="BM24" s="406">
        <v>0</v>
      </c>
      <c r="BN24" s="406">
        <v>0</v>
      </c>
      <c r="BO24" s="412">
        <v>0</v>
      </c>
      <c r="BP24" s="406">
        <v>0</v>
      </c>
      <c r="BQ24" s="412"/>
      <c r="BR24" s="412">
        <f>188+409</f>
        <v>597</v>
      </c>
      <c r="BS24" s="412">
        <v>0</v>
      </c>
      <c r="BT24" s="412">
        <v>59</v>
      </c>
      <c r="BU24" s="412"/>
      <c r="BV24" s="412"/>
      <c r="BW24" s="412"/>
      <c r="BX24" s="607">
        <f t="shared" si="57"/>
        <v>46952</v>
      </c>
      <c r="BY24" s="412">
        <f>BX24-BH24</f>
        <v>656</v>
      </c>
    </row>
    <row r="25" spans="1:77" s="396" customFormat="1">
      <c r="A25" s="394">
        <v>10</v>
      </c>
      <c r="C25" s="399" t="s">
        <v>537</v>
      </c>
      <c r="D25" s="399"/>
      <c r="E25" s="399">
        <f>'ROO INPUT 1.00'!F26</f>
        <v>-12607</v>
      </c>
      <c r="F25" s="406">
        <v>0</v>
      </c>
      <c r="G25" s="406">
        <v>0</v>
      </c>
      <c r="H25" s="406">
        <v>0</v>
      </c>
      <c r="I25" s="406">
        <v>0</v>
      </c>
      <c r="J25" s="406">
        <v>0</v>
      </c>
      <c r="K25" s="406">
        <v>0</v>
      </c>
      <c r="L25" s="406">
        <v>0</v>
      </c>
      <c r="M25" s="406">
        <v>0</v>
      </c>
      <c r="N25" s="406">
        <v>0</v>
      </c>
      <c r="O25" s="406">
        <v>0</v>
      </c>
      <c r="P25" s="406">
        <v>0</v>
      </c>
      <c r="Q25" s="406">
        <v>0</v>
      </c>
      <c r="R25" s="406">
        <v>0</v>
      </c>
      <c r="S25" s="406">
        <v>9792</v>
      </c>
      <c r="T25" s="839">
        <v>0</v>
      </c>
      <c r="U25" s="852">
        <v>0</v>
      </c>
      <c r="V25" s="406">
        <v>0</v>
      </c>
      <c r="W25" s="412"/>
      <c r="X25" s="406">
        <v>0</v>
      </c>
      <c r="Y25" s="839">
        <v>0</v>
      </c>
      <c r="Z25" s="852">
        <v>0</v>
      </c>
      <c r="AA25" s="839"/>
      <c r="AB25" s="839">
        <v>0</v>
      </c>
      <c r="AC25" s="972">
        <f>SUM(E25:AB25)</f>
        <v>-2815</v>
      </c>
      <c r="AD25" s="406">
        <v>0</v>
      </c>
      <c r="AE25" s="406">
        <v>0</v>
      </c>
      <c r="AF25" s="406">
        <v>0</v>
      </c>
      <c r="AG25" s="406">
        <v>-71</v>
      </c>
      <c r="AH25" s="406">
        <v>0</v>
      </c>
      <c r="AI25" s="839">
        <v>0</v>
      </c>
      <c r="AJ25" s="406">
        <f>(1500+514)/2</f>
        <v>1007</v>
      </c>
      <c r="AK25" s="406">
        <v>0</v>
      </c>
      <c r="AL25" s="926"/>
      <c r="AM25" s="406"/>
      <c r="AN25" s="406"/>
      <c r="AO25" s="406">
        <v>0</v>
      </c>
      <c r="AP25" s="406">
        <v>0</v>
      </c>
      <c r="AQ25" s="412">
        <v>0</v>
      </c>
      <c r="AR25" s="406">
        <v>0</v>
      </c>
      <c r="AS25" s="412">
        <v>0</v>
      </c>
      <c r="AT25" s="412"/>
      <c r="AU25" s="406"/>
      <c r="AV25" s="412">
        <v>0</v>
      </c>
      <c r="AW25" s="412"/>
      <c r="AX25" s="412">
        <v>431</v>
      </c>
      <c r="AY25" s="412">
        <v>0</v>
      </c>
      <c r="AZ25" s="412">
        <v>0</v>
      </c>
      <c r="BA25" s="412">
        <v>0</v>
      </c>
      <c r="BB25" s="412">
        <v>0</v>
      </c>
      <c r="BC25" s="412">
        <v>0</v>
      </c>
      <c r="BD25" s="1313">
        <v>647</v>
      </c>
      <c r="BE25" s="1313">
        <v>-160</v>
      </c>
      <c r="BF25" s="412"/>
      <c r="BG25" s="412"/>
      <c r="BH25" s="746">
        <f t="shared" si="56"/>
        <v>-961</v>
      </c>
      <c r="BI25" s="439"/>
      <c r="BJ25" s="406">
        <v>0</v>
      </c>
      <c r="BK25" s="839">
        <v>0</v>
      </c>
      <c r="BL25" s="926"/>
      <c r="BM25" s="406"/>
      <c r="BN25" s="406">
        <v>0</v>
      </c>
      <c r="BO25" s="412">
        <v>0</v>
      </c>
      <c r="BP25" s="406">
        <v>0</v>
      </c>
      <c r="BQ25" s="412">
        <v>0</v>
      </c>
      <c r="BR25" s="412">
        <v>0</v>
      </c>
      <c r="BS25" s="412">
        <v>0</v>
      </c>
      <c r="BT25" s="412">
        <v>0</v>
      </c>
      <c r="BU25" s="412"/>
      <c r="BV25" s="412"/>
      <c r="BW25" s="412"/>
      <c r="BX25" s="607">
        <f t="shared" si="57"/>
        <v>-961</v>
      </c>
      <c r="BY25" s="412">
        <f>BX25-BH25</f>
        <v>0</v>
      </c>
    </row>
    <row r="26" spans="1:77" s="396" customFormat="1">
      <c r="A26" s="394">
        <v>11</v>
      </c>
      <c r="C26" s="396" t="s">
        <v>197</v>
      </c>
      <c r="E26" s="732">
        <f>'ROO INPUT 1.00'!F27</f>
        <v>15827</v>
      </c>
      <c r="F26" s="413">
        <v>0</v>
      </c>
      <c r="G26" s="413">
        <v>0</v>
      </c>
      <c r="H26" s="413">
        <v>0</v>
      </c>
      <c r="I26" s="413">
        <v>0</v>
      </c>
      <c r="J26" s="413">
        <v>1</v>
      </c>
      <c r="K26" s="413">
        <v>0</v>
      </c>
      <c r="L26" s="413">
        <v>0</v>
      </c>
      <c r="M26" s="413">
        <v>0</v>
      </c>
      <c r="N26" s="413">
        <v>0</v>
      </c>
      <c r="O26" s="413">
        <v>0</v>
      </c>
      <c r="P26" s="413">
        <v>0</v>
      </c>
      <c r="Q26" s="413">
        <v>0</v>
      </c>
      <c r="R26" s="413">
        <v>0</v>
      </c>
      <c r="S26" s="413">
        <v>0</v>
      </c>
      <c r="T26" s="848">
        <v>0</v>
      </c>
      <c r="U26" s="848">
        <v>0</v>
      </c>
      <c r="V26" s="413">
        <v>0</v>
      </c>
      <c r="W26" s="413">
        <v>0</v>
      </c>
      <c r="X26" s="413">
        <v>0</v>
      </c>
      <c r="Y26" s="848">
        <v>0</v>
      </c>
      <c r="Z26" s="848">
        <v>0</v>
      </c>
      <c r="AA26" s="848">
        <v>0</v>
      </c>
      <c r="AB26" s="848">
        <v>0</v>
      </c>
      <c r="AC26" s="974">
        <f>SUM(E26:AB26)</f>
        <v>15828</v>
      </c>
      <c r="AD26" s="413">
        <v>0</v>
      </c>
      <c r="AE26" s="413">
        <v>0</v>
      </c>
      <c r="AF26" s="413">
        <v>0</v>
      </c>
      <c r="AG26" s="413">
        <v>0</v>
      </c>
      <c r="AH26" s="413">
        <v>0</v>
      </c>
      <c r="AI26" s="848">
        <v>0</v>
      </c>
      <c r="AJ26" s="413">
        <v>0</v>
      </c>
      <c r="AK26" s="413">
        <v>0</v>
      </c>
      <c r="AL26" s="928">
        <v>0</v>
      </c>
      <c r="AM26" s="413">
        <v>0</v>
      </c>
      <c r="AN26" s="413">
        <v>0</v>
      </c>
      <c r="AO26" s="413">
        <v>0</v>
      </c>
      <c r="AP26" s="413">
        <v>57</v>
      </c>
      <c r="AQ26" s="413">
        <v>0</v>
      </c>
      <c r="AR26" s="413">
        <v>0</v>
      </c>
      <c r="AS26" s="413">
        <v>0</v>
      </c>
      <c r="AT26" s="413">
        <v>0</v>
      </c>
      <c r="AU26" s="413">
        <v>0</v>
      </c>
      <c r="AV26" s="413">
        <v>0</v>
      </c>
      <c r="AW26" s="413">
        <v>0</v>
      </c>
      <c r="AX26" s="413">
        <v>0</v>
      </c>
      <c r="AY26" s="413">
        <v>0</v>
      </c>
      <c r="AZ26" s="413">
        <v>0</v>
      </c>
      <c r="BA26" s="413">
        <v>0</v>
      </c>
      <c r="BB26" s="413">
        <v>0</v>
      </c>
      <c r="BC26" s="413">
        <v>0</v>
      </c>
      <c r="BD26" s="413">
        <v>0</v>
      </c>
      <c r="BE26" s="413">
        <v>0</v>
      </c>
      <c r="BF26" s="413">
        <v>0</v>
      </c>
      <c r="BG26" s="413">
        <v>0</v>
      </c>
      <c r="BH26" s="748">
        <f t="shared" si="56"/>
        <v>15885</v>
      </c>
      <c r="BI26" s="439"/>
      <c r="BJ26" s="413">
        <v>0</v>
      </c>
      <c r="BK26" s="848">
        <v>0</v>
      </c>
      <c r="BL26" s="928">
        <v>0</v>
      </c>
      <c r="BM26" s="413">
        <v>0</v>
      </c>
      <c r="BN26" s="413">
        <v>153</v>
      </c>
      <c r="BO26" s="413">
        <v>0</v>
      </c>
      <c r="BP26" s="413">
        <v>0</v>
      </c>
      <c r="BQ26" s="413">
        <v>0</v>
      </c>
      <c r="BR26" s="413">
        <v>0</v>
      </c>
      <c r="BS26" s="413">
        <v>0</v>
      </c>
      <c r="BT26" s="413">
        <v>0</v>
      </c>
      <c r="BU26" s="413">
        <v>0</v>
      </c>
      <c r="BV26" s="413">
        <v>0</v>
      </c>
      <c r="BW26" s="413">
        <v>0</v>
      </c>
      <c r="BX26" s="609">
        <f t="shared" si="57"/>
        <v>16038</v>
      </c>
      <c r="BY26" s="1298">
        <f>BX26-BH26</f>
        <v>153</v>
      </c>
    </row>
    <row r="27" spans="1:77" s="396" customFormat="1">
      <c r="A27" s="394">
        <v>12</v>
      </c>
      <c r="B27" s="396" t="s">
        <v>198</v>
      </c>
      <c r="E27" s="399">
        <f t="shared" ref="E27:AM27" si="58">SUM(E22:E26)</f>
        <v>297051</v>
      </c>
      <c r="F27" s="406">
        <f t="shared" si="58"/>
        <v>0</v>
      </c>
      <c r="G27" s="406">
        <f t="shared" si="58"/>
        <v>0</v>
      </c>
      <c r="H27" s="406">
        <f t="shared" si="58"/>
        <v>0</v>
      </c>
      <c r="I27" s="406">
        <f t="shared" si="58"/>
        <v>0</v>
      </c>
      <c r="J27" s="406">
        <f t="shared" ref="J27" si="59">SUM(J22:J26)</f>
        <v>1</v>
      </c>
      <c r="K27" s="406">
        <f t="shared" si="58"/>
        <v>0</v>
      </c>
      <c r="L27" s="406">
        <f t="shared" si="58"/>
        <v>0</v>
      </c>
      <c r="M27" s="406">
        <f t="shared" si="58"/>
        <v>0</v>
      </c>
      <c r="N27" s="406">
        <f t="shared" si="58"/>
        <v>0</v>
      </c>
      <c r="O27" s="406">
        <f t="shared" si="58"/>
        <v>0</v>
      </c>
      <c r="P27" s="406">
        <f t="shared" si="58"/>
        <v>0</v>
      </c>
      <c r="Q27" s="406">
        <f t="shared" si="58"/>
        <v>0</v>
      </c>
      <c r="R27" s="406">
        <f t="shared" si="58"/>
        <v>0</v>
      </c>
      <c r="S27" s="406">
        <f t="shared" ref="S27" si="60">SUM(S22:S26)</f>
        <v>9576</v>
      </c>
      <c r="T27" s="839">
        <f>SUM(T22:T26)</f>
        <v>0</v>
      </c>
      <c r="U27" s="852">
        <f t="shared" ref="U27" si="61">SUM(U22:U26)</f>
        <v>0</v>
      </c>
      <c r="V27" s="406">
        <f>SUM(V22:V26)</f>
        <v>0</v>
      </c>
      <c r="W27" s="412">
        <f>SUM(W22:W26)</f>
        <v>0</v>
      </c>
      <c r="X27" s="406">
        <f>SUM(X22:X26)</f>
        <v>19854</v>
      </c>
      <c r="Y27" s="839">
        <f>SUM(Y22:Y26)</f>
        <v>-6</v>
      </c>
      <c r="Z27" s="852">
        <f t="shared" ref="Z27" si="62">SUM(Z22:Z26)</f>
        <v>-1694</v>
      </c>
      <c r="AA27" s="839">
        <f>SUM(AA22:AA26)</f>
        <v>-64936</v>
      </c>
      <c r="AB27" s="839">
        <f>SUM(AB22:AB26)</f>
        <v>0</v>
      </c>
      <c r="AC27" s="972">
        <f t="shared" si="58"/>
        <v>259846</v>
      </c>
      <c r="AD27" s="406">
        <f>SUM(AD22:AD26)</f>
        <v>36668</v>
      </c>
      <c r="AE27" s="406">
        <f t="shared" ref="AE27" si="63">SUM(AE22:AE26)</f>
        <v>0</v>
      </c>
      <c r="AF27" s="406">
        <f t="shared" ref="AF27" si="64">SUM(AF22:AF26)</f>
        <v>0</v>
      </c>
      <c r="AG27" s="406">
        <f>SUM(AG22:AG26)</f>
        <v>82</v>
      </c>
      <c r="AH27" s="406">
        <f>SUM(AH22:AH26)</f>
        <v>0</v>
      </c>
      <c r="AI27" s="839">
        <f>SUM(AI22:AI26)</f>
        <v>0</v>
      </c>
      <c r="AJ27" s="406">
        <f t="shared" ref="AJ27" si="65">SUM(AJ22:AJ26)</f>
        <v>1007</v>
      </c>
      <c r="AK27" s="406">
        <f>SUM(AK22:AK26)</f>
        <v>0</v>
      </c>
      <c r="AL27" s="926">
        <f t="shared" ref="AL27" si="66">SUM(AL22:AL26)</f>
        <v>2387</v>
      </c>
      <c r="AM27" s="406">
        <f t="shared" si="58"/>
        <v>0</v>
      </c>
      <c r="AN27" s="406">
        <f t="shared" ref="AN27" si="67">SUM(AN22:AN26)</f>
        <v>-138</v>
      </c>
      <c r="AO27" s="406">
        <f>SUM(AO22:AO26)</f>
        <v>0</v>
      </c>
      <c r="AP27" s="406">
        <f>SUM(AP22:AP26)</f>
        <v>57</v>
      </c>
      <c r="AQ27" s="412">
        <f>SUM(AQ22:AQ26)</f>
        <v>0</v>
      </c>
      <c r="AR27" s="406">
        <f t="shared" ref="AR27" si="68">SUM(AR22:AR26)</f>
        <v>0</v>
      </c>
      <c r="AS27" s="412">
        <f>SUM(AS22:AS26)</f>
        <v>4906.6769999999997</v>
      </c>
      <c r="AT27" s="412">
        <f>SUM(AT22:AT26)</f>
        <v>619</v>
      </c>
      <c r="AU27" s="406">
        <f t="shared" ref="AU27" si="69">SUM(AU22:AU26)</f>
        <v>0</v>
      </c>
      <c r="AV27" s="412">
        <f>SUM(AV22:AV26)</f>
        <v>951</v>
      </c>
      <c r="AW27" s="412">
        <f>SUM(AW22:AW26)</f>
        <v>2</v>
      </c>
      <c r="AX27" s="412">
        <f>SUM(AX22:AX26)</f>
        <v>579</v>
      </c>
      <c r="AY27" s="412">
        <f t="shared" ref="AY27" si="70">SUM(AY22:AY26)</f>
        <v>1952</v>
      </c>
      <c r="AZ27" s="412">
        <f>SUM(AZ22:AZ26)</f>
        <v>671</v>
      </c>
      <c r="BA27" s="412">
        <f>SUM(BA22:BA26)</f>
        <v>-171</v>
      </c>
      <c r="BB27" s="412">
        <f>SUM(BB22:BB26)</f>
        <v>90</v>
      </c>
      <c r="BC27" s="412">
        <f>SUM(BC22:BC26)</f>
        <v>59</v>
      </c>
      <c r="BD27" s="412">
        <f t="shared" ref="BD27" si="71">SUM(BD22:BD26)</f>
        <v>943</v>
      </c>
      <c r="BE27" s="412">
        <f t="shared" ref="BE27" si="72">SUM(BE22:BE26)</f>
        <v>-160</v>
      </c>
      <c r="BF27" s="412">
        <f>SUM(BF22:BF26)</f>
        <v>0</v>
      </c>
      <c r="BG27" s="412">
        <f>SUM(BG22:BG26)</f>
        <v>0</v>
      </c>
      <c r="BH27" s="746">
        <f t="shared" si="56"/>
        <v>310350.67700000003</v>
      </c>
      <c r="BI27" s="439"/>
      <c r="BJ27" s="406">
        <f>SUM(BJ22:BJ26)</f>
        <v>0</v>
      </c>
      <c r="BK27" s="839">
        <f t="shared" ref="BK27" si="73">SUM(BK22:BK26)</f>
        <v>0</v>
      </c>
      <c r="BL27" s="926">
        <f t="shared" ref="BL27:BM27" si="74">SUM(BL22:BL26)</f>
        <v>703</v>
      </c>
      <c r="BM27" s="406">
        <f t="shared" si="74"/>
        <v>162</v>
      </c>
      <c r="BN27" s="406">
        <f t="shared" ref="BN27" si="75">SUM(BN22:BN26)</f>
        <v>153</v>
      </c>
      <c r="BO27" s="412">
        <f>SUM(BO22:BO26)</f>
        <v>0</v>
      </c>
      <c r="BP27" s="406">
        <f t="shared" ref="BP27:BQ27" si="76">SUM(BP22:BP26)</f>
        <v>0</v>
      </c>
      <c r="BQ27" s="412">
        <f t="shared" si="76"/>
        <v>2180.7449999999999</v>
      </c>
      <c r="BR27" s="412">
        <f>SUM(BR22:BR26)</f>
        <v>597</v>
      </c>
      <c r="BS27" s="412">
        <f>SUM(BS22:BS26)</f>
        <v>0</v>
      </c>
      <c r="BT27" s="412">
        <f>SUM(BT22:BT26)</f>
        <v>59</v>
      </c>
      <c r="BU27" s="412">
        <f t="shared" ref="BU27" si="77">SUM(BU22:BU26)</f>
        <v>0</v>
      </c>
      <c r="BV27" s="412">
        <f>SUM(BV22:BV26)</f>
        <v>0</v>
      </c>
      <c r="BW27" s="412">
        <f>SUM(BW22:BW26)</f>
        <v>0</v>
      </c>
      <c r="BX27" s="607">
        <f t="shared" si="57"/>
        <v>314205.42200000002</v>
      </c>
      <c r="BY27" s="412">
        <f t="shared" ref="BY27" si="78">SUM(BY22:BY26)</f>
        <v>3854.7449999999953</v>
      </c>
    </row>
    <row r="28" spans="1:77" s="396" customFormat="1" ht="8.25" customHeight="1">
      <c r="A28" s="394"/>
      <c r="E28" s="399"/>
      <c r="F28" s="406"/>
      <c r="G28" s="406"/>
      <c r="H28" s="406"/>
      <c r="I28" s="406"/>
      <c r="J28" s="406"/>
      <c r="K28" s="406"/>
      <c r="L28" s="406"/>
      <c r="M28" s="406"/>
      <c r="N28" s="406"/>
      <c r="O28" s="406"/>
      <c r="P28" s="406"/>
      <c r="Q28" s="406"/>
      <c r="R28" s="406"/>
      <c r="S28" s="406"/>
      <c r="T28" s="839"/>
      <c r="U28" s="852"/>
      <c r="V28" s="406"/>
      <c r="W28" s="412"/>
      <c r="X28" s="406"/>
      <c r="Y28" s="839"/>
      <c r="Z28" s="852"/>
      <c r="AA28" s="839"/>
      <c r="AB28" s="839"/>
      <c r="AC28" s="972"/>
      <c r="AD28" s="406"/>
      <c r="AE28" s="406"/>
      <c r="AF28" s="406"/>
      <c r="AG28" s="406"/>
      <c r="AH28" s="406"/>
      <c r="AI28" s="839"/>
      <c r="AJ28" s="406"/>
      <c r="AK28" s="406"/>
      <c r="AL28" s="926"/>
      <c r="AM28" s="406"/>
      <c r="AN28" s="406"/>
      <c r="AO28" s="406"/>
      <c r="AP28" s="406"/>
      <c r="AQ28" s="412"/>
      <c r="AR28" s="406"/>
      <c r="AS28" s="412"/>
      <c r="AT28" s="412"/>
      <c r="AU28" s="406"/>
      <c r="AV28" s="412"/>
      <c r="AW28" s="412"/>
      <c r="AX28" s="412"/>
      <c r="AY28" s="412"/>
      <c r="AZ28" s="412"/>
      <c r="BA28" s="412"/>
      <c r="BB28" s="412"/>
      <c r="BC28" s="412"/>
      <c r="BD28" s="412"/>
      <c r="BE28" s="412"/>
      <c r="BF28" s="412"/>
      <c r="BG28" s="412"/>
      <c r="BH28" s="746"/>
      <c r="BI28" s="439"/>
      <c r="BJ28" s="406"/>
      <c r="BK28" s="839"/>
      <c r="BL28" s="926"/>
      <c r="BM28" s="406"/>
      <c r="BN28" s="406"/>
      <c r="BO28" s="412"/>
      <c r="BP28" s="406"/>
      <c r="BQ28" s="412"/>
      <c r="BR28" s="412"/>
      <c r="BS28" s="412"/>
      <c r="BT28" s="412"/>
      <c r="BU28" s="412"/>
      <c r="BV28" s="412"/>
      <c r="BW28" s="412"/>
      <c r="BX28" s="607"/>
      <c r="BY28" s="412"/>
    </row>
    <row r="29" spans="1:77" s="396" customFormat="1">
      <c r="A29" s="394"/>
      <c r="B29" s="396" t="s">
        <v>199</v>
      </c>
      <c r="E29" s="399">
        <f>E22+E26</f>
        <v>172112</v>
      </c>
      <c r="F29" s="406"/>
      <c r="G29" s="406"/>
      <c r="H29" s="406"/>
      <c r="I29" s="406"/>
      <c r="J29" s="406"/>
      <c r="K29" s="406"/>
      <c r="L29" s="406"/>
      <c r="M29" s="406"/>
      <c r="N29" s="406"/>
      <c r="O29" s="406"/>
      <c r="P29" s="406"/>
      <c r="Q29" s="406"/>
      <c r="R29" s="406"/>
      <c r="S29" s="406"/>
      <c r="T29" s="839"/>
      <c r="U29" s="852"/>
      <c r="V29" s="406"/>
      <c r="W29" s="412"/>
      <c r="X29" s="406"/>
      <c r="Y29" s="839"/>
      <c r="Z29" s="852"/>
      <c r="AA29" s="839"/>
      <c r="AB29" s="839"/>
      <c r="AC29" s="972"/>
      <c r="AD29" s="412"/>
      <c r="AE29" s="406"/>
      <c r="AF29" s="406"/>
      <c r="AG29" s="406"/>
      <c r="AH29" s="406"/>
      <c r="AI29" s="839"/>
      <c r="AJ29" s="406"/>
      <c r="AK29" s="406"/>
      <c r="AL29" s="926"/>
      <c r="AM29" s="406"/>
      <c r="AN29" s="406"/>
      <c r="AO29" s="406"/>
      <c r="AP29" s="406"/>
      <c r="AQ29" s="412"/>
      <c r="AR29" s="406"/>
      <c r="AS29" s="412"/>
      <c r="AT29" s="412"/>
      <c r="AU29" s="406"/>
      <c r="AV29" s="412"/>
      <c r="AW29" s="412"/>
      <c r="AX29" s="412"/>
      <c r="AY29" s="412"/>
      <c r="AZ29" s="412"/>
      <c r="BA29" s="412"/>
      <c r="BB29" s="412"/>
      <c r="BC29" s="412"/>
      <c r="BD29" s="412"/>
      <c r="BE29" s="412"/>
      <c r="BF29" s="412"/>
      <c r="BG29" s="412"/>
      <c r="BH29" s="746">
        <f t="shared" ref="BH29:BH34" si="79">SUM(AC29:BG29)</f>
        <v>0</v>
      </c>
      <c r="BI29" s="439"/>
      <c r="BJ29" s="406"/>
      <c r="BK29" s="839"/>
      <c r="BL29" s="926"/>
      <c r="BM29" s="406"/>
      <c r="BN29" s="406"/>
      <c r="BO29" s="412"/>
      <c r="BP29" s="406"/>
      <c r="BQ29" s="412"/>
      <c r="BR29" s="412"/>
      <c r="BS29" s="412"/>
      <c r="BT29" s="412"/>
      <c r="BU29" s="412"/>
      <c r="BV29" s="412"/>
      <c r="BW29" s="412"/>
      <c r="BX29" s="607">
        <f t="shared" ref="BX29:BX34" si="80">SUM(BH29:BW29)</f>
        <v>0</v>
      </c>
      <c r="BY29" s="412"/>
    </row>
    <row r="30" spans="1:77" s="396" customFormat="1">
      <c r="A30" s="394">
        <v>13</v>
      </c>
      <c r="C30" s="396" t="s">
        <v>195</v>
      </c>
      <c r="E30" s="733">
        <f>'ROO INPUT 1.00'!F31</f>
        <v>24622</v>
      </c>
      <c r="F30" s="406">
        <v>0</v>
      </c>
      <c r="G30" s="406">
        <v>0</v>
      </c>
      <c r="H30" s="406">
        <v>0</v>
      </c>
      <c r="I30" s="406">
        <v>0</v>
      </c>
      <c r="J30" s="406">
        <v>0</v>
      </c>
      <c r="K30" s="406">
        <v>0</v>
      </c>
      <c r="L30" s="406">
        <v>0</v>
      </c>
      <c r="M30" s="406">
        <v>0</v>
      </c>
      <c r="N30" s="406">
        <v>0</v>
      </c>
      <c r="O30" s="406">
        <v>0</v>
      </c>
      <c r="P30" s="406">
        <v>0</v>
      </c>
      <c r="Q30" s="406">
        <v>0</v>
      </c>
      <c r="R30" s="406">
        <v>0</v>
      </c>
      <c r="S30" s="406">
        <v>0</v>
      </c>
      <c r="T30" s="839">
        <v>0</v>
      </c>
      <c r="U30" s="852"/>
      <c r="V30" s="406">
        <v>0</v>
      </c>
      <c r="W30" s="412">
        <v>0</v>
      </c>
      <c r="X30" s="406">
        <v>0</v>
      </c>
      <c r="Y30" s="839">
        <v>0</v>
      </c>
      <c r="Z30" s="852">
        <v>0</v>
      </c>
      <c r="AA30" s="839">
        <v>0</v>
      </c>
      <c r="AB30" s="839">
        <v>0</v>
      </c>
      <c r="AC30" s="972">
        <f>SUM(E30:AB30)</f>
        <v>24622</v>
      </c>
      <c r="AD30" s="406">
        <v>0</v>
      </c>
      <c r="AE30" s="406">
        <v>0</v>
      </c>
      <c r="AF30" s="406">
        <v>0</v>
      </c>
      <c r="AG30" s="406">
        <v>0</v>
      </c>
      <c r="AH30" s="406">
        <v>0</v>
      </c>
      <c r="AI30" s="839"/>
      <c r="AJ30" s="406">
        <v>0</v>
      </c>
      <c r="AK30" s="406">
        <v>0</v>
      </c>
      <c r="AL30" s="926">
        <f>1206+229+169</f>
        <v>1604</v>
      </c>
      <c r="AM30" s="406"/>
      <c r="AN30" s="406">
        <v>-87</v>
      </c>
      <c r="AO30" s="406">
        <v>-1.468</v>
      </c>
      <c r="AP30" s="406">
        <v>0</v>
      </c>
      <c r="AQ30" s="412">
        <v>0</v>
      </c>
      <c r="AR30" s="406">
        <v>0</v>
      </c>
      <c r="AS30" s="412">
        <f>1806367/1000</f>
        <v>1806.367</v>
      </c>
      <c r="AT30" s="412">
        <v>0</v>
      </c>
      <c r="AU30" s="406">
        <v>0</v>
      </c>
      <c r="AV30" s="412">
        <v>0</v>
      </c>
      <c r="AW30" s="412">
        <v>0</v>
      </c>
      <c r="AX30" s="412">
        <v>0</v>
      </c>
      <c r="AY30" s="412"/>
      <c r="AZ30" s="412"/>
      <c r="BA30" s="412">
        <v>-577</v>
      </c>
      <c r="BB30" s="412">
        <v>2950</v>
      </c>
      <c r="BC30" s="412"/>
      <c r="BD30" s="412">
        <v>0</v>
      </c>
      <c r="BE30" s="412">
        <v>0</v>
      </c>
      <c r="BF30" s="412">
        <v>0</v>
      </c>
      <c r="BG30" s="412">
        <v>0</v>
      </c>
      <c r="BH30" s="746">
        <f t="shared" si="79"/>
        <v>30316.898999999998</v>
      </c>
      <c r="BI30" s="439"/>
      <c r="BJ30" s="406">
        <v>0</v>
      </c>
      <c r="BK30" s="839"/>
      <c r="BL30" s="926">
        <f>439+9+25</f>
        <v>473</v>
      </c>
      <c r="BM30" s="406">
        <v>101</v>
      </c>
      <c r="BN30" s="406">
        <v>0</v>
      </c>
      <c r="BO30" s="406">
        <v>0</v>
      </c>
      <c r="BP30" s="406">
        <v>0</v>
      </c>
      <c r="BQ30" s="412">
        <f>802830/1000</f>
        <v>802.83</v>
      </c>
      <c r="BR30" s="412"/>
      <c r="BS30" s="412"/>
      <c r="BT30" s="412"/>
      <c r="BU30" s="412">
        <v>0</v>
      </c>
      <c r="BV30" s="412">
        <v>0</v>
      </c>
      <c r="BW30" s="412">
        <v>0</v>
      </c>
      <c r="BX30" s="607">
        <f t="shared" si="80"/>
        <v>31693.728999999999</v>
      </c>
      <c r="BY30" s="412">
        <f>BX30-BH30</f>
        <v>1376.8300000000017</v>
      </c>
    </row>
    <row r="31" spans="1:77" s="396" customFormat="1">
      <c r="A31" s="394">
        <v>14</v>
      </c>
      <c r="C31" s="396" t="s">
        <v>539</v>
      </c>
      <c r="E31" s="733">
        <f>'ROO INPUT 1.00'!F32</f>
        <v>34676</v>
      </c>
      <c r="F31" s="406">
        <v>0</v>
      </c>
      <c r="G31" s="406">
        <v>0</v>
      </c>
      <c r="H31" s="406">
        <v>0</v>
      </c>
      <c r="I31" s="406">
        <v>0</v>
      </c>
      <c r="J31" s="406">
        <v>0</v>
      </c>
      <c r="K31" s="406">
        <v>0</v>
      </c>
      <c r="L31" s="406">
        <v>0</v>
      </c>
      <c r="M31" s="406">
        <v>0</v>
      </c>
      <c r="N31" s="406">
        <v>0</v>
      </c>
      <c r="O31" s="406">
        <v>0</v>
      </c>
      <c r="P31" s="406">
        <v>0</v>
      </c>
      <c r="Q31" s="406">
        <v>-63</v>
      </c>
      <c r="R31" s="406">
        <v>0</v>
      </c>
      <c r="S31" s="406">
        <v>0</v>
      </c>
      <c r="T31" s="839">
        <v>0</v>
      </c>
      <c r="U31" s="852">
        <v>0</v>
      </c>
      <c r="V31" s="406">
        <v>0</v>
      </c>
      <c r="W31" s="412">
        <v>0</v>
      </c>
      <c r="X31" s="406">
        <v>0</v>
      </c>
      <c r="Y31" s="839">
        <v>0</v>
      </c>
      <c r="Z31" s="852">
        <v>0</v>
      </c>
      <c r="AA31" s="839">
        <v>0</v>
      </c>
      <c r="AB31" s="839">
        <v>0</v>
      </c>
      <c r="AC31" s="972">
        <f>SUM(E31:AB31)</f>
        <v>34613</v>
      </c>
      <c r="AD31" s="406">
        <v>0</v>
      </c>
      <c r="AE31" s="406">
        <v>0</v>
      </c>
      <c r="AF31" s="406">
        <v>0</v>
      </c>
      <c r="AG31" s="406">
        <v>0</v>
      </c>
      <c r="AH31" s="406">
        <v>0</v>
      </c>
      <c r="AI31" s="839">
        <v>0</v>
      </c>
      <c r="AJ31" s="406">
        <v>0</v>
      </c>
      <c r="AK31" s="406">
        <v>0</v>
      </c>
      <c r="AL31" s="926"/>
      <c r="AM31" s="406">
        <v>0</v>
      </c>
      <c r="AN31" s="406">
        <v>0</v>
      </c>
      <c r="AO31" s="406">
        <v>0</v>
      </c>
      <c r="AP31" s="406">
        <v>0</v>
      </c>
      <c r="AQ31" s="412">
        <v>0</v>
      </c>
      <c r="AR31" s="406">
        <v>0</v>
      </c>
      <c r="AS31" s="412"/>
      <c r="AT31" s="412">
        <v>462</v>
      </c>
      <c r="AU31" s="406">
        <v>0</v>
      </c>
      <c r="AV31" s="412">
        <v>1</v>
      </c>
      <c r="AW31" s="412">
        <v>3</v>
      </c>
      <c r="AX31" s="412">
        <v>0</v>
      </c>
      <c r="AY31" s="412">
        <v>1873</v>
      </c>
      <c r="AZ31" s="412">
        <v>1793</v>
      </c>
      <c r="BA31" s="412">
        <v>0</v>
      </c>
      <c r="BB31" s="412">
        <v>187</v>
      </c>
      <c r="BC31" s="412">
        <v>336</v>
      </c>
      <c r="BD31" s="412">
        <v>0</v>
      </c>
      <c r="BE31" s="412">
        <v>0</v>
      </c>
      <c r="BF31" s="412">
        <v>0</v>
      </c>
      <c r="BG31" s="412">
        <v>0</v>
      </c>
      <c r="BH31" s="746">
        <f t="shared" si="79"/>
        <v>39268</v>
      </c>
      <c r="BI31" s="439"/>
      <c r="BJ31" s="406">
        <v>0</v>
      </c>
      <c r="BK31" s="839">
        <v>0</v>
      </c>
      <c r="BL31" s="926"/>
      <c r="BM31" s="406">
        <v>0</v>
      </c>
      <c r="BN31" s="406">
        <v>0</v>
      </c>
      <c r="BO31" s="412">
        <v>0</v>
      </c>
      <c r="BP31" s="406">
        <v>0</v>
      </c>
      <c r="BQ31" s="412"/>
      <c r="BR31" s="412">
        <v>2432</v>
      </c>
      <c r="BS31" s="412">
        <v>0</v>
      </c>
      <c r="BT31" s="412">
        <v>384</v>
      </c>
      <c r="BU31" s="412">
        <v>0</v>
      </c>
      <c r="BV31" s="412">
        <v>0</v>
      </c>
      <c r="BW31" s="412">
        <v>0</v>
      </c>
      <c r="BX31" s="607">
        <f t="shared" si="80"/>
        <v>42084</v>
      </c>
      <c r="BY31" s="412">
        <f>BX31-BH31</f>
        <v>2816</v>
      </c>
    </row>
    <row r="32" spans="1:77" s="396" customFormat="1">
      <c r="A32" s="394" t="s">
        <v>1234</v>
      </c>
      <c r="C32" s="399" t="s">
        <v>537</v>
      </c>
      <c r="E32" s="733">
        <f>'ROO INPUT 1.00'!F33</f>
        <v>0</v>
      </c>
      <c r="F32" s="406"/>
      <c r="G32" s="406"/>
      <c r="H32" s="406"/>
      <c r="I32" s="406"/>
      <c r="J32" s="406"/>
      <c r="K32" s="406"/>
      <c r="L32" s="406"/>
      <c r="M32" s="406"/>
      <c r="N32" s="406"/>
      <c r="O32" s="406"/>
      <c r="P32" s="406"/>
      <c r="Q32" s="406"/>
      <c r="R32" s="406"/>
      <c r="S32" s="406"/>
      <c r="T32" s="839"/>
      <c r="U32" s="852"/>
      <c r="V32" s="406"/>
      <c r="W32" s="412"/>
      <c r="X32" s="406"/>
      <c r="Y32" s="839"/>
      <c r="Z32" s="852"/>
      <c r="AA32" s="839"/>
      <c r="AB32" s="839"/>
      <c r="AC32" s="972">
        <f>SUM(E32:AB32)</f>
        <v>0</v>
      </c>
      <c r="AD32" s="406"/>
      <c r="AE32" s="406"/>
      <c r="AF32" s="406"/>
      <c r="AG32" s="406"/>
      <c r="AH32" s="406"/>
      <c r="AI32" s="839"/>
      <c r="AJ32" s="406"/>
      <c r="AK32" s="406"/>
      <c r="AL32" s="926"/>
      <c r="AM32" s="406"/>
      <c r="AN32" s="406"/>
      <c r="AO32" s="406"/>
      <c r="AP32" s="406"/>
      <c r="AQ32" s="412"/>
      <c r="AR32" s="406"/>
      <c r="AS32" s="412"/>
      <c r="AT32" s="412"/>
      <c r="AU32" s="406">
        <v>62</v>
      </c>
      <c r="AV32" s="412"/>
      <c r="AW32" s="412"/>
      <c r="AX32" s="412"/>
      <c r="AY32" s="412"/>
      <c r="AZ32" s="412"/>
      <c r="BA32" s="412"/>
      <c r="BB32" s="412"/>
      <c r="BC32" s="412"/>
      <c r="BD32" s="412"/>
      <c r="BE32" s="412"/>
      <c r="BF32" s="412"/>
      <c r="BG32" s="412"/>
      <c r="BH32" s="746">
        <f t="shared" si="79"/>
        <v>62</v>
      </c>
      <c r="BI32" s="439"/>
      <c r="BJ32" s="406"/>
      <c r="BK32" s="839"/>
      <c r="BL32" s="926"/>
      <c r="BM32" s="406"/>
      <c r="BN32" s="406"/>
      <c r="BO32" s="412"/>
      <c r="BP32" s="406">
        <v>46</v>
      </c>
      <c r="BQ32" s="412"/>
      <c r="BR32" s="412"/>
      <c r="BS32" s="412"/>
      <c r="BT32" s="412"/>
      <c r="BU32" s="412"/>
      <c r="BV32" s="412"/>
      <c r="BW32" s="412"/>
      <c r="BX32" s="607">
        <f t="shared" si="80"/>
        <v>108</v>
      </c>
      <c r="BY32" s="412">
        <f>BX32-BH32</f>
        <v>46</v>
      </c>
    </row>
    <row r="33" spans="1:78" s="396" customFormat="1">
      <c r="A33" s="394">
        <v>15</v>
      </c>
      <c r="C33" s="396" t="s">
        <v>197</v>
      </c>
      <c r="E33" s="732">
        <f>'ROO INPUT 1.00'!F34</f>
        <v>49705</v>
      </c>
      <c r="F33" s="413">
        <v>0</v>
      </c>
      <c r="G33" s="413">
        <v>0</v>
      </c>
      <c r="H33" s="413">
        <v>0</v>
      </c>
      <c r="I33" s="413">
        <v>-19456</v>
      </c>
      <c r="J33" s="413">
        <v>1</v>
      </c>
      <c r="K33" s="413">
        <v>0</v>
      </c>
      <c r="L33" s="413">
        <v>0</v>
      </c>
      <c r="M33" s="413">
        <v>0</v>
      </c>
      <c r="N33" s="413">
        <v>0</v>
      </c>
      <c r="O33" s="413">
        <v>0</v>
      </c>
      <c r="P33" s="413">
        <v>18</v>
      </c>
      <c r="Q33" s="413">
        <v>0</v>
      </c>
      <c r="R33" s="413">
        <f>ROUND(R$13*'CF '!$E$16,0)</f>
        <v>-315</v>
      </c>
      <c r="S33" s="413">
        <f>ROUND(S$13*'CF '!$E$16,0)</f>
        <v>-1022</v>
      </c>
      <c r="T33" s="848">
        <v>0</v>
      </c>
      <c r="U33" s="848">
        <v>0</v>
      </c>
      <c r="V33" s="413">
        <v>0</v>
      </c>
      <c r="W33" s="413">
        <v>0</v>
      </c>
      <c r="X33" s="413">
        <f>ROUND(X$13*'CF '!$E$16,0)</f>
        <v>887</v>
      </c>
      <c r="Y33" s="848">
        <v>0</v>
      </c>
      <c r="Z33" s="848">
        <v>0</v>
      </c>
      <c r="AA33" s="848">
        <v>0</v>
      </c>
      <c r="AB33" s="848">
        <v>0</v>
      </c>
      <c r="AC33" s="974">
        <f>SUM(E33:AB33)</f>
        <v>29818</v>
      </c>
      <c r="AD33" s="413">
        <f>ROUND(AD$13*'CF '!$E$16,0)</f>
        <v>0</v>
      </c>
      <c r="AE33" s="413"/>
      <c r="AF33" s="413">
        <f>ROUND(AF$13*'CF '!$E$16,0)</f>
        <v>574</v>
      </c>
      <c r="AG33" s="413">
        <v>0</v>
      </c>
      <c r="AH33" s="413">
        <v>0</v>
      </c>
      <c r="AI33" s="848">
        <v>0</v>
      </c>
      <c r="AJ33" s="413">
        <v>0</v>
      </c>
      <c r="AK33" s="413">
        <v>0</v>
      </c>
      <c r="AL33" s="928">
        <v>0</v>
      </c>
      <c r="AM33" s="413">
        <v>0</v>
      </c>
      <c r="AN33" s="413">
        <v>0</v>
      </c>
      <c r="AO33" s="413">
        <v>0</v>
      </c>
      <c r="AP33" s="413">
        <v>905</v>
      </c>
      <c r="AQ33" s="413">
        <v>0</v>
      </c>
      <c r="AR33" s="413">
        <v>0</v>
      </c>
      <c r="AS33" s="413">
        <v>0</v>
      </c>
      <c r="AT33" s="413">
        <v>0</v>
      </c>
      <c r="AU33" s="413">
        <v>0</v>
      </c>
      <c r="AV33" s="413">
        <v>0</v>
      </c>
      <c r="AW33" s="413">
        <v>0</v>
      </c>
      <c r="AX33" s="413">
        <v>0</v>
      </c>
      <c r="AY33" s="413">
        <v>0</v>
      </c>
      <c r="AZ33" s="413">
        <v>0</v>
      </c>
      <c r="BA33" s="413">
        <v>0</v>
      </c>
      <c r="BB33" s="413">
        <v>0</v>
      </c>
      <c r="BC33" s="413">
        <v>0</v>
      </c>
      <c r="BD33" s="413">
        <v>0</v>
      </c>
      <c r="BE33" s="413">
        <v>0</v>
      </c>
      <c r="BF33" s="413">
        <v>0</v>
      </c>
      <c r="BG33" s="413">
        <v>0</v>
      </c>
      <c r="BH33" s="748">
        <f t="shared" si="79"/>
        <v>31297</v>
      </c>
      <c r="BI33" s="439"/>
      <c r="BJ33" s="413">
        <v>0</v>
      </c>
      <c r="BK33" s="848">
        <v>0</v>
      </c>
      <c r="BL33" s="928">
        <v>0</v>
      </c>
      <c r="BM33" s="413">
        <v>0</v>
      </c>
      <c r="BN33" s="413">
        <v>473</v>
      </c>
      <c r="BO33" s="413">
        <v>0</v>
      </c>
      <c r="BP33" s="413">
        <v>0</v>
      </c>
      <c r="BQ33" s="413">
        <v>0</v>
      </c>
      <c r="BR33" s="413">
        <v>0</v>
      </c>
      <c r="BS33" s="413">
        <v>0</v>
      </c>
      <c r="BT33" s="413">
        <v>0</v>
      </c>
      <c r="BU33" s="413">
        <v>0</v>
      </c>
      <c r="BV33" s="413">
        <v>0</v>
      </c>
      <c r="BW33" s="413">
        <v>0</v>
      </c>
      <c r="BX33" s="609">
        <f t="shared" si="80"/>
        <v>31770</v>
      </c>
      <c r="BY33" s="1298">
        <f>BX33-BH33</f>
        <v>473</v>
      </c>
      <c r="BZ33" s="614"/>
    </row>
    <row r="34" spans="1:78" s="396" customFormat="1">
      <c r="A34" s="394">
        <v>16</v>
      </c>
      <c r="B34" s="396" t="s">
        <v>200</v>
      </c>
      <c r="E34" s="399">
        <f t="shared" ref="E34:AR34" si="81">SUM(E30:E33)</f>
        <v>109003</v>
      </c>
      <c r="F34" s="406">
        <f t="shared" si="81"/>
        <v>0</v>
      </c>
      <c r="G34" s="406">
        <f t="shared" si="81"/>
        <v>0</v>
      </c>
      <c r="H34" s="406">
        <f t="shared" si="81"/>
        <v>0</v>
      </c>
      <c r="I34" s="406">
        <f t="shared" si="81"/>
        <v>-19456</v>
      </c>
      <c r="J34" s="406">
        <f t="shared" si="81"/>
        <v>1</v>
      </c>
      <c r="K34" s="406">
        <f t="shared" si="81"/>
        <v>0</v>
      </c>
      <c r="L34" s="406">
        <f t="shared" si="81"/>
        <v>0</v>
      </c>
      <c r="M34" s="406">
        <f t="shared" si="81"/>
        <v>0</v>
      </c>
      <c r="N34" s="406">
        <f t="shared" si="81"/>
        <v>0</v>
      </c>
      <c r="O34" s="406">
        <f t="shared" si="81"/>
        <v>0</v>
      </c>
      <c r="P34" s="406">
        <f t="shared" si="81"/>
        <v>18</v>
      </c>
      <c r="Q34" s="406">
        <f t="shared" si="81"/>
        <v>-63</v>
      </c>
      <c r="R34" s="406">
        <f t="shared" si="81"/>
        <v>-315</v>
      </c>
      <c r="S34" s="406">
        <f t="shared" si="81"/>
        <v>-1022</v>
      </c>
      <c r="T34" s="839">
        <f t="shared" si="81"/>
        <v>0</v>
      </c>
      <c r="U34" s="852">
        <f>SUM(U30:U33)</f>
        <v>0</v>
      </c>
      <c r="V34" s="406">
        <f>SUM(V30:V33)</f>
        <v>0</v>
      </c>
      <c r="W34" s="412">
        <f>SUM(W30:W33)</f>
        <v>0</v>
      </c>
      <c r="X34" s="406">
        <f t="shared" si="81"/>
        <v>887</v>
      </c>
      <c r="Y34" s="839">
        <f t="shared" si="81"/>
        <v>0</v>
      </c>
      <c r="Z34" s="852">
        <f t="shared" si="81"/>
        <v>0</v>
      </c>
      <c r="AA34" s="839">
        <f>SUM(AA30:AA33)</f>
        <v>0</v>
      </c>
      <c r="AB34" s="839">
        <f t="shared" ref="AB34" si="82">SUM(AB30:AB33)</f>
        <v>0</v>
      </c>
      <c r="AC34" s="972">
        <f>SUM(AC30:AC33)</f>
        <v>89053</v>
      </c>
      <c r="AD34" s="406">
        <f>SUM(AD30:AD33)</f>
        <v>0</v>
      </c>
      <c r="AE34" s="406">
        <f t="shared" ref="AE34" si="83">SUM(AE30:AE33)</f>
        <v>0</v>
      </c>
      <c r="AF34" s="406">
        <f t="shared" ref="AF34" si="84">SUM(AF30:AF33)</f>
        <v>574</v>
      </c>
      <c r="AG34" s="406">
        <f>SUM(AG30:AG33)</f>
        <v>0</v>
      </c>
      <c r="AH34" s="406">
        <f t="shared" ref="AH34" si="85">SUM(AH30:AH33)</f>
        <v>0</v>
      </c>
      <c r="AI34" s="839">
        <f>SUM(AI30:AI33)</f>
        <v>0</v>
      </c>
      <c r="AJ34" s="406">
        <f t="shared" ref="AJ34" si="86">SUM(AJ30:AJ33)</f>
        <v>0</v>
      </c>
      <c r="AK34" s="406">
        <f>SUM(AK30:AK33)</f>
        <v>0</v>
      </c>
      <c r="AL34" s="926">
        <f t="shared" si="81"/>
        <v>1604</v>
      </c>
      <c r="AM34" s="406">
        <f t="shared" si="81"/>
        <v>0</v>
      </c>
      <c r="AN34" s="406">
        <f t="shared" si="81"/>
        <v>-87</v>
      </c>
      <c r="AO34" s="406">
        <f>SUM(AO30:AO33)</f>
        <v>-1.468</v>
      </c>
      <c r="AP34" s="406">
        <f>SUM(AP30:AP33)</f>
        <v>905</v>
      </c>
      <c r="AQ34" s="412">
        <f>SUM(AQ30:AQ33)</f>
        <v>0</v>
      </c>
      <c r="AR34" s="406">
        <f t="shared" si="81"/>
        <v>0</v>
      </c>
      <c r="AS34" s="412">
        <f>SUM(AS30:AS33)</f>
        <v>1806.367</v>
      </c>
      <c r="AT34" s="412">
        <f>SUM(AT30:AT33)</f>
        <v>462</v>
      </c>
      <c r="AU34" s="406">
        <f t="shared" ref="AU34" si="87">SUM(AU30:AU33)</f>
        <v>62</v>
      </c>
      <c r="AV34" s="412">
        <f>SUM(AV30:AV33)</f>
        <v>1</v>
      </c>
      <c r="AW34" s="412">
        <f t="shared" ref="AW34" si="88">SUM(AW30:AW33)</f>
        <v>3</v>
      </c>
      <c r="AX34" s="412">
        <f t="shared" ref="AX34" si="89">SUM(AX30:AX33)</f>
        <v>0</v>
      </c>
      <c r="AY34" s="412">
        <f t="shared" ref="AY34" si="90">SUM(AY30:AY33)</f>
        <v>1873</v>
      </c>
      <c r="AZ34" s="412">
        <f>SUM(AZ30:AZ33)</f>
        <v>1793</v>
      </c>
      <c r="BA34" s="412">
        <f>SUM(BA30:BA33)</f>
        <v>-577</v>
      </c>
      <c r="BB34" s="412">
        <f>SUM(BB30:BB33)</f>
        <v>3137</v>
      </c>
      <c r="BC34" s="412">
        <f>SUM(BC30:BC33)</f>
        <v>336</v>
      </c>
      <c r="BD34" s="412">
        <f t="shared" ref="BD34" si="91">SUM(BD30:BD33)</f>
        <v>0</v>
      </c>
      <c r="BE34" s="412">
        <f t="shared" ref="BE34" si="92">SUM(BE30:BE33)</f>
        <v>0</v>
      </c>
      <c r="BF34" s="412">
        <f>SUM(BF30:BF33)</f>
        <v>0</v>
      </c>
      <c r="BG34" s="412">
        <f>SUM(BG30:BG33)</f>
        <v>0</v>
      </c>
      <c r="BH34" s="746">
        <f t="shared" si="79"/>
        <v>100943.899</v>
      </c>
      <c r="BI34" s="439"/>
      <c r="BJ34" s="406">
        <f t="shared" ref="BJ34" si="93">SUM(BJ30:BJ33)</f>
        <v>0</v>
      </c>
      <c r="BK34" s="839">
        <f t="shared" ref="BK34" si="94">SUM(BK30:BK33)</f>
        <v>0</v>
      </c>
      <c r="BL34" s="926">
        <f t="shared" ref="BL34:BM34" si="95">SUM(BL30:BL33)</f>
        <v>473</v>
      </c>
      <c r="BM34" s="406">
        <f t="shared" si="95"/>
        <v>101</v>
      </c>
      <c r="BN34" s="406">
        <f>SUM(BN30:BN33)</f>
        <v>473</v>
      </c>
      <c r="BO34" s="412">
        <f>SUM(BO30:BO33)</f>
        <v>0</v>
      </c>
      <c r="BP34" s="406">
        <f t="shared" ref="BP34:BQ34" si="96">SUM(BP30:BP33)</f>
        <v>46</v>
      </c>
      <c r="BQ34" s="412">
        <f t="shared" si="96"/>
        <v>802.83</v>
      </c>
      <c r="BR34" s="412">
        <f>SUM(BR30:BR33)</f>
        <v>2432</v>
      </c>
      <c r="BS34" s="412">
        <f>SUM(BS30:BS33)</f>
        <v>0</v>
      </c>
      <c r="BT34" s="412">
        <f>SUM(BT30:BT33)</f>
        <v>384</v>
      </c>
      <c r="BU34" s="412">
        <f t="shared" ref="BU34" si="97">SUM(BU30:BU33)</f>
        <v>0</v>
      </c>
      <c r="BV34" s="412">
        <f>SUM(BV30:BV33)</f>
        <v>0</v>
      </c>
      <c r="BW34" s="412">
        <f>SUM(BW30:BW33)</f>
        <v>0</v>
      </c>
      <c r="BX34" s="607">
        <f t="shared" si="80"/>
        <v>105655.72900000001</v>
      </c>
      <c r="BY34" s="412">
        <f t="shared" ref="BY34" si="98">SUM(BY30:BY33)</f>
        <v>4711.8300000000017</v>
      </c>
      <c r="BZ34" s="614"/>
    </row>
    <row r="35" spans="1:78" s="396" customFormat="1" ht="6" customHeight="1">
      <c r="E35" s="399"/>
      <c r="F35" s="406"/>
      <c r="G35" s="406"/>
      <c r="H35" s="406"/>
      <c r="I35" s="406"/>
      <c r="J35" s="406"/>
      <c r="K35" s="406"/>
      <c r="L35" s="406"/>
      <c r="M35" s="406"/>
      <c r="N35" s="406"/>
      <c r="O35" s="406"/>
      <c r="P35" s="406"/>
      <c r="Q35" s="406"/>
      <c r="R35" s="406"/>
      <c r="S35" s="406"/>
      <c r="T35" s="839"/>
      <c r="U35" s="852"/>
      <c r="V35" s="406"/>
      <c r="W35" s="412"/>
      <c r="X35" s="406"/>
      <c r="Y35" s="839"/>
      <c r="Z35" s="852"/>
      <c r="AA35" s="839"/>
      <c r="AB35" s="839"/>
      <c r="AC35" s="972"/>
      <c r="AD35" s="406"/>
      <c r="AE35" s="406"/>
      <c r="AF35" s="406"/>
      <c r="AG35" s="406"/>
      <c r="AH35" s="406"/>
      <c r="AI35" s="839"/>
      <c r="AJ35" s="406"/>
      <c r="AK35" s="406"/>
      <c r="AL35" s="926"/>
      <c r="AM35" s="406"/>
      <c r="AN35" s="406"/>
      <c r="AO35" s="406"/>
      <c r="AP35" s="406"/>
      <c r="AQ35" s="412"/>
      <c r="AR35" s="406"/>
      <c r="AS35" s="412"/>
      <c r="AT35" s="412"/>
      <c r="AU35" s="406"/>
      <c r="AV35" s="412"/>
      <c r="AW35" s="412"/>
      <c r="AX35" s="412"/>
      <c r="AY35" s="412"/>
      <c r="AZ35" s="412"/>
      <c r="BA35" s="412"/>
      <c r="BB35" s="412"/>
      <c r="BC35" s="412"/>
      <c r="BD35" s="412"/>
      <c r="BE35" s="412"/>
      <c r="BF35" s="412"/>
      <c r="BG35" s="412"/>
      <c r="BH35" s="746"/>
      <c r="BI35" s="439"/>
      <c r="BJ35" s="406"/>
      <c r="BK35" s="839"/>
      <c r="BL35" s="926"/>
      <c r="BM35" s="406"/>
      <c r="BN35" s="406"/>
      <c r="BO35" s="412"/>
      <c r="BP35" s="406"/>
      <c r="BQ35" s="412"/>
      <c r="BR35" s="412"/>
      <c r="BS35" s="412"/>
      <c r="BT35" s="412"/>
      <c r="BU35" s="412"/>
      <c r="BV35" s="412"/>
      <c r="BW35" s="412"/>
      <c r="BX35" s="607"/>
      <c r="BY35" s="412"/>
      <c r="BZ35" s="614"/>
    </row>
    <row r="36" spans="1:78" s="399" customFormat="1">
      <c r="A36" s="418">
        <v>17</v>
      </c>
      <c r="B36" s="399" t="s">
        <v>201</v>
      </c>
      <c r="E36" s="733">
        <f>'ROO INPUT 1.00'!F37</f>
        <v>15849</v>
      </c>
      <c r="F36" s="406">
        <v>0</v>
      </c>
      <c r="G36" s="406">
        <v>1</v>
      </c>
      <c r="H36" s="406">
        <v>0</v>
      </c>
      <c r="I36" s="406">
        <v>0</v>
      </c>
      <c r="J36" s="406">
        <v>0</v>
      </c>
      <c r="K36" s="406">
        <v>1572</v>
      </c>
      <c r="L36" s="406">
        <v>0</v>
      </c>
      <c r="M36" s="406">
        <v>0</v>
      </c>
      <c r="N36" s="406">
        <v>0</v>
      </c>
      <c r="O36" s="406">
        <v>0</v>
      </c>
      <c r="P36" s="406">
        <v>0</v>
      </c>
      <c r="Q36" s="406">
        <v>0</v>
      </c>
      <c r="R36" s="406">
        <f>ROUND(R$13*'CF '!$E$12,0)</f>
        <v>-27</v>
      </c>
      <c r="S36" s="406">
        <f>ROUND(S$13*'CF '!$E$12,0)</f>
        <v>-88</v>
      </c>
      <c r="T36" s="839">
        <v>0</v>
      </c>
      <c r="U36" s="852">
        <v>0</v>
      </c>
      <c r="V36" s="406">
        <v>0</v>
      </c>
      <c r="W36" s="412">
        <v>0</v>
      </c>
      <c r="X36" s="406">
        <f>ROUND(X$13*'CF '!$E$12,0)</f>
        <v>76</v>
      </c>
      <c r="Y36" s="839">
        <v>0</v>
      </c>
      <c r="Z36" s="852">
        <v>0</v>
      </c>
      <c r="AA36" s="839">
        <v>0</v>
      </c>
      <c r="AB36" s="839">
        <v>0</v>
      </c>
      <c r="AC36" s="972">
        <f>SUM(E36:AB36)</f>
        <v>17383</v>
      </c>
      <c r="AD36" s="406">
        <f>ROUND(AD$13*'CF '!$E$12,0)</f>
        <v>0</v>
      </c>
      <c r="AE36" s="406"/>
      <c r="AF36" s="406">
        <f>ROUND(AF$13*'CF '!$E$12,0)</f>
        <v>49</v>
      </c>
      <c r="AG36" s="406"/>
      <c r="AH36" s="406">
        <v>0</v>
      </c>
      <c r="AI36" s="839">
        <v>-1682</v>
      </c>
      <c r="AJ36" s="406">
        <v>0</v>
      </c>
      <c r="AK36" s="406">
        <v>0</v>
      </c>
      <c r="AL36" s="926">
        <f>292+21+15</f>
        <v>328</v>
      </c>
      <c r="AM36" s="406">
        <v>0</v>
      </c>
      <c r="AN36" s="406">
        <v>-39</v>
      </c>
      <c r="AO36" s="406">
        <v>-11.215</v>
      </c>
      <c r="AP36" s="406">
        <v>0</v>
      </c>
      <c r="AQ36" s="412">
        <v>0</v>
      </c>
      <c r="AR36" s="406">
        <v>0</v>
      </c>
      <c r="AS36" s="412">
        <f>315691/1000</f>
        <v>315.69099999999997</v>
      </c>
      <c r="AT36" s="412">
        <v>0</v>
      </c>
      <c r="AU36" s="406">
        <v>0</v>
      </c>
      <c r="AV36" s="412">
        <v>0</v>
      </c>
      <c r="AW36" s="412">
        <v>0</v>
      </c>
      <c r="AX36" s="412">
        <v>0</v>
      </c>
      <c r="AY36" s="412">
        <v>0</v>
      </c>
      <c r="AZ36" s="412">
        <v>0</v>
      </c>
      <c r="BA36" s="412">
        <v>0</v>
      </c>
      <c r="BB36" s="412">
        <v>0</v>
      </c>
      <c r="BC36" s="412">
        <v>0</v>
      </c>
      <c r="BD36" s="412">
        <v>0</v>
      </c>
      <c r="BE36" s="412">
        <v>0</v>
      </c>
      <c r="BF36" s="412">
        <v>0</v>
      </c>
      <c r="BG36" s="412">
        <v>0</v>
      </c>
      <c r="BH36" s="746">
        <f>SUM(AC36:BG36)</f>
        <v>16343.476000000001</v>
      </c>
      <c r="BI36" s="439"/>
      <c r="BJ36" s="406">
        <v>0</v>
      </c>
      <c r="BK36" s="839">
        <v>0</v>
      </c>
      <c r="BL36" s="926">
        <f>113+1+2</f>
        <v>116</v>
      </c>
      <c r="BM36" s="406">
        <v>46</v>
      </c>
      <c r="BN36" s="406">
        <v>0</v>
      </c>
      <c r="BO36" s="412">
        <v>0</v>
      </c>
      <c r="BP36" s="406">
        <v>0</v>
      </c>
      <c r="BQ36" s="412">
        <f>140307/1000</f>
        <v>140.30699999999999</v>
      </c>
      <c r="BR36" s="412">
        <v>0</v>
      </c>
      <c r="BS36" s="412">
        <v>0</v>
      </c>
      <c r="BT36" s="412">
        <v>0</v>
      </c>
      <c r="BU36" s="412">
        <v>0</v>
      </c>
      <c r="BV36" s="412">
        <v>0</v>
      </c>
      <c r="BW36" s="412">
        <v>0</v>
      </c>
      <c r="BX36" s="607">
        <f>SUM(BH36:BW36)</f>
        <v>16645.783000000003</v>
      </c>
      <c r="BY36" s="412">
        <f>BX36-BH36</f>
        <v>302.30700000000252</v>
      </c>
      <c r="BZ36" s="1114"/>
    </row>
    <row r="37" spans="1:78" s="399" customFormat="1" ht="12.75" customHeight="1">
      <c r="A37" s="418">
        <v>18</v>
      </c>
      <c r="B37" s="399" t="s">
        <v>202</v>
      </c>
      <c r="E37" s="733">
        <f>'ROO INPUT 1.00'!F38</f>
        <v>25245</v>
      </c>
      <c r="F37" s="406">
        <v>0</v>
      </c>
      <c r="G37" s="406">
        <v>0</v>
      </c>
      <c r="H37" s="406">
        <v>0</v>
      </c>
      <c r="I37" s="406">
        <v>0</v>
      </c>
      <c r="J37" s="406">
        <v>0</v>
      </c>
      <c r="K37" s="406">
        <v>0</v>
      </c>
      <c r="L37" s="406">
        <v>0</v>
      </c>
      <c r="M37" s="406">
        <v>0</v>
      </c>
      <c r="N37" s="406">
        <v>0</v>
      </c>
      <c r="O37" s="406">
        <v>0</v>
      </c>
      <c r="P37" s="406">
        <v>0</v>
      </c>
      <c r="Q37" s="406">
        <v>0</v>
      </c>
      <c r="R37" s="406">
        <v>0</v>
      </c>
      <c r="S37" s="406">
        <v>-24041</v>
      </c>
      <c r="T37" s="839">
        <v>0</v>
      </c>
      <c r="U37" s="852">
        <v>0</v>
      </c>
      <c r="V37" s="406">
        <v>0</v>
      </c>
      <c r="W37" s="412">
        <v>0</v>
      </c>
      <c r="X37" s="406">
        <v>0</v>
      </c>
      <c r="Y37" s="839">
        <v>0</v>
      </c>
      <c r="Z37" s="852">
        <v>0</v>
      </c>
      <c r="AA37" s="839">
        <v>0</v>
      </c>
      <c r="AB37" s="839">
        <v>0</v>
      </c>
      <c r="AC37" s="972">
        <f>SUM(E37:AB37)</f>
        <v>1204</v>
      </c>
      <c r="AD37" s="406">
        <v>0</v>
      </c>
      <c r="AE37" s="406">
        <v>0</v>
      </c>
      <c r="AF37" s="406">
        <v>0</v>
      </c>
      <c r="AG37" s="406">
        <v>0</v>
      </c>
      <c r="AH37" s="406">
        <v>0</v>
      </c>
      <c r="AI37" s="839">
        <v>0</v>
      </c>
      <c r="AJ37" s="406">
        <v>0</v>
      </c>
      <c r="AK37" s="406">
        <v>0</v>
      </c>
      <c r="AL37" s="926">
        <f>16</f>
        <v>16</v>
      </c>
      <c r="AM37" s="406">
        <v>0</v>
      </c>
      <c r="AN37" s="406">
        <v>-4</v>
      </c>
      <c r="AO37" s="406">
        <v>0</v>
      </c>
      <c r="AP37" s="406">
        <v>0</v>
      </c>
      <c r="AQ37" s="412">
        <v>0</v>
      </c>
      <c r="AR37" s="406">
        <v>0</v>
      </c>
      <c r="AS37" s="412">
        <f>155919/1000</f>
        <v>155.91900000000001</v>
      </c>
      <c r="AT37" s="412">
        <v>0</v>
      </c>
      <c r="AU37" s="406">
        <v>0</v>
      </c>
      <c r="AV37" s="412">
        <v>0</v>
      </c>
      <c r="AW37" s="412">
        <v>0</v>
      </c>
      <c r="AX37" s="412">
        <v>0</v>
      </c>
      <c r="AY37" s="412">
        <v>0</v>
      </c>
      <c r="AZ37" s="412">
        <v>0</v>
      </c>
      <c r="BA37" s="412">
        <v>-73</v>
      </c>
      <c r="BB37" s="412">
        <v>0</v>
      </c>
      <c r="BC37" s="412">
        <v>0</v>
      </c>
      <c r="BD37" s="412">
        <v>0</v>
      </c>
      <c r="BE37" s="412">
        <v>0</v>
      </c>
      <c r="BF37" s="412">
        <v>0</v>
      </c>
      <c r="BG37" s="412">
        <v>0</v>
      </c>
      <c r="BH37" s="746">
        <f>SUM(AC37:BG37)</f>
        <v>1298.9190000000001</v>
      </c>
      <c r="BI37" s="439"/>
      <c r="BJ37" s="406">
        <v>0</v>
      </c>
      <c r="BK37" s="839">
        <v>0</v>
      </c>
      <c r="BL37" s="926">
        <f>6</f>
        <v>6</v>
      </c>
      <c r="BM37" s="406">
        <v>5</v>
      </c>
      <c r="BN37" s="406">
        <v>0</v>
      </c>
      <c r="BO37" s="412">
        <v>0</v>
      </c>
      <c r="BP37" s="406">
        <v>0</v>
      </c>
      <c r="BQ37" s="412">
        <f>69297/1000</f>
        <v>69.296999999999997</v>
      </c>
      <c r="BR37" s="412">
        <v>0</v>
      </c>
      <c r="BS37" s="412">
        <v>0</v>
      </c>
      <c r="BT37" s="412">
        <v>0</v>
      </c>
      <c r="BU37" s="412">
        <v>0</v>
      </c>
      <c r="BV37" s="412">
        <v>0</v>
      </c>
      <c r="BW37" s="412">
        <v>0</v>
      </c>
      <c r="BX37" s="607">
        <f>SUM(BH37:BW37)</f>
        <v>1379.2160000000001</v>
      </c>
      <c r="BY37" s="412">
        <f>BX37-BH37</f>
        <v>80.297000000000025</v>
      </c>
    </row>
    <row r="38" spans="1:78" s="396" customFormat="1" ht="12" customHeight="1">
      <c r="A38" s="394">
        <v>19</v>
      </c>
      <c r="B38" s="396" t="s">
        <v>203</v>
      </c>
      <c r="E38" s="733">
        <f>'ROO INPUT 1.00'!F39</f>
        <v>0</v>
      </c>
      <c r="F38" s="406">
        <v>0</v>
      </c>
      <c r="G38" s="406">
        <v>0</v>
      </c>
      <c r="H38" s="406">
        <v>0</v>
      </c>
      <c r="I38" s="406">
        <v>0</v>
      </c>
      <c r="J38" s="406">
        <v>0</v>
      </c>
      <c r="K38" s="406">
        <v>0</v>
      </c>
      <c r="L38" s="406">
        <v>0</v>
      </c>
      <c r="M38" s="406">
        <v>0</v>
      </c>
      <c r="N38" s="406">
        <v>0</v>
      </c>
      <c r="O38" s="406">
        <v>0</v>
      </c>
      <c r="P38" s="406">
        <v>0</v>
      </c>
      <c r="Q38" s="406">
        <v>0</v>
      </c>
      <c r="R38" s="406">
        <v>0</v>
      </c>
      <c r="S38" s="406">
        <v>0</v>
      </c>
      <c r="T38" s="839">
        <v>0</v>
      </c>
      <c r="U38" s="852">
        <v>0</v>
      </c>
      <c r="V38" s="406">
        <v>0</v>
      </c>
      <c r="W38" s="412">
        <v>0</v>
      </c>
      <c r="X38" s="406">
        <v>0</v>
      </c>
      <c r="Y38" s="839">
        <v>0</v>
      </c>
      <c r="Z38" s="852">
        <v>0</v>
      </c>
      <c r="AA38" s="839">
        <v>0</v>
      </c>
      <c r="AB38" s="839">
        <v>0</v>
      </c>
      <c r="AC38" s="972">
        <f>SUM(E38:AB38)</f>
        <v>0</v>
      </c>
      <c r="AD38" s="406">
        <v>0</v>
      </c>
      <c r="AE38" s="406">
        <v>0</v>
      </c>
      <c r="AF38" s="406">
        <v>0</v>
      </c>
      <c r="AG38" s="406">
        <v>0</v>
      </c>
      <c r="AH38" s="406">
        <v>0</v>
      </c>
      <c r="AI38" s="839">
        <v>0</v>
      </c>
      <c r="AJ38" s="406">
        <v>0</v>
      </c>
      <c r="AK38" s="406">
        <v>0</v>
      </c>
      <c r="AL38" s="926"/>
      <c r="AM38" s="406"/>
      <c r="AN38" s="406"/>
      <c r="AO38" s="406">
        <v>0</v>
      </c>
      <c r="AP38" s="406">
        <v>0</v>
      </c>
      <c r="AQ38" s="412">
        <v>0</v>
      </c>
      <c r="AR38" s="406">
        <v>0</v>
      </c>
      <c r="AS38" s="412">
        <v>0</v>
      </c>
      <c r="AT38" s="412">
        <v>0</v>
      </c>
      <c r="AU38" s="406">
        <v>0</v>
      </c>
      <c r="AV38" s="412">
        <v>0</v>
      </c>
      <c r="AW38" s="412">
        <v>0</v>
      </c>
      <c r="AX38" s="412">
        <v>0</v>
      </c>
      <c r="AY38" s="412">
        <v>0</v>
      </c>
      <c r="AZ38" s="412">
        <v>0</v>
      </c>
      <c r="BA38" s="412">
        <v>0</v>
      </c>
      <c r="BB38" s="412">
        <v>0</v>
      </c>
      <c r="BC38" s="412">
        <v>0</v>
      </c>
      <c r="BD38" s="412">
        <v>0</v>
      </c>
      <c r="BE38" s="412">
        <v>0</v>
      </c>
      <c r="BF38" s="412">
        <v>0</v>
      </c>
      <c r="BG38" s="412">
        <v>0</v>
      </c>
      <c r="BH38" s="746">
        <f>SUM(AC38:BG38)</f>
        <v>0</v>
      </c>
      <c r="BI38" s="439"/>
      <c r="BJ38" s="406">
        <v>0</v>
      </c>
      <c r="BK38" s="839">
        <v>0</v>
      </c>
      <c r="BL38" s="926"/>
      <c r="BM38" s="406"/>
      <c r="BN38" s="406">
        <v>0</v>
      </c>
      <c r="BO38" s="412">
        <v>0</v>
      </c>
      <c r="BP38" s="406">
        <v>0</v>
      </c>
      <c r="BQ38" s="412">
        <v>0</v>
      </c>
      <c r="BR38" s="412">
        <v>0</v>
      </c>
      <c r="BS38" s="412">
        <v>0</v>
      </c>
      <c r="BT38" s="412">
        <v>0</v>
      </c>
      <c r="BU38" s="412">
        <v>0</v>
      </c>
      <c r="BV38" s="412">
        <v>0</v>
      </c>
      <c r="BW38" s="412">
        <v>0</v>
      </c>
      <c r="BX38" s="607">
        <f>SUM(BH38:BW38)</f>
        <v>0</v>
      </c>
      <c r="BY38" s="412">
        <f>BX38-BH38</f>
        <v>0</v>
      </c>
    </row>
    <row r="39" spans="1:78" s="396" customFormat="1" ht="11.25" customHeight="1">
      <c r="A39" s="394"/>
      <c r="E39" s="399"/>
      <c r="F39" s="406"/>
      <c r="G39" s="406"/>
      <c r="H39" s="406"/>
      <c r="I39" s="406"/>
      <c r="J39" s="406"/>
      <c r="K39" s="406"/>
      <c r="L39" s="406"/>
      <c r="M39" s="406"/>
      <c r="N39" s="406"/>
      <c r="O39" s="406"/>
      <c r="P39" s="406"/>
      <c r="Q39" s="406"/>
      <c r="R39" s="406"/>
      <c r="S39" s="406"/>
      <c r="T39" s="839"/>
      <c r="U39" s="852"/>
      <c r="V39" s="406"/>
      <c r="W39" s="412"/>
      <c r="X39" s="406"/>
      <c r="Y39" s="839"/>
      <c r="Z39" s="852"/>
      <c r="AA39" s="839"/>
      <c r="AB39" s="839"/>
      <c r="AC39" s="972"/>
      <c r="AD39" s="406"/>
      <c r="AE39" s="406"/>
      <c r="AF39" s="406"/>
      <c r="AG39" s="406"/>
      <c r="AH39" s="406"/>
      <c r="AI39" s="839"/>
      <c r="AJ39" s="406"/>
      <c r="AK39" s="406"/>
      <c r="AL39" s="926"/>
      <c r="AM39" s="406"/>
      <c r="AN39" s="406"/>
      <c r="AO39" s="406"/>
      <c r="AP39" s="406"/>
      <c r="AQ39" s="412"/>
      <c r="AR39" s="406"/>
      <c r="AS39" s="412"/>
      <c r="AT39" s="412"/>
      <c r="AU39" s="406"/>
      <c r="AV39" s="412"/>
      <c r="AW39" s="412"/>
      <c r="AX39" s="412"/>
      <c r="AY39" s="412"/>
      <c r="AZ39" s="412"/>
      <c r="BA39" s="412"/>
      <c r="BB39" s="412"/>
      <c r="BC39" s="412"/>
      <c r="BD39" s="412"/>
      <c r="BE39" s="412"/>
      <c r="BF39" s="412"/>
      <c r="BG39" s="412"/>
      <c r="BH39" s="746"/>
      <c r="BI39" s="439"/>
      <c r="BJ39" s="406"/>
      <c r="BK39" s="839"/>
      <c r="BL39" s="926"/>
      <c r="BM39" s="406"/>
      <c r="BN39" s="406"/>
      <c r="BO39" s="412"/>
      <c r="BP39" s="406"/>
      <c r="BQ39" s="412"/>
      <c r="BR39" s="412"/>
      <c r="BS39" s="412"/>
      <c r="BT39" s="412"/>
      <c r="BU39" s="412"/>
      <c r="BV39" s="412"/>
      <c r="BW39" s="412"/>
      <c r="BX39" s="607"/>
      <c r="BY39" s="412"/>
    </row>
    <row r="40" spans="1:78" s="396" customFormat="1">
      <c r="B40" s="396" t="s">
        <v>204</v>
      </c>
      <c r="E40" s="399"/>
      <c r="F40" s="406"/>
      <c r="G40" s="406"/>
      <c r="H40" s="406"/>
      <c r="I40" s="406"/>
      <c r="J40" s="406"/>
      <c r="K40" s="406"/>
      <c r="L40" s="406"/>
      <c r="M40" s="406"/>
      <c r="N40" s="406"/>
      <c r="O40" s="406"/>
      <c r="P40" s="406"/>
      <c r="Q40" s="406"/>
      <c r="R40" s="406"/>
      <c r="S40" s="406"/>
      <c r="T40" s="839"/>
      <c r="U40" s="852"/>
      <c r="V40" s="406"/>
      <c r="W40" s="412"/>
      <c r="X40" s="406"/>
      <c r="Y40" s="839"/>
      <c r="Z40" s="852"/>
      <c r="AA40" s="839"/>
      <c r="AB40" s="839"/>
      <c r="AC40" s="972"/>
      <c r="AD40" s="406"/>
      <c r="AE40" s="406"/>
      <c r="AF40" s="406"/>
      <c r="AG40" s="406"/>
      <c r="AH40" s="406"/>
      <c r="AI40" s="839"/>
      <c r="AJ40" s="406"/>
      <c r="AK40" s="406"/>
      <c r="AL40" s="926"/>
      <c r="AM40" s="406"/>
      <c r="AN40" s="406"/>
      <c r="AO40" s="406"/>
      <c r="AP40" s="406"/>
      <c r="AQ40" s="412"/>
      <c r="AR40" s="406"/>
      <c r="AS40" s="412"/>
      <c r="AT40" s="412"/>
      <c r="AU40" s="406"/>
      <c r="AV40" s="412"/>
      <c r="AW40" s="412"/>
      <c r="AX40" s="412"/>
      <c r="AY40" s="412"/>
      <c r="AZ40" s="412"/>
      <c r="BA40" s="412"/>
      <c r="BB40" s="412"/>
      <c r="BC40" s="412"/>
      <c r="BD40" s="412"/>
      <c r="BE40" s="412"/>
      <c r="BF40" s="412"/>
      <c r="BG40" s="412"/>
      <c r="BH40" s="746"/>
      <c r="BI40" s="439"/>
      <c r="BJ40" s="406"/>
      <c r="BK40" s="839"/>
      <c r="BL40" s="926"/>
      <c r="BM40" s="406"/>
      <c r="BN40" s="406"/>
      <c r="BO40" s="412"/>
      <c r="BP40" s="406"/>
      <c r="BQ40" s="412"/>
      <c r="BR40" s="412"/>
      <c r="BS40" s="412"/>
      <c r="BT40" s="412"/>
      <c r="BU40" s="412"/>
      <c r="BV40" s="412"/>
      <c r="BW40" s="412"/>
      <c r="BX40" s="607"/>
      <c r="BY40" s="412"/>
    </row>
    <row r="41" spans="1:78" s="396" customFormat="1">
      <c r="A41" s="394">
        <v>20</v>
      </c>
      <c r="C41" s="396" t="s">
        <v>195</v>
      </c>
      <c r="E41" s="733">
        <f>'ROO INPUT 1.00'!F42</f>
        <v>73927</v>
      </c>
      <c r="F41" s="406">
        <v>0</v>
      </c>
      <c r="G41" s="406">
        <v>0</v>
      </c>
      <c r="H41" s="406">
        <v>0</v>
      </c>
      <c r="I41" s="406">
        <v>0</v>
      </c>
      <c r="J41" s="406">
        <v>0</v>
      </c>
      <c r="K41" s="406">
        <v>0</v>
      </c>
      <c r="L41" s="406">
        <v>42</v>
      </c>
      <c r="M41" s="406">
        <v>-124</v>
      </c>
      <c r="N41" s="406">
        <v>0</v>
      </c>
      <c r="O41" s="406">
        <v>-55</v>
      </c>
      <c r="P41" s="406">
        <v>0</v>
      </c>
      <c r="Q41" s="406">
        <v>0</v>
      </c>
      <c r="R41" s="406">
        <f>ROUND(R$13*'CF '!$E$14,0)</f>
        <v>-16</v>
      </c>
      <c r="S41" s="406">
        <f>ROUND(S$13*'CF '!$E$14,0)</f>
        <v>-53</v>
      </c>
      <c r="T41" s="839">
        <v>-1440</v>
      </c>
      <c r="U41" s="852">
        <v>2739</v>
      </c>
      <c r="V41" s="406">
        <v>0</v>
      </c>
      <c r="W41" s="412">
        <v>0</v>
      </c>
      <c r="X41" s="406">
        <f>ROUND(X$13*'CF '!$E$14,0)</f>
        <v>46</v>
      </c>
      <c r="Y41" s="839">
        <v>0</v>
      </c>
      <c r="Z41" s="852">
        <v>0</v>
      </c>
      <c r="AA41" s="839">
        <v>0</v>
      </c>
      <c r="AB41" s="839">
        <v>0</v>
      </c>
      <c r="AC41" s="972">
        <f>SUM(E41:AB41)</f>
        <v>75066</v>
      </c>
      <c r="AD41" s="406">
        <f>ROUND(AD$13*'CF '!$E$14,0)</f>
        <v>0</v>
      </c>
      <c r="AE41" s="406"/>
      <c r="AF41" s="406">
        <f>ROUND(AF$13*'CF '!$E$14,0)</f>
        <v>30</v>
      </c>
      <c r="AG41" s="406">
        <v>0</v>
      </c>
      <c r="AH41" s="406">
        <v>0</v>
      </c>
      <c r="AI41" s="839">
        <v>-418</v>
      </c>
      <c r="AJ41" s="406">
        <v>0</v>
      </c>
      <c r="AK41" s="406">
        <v>357</v>
      </c>
      <c r="AL41" s="926">
        <f>1634+100+70</f>
        <v>1804</v>
      </c>
      <c r="AM41" s="406">
        <v>64</v>
      </c>
      <c r="AN41" s="406">
        <v>-126</v>
      </c>
      <c r="AO41" s="406">
        <v>-56.759</v>
      </c>
      <c r="AP41" s="406">
        <v>0</v>
      </c>
      <c r="AQ41" s="412">
        <v>4292</v>
      </c>
      <c r="AR41" s="406">
        <v>1262</v>
      </c>
      <c r="AS41" s="412">
        <f>2588098/1000</f>
        <v>2588.098</v>
      </c>
      <c r="AT41" s="412">
        <v>0</v>
      </c>
      <c r="AU41" s="406">
        <v>0</v>
      </c>
      <c r="AV41" s="412">
        <v>0</v>
      </c>
      <c r="AW41" s="412">
        <v>0</v>
      </c>
      <c r="AX41" s="412">
        <v>0</v>
      </c>
      <c r="AY41" s="412">
        <v>0</v>
      </c>
      <c r="AZ41" s="412">
        <v>0</v>
      </c>
      <c r="BA41" s="412">
        <v>-71</v>
      </c>
      <c r="BB41" s="412">
        <v>0</v>
      </c>
      <c r="BC41" s="412">
        <v>0</v>
      </c>
      <c r="BD41" s="412">
        <v>0</v>
      </c>
      <c r="BE41" s="412">
        <v>0</v>
      </c>
      <c r="BF41" s="412">
        <v>0</v>
      </c>
      <c r="BG41" s="1313">
        <f>(38000-43355)/0.79*'CF '!E24</f>
        <v>-5119.7460379746835</v>
      </c>
      <c r="BH41" s="746">
        <f t="shared" ref="BH41:BH46" si="99">SUM(AC41:BG41)</f>
        <v>79671.592962025316</v>
      </c>
      <c r="BI41" s="439"/>
      <c r="BJ41" s="406">
        <v>0</v>
      </c>
      <c r="BK41" s="839">
        <v>-791</v>
      </c>
      <c r="BL41" s="926">
        <f>638+3+10</f>
        <v>651</v>
      </c>
      <c r="BM41" s="406">
        <v>148</v>
      </c>
      <c r="BN41" s="406">
        <v>0</v>
      </c>
      <c r="BO41" s="406">
        <v>1512</v>
      </c>
      <c r="BP41" s="406"/>
      <c r="BQ41" s="412">
        <f>1150266/1000</f>
        <v>1150.2660000000001</v>
      </c>
      <c r="BR41" s="412">
        <v>0</v>
      </c>
      <c r="BS41" s="412">
        <v>-605</v>
      </c>
      <c r="BT41" s="412">
        <v>0</v>
      </c>
      <c r="BU41" s="412">
        <v>0</v>
      </c>
      <c r="BV41" s="412">
        <v>0</v>
      </c>
      <c r="BW41" s="1313">
        <f>(12500-15315)/0.79*'CF '!E24</f>
        <v>-2691.3324177215191</v>
      </c>
      <c r="BX41" s="607">
        <f t="shared" ref="BX41:BX46" si="100">SUM(BH41:BW41)</f>
        <v>79045.526544303793</v>
      </c>
      <c r="BY41" s="412">
        <f>BX41-BH41</f>
        <v>-626.06641772152216</v>
      </c>
      <c r="BZ41" s="614"/>
    </row>
    <row r="42" spans="1:78" s="396" customFormat="1">
      <c r="A42" s="394">
        <v>21</v>
      </c>
      <c r="C42" s="396" t="s">
        <v>539</v>
      </c>
      <c r="E42" s="733">
        <f>'ROO INPUT 1.00'!F43</f>
        <v>41343</v>
      </c>
      <c r="F42" s="406">
        <v>0</v>
      </c>
      <c r="G42" s="406">
        <v>0</v>
      </c>
      <c r="H42" s="406">
        <v>0</v>
      </c>
      <c r="I42" s="406">
        <v>0</v>
      </c>
      <c r="J42" s="406">
        <v>0</v>
      </c>
      <c r="K42" s="406">
        <v>0</v>
      </c>
      <c r="L42" s="406">
        <v>0</v>
      </c>
      <c r="M42" s="406">
        <v>0</v>
      </c>
      <c r="N42" s="406">
        <v>0</v>
      </c>
      <c r="O42" s="406">
        <v>0</v>
      </c>
      <c r="P42" s="406">
        <v>0</v>
      </c>
      <c r="Q42" s="406">
        <v>0</v>
      </c>
      <c r="R42" s="406">
        <v>0</v>
      </c>
      <c r="S42" s="406">
        <v>0</v>
      </c>
      <c r="T42" s="839">
        <v>0</v>
      </c>
      <c r="U42" s="852">
        <v>0</v>
      </c>
      <c r="V42" s="406">
        <v>0</v>
      </c>
      <c r="W42" s="412">
        <v>0</v>
      </c>
      <c r="X42" s="406">
        <v>0</v>
      </c>
      <c r="Y42" s="839">
        <v>0</v>
      </c>
      <c r="Z42" s="852">
        <v>0</v>
      </c>
      <c r="AA42" s="839">
        <v>0</v>
      </c>
      <c r="AB42" s="839">
        <v>0</v>
      </c>
      <c r="AC42" s="972">
        <f>SUM(E42:AB42)</f>
        <v>41343</v>
      </c>
      <c r="AD42" s="406">
        <v>0</v>
      </c>
      <c r="AE42" s="406">
        <v>0</v>
      </c>
      <c r="AF42" s="406">
        <v>0</v>
      </c>
      <c r="AG42" s="406">
        <v>0</v>
      </c>
      <c r="AH42" s="406">
        <v>0</v>
      </c>
      <c r="AI42" s="839">
        <v>0</v>
      </c>
      <c r="AJ42" s="406">
        <v>0</v>
      </c>
      <c r="AK42" s="406">
        <v>0</v>
      </c>
      <c r="AL42" s="926">
        <v>0</v>
      </c>
      <c r="AM42" s="406">
        <v>0</v>
      </c>
      <c r="AN42" s="406">
        <v>0</v>
      </c>
      <c r="AO42" s="406">
        <v>0</v>
      </c>
      <c r="AP42" s="406">
        <v>0</v>
      </c>
      <c r="AQ42" s="412">
        <v>0</v>
      </c>
      <c r="AR42" s="406">
        <v>0</v>
      </c>
      <c r="AS42" s="412"/>
      <c r="AT42" s="412">
        <f>960+124</f>
        <v>1084</v>
      </c>
      <c r="AU42" s="406">
        <v>0</v>
      </c>
      <c r="AV42" s="412">
        <f>1227+42</f>
        <v>1269</v>
      </c>
      <c r="AW42" s="412">
        <v>2</v>
      </c>
      <c r="AX42" s="412">
        <v>0</v>
      </c>
      <c r="AY42" s="412">
        <f>287+-1468+1</f>
        <v>-1180</v>
      </c>
      <c r="AZ42" s="412">
        <f>-45-36</f>
        <v>-81</v>
      </c>
      <c r="BA42" s="412">
        <v>0</v>
      </c>
      <c r="BB42" s="412">
        <f>29+9</f>
        <v>38</v>
      </c>
      <c r="BC42" s="412">
        <f>7+20</f>
        <v>27</v>
      </c>
      <c r="BD42" s="412">
        <v>0</v>
      </c>
      <c r="BE42" s="412">
        <v>0</v>
      </c>
      <c r="BF42" s="412">
        <v>461</v>
      </c>
      <c r="BG42" s="412">
        <v>0</v>
      </c>
      <c r="BH42" s="746">
        <f t="shared" si="99"/>
        <v>42963</v>
      </c>
      <c r="BI42" s="439"/>
      <c r="BJ42" s="406">
        <v>0</v>
      </c>
      <c r="BK42" s="839">
        <v>0</v>
      </c>
      <c r="BL42" s="926">
        <v>0</v>
      </c>
      <c r="BM42" s="406">
        <v>0</v>
      </c>
      <c r="BN42" s="406">
        <v>0</v>
      </c>
      <c r="BO42" s="412">
        <v>0</v>
      </c>
      <c r="BP42" s="406">
        <v>0</v>
      </c>
      <c r="BQ42" s="412"/>
      <c r="BR42" s="412">
        <f>383+-1732</f>
        <v>-1349</v>
      </c>
      <c r="BS42" s="412">
        <v>0</v>
      </c>
      <c r="BT42" s="412">
        <f>21-1</f>
        <v>20</v>
      </c>
      <c r="BU42" s="412">
        <v>0</v>
      </c>
      <c r="BV42" s="412">
        <v>33</v>
      </c>
      <c r="BW42" s="412">
        <v>0</v>
      </c>
      <c r="BX42" s="607">
        <f t="shared" si="100"/>
        <v>41667</v>
      </c>
      <c r="BY42" s="412">
        <f>BX42-BH42</f>
        <v>-1296</v>
      </c>
    </row>
    <row r="43" spans="1:78" s="396" customFormat="1">
      <c r="A43" s="394">
        <v>22</v>
      </c>
      <c r="C43" s="396" t="s">
        <v>678</v>
      </c>
      <c r="E43" s="733">
        <f>'ROO INPUT 1.00'!F44</f>
        <v>-20056</v>
      </c>
      <c r="F43" s="406">
        <v>0</v>
      </c>
      <c r="G43" s="406">
        <v>0</v>
      </c>
      <c r="H43" s="406">
        <v>0</v>
      </c>
      <c r="I43" s="406">
        <v>0</v>
      </c>
      <c r="J43" s="406">
        <v>0</v>
      </c>
      <c r="K43" s="406">
        <v>0</v>
      </c>
      <c r="L43" s="406">
        <v>0</v>
      </c>
      <c r="M43" s="406">
        <v>0</v>
      </c>
      <c r="N43" s="406">
        <v>0</v>
      </c>
      <c r="O43" s="406">
        <v>0</v>
      </c>
      <c r="P43" s="406">
        <v>0</v>
      </c>
      <c r="Q43" s="406">
        <v>0</v>
      </c>
      <c r="R43" s="406">
        <v>0</v>
      </c>
      <c r="S43" s="406">
        <v>2612</v>
      </c>
      <c r="T43" s="839">
        <v>0</v>
      </c>
      <c r="U43" s="839">
        <v>0</v>
      </c>
      <c r="V43" s="406">
        <v>0</v>
      </c>
      <c r="W43" s="406">
        <v>0</v>
      </c>
      <c r="X43" s="406">
        <v>0</v>
      </c>
      <c r="Y43" s="839">
        <v>0</v>
      </c>
      <c r="Z43" s="839">
        <v>0</v>
      </c>
      <c r="AA43" s="839">
        <v>0</v>
      </c>
      <c r="AB43" s="839">
        <v>0</v>
      </c>
      <c r="AC43" s="972">
        <f>SUM(E43:AB43)</f>
        <v>-17444</v>
      </c>
      <c r="AD43" s="406">
        <v>0</v>
      </c>
      <c r="AE43" s="406">
        <v>0</v>
      </c>
      <c r="AF43" s="406">
        <v>0</v>
      </c>
      <c r="AG43" s="406">
        <v>1065</v>
      </c>
      <c r="AH43" s="406">
        <v>0</v>
      </c>
      <c r="AI43" s="839">
        <v>12856</v>
      </c>
      <c r="AJ43" s="406">
        <f>(-255)/2</f>
        <v>-127.5</v>
      </c>
      <c r="AK43" s="406"/>
      <c r="AL43" s="926">
        <v>0</v>
      </c>
      <c r="AM43" s="406">
        <v>0</v>
      </c>
      <c r="AN43" s="406">
        <v>0</v>
      </c>
      <c r="AO43" s="406"/>
      <c r="AP43" s="406">
        <v>0</v>
      </c>
      <c r="AQ43" s="406">
        <v>0</v>
      </c>
      <c r="AR43" s="406">
        <v>0</v>
      </c>
      <c r="AS43" s="406">
        <v>0</v>
      </c>
      <c r="AT43" s="406">
        <v>0</v>
      </c>
      <c r="AU43" s="406">
        <v>0</v>
      </c>
      <c r="AV43" s="412">
        <v>0</v>
      </c>
      <c r="AW43" s="406">
        <v>0</v>
      </c>
      <c r="AX43" s="406">
        <v>0</v>
      </c>
      <c r="AY43" s="406">
        <v>0</v>
      </c>
      <c r="AZ43" s="406">
        <v>0</v>
      </c>
      <c r="BA43" s="406"/>
      <c r="BB43" s="406">
        <v>0</v>
      </c>
      <c r="BC43" s="406">
        <v>0</v>
      </c>
      <c r="BD43" s="406">
        <v>0</v>
      </c>
      <c r="BE43" s="406">
        <v>0</v>
      </c>
      <c r="BF43" s="406">
        <v>0</v>
      </c>
      <c r="BG43" s="406">
        <v>0</v>
      </c>
      <c r="BH43" s="746">
        <f t="shared" si="99"/>
        <v>-3650.5</v>
      </c>
      <c r="BI43" s="439"/>
      <c r="BJ43" s="406">
        <v>0</v>
      </c>
      <c r="BK43" s="839">
        <v>0</v>
      </c>
      <c r="BL43" s="926">
        <v>0</v>
      </c>
      <c r="BM43" s="406">
        <v>0</v>
      </c>
      <c r="BN43" s="406">
        <v>0</v>
      </c>
      <c r="BO43" s="406">
        <v>0</v>
      </c>
      <c r="BP43" s="406"/>
      <c r="BQ43" s="406">
        <v>0</v>
      </c>
      <c r="BR43" s="406">
        <v>0</v>
      </c>
      <c r="BS43" s="406"/>
      <c r="BT43" s="406">
        <v>0</v>
      </c>
      <c r="BU43" s="406">
        <v>0</v>
      </c>
      <c r="BV43" s="406">
        <v>0</v>
      </c>
      <c r="BW43" s="406">
        <v>0</v>
      </c>
      <c r="BX43" s="607">
        <f t="shared" si="100"/>
        <v>-3650.5</v>
      </c>
      <c r="BY43" s="412">
        <f>BX43-BH43</f>
        <v>0</v>
      </c>
    </row>
    <row r="44" spans="1:78" s="396" customFormat="1">
      <c r="A44" s="418">
        <v>23</v>
      </c>
      <c r="C44" s="396" t="s">
        <v>197</v>
      </c>
      <c r="E44" s="732">
        <f>'ROO INPUT 1.00'!F45</f>
        <v>3632</v>
      </c>
      <c r="F44" s="413">
        <v>0</v>
      </c>
      <c r="G44" s="413">
        <v>0</v>
      </c>
      <c r="H44" s="413">
        <v>0</v>
      </c>
      <c r="I44" s="413">
        <v>0</v>
      </c>
      <c r="J44" s="413">
        <v>0</v>
      </c>
      <c r="K44" s="413">
        <v>0</v>
      </c>
      <c r="L44" s="413">
        <v>0</v>
      </c>
      <c r="M44" s="413">
        <v>0</v>
      </c>
      <c r="N44" s="413">
        <v>0</v>
      </c>
      <c r="O44" s="413">
        <v>0</v>
      </c>
      <c r="P44" s="413">
        <v>0</v>
      </c>
      <c r="Q44" s="413">
        <v>0</v>
      </c>
      <c r="R44" s="413">
        <v>0</v>
      </c>
      <c r="S44" s="413">
        <v>0</v>
      </c>
      <c r="T44" s="848">
        <v>0</v>
      </c>
      <c r="U44" s="848">
        <v>0</v>
      </c>
      <c r="V44" s="413">
        <v>0</v>
      </c>
      <c r="W44" s="413">
        <v>0</v>
      </c>
      <c r="X44" s="413">
        <v>0</v>
      </c>
      <c r="Y44" s="848">
        <v>0</v>
      </c>
      <c r="Z44" s="848">
        <v>0</v>
      </c>
      <c r="AA44" s="848">
        <v>0</v>
      </c>
      <c r="AB44" s="848">
        <v>0</v>
      </c>
      <c r="AC44" s="974">
        <f>SUM(E44:AB44)</f>
        <v>3632</v>
      </c>
      <c r="AD44" s="413">
        <v>0</v>
      </c>
      <c r="AE44" s="413">
        <v>0</v>
      </c>
      <c r="AF44" s="413">
        <v>0</v>
      </c>
      <c r="AG44" s="413">
        <v>0</v>
      </c>
      <c r="AH44" s="413">
        <v>0</v>
      </c>
      <c r="AI44" s="848">
        <v>0</v>
      </c>
      <c r="AJ44" s="413">
        <v>0</v>
      </c>
      <c r="AK44" s="413">
        <v>0</v>
      </c>
      <c r="AL44" s="928">
        <v>0</v>
      </c>
      <c r="AM44" s="413">
        <v>0</v>
      </c>
      <c r="AN44" s="413">
        <v>0</v>
      </c>
      <c r="AO44" s="413">
        <v>0</v>
      </c>
      <c r="AP44" s="413">
        <v>0</v>
      </c>
      <c r="AQ44" s="413">
        <v>0</v>
      </c>
      <c r="AR44" s="413">
        <v>0</v>
      </c>
      <c r="AS44" s="413">
        <v>0</v>
      </c>
      <c r="AT44" s="413">
        <v>0</v>
      </c>
      <c r="AU44" s="413">
        <v>0</v>
      </c>
      <c r="AV44" s="413">
        <v>0</v>
      </c>
      <c r="AW44" s="413">
        <v>0</v>
      </c>
      <c r="AX44" s="413">
        <v>0</v>
      </c>
      <c r="AY44" s="413">
        <v>0</v>
      </c>
      <c r="AZ44" s="413">
        <v>0</v>
      </c>
      <c r="BA44" s="413">
        <v>0</v>
      </c>
      <c r="BB44" s="413">
        <v>0</v>
      </c>
      <c r="BC44" s="413">
        <v>0</v>
      </c>
      <c r="BD44" s="413">
        <v>0</v>
      </c>
      <c r="BE44" s="413">
        <v>0</v>
      </c>
      <c r="BF44" s="413">
        <v>0</v>
      </c>
      <c r="BG44" s="413">
        <v>0</v>
      </c>
      <c r="BH44" s="748">
        <f t="shared" si="99"/>
        <v>3632</v>
      </c>
      <c r="BI44" s="439"/>
      <c r="BJ44" s="413">
        <v>0</v>
      </c>
      <c r="BK44" s="848">
        <v>0</v>
      </c>
      <c r="BL44" s="928">
        <v>0</v>
      </c>
      <c r="BM44" s="413">
        <v>0</v>
      </c>
      <c r="BN44" s="413">
        <v>0</v>
      </c>
      <c r="BO44" s="413">
        <v>0</v>
      </c>
      <c r="BP44" s="413">
        <v>0</v>
      </c>
      <c r="BQ44" s="413">
        <v>0</v>
      </c>
      <c r="BR44" s="413">
        <v>0</v>
      </c>
      <c r="BS44" s="413">
        <v>0</v>
      </c>
      <c r="BT44" s="413">
        <v>0</v>
      </c>
      <c r="BU44" s="413">
        <v>0</v>
      </c>
      <c r="BV44" s="413">
        <v>0</v>
      </c>
      <c r="BW44" s="413">
        <v>0</v>
      </c>
      <c r="BX44" s="609">
        <f t="shared" si="100"/>
        <v>3632</v>
      </c>
      <c r="BY44" s="1298">
        <f>BX44-BH44</f>
        <v>0</v>
      </c>
    </row>
    <row r="45" spans="1:78" s="396" customFormat="1">
      <c r="A45" s="394">
        <v>24</v>
      </c>
      <c r="B45" s="396" t="s">
        <v>205</v>
      </c>
      <c r="E45" s="732">
        <f t="shared" ref="E45:AN45" si="101">SUM(E41:E44)</f>
        <v>98846</v>
      </c>
      <c r="F45" s="413">
        <f t="shared" si="101"/>
        <v>0</v>
      </c>
      <c r="G45" s="413">
        <f t="shared" si="101"/>
        <v>0</v>
      </c>
      <c r="H45" s="413">
        <f t="shared" si="101"/>
        <v>0</v>
      </c>
      <c r="I45" s="413">
        <f t="shared" si="101"/>
        <v>0</v>
      </c>
      <c r="J45" s="413">
        <f t="shared" ref="J45" si="102">SUM(J41:J44)</f>
        <v>0</v>
      </c>
      <c r="K45" s="413">
        <f t="shared" si="101"/>
        <v>0</v>
      </c>
      <c r="L45" s="413">
        <f t="shared" si="101"/>
        <v>42</v>
      </c>
      <c r="M45" s="413">
        <f t="shared" si="101"/>
        <v>-124</v>
      </c>
      <c r="N45" s="413">
        <f t="shared" si="101"/>
        <v>0</v>
      </c>
      <c r="O45" s="413">
        <f t="shared" si="101"/>
        <v>-55</v>
      </c>
      <c r="P45" s="413">
        <f t="shared" si="101"/>
        <v>0</v>
      </c>
      <c r="Q45" s="413">
        <f t="shared" si="101"/>
        <v>0</v>
      </c>
      <c r="R45" s="413">
        <f t="shared" si="101"/>
        <v>-16</v>
      </c>
      <c r="S45" s="413">
        <f t="shared" ref="S45" si="103">SUM(S41:S44)</f>
        <v>2559</v>
      </c>
      <c r="T45" s="848">
        <f>SUM(T41:T44)</f>
        <v>-1440</v>
      </c>
      <c r="U45" s="848">
        <f t="shared" ref="U45" si="104">SUM(U41:U44)</f>
        <v>2739</v>
      </c>
      <c r="V45" s="413">
        <f>SUM(V41:V44)</f>
        <v>0</v>
      </c>
      <c r="W45" s="413">
        <f>SUM(W41:W44)</f>
        <v>0</v>
      </c>
      <c r="X45" s="413">
        <f>SUM(X41:X44)</f>
        <v>46</v>
      </c>
      <c r="Y45" s="848">
        <f>SUM(Y41:Y44)</f>
        <v>0</v>
      </c>
      <c r="Z45" s="848">
        <f t="shared" ref="Z45" si="105">SUM(Z41:Z44)</f>
        <v>0</v>
      </c>
      <c r="AA45" s="848">
        <f t="shared" ref="AA45" si="106">SUM(AA41:AA44)</f>
        <v>0</v>
      </c>
      <c r="AB45" s="848">
        <f>SUM(AB41:AB44)</f>
        <v>0</v>
      </c>
      <c r="AC45" s="974">
        <f t="shared" si="101"/>
        <v>102597</v>
      </c>
      <c r="AD45" s="413">
        <f>SUM(AD41:AD44)</f>
        <v>0</v>
      </c>
      <c r="AE45" s="413">
        <f t="shared" ref="AE45" si="107">SUM(AE41:AE44)</f>
        <v>0</v>
      </c>
      <c r="AF45" s="413">
        <f t="shared" ref="AF45" si="108">SUM(AF41:AF44)</f>
        <v>30</v>
      </c>
      <c r="AG45" s="413">
        <f t="shared" ref="AG45:AL45" si="109">SUM(AG41:AG44)</f>
        <v>1065</v>
      </c>
      <c r="AH45" s="413">
        <f t="shared" si="109"/>
        <v>0</v>
      </c>
      <c r="AI45" s="848">
        <f t="shared" si="109"/>
        <v>12438</v>
      </c>
      <c r="AJ45" s="413">
        <f t="shared" si="109"/>
        <v>-127.5</v>
      </c>
      <c r="AK45" s="413">
        <f t="shared" si="109"/>
        <v>357</v>
      </c>
      <c r="AL45" s="928">
        <f t="shared" si="109"/>
        <v>1804</v>
      </c>
      <c r="AM45" s="413">
        <f t="shared" si="101"/>
        <v>64</v>
      </c>
      <c r="AN45" s="413">
        <f t="shared" si="101"/>
        <v>-126</v>
      </c>
      <c r="AO45" s="413">
        <f>SUM(AO41:AO44)</f>
        <v>-56.759</v>
      </c>
      <c r="AP45" s="413">
        <f>SUM(AP41:AP44)</f>
        <v>0</v>
      </c>
      <c r="AQ45" s="413">
        <f>SUM(AQ41:AQ44)</f>
        <v>4292</v>
      </c>
      <c r="AR45" s="413">
        <f t="shared" ref="AR45" si="110">SUM(AR41:AR44)</f>
        <v>1262</v>
      </c>
      <c r="AS45" s="413">
        <f>SUM(AS41:AS44)</f>
        <v>2588.098</v>
      </c>
      <c r="AT45" s="413">
        <f>SUM(AT41:AT44)</f>
        <v>1084</v>
      </c>
      <c r="AU45" s="413">
        <f>SUM(AU41:AU44)</f>
        <v>0</v>
      </c>
      <c r="AV45" s="413">
        <f t="shared" ref="AV45" si="111">SUM(AV41:AV44)</f>
        <v>1269</v>
      </c>
      <c r="AW45" s="413">
        <f t="shared" ref="AW45:AX45" si="112">SUM(AW41:AW44)</f>
        <v>2</v>
      </c>
      <c r="AX45" s="413">
        <f t="shared" si="112"/>
        <v>0</v>
      </c>
      <c r="AY45" s="413">
        <f t="shared" ref="AY45" si="113">SUM(AY41:AY44)</f>
        <v>-1180</v>
      </c>
      <c r="AZ45" s="413">
        <f>SUM(AZ41:AZ44)</f>
        <v>-81</v>
      </c>
      <c r="BA45" s="413">
        <f>SUM(BA41:BA44)</f>
        <v>-71</v>
      </c>
      <c r="BB45" s="413">
        <f>SUM(BB41:BB44)</f>
        <v>38</v>
      </c>
      <c r="BC45" s="413">
        <f>SUM(BC41:BC44)</f>
        <v>27</v>
      </c>
      <c r="BD45" s="413">
        <f t="shared" ref="BD45" si="114">SUM(BD41:BD44)</f>
        <v>0</v>
      </c>
      <c r="BE45" s="413">
        <f t="shared" ref="BE45" si="115">SUM(BE41:BE44)</f>
        <v>0</v>
      </c>
      <c r="BF45" s="413">
        <f>SUM(BF41:BF44)</f>
        <v>461</v>
      </c>
      <c r="BG45" s="413">
        <f>SUM(BG41:BG44)</f>
        <v>-5119.7460379746835</v>
      </c>
      <c r="BH45" s="748">
        <f t="shared" si="99"/>
        <v>122616.09296202532</v>
      </c>
      <c r="BI45" s="439"/>
      <c r="BJ45" s="413">
        <f t="shared" ref="BJ45" si="116">SUM(BJ41:BJ44)</f>
        <v>0</v>
      </c>
      <c r="BK45" s="848">
        <f t="shared" ref="BK45" si="117">SUM(BK41:BK44)</f>
        <v>-791</v>
      </c>
      <c r="BL45" s="928">
        <f>SUM(BL41:BL44)</f>
        <v>651</v>
      </c>
      <c r="BM45" s="413">
        <f t="shared" ref="BM45" si="118">SUM(BM41:BM44)</f>
        <v>148</v>
      </c>
      <c r="BN45" s="413">
        <f t="shared" ref="BN45" si="119">SUM(BN41:BN44)</f>
        <v>0</v>
      </c>
      <c r="BO45" s="413">
        <f>SUM(BO41:BO44)</f>
        <v>1512</v>
      </c>
      <c r="BP45" s="413">
        <f t="shared" ref="BP45:BQ45" si="120">SUM(BP41:BP44)</f>
        <v>0</v>
      </c>
      <c r="BQ45" s="413">
        <f t="shared" si="120"/>
        <v>1150.2660000000001</v>
      </c>
      <c r="BR45" s="413">
        <f>SUM(BR41:BR44)</f>
        <v>-1349</v>
      </c>
      <c r="BS45" s="413">
        <f>SUM(BS41:BS44)</f>
        <v>-605</v>
      </c>
      <c r="BT45" s="413">
        <f>SUM(BT41:BT44)</f>
        <v>20</v>
      </c>
      <c r="BU45" s="413">
        <f t="shared" ref="BU45" si="121">SUM(BU41:BU44)</f>
        <v>0</v>
      </c>
      <c r="BV45" s="413">
        <f>SUM(BV41:BV44)</f>
        <v>33</v>
      </c>
      <c r="BW45" s="413">
        <f>SUM(BW41:BW44)</f>
        <v>-2691.3324177215191</v>
      </c>
      <c r="BX45" s="609">
        <f t="shared" si="100"/>
        <v>120694.02654430379</v>
      </c>
      <c r="BY45" s="413">
        <f t="shared" ref="BY45" si="122">SUM(BY41:BY44)</f>
        <v>-1922.0664177215222</v>
      </c>
    </row>
    <row r="46" spans="1:78" s="396" customFormat="1">
      <c r="A46" s="394">
        <v>25</v>
      </c>
      <c r="B46" s="396" t="s">
        <v>206</v>
      </c>
      <c r="E46" s="732">
        <f t="shared" ref="E46:AR46" si="123">E45+E38+E37+E36+E34+E27</f>
        <v>545994</v>
      </c>
      <c r="F46" s="413">
        <f t="shared" si="123"/>
        <v>0</v>
      </c>
      <c r="G46" s="413">
        <f t="shared" si="123"/>
        <v>1</v>
      </c>
      <c r="H46" s="413">
        <f t="shared" si="123"/>
        <v>0</v>
      </c>
      <c r="I46" s="413">
        <f t="shared" si="123"/>
        <v>-19456</v>
      </c>
      <c r="J46" s="413">
        <f t="shared" si="123"/>
        <v>2</v>
      </c>
      <c r="K46" s="413">
        <f t="shared" si="123"/>
        <v>1572</v>
      </c>
      <c r="L46" s="413">
        <f t="shared" si="123"/>
        <v>42</v>
      </c>
      <c r="M46" s="413">
        <f t="shared" si="123"/>
        <v>-124</v>
      </c>
      <c r="N46" s="413">
        <f t="shared" si="123"/>
        <v>0</v>
      </c>
      <c r="O46" s="413">
        <f t="shared" si="123"/>
        <v>-55</v>
      </c>
      <c r="P46" s="413">
        <f t="shared" si="123"/>
        <v>18</v>
      </c>
      <c r="Q46" s="413">
        <f t="shared" si="123"/>
        <v>-63</v>
      </c>
      <c r="R46" s="413">
        <f>R45+R38+R37+R36+R34+R27</f>
        <v>-358</v>
      </c>
      <c r="S46" s="413">
        <f t="shared" si="123"/>
        <v>-13016</v>
      </c>
      <c r="T46" s="848">
        <f t="shared" si="123"/>
        <v>-1440</v>
      </c>
      <c r="U46" s="848">
        <f>U45+U38+U37+U36+U34+U27</f>
        <v>2739</v>
      </c>
      <c r="V46" s="413">
        <f>V45+V38+V37+V36+V34+V27</f>
        <v>0</v>
      </c>
      <c r="W46" s="413">
        <f>W45+W38+W37+W36+W34+W27</f>
        <v>0</v>
      </c>
      <c r="X46" s="413">
        <f t="shared" si="123"/>
        <v>20863</v>
      </c>
      <c r="Y46" s="848">
        <f t="shared" si="123"/>
        <v>-6</v>
      </c>
      <c r="Z46" s="848">
        <f t="shared" si="123"/>
        <v>-1694</v>
      </c>
      <c r="AA46" s="848">
        <f>AA45+AA38+AA37+AA36+AA34+AA27</f>
        <v>-64936</v>
      </c>
      <c r="AB46" s="848">
        <f t="shared" ref="AB46" si="124">AB45+AB38+AB37+AB36+AB34+AB27</f>
        <v>0</v>
      </c>
      <c r="AC46" s="974">
        <f t="shared" si="123"/>
        <v>470083</v>
      </c>
      <c r="AD46" s="413">
        <f>AD45+AD38+AD37+AD36+AD34+AD27</f>
        <v>36668</v>
      </c>
      <c r="AE46" s="413">
        <f t="shared" ref="AE46" si="125">AE45+AE38+AE37+AE36+AE34+AE27</f>
        <v>0</v>
      </c>
      <c r="AF46" s="413">
        <f t="shared" ref="AF46" si="126">AF45+AF38+AF37+AF36+AF34+AF27</f>
        <v>653</v>
      </c>
      <c r="AG46" s="413">
        <f>AG45+AG38+AG37+AG36+AG34+AG27</f>
        <v>1147</v>
      </c>
      <c r="AH46" s="413">
        <f t="shared" ref="AH46" si="127">AH45+AH38+AH37+AH36+AH34+AH27</f>
        <v>0</v>
      </c>
      <c r="AI46" s="848">
        <f>AI45+AI38+AI37+AI36+AI34+AI27</f>
        <v>10756</v>
      </c>
      <c r="AJ46" s="413">
        <f t="shared" ref="AJ46" si="128">AJ45+AJ38+AJ37+AJ36+AJ34+AJ27</f>
        <v>879.5</v>
      </c>
      <c r="AK46" s="413">
        <f>AK45+AK38+AK37+AK36+AK34+AK27</f>
        <v>357</v>
      </c>
      <c r="AL46" s="928">
        <f t="shared" si="123"/>
        <v>6139</v>
      </c>
      <c r="AM46" s="413">
        <f t="shared" si="123"/>
        <v>64</v>
      </c>
      <c r="AN46" s="413">
        <f t="shared" si="123"/>
        <v>-394</v>
      </c>
      <c r="AO46" s="413">
        <f>AO45+AO38+AO37+AO36+AO34+AO27</f>
        <v>-69.442000000000007</v>
      </c>
      <c r="AP46" s="413">
        <f>AP45+AP38+AP37+AP36+AP34+AP27</f>
        <v>962</v>
      </c>
      <c r="AQ46" s="413">
        <f>AQ45+AQ38+AQ37+AQ36+AQ34+AQ27</f>
        <v>4292</v>
      </c>
      <c r="AR46" s="413">
        <f t="shared" si="123"/>
        <v>1262</v>
      </c>
      <c r="AS46" s="413">
        <f>AS45+AS38+AS37+AS36+AS34+AS27</f>
        <v>9772.7520000000004</v>
      </c>
      <c r="AT46" s="413">
        <f>AT45+AT38+AT37+AT36+AT34+AT27</f>
        <v>2165</v>
      </c>
      <c r="AU46" s="413">
        <f t="shared" ref="AU46" si="129">AU45+AU38+AU37+AU36+AU34+AU27</f>
        <v>62</v>
      </c>
      <c r="AV46" s="413">
        <f>AV45+AV38+AV37+AV36+AV34+AV27</f>
        <v>2221</v>
      </c>
      <c r="AW46" s="413">
        <f t="shared" ref="AW46" si="130">AW45+AW38+AW37+AW36+AW34+AW27</f>
        <v>7</v>
      </c>
      <c r="AX46" s="413">
        <f t="shared" ref="AX46" si="131">AX45+AX38+AX37+AX36+AX34+AX27</f>
        <v>579</v>
      </c>
      <c r="AY46" s="413">
        <f t="shared" ref="AY46" si="132">AY45+AY38+AY37+AY36+AY34+AY27</f>
        <v>2645</v>
      </c>
      <c r="AZ46" s="413">
        <f>AZ45+AZ38+AZ37+AZ36+AZ34+AZ27</f>
        <v>2383</v>
      </c>
      <c r="BA46" s="413">
        <f>BA45+BA38+BA37+BA36+BA34+BA27</f>
        <v>-892</v>
      </c>
      <c r="BB46" s="413">
        <f>BB45+BB38+BB37+BB36+BB34+BB27</f>
        <v>3265</v>
      </c>
      <c r="BC46" s="413">
        <f>BC45+BC38+BC37+BC36+BC34+BC27</f>
        <v>422</v>
      </c>
      <c r="BD46" s="413">
        <f t="shared" ref="BD46" si="133">BD45+BD38+BD37+BD36+BD34+BD27</f>
        <v>943</v>
      </c>
      <c r="BE46" s="413">
        <f t="shared" ref="BE46" si="134">BE45+BE38+BE37+BE36+BE34+BE27</f>
        <v>-160</v>
      </c>
      <c r="BF46" s="413">
        <f>BF45+BF38+BF37+BF36+BF34+BF27</f>
        <v>461</v>
      </c>
      <c r="BG46" s="413">
        <f>BG45+BG38+BG37+BG36+BG34+BG27</f>
        <v>-5119.7460379746835</v>
      </c>
      <c r="BH46" s="748">
        <f t="shared" si="99"/>
        <v>551553.06396202522</v>
      </c>
      <c r="BI46" s="439"/>
      <c r="BJ46" s="413">
        <f t="shared" ref="BJ46" si="135">BJ45+BJ38+BJ37+BJ36+BJ34+BJ27</f>
        <v>0</v>
      </c>
      <c r="BK46" s="848">
        <f t="shared" ref="BK46" si="136">BK45+BK38+BK37+BK36+BK34+BK27</f>
        <v>-791</v>
      </c>
      <c r="BL46" s="928">
        <f t="shared" ref="BL46:BM46" si="137">BL45+BL38+BL37+BL36+BL34+BL27</f>
        <v>1949</v>
      </c>
      <c r="BM46" s="413">
        <f t="shared" si="137"/>
        <v>462</v>
      </c>
      <c r="BN46" s="413">
        <f>BN45+BN38+BN37+BN36+BN34+BN27</f>
        <v>626</v>
      </c>
      <c r="BO46" s="413">
        <f>BO45+BO38+BO37+BO36+BO34+BO27</f>
        <v>1512</v>
      </c>
      <c r="BP46" s="413">
        <f t="shared" ref="BP46:BQ46" si="138">BP45+BP38+BP37+BP36+BP34+BP27</f>
        <v>46</v>
      </c>
      <c r="BQ46" s="413">
        <f t="shared" si="138"/>
        <v>4343.4449999999997</v>
      </c>
      <c r="BR46" s="413">
        <f>BR45+BR38+BR37+BR36+BR34+BR27</f>
        <v>1680</v>
      </c>
      <c r="BS46" s="413">
        <f>BS45+BS38+BS37+BS36+BS34+BS27</f>
        <v>-605</v>
      </c>
      <c r="BT46" s="413">
        <f>BT45+BT38+BT37+BT36+BT34+BT27</f>
        <v>463</v>
      </c>
      <c r="BU46" s="413">
        <f t="shared" ref="BU46" si="139">BU45+BU38+BU37+BU36+BU34+BU27</f>
        <v>0</v>
      </c>
      <c r="BV46" s="413">
        <f>BV45+BV38+BV37+BV36+BV34+BV27</f>
        <v>33</v>
      </c>
      <c r="BW46" s="413">
        <f>BW45+BW38+BW37+BW36+BW34+BW27</f>
        <v>-2691.3324177215191</v>
      </c>
      <c r="BX46" s="609">
        <f t="shared" si="100"/>
        <v>558580.17654430366</v>
      </c>
      <c r="BY46" s="413">
        <f t="shared" ref="BY46" si="140">BY45+BY38+BY37+BY36+BY34+BY27</f>
        <v>7027.1125822784779</v>
      </c>
    </row>
    <row r="47" spans="1:78" s="396" customFormat="1" ht="8.25" customHeight="1">
      <c r="E47" s="399"/>
      <c r="F47" s="406"/>
      <c r="G47" s="406"/>
      <c r="H47" s="406"/>
      <c r="I47" s="406"/>
      <c r="J47" s="406"/>
      <c r="K47" s="406"/>
      <c r="L47" s="406"/>
      <c r="M47" s="406"/>
      <c r="N47" s="406"/>
      <c r="O47" s="406"/>
      <c r="P47" s="406"/>
      <c r="Q47" s="406"/>
      <c r="R47" s="406"/>
      <c r="S47" s="406"/>
      <c r="T47" s="839"/>
      <c r="U47" s="852"/>
      <c r="V47" s="406"/>
      <c r="W47" s="412"/>
      <c r="X47" s="406"/>
      <c r="Y47" s="839"/>
      <c r="Z47" s="852"/>
      <c r="AA47" s="839"/>
      <c r="AB47" s="839"/>
      <c r="AC47" s="972"/>
      <c r="AD47" s="406"/>
      <c r="AE47" s="406"/>
      <c r="AF47" s="406"/>
      <c r="AG47" s="406"/>
      <c r="AH47" s="406"/>
      <c r="AI47" s="839"/>
      <c r="AJ47" s="406"/>
      <c r="AK47" s="406"/>
      <c r="AL47" s="926"/>
      <c r="AM47" s="406"/>
      <c r="AN47" s="406"/>
      <c r="AO47" s="406"/>
      <c r="AP47" s="406"/>
      <c r="AQ47" s="412"/>
      <c r="AR47" s="406"/>
      <c r="AS47" s="412"/>
      <c r="AT47" s="412"/>
      <c r="AU47" s="406"/>
      <c r="AV47" s="412"/>
      <c r="AW47" s="412"/>
      <c r="AX47" s="412"/>
      <c r="AY47" s="412"/>
      <c r="AZ47" s="412"/>
      <c r="BA47" s="412"/>
      <c r="BB47" s="412"/>
      <c r="BC47" s="412"/>
      <c r="BD47" s="412"/>
      <c r="BE47" s="412"/>
      <c r="BF47" s="412"/>
      <c r="BG47" s="412"/>
      <c r="BH47" s="746"/>
      <c r="BI47" s="439"/>
      <c r="BJ47" s="406"/>
      <c r="BK47" s="839"/>
      <c r="BL47" s="926"/>
      <c r="BM47" s="406"/>
      <c r="BN47" s="406"/>
      <c r="BO47" s="412"/>
      <c r="BP47" s="406"/>
      <c r="BQ47" s="412"/>
      <c r="BR47" s="412"/>
      <c r="BS47" s="412"/>
      <c r="BT47" s="412"/>
      <c r="BU47" s="412"/>
      <c r="BV47" s="412"/>
      <c r="BW47" s="412"/>
      <c r="BX47" s="607"/>
      <c r="BY47" s="412"/>
    </row>
    <row r="48" spans="1:78" s="396" customFormat="1">
      <c r="A48" s="394">
        <v>26</v>
      </c>
      <c r="B48" s="396" t="s">
        <v>207</v>
      </c>
      <c r="E48" s="399">
        <f t="shared" ref="E48:AR48" si="141">E18-E46</f>
        <v>112592</v>
      </c>
      <c r="F48" s="406">
        <f t="shared" si="141"/>
        <v>0</v>
      </c>
      <c r="G48" s="406">
        <f t="shared" si="141"/>
        <v>-1</v>
      </c>
      <c r="H48" s="406">
        <f t="shared" si="141"/>
        <v>0</v>
      </c>
      <c r="I48" s="406">
        <f t="shared" si="141"/>
        <v>9</v>
      </c>
      <c r="J48" s="406">
        <f t="shared" si="141"/>
        <v>-2</v>
      </c>
      <c r="K48" s="406">
        <f t="shared" si="141"/>
        <v>-1572</v>
      </c>
      <c r="L48" s="406">
        <f t="shared" si="141"/>
        <v>-42</v>
      </c>
      <c r="M48" s="406">
        <f t="shared" si="141"/>
        <v>124</v>
      </c>
      <c r="N48" s="406">
        <f t="shared" si="141"/>
        <v>0</v>
      </c>
      <c r="O48" s="406">
        <f t="shared" si="141"/>
        <v>55</v>
      </c>
      <c r="P48" s="406">
        <f t="shared" si="141"/>
        <v>-18</v>
      </c>
      <c r="Q48" s="406">
        <f t="shared" si="141"/>
        <v>63</v>
      </c>
      <c r="R48" s="406">
        <f>R18-R46</f>
        <v>-1634</v>
      </c>
      <c r="S48" s="406">
        <f t="shared" si="141"/>
        <v>-1</v>
      </c>
      <c r="T48" s="839">
        <f t="shared" si="141"/>
        <v>1440</v>
      </c>
      <c r="U48" s="852">
        <f>U18-U46</f>
        <v>-2739</v>
      </c>
      <c r="V48" s="406">
        <f>V18-V46</f>
        <v>0</v>
      </c>
      <c r="W48" s="412">
        <f>W18-W46</f>
        <v>0</v>
      </c>
      <c r="X48" s="406">
        <f>X18-X46</f>
        <v>2126</v>
      </c>
      <c r="Y48" s="839">
        <f t="shared" si="141"/>
        <v>6</v>
      </c>
      <c r="Z48" s="852">
        <f t="shared" si="141"/>
        <v>1694</v>
      </c>
      <c r="AA48" s="839">
        <f>AA18-AA46</f>
        <v>5473</v>
      </c>
      <c r="AB48" s="839">
        <f t="shared" ref="AB48" si="142">AB18-AB46</f>
        <v>0</v>
      </c>
      <c r="AC48" s="972">
        <f t="shared" si="141"/>
        <v>117573</v>
      </c>
      <c r="AD48" s="406">
        <f>AD18-AD46</f>
        <v>20560</v>
      </c>
      <c r="AE48" s="406">
        <f t="shared" ref="AE48" si="143">AE18-AE46</f>
        <v>10602</v>
      </c>
      <c r="AF48" s="406">
        <f t="shared" ref="AF48" si="144">AF18-AF46</f>
        <v>12710</v>
      </c>
      <c r="AG48" s="406">
        <f>AG18-AG46</f>
        <v>-1147</v>
      </c>
      <c r="AH48" s="406">
        <f t="shared" ref="AH48" si="145">AH18-AH46</f>
        <v>0</v>
      </c>
      <c r="AI48" s="839">
        <f>AI18-AI46</f>
        <v>-10756</v>
      </c>
      <c r="AJ48" s="406">
        <f t="shared" ref="AJ48" si="146">AJ18-AJ46</f>
        <v>-879.5</v>
      </c>
      <c r="AK48" s="406">
        <f>AK18-AK46</f>
        <v>-357</v>
      </c>
      <c r="AL48" s="406">
        <f t="shared" si="141"/>
        <v>-6139</v>
      </c>
      <c r="AM48" s="406">
        <f t="shared" si="141"/>
        <v>-64</v>
      </c>
      <c r="AN48" s="406">
        <f t="shared" si="141"/>
        <v>394</v>
      </c>
      <c r="AO48" s="406">
        <f>AO18-AO46</f>
        <v>69.442000000000007</v>
      </c>
      <c r="AP48" s="406">
        <f>AP18-AP46</f>
        <v>-962</v>
      </c>
      <c r="AQ48" s="412">
        <f>AQ18-AQ46</f>
        <v>-4292</v>
      </c>
      <c r="AR48" s="406">
        <f t="shared" si="141"/>
        <v>-1262</v>
      </c>
      <c r="AS48" s="412">
        <f>AS18-AS46</f>
        <v>-9772.7520000000004</v>
      </c>
      <c r="AT48" s="412">
        <f>AT18-AT46</f>
        <v>-2165</v>
      </c>
      <c r="AU48" s="406">
        <f t="shared" ref="AU48" si="147">AU18-AU46</f>
        <v>-62</v>
      </c>
      <c r="AV48" s="412">
        <f t="shared" ref="AV48" si="148">AV18-AV46</f>
        <v>-2221</v>
      </c>
      <c r="AW48" s="412">
        <f t="shared" ref="AW48" si="149">AW18-AW46</f>
        <v>-7</v>
      </c>
      <c r="AX48" s="412">
        <f t="shared" ref="AX48" si="150">AX18-AX46</f>
        <v>-579</v>
      </c>
      <c r="AY48" s="412">
        <f t="shared" ref="AY48" si="151">AY18-AY46</f>
        <v>-2645</v>
      </c>
      <c r="AZ48" s="412">
        <f t="shared" ref="AZ48" si="152">AZ18-AZ46</f>
        <v>-2383</v>
      </c>
      <c r="BA48" s="412">
        <f t="shared" ref="BA48:BE48" si="153">BA18-BA46</f>
        <v>7815</v>
      </c>
      <c r="BB48" s="412">
        <f t="shared" si="153"/>
        <v>-3265</v>
      </c>
      <c r="BC48" s="412">
        <f t="shared" si="153"/>
        <v>-422</v>
      </c>
      <c r="BD48" s="412">
        <f t="shared" si="153"/>
        <v>-943</v>
      </c>
      <c r="BE48" s="412">
        <f t="shared" si="153"/>
        <v>160</v>
      </c>
      <c r="BF48" s="412">
        <f>BF18-BF46</f>
        <v>-461</v>
      </c>
      <c r="BG48" s="412">
        <f>BG18-BG46</f>
        <v>5119.7460379746835</v>
      </c>
      <c r="BH48" s="746">
        <f>SUM(AC48:BG48)</f>
        <v>124218.93603797468</v>
      </c>
      <c r="BI48" s="439"/>
      <c r="BJ48" s="406">
        <f t="shared" ref="BJ48" si="154">BJ18-BJ46</f>
        <v>0</v>
      </c>
      <c r="BK48" s="839">
        <f t="shared" ref="BK48" si="155">BK18-BK46</f>
        <v>791</v>
      </c>
      <c r="BL48" s="406">
        <f t="shared" ref="BL48:BM48" si="156">BL18-BL46</f>
        <v>-1949</v>
      </c>
      <c r="BM48" s="406">
        <f t="shared" si="156"/>
        <v>-462</v>
      </c>
      <c r="BN48" s="406">
        <f>BN18-BN46</f>
        <v>-626</v>
      </c>
      <c r="BO48" s="412">
        <f>BO18-BO46</f>
        <v>-1512</v>
      </c>
      <c r="BP48" s="406">
        <f t="shared" ref="BP48:BQ48" si="157">BP18-BP46</f>
        <v>-46</v>
      </c>
      <c r="BQ48" s="412">
        <f t="shared" si="157"/>
        <v>-4343.4449999999997</v>
      </c>
      <c r="BR48" s="412">
        <f t="shared" ref="BR48" si="158">BR18-BR46</f>
        <v>-1680</v>
      </c>
      <c r="BS48" s="412">
        <f>BS18-BS46</f>
        <v>3402</v>
      </c>
      <c r="BT48" s="412">
        <f>BT18-BT46</f>
        <v>-463</v>
      </c>
      <c r="BU48" s="412">
        <f>BU18-BU46</f>
        <v>0</v>
      </c>
      <c r="BV48" s="412">
        <f>BV18-BV46</f>
        <v>-33</v>
      </c>
      <c r="BW48" s="412">
        <f>BW18-BW46</f>
        <v>2691.3324177215191</v>
      </c>
      <c r="BX48" s="607">
        <f>SUM(BH48:BW48)</f>
        <v>119988.82345569621</v>
      </c>
      <c r="BY48" s="412">
        <f t="shared" ref="BY48" si="159">BY18-BY46</f>
        <v>-4230.1125822784779</v>
      </c>
    </row>
    <row r="49" spans="1:77" s="396" customFormat="1" ht="6.75" customHeight="1">
      <c r="A49" s="394"/>
      <c r="E49" s="399"/>
      <c r="F49" s="406"/>
      <c r="G49" s="406"/>
      <c r="H49" s="406"/>
      <c r="I49" s="406"/>
      <c r="J49" s="406"/>
      <c r="K49" s="406"/>
      <c r="L49" s="406"/>
      <c r="M49" s="406"/>
      <c r="N49" s="406"/>
      <c r="O49" s="406"/>
      <c r="P49" s="406"/>
      <c r="Q49" s="406"/>
      <c r="R49" s="406"/>
      <c r="S49" s="406"/>
      <c r="T49" s="839"/>
      <c r="U49" s="852"/>
      <c r="V49" s="406"/>
      <c r="W49" s="412"/>
      <c r="X49" s="406"/>
      <c r="Y49" s="839"/>
      <c r="Z49" s="852"/>
      <c r="AA49" s="839"/>
      <c r="AB49" s="839"/>
      <c r="AC49" s="972"/>
      <c r="AD49" s="406"/>
      <c r="AE49" s="406"/>
      <c r="AF49" s="406"/>
      <c r="AG49" s="406"/>
      <c r="AH49" s="406"/>
      <c r="AI49" s="839"/>
      <c r="AJ49" s="406"/>
      <c r="AK49" s="406"/>
      <c r="AL49" s="926"/>
      <c r="AM49" s="406"/>
      <c r="AN49" s="406"/>
      <c r="AO49" s="406"/>
      <c r="AP49" s="406"/>
      <c r="AQ49" s="412"/>
      <c r="AR49" s="406"/>
      <c r="AS49" s="412"/>
      <c r="AT49" s="412"/>
      <c r="AU49" s="406"/>
      <c r="AV49" s="412"/>
      <c r="AW49" s="412"/>
      <c r="AX49" s="412"/>
      <c r="AY49" s="412"/>
      <c r="AZ49" s="412"/>
      <c r="BA49" s="412"/>
      <c r="BB49" s="412"/>
      <c r="BC49" s="412"/>
      <c r="BD49" s="412"/>
      <c r="BE49" s="412"/>
      <c r="BF49" s="412"/>
      <c r="BG49" s="412"/>
      <c r="BH49" s="746"/>
      <c r="BI49" s="439"/>
      <c r="BJ49" s="406"/>
      <c r="BK49" s="839"/>
      <c r="BL49" s="926"/>
      <c r="BM49" s="406"/>
      <c r="BN49" s="406"/>
      <c r="BO49" s="412"/>
      <c r="BP49" s="406"/>
      <c r="BQ49" s="412"/>
      <c r="BR49" s="412"/>
      <c r="BS49" s="412"/>
      <c r="BT49" s="412"/>
      <c r="BU49" s="412"/>
      <c r="BV49" s="412"/>
      <c r="BW49" s="412"/>
      <c r="BX49" s="607"/>
      <c r="BY49" s="412"/>
    </row>
    <row r="50" spans="1:77" s="396" customFormat="1">
      <c r="A50" s="398"/>
      <c r="B50" s="396" t="s">
        <v>208</v>
      </c>
      <c r="E50" s="399"/>
      <c r="F50" s="406"/>
      <c r="G50" s="406"/>
      <c r="H50" s="406"/>
      <c r="I50" s="406"/>
      <c r="J50" s="406"/>
      <c r="K50" s="406"/>
      <c r="L50" s="406"/>
      <c r="M50" s="406"/>
      <c r="N50" s="406"/>
      <c r="O50" s="406"/>
      <c r="P50" s="406"/>
      <c r="Q50" s="406"/>
      <c r="R50" s="406"/>
      <c r="S50" s="406"/>
      <c r="T50" s="839"/>
      <c r="U50" s="852"/>
      <c r="V50" s="406"/>
      <c r="W50" s="412"/>
      <c r="X50" s="406"/>
      <c r="Y50" s="839"/>
      <c r="Z50" s="852"/>
      <c r="AA50" s="839"/>
      <c r="AB50" s="839"/>
      <c r="AC50" s="972"/>
      <c r="AD50" s="406"/>
      <c r="AE50" s="406"/>
      <c r="AF50" s="406"/>
      <c r="AG50" s="406"/>
      <c r="AH50" s="406"/>
      <c r="AI50" s="839"/>
      <c r="AJ50" s="406"/>
      <c r="AK50" s="406"/>
      <c r="AL50" s="926"/>
      <c r="AM50" s="406"/>
      <c r="AN50" s="406"/>
      <c r="AO50" s="406"/>
      <c r="AP50" s="406"/>
      <c r="AQ50" s="412"/>
      <c r="AR50" s="406"/>
      <c r="AS50" s="412"/>
      <c r="AT50" s="412"/>
      <c r="AU50" s="406"/>
      <c r="AV50" s="412"/>
      <c r="AW50" s="412"/>
      <c r="AX50" s="412"/>
      <c r="AY50" s="412"/>
      <c r="AZ50" s="412"/>
      <c r="BA50" s="412"/>
      <c r="BB50" s="412"/>
      <c r="BC50" s="412"/>
      <c r="BD50" s="412"/>
      <c r="BE50" s="412"/>
      <c r="BF50" s="412"/>
      <c r="BG50" s="412"/>
      <c r="BH50" s="746"/>
      <c r="BI50" s="439"/>
      <c r="BJ50" s="406"/>
      <c r="BK50" s="839"/>
      <c r="BL50" s="926"/>
      <c r="BM50" s="406"/>
      <c r="BN50" s="406"/>
      <c r="BO50" s="412"/>
      <c r="BP50" s="406"/>
      <c r="BQ50" s="412"/>
      <c r="BR50" s="412"/>
      <c r="BS50" s="412"/>
      <c r="BT50" s="412"/>
      <c r="BU50" s="412"/>
      <c r="BV50" s="412"/>
      <c r="BW50" s="412"/>
      <c r="BX50" s="607"/>
      <c r="BY50" s="412"/>
    </row>
    <row r="51" spans="1:77" s="399" customFormat="1">
      <c r="A51" s="418">
        <v>27</v>
      </c>
      <c r="B51" s="399" t="s">
        <v>575</v>
      </c>
      <c r="D51" s="505"/>
      <c r="E51" s="733">
        <f>'ROO INPUT 1.00'!F52</f>
        <v>-2018</v>
      </c>
      <c r="F51" s="406">
        <f>F48*0.21</f>
        <v>0</v>
      </c>
      <c r="G51" s="406">
        <f t="shared" ref="G51:AN51" si="160">G48*0.21</f>
        <v>-0.21</v>
      </c>
      <c r="H51" s="406">
        <f t="shared" si="160"/>
        <v>0</v>
      </c>
      <c r="I51" s="406">
        <f t="shared" si="160"/>
        <v>1.89</v>
      </c>
      <c r="J51" s="406">
        <f t="shared" si="160"/>
        <v>-0.42</v>
      </c>
      <c r="K51" s="406">
        <f t="shared" si="160"/>
        <v>-330.12</v>
      </c>
      <c r="L51" s="406">
        <f t="shared" si="160"/>
        <v>-8.82</v>
      </c>
      <c r="M51" s="406">
        <f t="shared" si="160"/>
        <v>26.04</v>
      </c>
      <c r="N51" s="406">
        <v>0</v>
      </c>
      <c r="O51" s="406">
        <f t="shared" si="160"/>
        <v>11.549999999999999</v>
      </c>
      <c r="P51" s="406">
        <f t="shared" si="160"/>
        <v>-3.78</v>
      </c>
      <c r="Q51" s="406">
        <f t="shared" si="160"/>
        <v>13.229999999999999</v>
      </c>
      <c r="R51" s="406">
        <f>R48*0.21</f>
        <v>-343.14</v>
      </c>
      <c r="S51" s="406">
        <f t="shared" si="160"/>
        <v>-0.21</v>
      </c>
      <c r="T51" s="839">
        <f t="shared" si="160"/>
        <v>302.39999999999998</v>
      </c>
      <c r="U51" s="839">
        <f>U48*0.21</f>
        <v>-575.18999999999994</v>
      </c>
      <c r="V51" s="406">
        <f>'DEBT CALC 2.14'!E75</f>
        <v>525</v>
      </c>
      <c r="W51" s="406">
        <f>W48*0.21</f>
        <v>0</v>
      </c>
      <c r="X51" s="406">
        <v>4616</v>
      </c>
      <c r="Y51" s="839">
        <f t="shared" si="160"/>
        <v>1.26</v>
      </c>
      <c r="Z51" s="839">
        <f t="shared" si="160"/>
        <v>355.74</v>
      </c>
      <c r="AA51" s="839">
        <f>AA48*0.21</f>
        <v>1149.33</v>
      </c>
      <c r="AB51" s="839">
        <f t="shared" ref="AB51" si="161">AB48*0.21</f>
        <v>0</v>
      </c>
      <c r="AC51" s="972">
        <f>SUM(E51:AB51)</f>
        <v>3722.55</v>
      </c>
      <c r="AD51" s="406">
        <f>AD48*0.21</f>
        <v>4317.5999999999995</v>
      </c>
      <c r="AE51" s="406">
        <f t="shared" ref="AE51" si="162">AE48*0.21</f>
        <v>2226.42</v>
      </c>
      <c r="AF51" s="406">
        <f>AF48*0.21</f>
        <v>2669.1</v>
      </c>
      <c r="AG51" s="406">
        <f>AG48*0.21</f>
        <v>-240.87</v>
      </c>
      <c r="AH51" s="406">
        <f>AH48*0.21</f>
        <v>0</v>
      </c>
      <c r="AI51" s="839">
        <f>(AI48*0.21)+0.2</f>
        <v>-2258.56</v>
      </c>
      <c r="AJ51" s="406">
        <f t="shared" ref="AJ51" si="163">AJ48*0.21</f>
        <v>-184.69499999999999</v>
      </c>
      <c r="AK51" s="406">
        <f>AK48*0.21</f>
        <v>-74.97</v>
      </c>
      <c r="AL51" s="406">
        <f t="shared" si="160"/>
        <v>-1289.19</v>
      </c>
      <c r="AM51" s="406">
        <f t="shared" si="160"/>
        <v>-13.44</v>
      </c>
      <c r="AN51" s="406">
        <f t="shared" si="160"/>
        <v>82.74</v>
      </c>
      <c r="AO51" s="406">
        <f t="shared" ref="AO51:AT51" si="164">AO48*0.21</f>
        <v>14.582820000000002</v>
      </c>
      <c r="AP51" s="406">
        <f t="shared" si="164"/>
        <v>-202.01999999999998</v>
      </c>
      <c r="AQ51" s="406">
        <f t="shared" si="164"/>
        <v>-901.31999999999994</v>
      </c>
      <c r="AR51" s="406">
        <f t="shared" si="164"/>
        <v>-265.02</v>
      </c>
      <c r="AS51" s="406">
        <f t="shared" si="164"/>
        <v>-2052.27792</v>
      </c>
      <c r="AT51" s="406">
        <f t="shared" si="164"/>
        <v>-454.65</v>
      </c>
      <c r="AU51" s="406">
        <f t="shared" ref="AU51" si="165">AU48*0.21</f>
        <v>-13.02</v>
      </c>
      <c r="AV51" s="412">
        <f>AV48*0.21</f>
        <v>-466.40999999999997</v>
      </c>
      <c r="AW51" s="406">
        <f t="shared" ref="AW51" si="166">AW48*0.21</f>
        <v>-1.47</v>
      </c>
      <c r="AX51" s="406">
        <f t="shared" ref="AX51" si="167">AX48*0.21</f>
        <v>-121.58999999999999</v>
      </c>
      <c r="AY51" s="406">
        <f t="shared" ref="AY51" si="168">AY48*0.21</f>
        <v>-555.44999999999993</v>
      </c>
      <c r="AZ51" s="406">
        <f t="shared" ref="AZ51" si="169">AZ48*0.21</f>
        <v>-500.43</v>
      </c>
      <c r="BA51" s="406">
        <f t="shared" ref="BA51:BE51" si="170">BA48*0.21</f>
        <v>1641.1499999999999</v>
      </c>
      <c r="BB51" s="406">
        <f t="shared" si="170"/>
        <v>-685.65</v>
      </c>
      <c r="BC51" s="406">
        <f t="shared" si="170"/>
        <v>-88.61999999999999</v>
      </c>
      <c r="BD51" s="406">
        <f t="shared" si="170"/>
        <v>-198.03</v>
      </c>
      <c r="BE51" s="406">
        <f t="shared" si="170"/>
        <v>33.6</v>
      </c>
      <c r="BF51" s="406">
        <f>BF48*0.21</f>
        <v>-96.81</v>
      </c>
      <c r="BG51" s="406">
        <f>BG48*0.21</f>
        <v>1075.1466679746834</v>
      </c>
      <c r="BH51" s="746">
        <f t="shared" ref="BH51:BH56" si="171">SUM(AC51:BG51)</f>
        <v>5118.3965679746825</v>
      </c>
      <c r="BI51" s="439"/>
      <c r="BJ51" s="406">
        <f>BJ48*0.21</f>
        <v>0</v>
      </c>
      <c r="BK51" s="839">
        <f>(BK48*0.21)+0.2</f>
        <v>166.30999999999997</v>
      </c>
      <c r="BL51" s="406">
        <f t="shared" ref="BL51:BM51" si="172">BL48*0.21</f>
        <v>-409.28999999999996</v>
      </c>
      <c r="BM51" s="406">
        <f t="shared" si="172"/>
        <v>-97.02</v>
      </c>
      <c r="BN51" s="406">
        <f t="shared" ref="BN51" si="173">BN48*0.21</f>
        <v>-131.46</v>
      </c>
      <c r="BO51" s="406">
        <f>BO48*0.21</f>
        <v>-317.52</v>
      </c>
      <c r="BP51" s="406">
        <f>BP48*0.21</f>
        <v>-9.66</v>
      </c>
      <c r="BQ51" s="406">
        <f t="shared" ref="BQ51" si="174">BQ48*0.21</f>
        <v>-912.12344999999993</v>
      </c>
      <c r="BR51" s="406">
        <f t="shared" ref="BR51" si="175">BR48*0.21</f>
        <v>-352.8</v>
      </c>
      <c r="BS51" s="406">
        <f>BS48*0.21</f>
        <v>714.42</v>
      </c>
      <c r="BT51" s="406">
        <f>BT48*0.21</f>
        <v>-97.22999999999999</v>
      </c>
      <c r="BU51" s="406">
        <f>BU48*0.21</f>
        <v>0</v>
      </c>
      <c r="BV51" s="406">
        <f>BV48*0.21</f>
        <v>-6.93</v>
      </c>
      <c r="BW51" s="406">
        <f>BW48*0.21</f>
        <v>565.17980772151896</v>
      </c>
      <c r="BX51" s="607">
        <f t="shared" ref="BX51:BX56" si="176">SUM(BH51:BW51)</f>
        <v>4230.2729256962011</v>
      </c>
      <c r="BY51" s="406">
        <f>BX51-BH51</f>
        <v>-888.12364227848138</v>
      </c>
    </row>
    <row r="52" spans="1:77" s="399" customFormat="1">
      <c r="A52" s="418">
        <v>28</v>
      </c>
      <c r="B52" s="399" t="s">
        <v>259</v>
      </c>
      <c r="E52" s="733">
        <f>'ROO INPUT 1.00'!F53</f>
        <v>0</v>
      </c>
      <c r="F52" s="406">
        <f>(F80*'RR Summary'!$N$12)*-0.21</f>
        <v>3.5271599999999999</v>
      </c>
      <c r="G52" s="406">
        <f>(G80*'RR Summary'!$N$12)*-0.21</f>
        <v>-9.8553000000000002E-2</v>
      </c>
      <c r="H52" s="406">
        <f>(H80*'RR Summary'!$N$12)*-0.21</f>
        <v>1.530165</v>
      </c>
      <c r="I52" s="406">
        <f>(I80*'RR Summary'!$N$12)*-0.21</f>
        <v>0</v>
      </c>
      <c r="J52" s="406">
        <f>(J80*'RR Summary'!$N$12)*-0.21</f>
        <v>0</v>
      </c>
      <c r="K52" s="406">
        <f>(K80*'RR Summary'!$N$12)*-0.21</f>
        <v>0</v>
      </c>
      <c r="L52" s="406">
        <f>(L80*'RR Summary'!$N$12)*-0.21</f>
        <v>0</v>
      </c>
      <c r="M52" s="406">
        <f>(M80*'RR Summary'!$N$12)*-0.21</f>
        <v>0</v>
      </c>
      <c r="N52" s="406">
        <f>(N80*'RR Summary'!$N$12)*-0.21</f>
        <v>0</v>
      </c>
      <c r="O52" s="406">
        <f>(O80*'RR Summary'!$N$12)*-0.21</f>
        <v>0</v>
      </c>
      <c r="P52" s="406">
        <f>(P80*'RR Summary'!$N$12)*-0.21</f>
        <v>0</v>
      </c>
      <c r="Q52" s="406">
        <f>(Q80*'RR Summary'!$N$12)*-0.21</f>
        <v>0</v>
      </c>
      <c r="R52" s="406">
        <f>(R80*'RR Summary'!$N$12)*-0.21</f>
        <v>0</v>
      </c>
      <c r="S52" s="406">
        <f>(S80*'RR Summary'!$N$12)*-0.21</f>
        <v>0</v>
      </c>
      <c r="T52" s="839">
        <f>(T80*'RR Summary'!$N$12)*-0.21</f>
        <v>0</v>
      </c>
      <c r="U52" s="839">
        <f>(U80*'RR Summary'!$N$12)*-0.21</f>
        <v>0</v>
      </c>
      <c r="V52" s="406"/>
      <c r="W52" s="406">
        <f>(W80*'RR Summary'!$N$12)*-0.21</f>
        <v>-384.81834299999997</v>
      </c>
      <c r="X52" s="406">
        <f>(X80*'RR Summary'!$N$12)*-0.21</f>
        <v>0</v>
      </c>
      <c r="Y52" s="839">
        <f>(Y80*'RR Summary'!$N$12)*-0.21</f>
        <v>0</v>
      </c>
      <c r="Z52" s="839">
        <f>(Z80*'RR Summary'!$N$12)*-0.21</f>
        <v>0</v>
      </c>
      <c r="AA52" s="839">
        <f>(AA80*'RR Summary'!$N$12)*-0.21</f>
        <v>0</v>
      </c>
      <c r="AB52" s="839">
        <f>(AB80*'RR Summary'!$N$12)*-0.21</f>
        <v>129.166674</v>
      </c>
      <c r="AC52" s="972">
        <f>SUM(E52:AB52)</f>
        <v>-250.69289699999996</v>
      </c>
      <c r="AD52" s="406">
        <f>(AD80*'RR Summary'!$N$12)*-0.21</f>
        <v>0</v>
      </c>
      <c r="AE52" s="406">
        <f>(AE80*'RR Summary'!$N$12)*-0.21</f>
        <v>0</v>
      </c>
      <c r="AF52" s="406">
        <f>(AF80*'RR Summary'!$N$12)*-0.21</f>
        <v>0</v>
      </c>
      <c r="AG52" s="406">
        <f>(AG80*'RR Summary'!$N$12)*-0.21</f>
        <v>0.14004900000000001</v>
      </c>
      <c r="AH52" s="406">
        <f>(AH80*'RR Summary'!$N$12)*-0.21</f>
        <v>0</v>
      </c>
      <c r="AI52" s="839">
        <f>(AI80*'RR Summary'!$N$12)*-0.21</f>
        <v>-157.77297899999999</v>
      </c>
      <c r="AJ52" s="406">
        <f>(AJ80*'RR Summary'!$N$12)*-0.21</f>
        <v>0</v>
      </c>
      <c r="AK52" s="406">
        <f>(AK80*'RR Summary'!$N$12)*-0.21</f>
        <v>0</v>
      </c>
      <c r="AL52" s="926">
        <f>(AL80*'RR Summary'!$N$12)*-0.21</f>
        <v>0</v>
      </c>
      <c r="AM52" s="406">
        <f>(AM80*'RR Summary'!$N$12)*-0.21</f>
        <v>0</v>
      </c>
      <c r="AN52" s="406">
        <f>(AN80*'RR Summary'!$N$12)*-0.21</f>
        <v>0</v>
      </c>
      <c r="AO52" s="406">
        <f>(AO80*'RR Summary'!$N$12)*-0.21</f>
        <v>0</v>
      </c>
      <c r="AP52" s="406">
        <f>(AP80*'RR Summary'!$N$12)*-0.21</f>
        <v>0</v>
      </c>
      <c r="AQ52" s="406">
        <f>(AQ80*'RR Summary'!$N$12)*-0.21</f>
        <v>0</v>
      </c>
      <c r="AR52" s="406">
        <f>(AR80*'RR Summary'!$N$12)*-0.21</f>
        <v>0</v>
      </c>
      <c r="AS52" s="406">
        <f>(AS80*'RR Summary'!$N$12)*-0.21</f>
        <v>0</v>
      </c>
      <c r="AT52" s="406">
        <f>(AT80*'RR Summary'!$N$12)*-0.21</f>
        <v>-180.68240054333299</v>
      </c>
      <c r="AU52" s="406">
        <f>(AU80*'RR Summary'!$N$12)*-0.21</f>
        <v>0</v>
      </c>
      <c r="AV52" s="412">
        <f>(AV80*'RR Summary'!$N$12)*-0.21</f>
        <v>-32.688473999999999</v>
      </c>
      <c r="AW52" s="406">
        <f>(AW80*'RR Summary'!$N$12)*-0.21</f>
        <v>-12.951938999999999</v>
      </c>
      <c r="AX52" s="406">
        <f>(AX80*'RR Summary'!$N$12)*-0.21</f>
        <v>15.887780999999999</v>
      </c>
      <c r="AY52" s="406">
        <f>(AY80*'RR Summary'!$N$12)*-0.21</f>
        <v>-406.65207751449088</v>
      </c>
      <c r="AZ52" s="406">
        <f>(AZ80*'RR Summary'!$N$12)*-0.21</f>
        <v>-73.555079257245453</v>
      </c>
      <c r="BA52" s="406">
        <f>(BA80*'RR Summary'!$N$12)*-0.21</f>
        <v>0</v>
      </c>
      <c r="BB52" s="406">
        <f>(BB80*'RR Summary'!$N$12)*-0.21</f>
        <v>-71.611722</v>
      </c>
      <c r="BC52" s="406">
        <f>(BC80*'RR Summary'!$N$12)*-0.21</f>
        <v>-37.009245</v>
      </c>
      <c r="BD52" s="406">
        <f>(BD80*'RR Summary'!$N$12)*-0.21</f>
        <v>51.216437999999997</v>
      </c>
      <c r="BE52" s="406">
        <f>(BE80*'RR Summary'!$N$12)*-0.21</f>
        <v>25.281437999999998</v>
      </c>
      <c r="BF52" s="406">
        <f>(BF80*'RR Summary'!$N$12)*-0.21</f>
        <v>4.678674</v>
      </c>
      <c r="BG52" s="406">
        <f>(BG80*'RR Summary'!$N$12)*-0.21</f>
        <v>-4.8135359999999991</v>
      </c>
      <c r="BH52" s="746">
        <f t="shared" si="171"/>
        <v>-1131.2259693150695</v>
      </c>
      <c r="BI52" s="439"/>
      <c r="BJ52" s="406">
        <f>(BJ80*'RR Summary'!$N$12)*-0.21</f>
        <v>0</v>
      </c>
      <c r="BK52" s="839">
        <f>(BK80*'RR Summary'!$N$12)*-0.21</f>
        <v>15.519504</v>
      </c>
      <c r="BL52" s="926">
        <f>(BL80*'RR Summary'!$N$12)*-0.21</f>
        <v>0</v>
      </c>
      <c r="BM52" s="406">
        <f>(BM80*'RR Summary'!$N$12)*-0.21</f>
        <v>0</v>
      </c>
      <c r="BN52" s="406">
        <f>(BN80*'RR Summary'!$N$12)*-0.21</f>
        <v>0</v>
      </c>
      <c r="BO52" s="406">
        <f>(BO80*'RR Summary'!$N$12)*-0.21</f>
        <v>0</v>
      </c>
      <c r="BP52" s="406">
        <f>(BP80*'RR Summary'!$N$12)*-0.21</f>
        <v>0</v>
      </c>
      <c r="BQ52" s="406">
        <f>(BQ80*'RR Summary'!$N$12)*-0.21</f>
        <v>0</v>
      </c>
      <c r="BR52" s="406">
        <f>(BR80*'RR Summary'!$N$12)*-0.21</f>
        <v>-398.29063351449088</v>
      </c>
      <c r="BS52" s="406">
        <f>(BS80*'RR Summary'!$N$12)*-0.21</f>
        <v>0</v>
      </c>
      <c r="BT52" s="406">
        <f>(BT80*'RR Summary'!$N$12)*-0.21</f>
        <v>-81.384029999999996</v>
      </c>
      <c r="BU52" s="406">
        <f>(BU80*'RR Summary'!$N$12)*-0.21</f>
        <v>50.557688999999996</v>
      </c>
      <c r="BV52" s="406">
        <f>(BV80*'RR Summary'!$N$12)*-0.21</f>
        <v>8.1384030000000003</v>
      </c>
      <c r="BW52" s="406">
        <f>(BW80*'RR Summary'!$N$12)*-0.21</f>
        <v>-13.325402999999998</v>
      </c>
      <c r="BX52" s="607">
        <f t="shared" si="176"/>
        <v>-1550.0104398295605</v>
      </c>
      <c r="BY52" s="406">
        <f>BX52-BH52</f>
        <v>-418.78447051449098</v>
      </c>
    </row>
    <row r="53" spans="1:77" s="399" customFormat="1">
      <c r="A53" s="418">
        <v>29</v>
      </c>
      <c r="B53" s="399" t="s">
        <v>209</v>
      </c>
      <c r="E53" s="733">
        <f>'ROO INPUT 1.00'!F54</f>
        <v>8368</v>
      </c>
      <c r="F53" s="406">
        <v>0</v>
      </c>
      <c r="G53" s="406">
        <v>0</v>
      </c>
      <c r="H53" s="406">
        <v>0</v>
      </c>
      <c r="I53" s="406">
        <v>0</v>
      </c>
      <c r="J53" s="406">
        <v>0</v>
      </c>
      <c r="K53" s="406">
        <v>0</v>
      </c>
      <c r="L53" s="406">
        <v>0</v>
      </c>
      <c r="M53" s="406">
        <v>0</v>
      </c>
      <c r="N53" s="406">
        <v>813</v>
      </c>
      <c r="O53" s="406">
        <v>0</v>
      </c>
      <c r="P53" s="406">
        <v>0</v>
      </c>
      <c r="Q53" s="406">
        <v>0</v>
      </c>
      <c r="R53" s="406">
        <v>0</v>
      </c>
      <c r="S53" s="406">
        <v>0</v>
      </c>
      <c r="T53" s="839">
        <v>0</v>
      </c>
      <c r="U53" s="852">
        <v>0</v>
      </c>
      <c r="V53" s="406">
        <v>0</v>
      </c>
      <c r="W53" s="412">
        <v>0</v>
      </c>
      <c r="X53" s="406">
        <v>-4169</v>
      </c>
      <c r="Y53" s="839">
        <v>0</v>
      </c>
      <c r="Z53" s="852">
        <v>0</v>
      </c>
      <c r="AA53" s="839">
        <v>0</v>
      </c>
      <c r="AB53" s="839">
        <v>0</v>
      </c>
      <c r="AC53" s="972">
        <f>SUM(E53:AB53)</f>
        <v>5012</v>
      </c>
      <c r="AD53" s="406">
        <v>0</v>
      </c>
      <c r="AE53" s="406">
        <v>0</v>
      </c>
      <c r="AF53" s="406">
        <v>0</v>
      </c>
      <c r="AG53" s="406">
        <v>0</v>
      </c>
      <c r="AH53" s="406">
        <v>634</v>
      </c>
      <c r="AI53" s="839">
        <v>0</v>
      </c>
      <c r="AJ53" s="406">
        <v>0</v>
      </c>
      <c r="AK53" s="406">
        <v>0</v>
      </c>
      <c r="AL53" s="926">
        <v>0</v>
      </c>
      <c r="AM53" s="406">
        <v>0</v>
      </c>
      <c r="AN53" s="406">
        <v>0</v>
      </c>
      <c r="AO53" s="406">
        <v>0</v>
      </c>
      <c r="AP53" s="406">
        <v>0</v>
      </c>
      <c r="AQ53" s="412">
        <v>0</v>
      </c>
      <c r="AR53" s="406">
        <v>0</v>
      </c>
      <c r="AS53" s="412">
        <v>0</v>
      </c>
      <c r="AT53" s="412">
        <v>0</v>
      </c>
      <c r="AU53" s="406">
        <v>0</v>
      </c>
      <c r="AV53" s="412">
        <v>0</v>
      </c>
      <c r="AW53" s="412">
        <v>0</v>
      </c>
      <c r="AX53" s="412">
        <v>0</v>
      </c>
      <c r="AY53" s="412">
        <v>0</v>
      </c>
      <c r="AZ53" s="412">
        <v>0</v>
      </c>
      <c r="BA53" s="412"/>
      <c r="BB53" s="412">
        <v>0</v>
      </c>
      <c r="BC53" s="412">
        <v>0</v>
      </c>
      <c r="BD53" s="412">
        <v>0</v>
      </c>
      <c r="BE53" s="412">
        <v>0</v>
      </c>
      <c r="BF53" s="412">
        <v>0</v>
      </c>
      <c r="BG53" s="412">
        <v>0</v>
      </c>
      <c r="BH53" s="746">
        <f t="shared" si="171"/>
        <v>5646</v>
      </c>
      <c r="BI53" s="439"/>
      <c r="BJ53" s="406">
        <v>842</v>
      </c>
      <c r="BK53" s="839">
        <v>0</v>
      </c>
      <c r="BL53" s="926">
        <v>0</v>
      </c>
      <c r="BM53" s="406">
        <v>0</v>
      </c>
      <c r="BN53" s="406">
        <v>0</v>
      </c>
      <c r="BO53" s="412">
        <v>0</v>
      </c>
      <c r="BP53" s="406">
        <v>0</v>
      </c>
      <c r="BQ53" s="412">
        <v>0</v>
      </c>
      <c r="BR53" s="412">
        <v>0</v>
      </c>
      <c r="BS53" s="412"/>
      <c r="BT53" s="412">
        <v>0</v>
      </c>
      <c r="BU53" s="412">
        <v>0</v>
      </c>
      <c r="BV53" s="412">
        <v>0</v>
      </c>
      <c r="BW53" s="412">
        <v>0</v>
      </c>
      <c r="BX53" s="607">
        <f t="shared" si="176"/>
        <v>6488</v>
      </c>
      <c r="BY53" s="406">
        <f>BX53-BH53</f>
        <v>842</v>
      </c>
    </row>
    <row r="54" spans="1:77" s="396" customFormat="1">
      <c r="A54" s="398">
        <v>30</v>
      </c>
      <c r="B54" s="396" t="s">
        <v>251</v>
      </c>
      <c r="E54" s="732">
        <f>'ROO INPUT 1.00'!F55</f>
        <v>-318</v>
      </c>
      <c r="F54" s="413">
        <v>0</v>
      </c>
      <c r="G54" s="413">
        <v>0</v>
      </c>
      <c r="H54" s="413">
        <v>0</v>
      </c>
      <c r="I54" s="413">
        <v>0</v>
      </c>
      <c r="J54" s="413">
        <v>0</v>
      </c>
      <c r="K54" s="413">
        <v>0</v>
      </c>
      <c r="L54" s="413">
        <v>0</v>
      </c>
      <c r="M54" s="413">
        <v>0</v>
      </c>
      <c r="N54" s="413">
        <v>0</v>
      </c>
      <c r="O54" s="413">
        <v>0</v>
      </c>
      <c r="P54" s="413">
        <v>0</v>
      </c>
      <c r="Q54" s="413">
        <v>0</v>
      </c>
      <c r="R54" s="413">
        <v>0</v>
      </c>
      <c r="S54" s="413">
        <v>0</v>
      </c>
      <c r="T54" s="848">
        <v>0</v>
      </c>
      <c r="U54" s="848">
        <v>0</v>
      </c>
      <c r="V54" s="413">
        <v>0</v>
      </c>
      <c r="W54" s="413">
        <v>0</v>
      </c>
      <c r="X54" s="413">
        <v>0</v>
      </c>
      <c r="Y54" s="848">
        <v>0</v>
      </c>
      <c r="Z54" s="848">
        <v>0</v>
      </c>
      <c r="AA54" s="848">
        <v>0</v>
      </c>
      <c r="AB54" s="848">
        <v>0</v>
      </c>
      <c r="AC54" s="974">
        <f>SUM(E54:AB54)</f>
        <v>-318</v>
      </c>
      <c r="AD54" s="413">
        <v>0</v>
      </c>
      <c r="AE54" s="413">
        <v>0</v>
      </c>
      <c r="AF54" s="413">
        <v>0</v>
      </c>
      <c r="AG54" s="413">
        <v>0</v>
      </c>
      <c r="AH54" s="413">
        <v>0</v>
      </c>
      <c r="AI54" s="848">
        <v>0</v>
      </c>
      <c r="AJ54" s="413">
        <v>0</v>
      </c>
      <c r="AK54" s="413">
        <v>0</v>
      </c>
      <c r="AL54" s="928">
        <v>0</v>
      </c>
      <c r="AM54" s="413">
        <v>0</v>
      </c>
      <c r="AN54" s="413">
        <v>0</v>
      </c>
      <c r="AO54" s="413">
        <v>0</v>
      </c>
      <c r="AP54" s="413">
        <v>0</v>
      </c>
      <c r="AQ54" s="413">
        <v>0</v>
      </c>
      <c r="AR54" s="413">
        <v>0</v>
      </c>
      <c r="AS54" s="413">
        <v>0</v>
      </c>
      <c r="AT54" s="413">
        <v>0</v>
      </c>
      <c r="AU54" s="413">
        <v>0</v>
      </c>
      <c r="AV54" s="413">
        <v>0</v>
      </c>
      <c r="AW54" s="413">
        <v>0</v>
      </c>
      <c r="AX54" s="413">
        <v>0</v>
      </c>
      <c r="AY54" s="413">
        <v>0</v>
      </c>
      <c r="AZ54" s="413">
        <v>0</v>
      </c>
      <c r="BA54" s="413">
        <v>0</v>
      </c>
      <c r="BB54" s="413">
        <v>0</v>
      </c>
      <c r="BC54" s="413">
        <v>0</v>
      </c>
      <c r="BD54" s="413">
        <v>0</v>
      </c>
      <c r="BE54" s="413">
        <v>0</v>
      </c>
      <c r="BF54" s="413">
        <v>0</v>
      </c>
      <c r="BG54" s="413">
        <v>0</v>
      </c>
      <c r="BH54" s="748">
        <f t="shared" si="171"/>
        <v>-318</v>
      </c>
      <c r="BI54" s="439"/>
      <c r="BJ54" s="413">
        <v>0</v>
      </c>
      <c r="BK54" s="848">
        <v>0</v>
      </c>
      <c r="BL54" s="928">
        <v>0</v>
      </c>
      <c r="BM54" s="413">
        <v>0</v>
      </c>
      <c r="BN54" s="413">
        <v>0</v>
      </c>
      <c r="BO54" s="413">
        <v>0</v>
      </c>
      <c r="BP54" s="413">
        <v>0</v>
      </c>
      <c r="BQ54" s="413">
        <v>0</v>
      </c>
      <c r="BR54" s="413">
        <v>0</v>
      </c>
      <c r="BS54" s="413">
        <v>0</v>
      </c>
      <c r="BT54" s="413">
        <v>0</v>
      </c>
      <c r="BU54" s="413">
        <v>0</v>
      </c>
      <c r="BV54" s="413">
        <v>0</v>
      </c>
      <c r="BW54" s="413">
        <v>0</v>
      </c>
      <c r="BX54" s="609">
        <f t="shared" si="176"/>
        <v>-318</v>
      </c>
      <c r="BY54" s="1298">
        <f>BX54-BH54</f>
        <v>0</v>
      </c>
    </row>
    <row r="55" spans="1:77" s="396" customFormat="1">
      <c r="A55" s="982" t="s">
        <v>1026</v>
      </c>
      <c r="B55" s="981" t="s">
        <v>1025</v>
      </c>
      <c r="E55" s="732"/>
      <c r="F55" s="413"/>
      <c r="G55" s="413"/>
      <c r="H55" s="413"/>
      <c r="I55" s="413"/>
      <c r="J55" s="413"/>
      <c r="K55" s="413"/>
      <c r="L55" s="413"/>
      <c r="M55" s="413"/>
      <c r="N55" s="413"/>
      <c r="O55" s="413"/>
      <c r="P55" s="413"/>
      <c r="Q55" s="413"/>
      <c r="R55" s="413"/>
      <c r="S55" s="413"/>
      <c r="T55" s="848"/>
      <c r="U55" s="848"/>
      <c r="V55" s="413"/>
      <c r="W55" s="413"/>
      <c r="X55" s="413"/>
      <c r="Y55" s="848"/>
      <c r="Z55" s="848"/>
      <c r="AA55" s="848"/>
      <c r="AB55" s="848"/>
      <c r="AC55" s="974">
        <f>SUM(E55:AB55)</f>
        <v>0</v>
      </c>
      <c r="AD55" s="413"/>
      <c r="AE55" s="413"/>
      <c r="AF55" s="413"/>
      <c r="AG55" s="413"/>
      <c r="AH55" s="413"/>
      <c r="AI55" s="848"/>
      <c r="AJ55" s="413"/>
      <c r="AK55" s="413"/>
      <c r="AL55" s="928"/>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748">
        <f t="shared" si="171"/>
        <v>0</v>
      </c>
      <c r="BI55" s="439"/>
      <c r="BJ55" s="413"/>
      <c r="BK55" s="848"/>
      <c r="BL55" s="928"/>
      <c r="BM55" s="413"/>
      <c r="BN55" s="413"/>
      <c r="BO55" s="413"/>
      <c r="BP55" s="413"/>
      <c r="BQ55" s="413"/>
      <c r="BR55" s="413"/>
      <c r="BS55" s="413"/>
      <c r="BT55" s="413"/>
      <c r="BU55" s="413"/>
      <c r="BV55" s="413"/>
      <c r="BW55" s="413"/>
      <c r="BX55" s="609">
        <f t="shared" si="176"/>
        <v>0</v>
      </c>
      <c r="BY55" s="1298">
        <f>BX55-BH55</f>
        <v>0</v>
      </c>
    </row>
    <row r="56" spans="1:77" s="395" customFormat="1" ht="12.75" thickBot="1">
      <c r="A56" s="397">
        <v>31</v>
      </c>
      <c r="B56" s="395" t="s">
        <v>210</v>
      </c>
      <c r="E56" s="423">
        <f>E48-SUM(E51:E54)</f>
        <v>106560</v>
      </c>
      <c r="F56" s="423">
        <f t="shared" ref="F56:AN56" si="177">F48-SUM(F51:F54)</f>
        <v>-3.5271599999999999</v>
      </c>
      <c r="G56" s="423">
        <f t="shared" si="177"/>
        <v>-0.69144700000000003</v>
      </c>
      <c r="H56" s="423">
        <f t="shared" si="177"/>
        <v>-1.530165</v>
      </c>
      <c r="I56" s="423">
        <f t="shared" si="177"/>
        <v>7.11</v>
      </c>
      <c r="J56" s="423">
        <f t="shared" ref="J56" si="178">J48-SUM(J51:J54)</f>
        <v>-1.58</v>
      </c>
      <c r="K56" s="423">
        <f t="shared" si="177"/>
        <v>-1241.8800000000001</v>
      </c>
      <c r="L56" s="423">
        <f t="shared" si="177"/>
        <v>-33.18</v>
      </c>
      <c r="M56" s="423">
        <f t="shared" si="177"/>
        <v>97.960000000000008</v>
      </c>
      <c r="N56" s="423">
        <f t="shared" si="177"/>
        <v>-813</v>
      </c>
      <c r="O56" s="423">
        <f t="shared" si="177"/>
        <v>43.45</v>
      </c>
      <c r="P56" s="423">
        <f t="shared" si="177"/>
        <v>-14.22</v>
      </c>
      <c r="Q56" s="423">
        <f t="shared" si="177"/>
        <v>49.77</v>
      </c>
      <c r="R56" s="423">
        <f t="shared" si="177"/>
        <v>-1290.8600000000001</v>
      </c>
      <c r="S56" s="423">
        <f t="shared" ref="S56" si="179">S48-SUM(S51:S54)</f>
        <v>-0.79</v>
      </c>
      <c r="T56" s="849">
        <f t="shared" ref="T56:Z56" si="180">T48-SUM(T51:T54)</f>
        <v>1137.5999999999999</v>
      </c>
      <c r="U56" s="864">
        <f t="shared" ref="U56" si="181">U48-SUM(U51:U54)</f>
        <v>-2163.81</v>
      </c>
      <c r="V56" s="734">
        <f>V48-SUM(V51:V54)</f>
        <v>-525</v>
      </c>
      <c r="W56" s="423">
        <f>W48-SUM(W51:W54)</f>
        <v>384.81834299999997</v>
      </c>
      <c r="X56" s="734">
        <f>X48-SUM(X51:X54)</f>
        <v>1679</v>
      </c>
      <c r="Y56" s="849">
        <f t="shared" si="180"/>
        <v>4.74</v>
      </c>
      <c r="Z56" s="864">
        <f t="shared" si="180"/>
        <v>1338.26</v>
      </c>
      <c r="AA56" s="849">
        <f>AA48-SUM(AA51:AA54)</f>
        <v>4323.67</v>
      </c>
      <c r="AB56" s="849">
        <f t="shared" ref="AB56" si="182">AB48-SUM(AB51:AB54)</f>
        <v>-129.166674</v>
      </c>
      <c r="AC56" s="1059">
        <f t="shared" si="177"/>
        <v>109407.142897</v>
      </c>
      <c r="AD56" s="734">
        <f>AD48-SUM(AD51:AD54)</f>
        <v>16242.400000000001</v>
      </c>
      <c r="AE56" s="734">
        <f t="shared" ref="AE56" si="183">AE48-SUM(AE51:AE54)</f>
        <v>8375.58</v>
      </c>
      <c r="AF56" s="734">
        <f t="shared" ref="AF56" si="184">AF48-SUM(AF51:AF54)</f>
        <v>10040.9</v>
      </c>
      <c r="AG56" s="423">
        <f t="shared" ref="AG56" si="185">AG48-SUM(AG51:AG54)</f>
        <v>-906.27004899999997</v>
      </c>
      <c r="AH56" s="423">
        <f>AH48-SUM(AH51:AH54)</f>
        <v>-634</v>
      </c>
      <c r="AI56" s="849">
        <f>AI48-SUM(AI51:AI54)</f>
        <v>-8339.6670210000011</v>
      </c>
      <c r="AJ56" s="423">
        <f t="shared" ref="AJ56" si="186">AJ48-SUM(AJ51:AJ54)</f>
        <v>-694.80500000000006</v>
      </c>
      <c r="AK56" s="424">
        <f>AK48-SUM(AK51:AK54)</f>
        <v>-282.02999999999997</v>
      </c>
      <c r="AL56" s="423">
        <f>AL48-SUM(AL51:AL54)</f>
        <v>-4849.8099999999995</v>
      </c>
      <c r="AM56" s="423">
        <f t="shared" si="177"/>
        <v>-50.56</v>
      </c>
      <c r="AN56" s="423">
        <f t="shared" si="177"/>
        <v>311.26</v>
      </c>
      <c r="AO56" s="424">
        <f>AO48-SUM(AO51:AO54)</f>
        <v>54.859180000000009</v>
      </c>
      <c r="AP56" s="423">
        <f t="shared" ref="AP56" si="187">AP48-SUM(AP51:AP54)</f>
        <v>-759.98</v>
      </c>
      <c r="AQ56" s="734">
        <f t="shared" ref="AQ56" si="188">AQ48-SUM(AQ51:AQ54)</f>
        <v>-3390.6800000000003</v>
      </c>
      <c r="AR56" s="423">
        <f t="shared" ref="AR56" si="189">AR48-SUM(AR51:AR54)</f>
        <v>-996.98</v>
      </c>
      <c r="AS56" s="734">
        <f>AS48-SUM(AS51:AS54)</f>
        <v>-7720.47408</v>
      </c>
      <c r="AT56" s="734">
        <f>AT48-SUM(AT51:AT54)</f>
        <v>-1529.6675994566672</v>
      </c>
      <c r="AU56" s="734">
        <f>AU48-SUM(AU51:AU55)</f>
        <v>-48.980000000000004</v>
      </c>
      <c r="AV56" s="734">
        <f>AV48-SUM(AV51:AV55)</f>
        <v>-1721.9015260000001</v>
      </c>
      <c r="AW56" s="734">
        <f>AW48-SUM(AW51:AW55)</f>
        <v>7.4219390000000001</v>
      </c>
      <c r="AX56" s="734">
        <f>AX48-SUM(AX51:AX55)</f>
        <v>-473.29778099999999</v>
      </c>
      <c r="AY56" s="734">
        <f t="shared" ref="AY56:AZ56" si="190">AY48-SUM(AY51:AY55)</f>
        <v>-1682.8979224855093</v>
      </c>
      <c r="AZ56" s="734">
        <f t="shared" si="190"/>
        <v>-1809.0149207427544</v>
      </c>
      <c r="BA56" s="734">
        <f t="shared" ref="BA56:BE56" si="191">BA48-SUM(BA51:BA55)</f>
        <v>6173.85</v>
      </c>
      <c r="BB56" s="734">
        <f t="shared" si="191"/>
        <v>-2507.7382779999998</v>
      </c>
      <c r="BC56" s="734">
        <f t="shared" si="191"/>
        <v>-296.37075500000003</v>
      </c>
      <c r="BD56" s="734">
        <f t="shared" si="191"/>
        <v>-796.18643799999995</v>
      </c>
      <c r="BE56" s="734">
        <f t="shared" si="191"/>
        <v>101.118562</v>
      </c>
      <c r="BF56" s="734">
        <f>BF48-SUM(BF51:BF55)</f>
        <v>-368.868674</v>
      </c>
      <c r="BG56" s="734">
        <f>BG48-SUM(BG51:BG55)</f>
        <v>4049.412906</v>
      </c>
      <c r="BH56" s="749">
        <f t="shared" si="171"/>
        <v>114903.76543931507</v>
      </c>
      <c r="BI56" s="439"/>
      <c r="BJ56" s="423">
        <f>BJ48-SUM(BJ51:BJ54)</f>
        <v>-842</v>
      </c>
      <c r="BK56" s="734">
        <f>BK48-SUM(BK51:BK55)</f>
        <v>609.17049599999996</v>
      </c>
      <c r="BL56" s="734">
        <f t="shared" ref="BL56:BT56" si="192">BL48-SUM(BL51:BL55)</f>
        <v>-1539.71</v>
      </c>
      <c r="BM56" s="734">
        <f t="shared" si="192"/>
        <v>-364.98</v>
      </c>
      <c r="BN56" s="734">
        <f t="shared" si="192"/>
        <v>-494.53999999999996</v>
      </c>
      <c r="BO56" s="734">
        <f t="shared" si="192"/>
        <v>-1194.48</v>
      </c>
      <c r="BP56" s="734">
        <f t="shared" si="192"/>
        <v>-36.340000000000003</v>
      </c>
      <c r="BQ56" s="734">
        <f t="shared" si="192"/>
        <v>-3431.3215499999997</v>
      </c>
      <c r="BR56" s="734">
        <f t="shared" si="192"/>
        <v>-928.90936648550905</v>
      </c>
      <c r="BS56" s="734">
        <f t="shared" si="192"/>
        <v>2687.58</v>
      </c>
      <c r="BT56" s="734">
        <f t="shared" si="192"/>
        <v>-284.38597000000004</v>
      </c>
      <c r="BU56" s="734">
        <f>BU48-SUM(BU51:BU55)</f>
        <v>-50.557688999999996</v>
      </c>
      <c r="BV56" s="734">
        <f>BV48-SUM(BV51:BV55)</f>
        <v>-34.208403000000004</v>
      </c>
      <c r="BW56" s="734">
        <f>BW48-SUM(BW51:BW55)</f>
        <v>2139.4780129999999</v>
      </c>
      <c r="BX56" s="610">
        <f t="shared" si="176"/>
        <v>111138.5609698296</v>
      </c>
      <c r="BY56" s="734">
        <f>BY48-SUM(BY51:BY55)</f>
        <v>-3765.2044694855058</v>
      </c>
    </row>
    <row r="57" spans="1:77" ht="6" customHeight="1" thickTop="1">
      <c r="A57" s="397"/>
      <c r="U57" s="852"/>
      <c r="W57" s="412"/>
      <c r="Z57" s="852"/>
      <c r="AC57" s="972"/>
      <c r="AQ57" s="412"/>
      <c r="AS57" s="412"/>
      <c r="AT57" s="412"/>
      <c r="AV57" s="412"/>
      <c r="AW57" s="412"/>
      <c r="AX57" s="412"/>
      <c r="AY57" s="412"/>
      <c r="AZ57" s="412"/>
      <c r="BA57" s="412"/>
      <c r="BB57" s="412"/>
      <c r="BC57" s="412"/>
      <c r="BD57" s="412"/>
      <c r="BE57" s="412"/>
      <c r="BF57" s="412"/>
      <c r="BG57" s="412"/>
      <c r="BH57" s="746"/>
      <c r="BO57" s="412"/>
      <c r="BQ57" s="412"/>
      <c r="BR57" s="412"/>
      <c r="BS57" s="412"/>
      <c r="BT57" s="412"/>
      <c r="BU57" s="412"/>
      <c r="BV57" s="412"/>
      <c r="BW57" s="412"/>
      <c r="BX57" s="607"/>
      <c r="BY57" s="412"/>
    </row>
    <row r="58" spans="1:77">
      <c r="A58" s="397"/>
      <c r="B58" s="381" t="s">
        <v>211</v>
      </c>
      <c r="U58" s="852"/>
      <c r="W58" s="412"/>
      <c r="Z58" s="852"/>
      <c r="AC58" s="972"/>
      <c r="AQ58" s="412"/>
      <c r="AS58" s="412"/>
      <c r="AT58" s="412"/>
      <c r="AV58" s="412"/>
      <c r="AW58" s="412"/>
      <c r="AX58" s="412"/>
      <c r="AY58" s="412"/>
      <c r="AZ58" s="412"/>
      <c r="BA58" s="412"/>
      <c r="BB58" s="412"/>
      <c r="BC58" s="412"/>
      <c r="BD58" s="412"/>
      <c r="BE58" s="412"/>
      <c r="BF58" s="412"/>
      <c r="BG58" s="412"/>
      <c r="BH58" s="746"/>
      <c r="BO58" s="412"/>
      <c r="BQ58" s="412"/>
      <c r="BR58" s="412"/>
      <c r="BS58" s="412"/>
      <c r="BT58" s="412"/>
      <c r="BU58" s="412"/>
      <c r="BV58" s="412"/>
      <c r="BW58" s="412"/>
      <c r="BX58" s="607"/>
      <c r="BY58" s="412"/>
    </row>
    <row r="59" spans="1:77" ht="12.75" customHeight="1">
      <c r="B59" s="381" t="s">
        <v>212</v>
      </c>
      <c r="U59" s="852"/>
      <c r="W59" s="412"/>
      <c r="Z59" s="852"/>
      <c r="AC59" s="972"/>
      <c r="AQ59" s="412"/>
      <c r="AS59" s="412"/>
      <c r="AT59" s="412"/>
      <c r="AV59" s="412"/>
      <c r="AW59" s="412"/>
      <c r="AX59" s="412"/>
      <c r="AY59" s="412"/>
      <c r="AZ59" s="412"/>
      <c r="BA59" s="412"/>
      <c r="BB59" s="412"/>
      <c r="BC59" s="412"/>
      <c r="BD59" s="412"/>
      <c r="BE59" s="412"/>
      <c r="BF59" s="412"/>
      <c r="BG59" s="412"/>
      <c r="BH59" s="746"/>
      <c r="BO59" s="412"/>
      <c r="BQ59" s="412"/>
      <c r="BR59" s="412"/>
      <c r="BS59" s="412"/>
      <c r="BT59" s="412"/>
      <c r="BU59" s="412"/>
      <c r="BV59" s="412"/>
      <c r="BW59" s="412"/>
      <c r="BX59" s="607"/>
      <c r="BY59" s="412"/>
    </row>
    <row r="60" spans="1:77" s="395" customFormat="1" ht="12.75" customHeight="1">
      <c r="A60" s="421">
        <v>32</v>
      </c>
      <c r="C60" s="395" t="s">
        <v>213</v>
      </c>
      <c r="E60" s="733">
        <f>'ROO INPUT 1.00'!F61</f>
        <v>230718</v>
      </c>
      <c r="F60" s="419">
        <v>0</v>
      </c>
      <c r="G60" s="419">
        <v>0</v>
      </c>
      <c r="H60" s="419">
        <v>0</v>
      </c>
      <c r="I60" s="419">
        <v>0</v>
      </c>
      <c r="J60" s="419">
        <v>0</v>
      </c>
      <c r="K60" s="419">
        <v>0</v>
      </c>
      <c r="L60" s="419">
        <v>0</v>
      </c>
      <c r="M60" s="419">
        <v>0</v>
      </c>
      <c r="N60" s="419">
        <v>0</v>
      </c>
      <c r="O60" s="419">
        <v>0</v>
      </c>
      <c r="P60" s="419">
        <v>0</v>
      </c>
      <c r="Q60" s="419">
        <v>0</v>
      </c>
      <c r="R60" s="419">
        <v>0</v>
      </c>
      <c r="S60" s="419">
        <v>0</v>
      </c>
      <c r="T60" s="850">
        <v>0</v>
      </c>
      <c r="U60" s="865">
        <v>0</v>
      </c>
      <c r="V60" s="419">
        <v>0</v>
      </c>
      <c r="W60" s="419">
        <v>7692</v>
      </c>
      <c r="X60" s="419">
        <v>0</v>
      </c>
      <c r="Y60" s="850">
        <v>0</v>
      </c>
      <c r="Z60" s="865">
        <v>0</v>
      </c>
      <c r="AA60" s="850">
        <v>0</v>
      </c>
      <c r="AB60" s="850">
        <v>0</v>
      </c>
      <c r="AC60" s="973">
        <f>SUM(E60:AB60)</f>
        <v>238410</v>
      </c>
      <c r="AD60" s="419">
        <v>0</v>
      </c>
      <c r="AE60" s="419">
        <v>0</v>
      </c>
      <c r="AF60" s="419">
        <v>0</v>
      </c>
      <c r="AG60" s="419">
        <v>0</v>
      </c>
      <c r="AH60" s="419">
        <v>0</v>
      </c>
      <c r="AI60" s="850">
        <v>0</v>
      </c>
      <c r="AJ60" s="419">
        <v>0</v>
      </c>
      <c r="AK60" s="395">
        <v>0</v>
      </c>
      <c r="AL60" s="926">
        <v>0</v>
      </c>
      <c r="AM60" s="419">
        <v>0</v>
      </c>
      <c r="AN60" s="419">
        <v>0</v>
      </c>
      <c r="AO60" s="395">
        <v>0</v>
      </c>
      <c r="AP60" s="419">
        <v>0</v>
      </c>
      <c r="AQ60" s="911">
        <v>0</v>
      </c>
      <c r="AR60" s="419">
        <v>0</v>
      </c>
      <c r="AS60" s="911"/>
      <c r="AT60" s="832">
        <v>4504</v>
      </c>
      <c r="AU60" s="419">
        <v>0</v>
      </c>
      <c r="AV60" s="412">
        <v>7172</v>
      </c>
      <c r="AW60" s="832">
        <v>99</v>
      </c>
      <c r="AX60" s="832">
        <v>0</v>
      </c>
      <c r="AY60" s="911">
        <v>-4853</v>
      </c>
      <c r="AZ60" s="911">
        <v>-3046</v>
      </c>
      <c r="BA60" s="911"/>
      <c r="BB60" s="911">
        <v>66</v>
      </c>
      <c r="BC60" s="911">
        <v>0</v>
      </c>
      <c r="BD60" s="911"/>
      <c r="BE60" s="911"/>
      <c r="BF60" s="911">
        <v>125</v>
      </c>
      <c r="BG60" s="911">
        <v>0</v>
      </c>
      <c r="BH60" s="747">
        <f t="shared" ref="BH60:BH65" si="193">SUM(AC60:BG60)</f>
        <v>242477</v>
      </c>
      <c r="BI60" s="756"/>
      <c r="BJ60" s="419">
        <v>0</v>
      </c>
      <c r="BK60" s="850">
        <v>0</v>
      </c>
      <c r="BL60" s="926">
        <v>0</v>
      </c>
      <c r="BM60" s="419">
        <v>0</v>
      </c>
      <c r="BN60" s="419">
        <v>0</v>
      </c>
      <c r="BO60" s="911">
        <v>0</v>
      </c>
      <c r="BP60" s="419">
        <v>0</v>
      </c>
      <c r="BQ60" s="911"/>
      <c r="BR60" s="911">
        <v>-385</v>
      </c>
      <c r="BS60" s="911"/>
      <c r="BT60" s="911">
        <v>-4</v>
      </c>
      <c r="BU60" s="911"/>
      <c r="BV60" s="911">
        <v>243</v>
      </c>
      <c r="BW60" s="911">
        <v>0</v>
      </c>
      <c r="BX60" s="608">
        <f t="shared" ref="BX60:BX65" si="194">SUM(BH60:BW60)</f>
        <v>242331</v>
      </c>
      <c r="BY60" s="1299">
        <f>BX60-BH60</f>
        <v>-146</v>
      </c>
    </row>
    <row r="61" spans="1:77" s="396" customFormat="1">
      <c r="A61" s="397">
        <v>33</v>
      </c>
      <c r="C61" s="396" t="s">
        <v>214</v>
      </c>
      <c r="E61" s="733">
        <f>'ROO INPUT 1.00'!F62</f>
        <v>948067</v>
      </c>
      <c r="F61" s="406">
        <v>0</v>
      </c>
      <c r="G61" s="406">
        <v>0</v>
      </c>
      <c r="H61" s="406">
        <v>0</v>
      </c>
      <c r="I61" s="406">
        <v>0</v>
      </c>
      <c r="J61" s="406">
        <v>0</v>
      </c>
      <c r="K61" s="406">
        <v>0</v>
      </c>
      <c r="L61" s="406">
        <v>0</v>
      </c>
      <c r="M61" s="406">
        <v>0</v>
      </c>
      <c r="N61" s="406">
        <v>0</v>
      </c>
      <c r="O61" s="406">
        <v>0</v>
      </c>
      <c r="P61" s="406">
        <v>0</v>
      </c>
      <c r="Q61" s="406">
        <v>0</v>
      </c>
      <c r="R61" s="406">
        <v>0</v>
      </c>
      <c r="S61" s="406">
        <v>0</v>
      </c>
      <c r="T61" s="839">
        <v>0</v>
      </c>
      <c r="U61" s="852">
        <v>0</v>
      </c>
      <c r="V61" s="406">
        <v>0</v>
      </c>
      <c r="W61" s="832">
        <v>14773</v>
      </c>
      <c r="X61" s="406">
        <v>0</v>
      </c>
      <c r="Y61" s="839">
        <v>0</v>
      </c>
      <c r="Z61" s="852">
        <v>0</v>
      </c>
      <c r="AA61" s="839">
        <v>0</v>
      </c>
      <c r="AB61" s="839">
        <v>0</v>
      </c>
      <c r="AC61" s="1060">
        <f>SUM(E61:AB61)</f>
        <v>962840</v>
      </c>
      <c r="AD61" s="406">
        <v>0</v>
      </c>
      <c r="AE61" s="406">
        <v>0</v>
      </c>
      <c r="AF61" s="406">
        <v>0</v>
      </c>
      <c r="AG61" s="406">
        <v>0</v>
      </c>
      <c r="AH61" s="406">
        <v>0</v>
      </c>
      <c r="AI61" s="839">
        <v>0</v>
      </c>
      <c r="AJ61" s="406">
        <v>0</v>
      </c>
      <c r="AK61" s="405">
        <v>0</v>
      </c>
      <c r="AL61" s="405">
        <v>0</v>
      </c>
      <c r="AM61" s="406">
        <v>0</v>
      </c>
      <c r="AN61" s="406">
        <v>0</v>
      </c>
      <c r="AO61" s="405">
        <v>0</v>
      </c>
      <c r="AP61" s="406">
        <v>0</v>
      </c>
      <c r="AQ61" s="412">
        <v>0</v>
      </c>
      <c r="AR61" s="406">
        <v>0</v>
      </c>
      <c r="AS61" s="412"/>
      <c r="AT61" s="832">
        <v>7849</v>
      </c>
      <c r="AU61" s="406">
        <v>0</v>
      </c>
      <c r="AV61" s="412">
        <v>78</v>
      </c>
      <c r="AW61" s="832">
        <v>0</v>
      </c>
      <c r="AX61" s="1314">
        <v>-2001</v>
      </c>
      <c r="AY61" s="412">
        <v>50036</v>
      </c>
      <c r="AZ61" s="412">
        <v>16211</v>
      </c>
      <c r="BA61" s="412">
        <v>0</v>
      </c>
      <c r="BB61" s="412">
        <v>0</v>
      </c>
      <c r="BC61" s="412">
        <v>0</v>
      </c>
      <c r="BD61" s="1313">
        <v>0</v>
      </c>
      <c r="BE61" s="1313">
        <v>0</v>
      </c>
      <c r="BF61" s="412"/>
      <c r="BG61" s="412">
        <v>0</v>
      </c>
      <c r="BH61" s="746">
        <f t="shared" si="193"/>
        <v>1035013</v>
      </c>
      <c r="BI61" s="439"/>
      <c r="BJ61" s="406">
        <v>0</v>
      </c>
      <c r="BK61" s="839">
        <v>0</v>
      </c>
      <c r="BL61" s="926">
        <v>0</v>
      </c>
      <c r="BM61" s="406">
        <v>0</v>
      </c>
      <c r="BN61" s="406">
        <v>0</v>
      </c>
      <c r="BO61" s="412">
        <v>0</v>
      </c>
      <c r="BP61" s="406">
        <v>0</v>
      </c>
      <c r="BQ61" s="412"/>
      <c r="BR61" s="412">
        <v>22238</v>
      </c>
      <c r="BS61" s="412">
        <v>0</v>
      </c>
      <c r="BT61" s="412">
        <v>0</v>
      </c>
      <c r="BU61" s="1313">
        <v>0</v>
      </c>
      <c r="BV61" s="412">
        <v>0</v>
      </c>
      <c r="BW61" s="412"/>
      <c r="BX61" s="607">
        <f t="shared" si="194"/>
        <v>1057251</v>
      </c>
      <c r="BY61" s="1299">
        <f>BX61-BH61</f>
        <v>22238</v>
      </c>
    </row>
    <row r="62" spans="1:77" s="396" customFormat="1" ht="12.75" customHeight="1">
      <c r="A62" s="397">
        <v>34</v>
      </c>
      <c r="C62" s="396" t="s">
        <v>215</v>
      </c>
      <c r="E62" s="733">
        <f>'ROO INPUT 1.00'!F63</f>
        <v>575635</v>
      </c>
      <c r="F62" s="406">
        <v>0</v>
      </c>
      <c r="G62" s="406">
        <v>0</v>
      </c>
      <c r="H62" s="406">
        <v>0</v>
      </c>
      <c r="I62" s="406">
        <v>0</v>
      </c>
      <c r="J62" s="406">
        <v>0</v>
      </c>
      <c r="K62" s="406">
        <v>0</v>
      </c>
      <c r="L62" s="406">
        <v>0</v>
      </c>
      <c r="M62" s="406">
        <v>0</v>
      </c>
      <c r="N62" s="406">
        <v>0</v>
      </c>
      <c r="O62" s="406">
        <v>0</v>
      </c>
      <c r="P62" s="406">
        <v>0</v>
      </c>
      <c r="Q62" s="406">
        <v>0</v>
      </c>
      <c r="R62" s="406">
        <v>0</v>
      </c>
      <c r="S62" s="406">
        <v>0</v>
      </c>
      <c r="T62" s="839">
        <v>0</v>
      </c>
      <c r="U62" s="852">
        <v>0</v>
      </c>
      <c r="V62" s="406">
        <v>0</v>
      </c>
      <c r="W62" s="832">
        <v>32625</v>
      </c>
      <c r="X62" s="406">
        <v>0</v>
      </c>
      <c r="Y62" s="839">
        <v>0</v>
      </c>
      <c r="Z62" s="852">
        <v>0</v>
      </c>
      <c r="AA62" s="839">
        <v>0</v>
      </c>
      <c r="AB62" s="839">
        <v>0</v>
      </c>
      <c r="AC62" s="1060">
        <f>SUM(E62:AB62)</f>
        <v>608260</v>
      </c>
      <c r="AD62" s="406">
        <v>0</v>
      </c>
      <c r="AE62" s="406">
        <v>0</v>
      </c>
      <c r="AF62" s="406">
        <v>0</v>
      </c>
      <c r="AG62" s="406">
        <v>0</v>
      </c>
      <c r="AH62" s="406">
        <v>0</v>
      </c>
      <c r="AI62" s="839">
        <v>0</v>
      </c>
      <c r="AJ62" s="406">
        <v>0</v>
      </c>
      <c r="AK62" s="405">
        <v>0</v>
      </c>
      <c r="AL62" s="405">
        <v>0</v>
      </c>
      <c r="AM62" s="406">
        <v>0</v>
      </c>
      <c r="AN62" s="406">
        <v>0</v>
      </c>
      <c r="AO62" s="405">
        <v>0</v>
      </c>
      <c r="AP62" s="406">
        <v>0</v>
      </c>
      <c r="AQ62" s="412">
        <v>0</v>
      </c>
      <c r="AR62" s="406">
        <v>0</v>
      </c>
      <c r="AS62" s="412"/>
      <c r="AT62" s="832">
        <v>14068</v>
      </c>
      <c r="AU62" s="406">
        <v>0</v>
      </c>
      <c r="AV62" s="412">
        <v>33</v>
      </c>
      <c r="AW62" s="832">
        <v>726</v>
      </c>
      <c r="AX62" s="832">
        <v>0</v>
      </c>
      <c r="AY62" s="412">
        <v>21649</v>
      </c>
      <c r="AZ62" s="412">
        <v>11028</v>
      </c>
      <c r="BA62" s="412">
        <v>0</v>
      </c>
      <c r="BB62" s="412">
        <v>2757</v>
      </c>
      <c r="BC62" s="412">
        <v>1102</v>
      </c>
      <c r="BD62" s="412">
        <v>0</v>
      </c>
      <c r="BE62" s="412">
        <v>0</v>
      </c>
      <c r="BF62" s="412">
        <v>0</v>
      </c>
      <c r="BG62" s="412">
        <v>0</v>
      </c>
      <c r="BH62" s="746">
        <f t="shared" si="193"/>
        <v>659623</v>
      </c>
      <c r="BI62" s="439"/>
      <c r="BJ62" s="406">
        <v>0</v>
      </c>
      <c r="BK62" s="839">
        <v>0</v>
      </c>
      <c r="BL62" s="926">
        <v>0</v>
      </c>
      <c r="BM62" s="406">
        <v>0</v>
      </c>
      <c r="BN62" s="406">
        <v>0</v>
      </c>
      <c r="BO62" s="412">
        <v>0</v>
      </c>
      <c r="BP62" s="406">
        <v>0</v>
      </c>
      <c r="BQ62" s="412"/>
      <c r="BR62" s="412">
        <v>27387</v>
      </c>
      <c r="BS62" s="412">
        <v>0</v>
      </c>
      <c r="BT62" s="412">
        <v>2757</v>
      </c>
      <c r="BU62" s="412">
        <v>0</v>
      </c>
      <c r="BV62" s="412">
        <v>0</v>
      </c>
      <c r="BW62" s="412">
        <v>0</v>
      </c>
      <c r="BX62" s="607">
        <f t="shared" si="194"/>
        <v>689767</v>
      </c>
      <c r="BY62" s="1299">
        <f>BX62-BH62</f>
        <v>30144</v>
      </c>
    </row>
    <row r="63" spans="1:77" s="396" customFormat="1" ht="12" customHeight="1">
      <c r="A63" s="397">
        <v>35</v>
      </c>
      <c r="C63" s="396" t="s">
        <v>199</v>
      </c>
      <c r="E63" s="733">
        <f>'ROO INPUT 1.00'!F64</f>
        <v>1327782</v>
      </c>
      <c r="F63" s="406">
        <v>0</v>
      </c>
      <c r="G63" s="406">
        <v>0</v>
      </c>
      <c r="H63" s="406">
        <v>0</v>
      </c>
      <c r="I63" s="406">
        <v>0</v>
      </c>
      <c r="J63" s="406">
        <v>0</v>
      </c>
      <c r="K63" s="406">
        <v>0</v>
      </c>
      <c r="L63" s="406">
        <v>0</v>
      </c>
      <c r="M63" s="406">
        <v>0</v>
      </c>
      <c r="N63" s="406">
        <v>0</v>
      </c>
      <c r="O63" s="406">
        <v>0</v>
      </c>
      <c r="P63" s="406">
        <v>0</v>
      </c>
      <c r="Q63" s="406">
        <v>0</v>
      </c>
      <c r="R63" s="406">
        <v>0</v>
      </c>
      <c r="S63" s="406">
        <v>0</v>
      </c>
      <c r="T63" s="839">
        <v>0</v>
      </c>
      <c r="U63" s="852">
        <v>0</v>
      </c>
      <c r="V63" s="406">
        <v>0</v>
      </c>
      <c r="W63" s="832">
        <v>29355</v>
      </c>
      <c r="X63" s="406">
        <v>0</v>
      </c>
      <c r="Y63" s="839">
        <v>0</v>
      </c>
      <c r="Z63" s="852">
        <v>0</v>
      </c>
      <c r="AA63" s="839">
        <v>0</v>
      </c>
      <c r="AB63" s="839">
        <v>0</v>
      </c>
      <c r="AC63" s="1060">
        <f>SUM(E63:AB63)</f>
        <v>1357137</v>
      </c>
      <c r="AD63" s="406">
        <v>0</v>
      </c>
      <c r="AE63" s="406">
        <v>0</v>
      </c>
      <c r="AF63" s="406">
        <v>0</v>
      </c>
      <c r="AG63" s="406">
        <v>0</v>
      </c>
      <c r="AH63" s="406">
        <v>0</v>
      </c>
      <c r="AI63" s="839">
        <v>0</v>
      </c>
      <c r="AJ63" s="406">
        <v>0</v>
      </c>
      <c r="AK63" s="405">
        <v>0</v>
      </c>
      <c r="AL63" s="405">
        <v>0</v>
      </c>
      <c r="AM63" s="406">
        <v>0</v>
      </c>
      <c r="AN63" s="406">
        <v>0</v>
      </c>
      <c r="AO63" s="405">
        <v>0</v>
      </c>
      <c r="AP63" s="406">
        <v>0</v>
      </c>
      <c r="AQ63" s="412">
        <v>0</v>
      </c>
      <c r="AR63" s="406">
        <v>0</v>
      </c>
      <c r="AS63" s="412"/>
      <c r="AT63" s="832">
        <v>19613</v>
      </c>
      <c r="AU63" s="406">
        <v>0</v>
      </c>
      <c r="AV63" s="412">
        <v>44</v>
      </c>
      <c r="AW63" s="832">
        <v>1677</v>
      </c>
      <c r="AX63" s="832">
        <v>0</v>
      </c>
      <c r="AY63" s="412">
        <v>69477</v>
      </c>
      <c r="AZ63" s="412">
        <v>29256</v>
      </c>
      <c r="BA63" s="412">
        <v>0</v>
      </c>
      <c r="BB63" s="412">
        <v>11489</v>
      </c>
      <c r="BC63" s="412">
        <v>6628</v>
      </c>
      <c r="BD63" s="412">
        <v>0</v>
      </c>
      <c r="BE63" s="412">
        <v>0</v>
      </c>
      <c r="BF63" s="412">
        <v>0</v>
      </c>
      <c r="BG63" s="412">
        <v>0</v>
      </c>
      <c r="BH63" s="746">
        <f t="shared" si="193"/>
        <v>1495321</v>
      </c>
      <c r="BI63" s="439"/>
      <c r="BJ63" s="406">
        <v>0</v>
      </c>
      <c r="BK63" s="839">
        <v>0</v>
      </c>
      <c r="BL63" s="926">
        <v>0</v>
      </c>
      <c r="BM63" s="406">
        <v>0</v>
      </c>
      <c r="BN63" s="406">
        <v>0</v>
      </c>
      <c r="BO63" s="412">
        <v>0</v>
      </c>
      <c r="BP63" s="406">
        <v>0</v>
      </c>
      <c r="BQ63" s="412"/>
      <c r="BR63" s="412">
        <v>91557</v>
      </c>
      <c r="BS63" s="412">
        <v>0</v>
      </c>
      <c r="BT63" s="412">
        <v>14464</v>
      </c>
      <c r="BU63" s="412">
        <v>0</v>
      </c>
      <c r="BV63" s="412">
        <v>0</v>
      </c>
      <c r="BW63" s="412">
        <v>0</v>
      </c>
      <c r="BX63" s="607">
        <f t="shared" si="194"/>
        <v>1601342</v>
      </c>
      <c r="BY63" s="1299">
        <f>BX63-BH63</f>
        <v>106021</v>
      </c>
    </row>
    <row r="64" spans="1:77" s="396" customFormat="1" ht="12.75" customHeight="1">
      <c r="A64" s="397">
        <v>36</v>
      </c>
      <c r="C64" s="396" t="s">
        <v>216</v>
      </c>
      <c r="E64" s="732">
        <f>'ROO INPUT 1.00'!F65</f>
        <v>294532</v>
      </c>
      <c r="F64" s="413">
        <v>0</v>
      </c>
      <c r="G64" s="413">
        <v>0</v>
      </c>
      <c r="H64" s="413">
        <v>0</v>
      </c>
      <c r="I64" s="413">
        <v>0</v>
      </c>
      <c r="J64" s="413">
        <v>0</v>
      </c>
      <c r="K64" s="413">
        <v>0</v>
      </c>
      <c r="L64" s="413">
        <v>0</v>
      </c>
      <c r="M64" s="413">
        <v>0</v>
      </c>
      <c r="N64" s="413">
        <v>0</v>
      </c>
      <c r="O64" s="413">
        <v>0</v>
      </c>
      <c r="P64" s="413">
        <v>0</v>
      </c>
      <c r="Q64" s="413">
        <v>0</v>
      </c>
      <c r="R64" s="413">
        <v>0</v>
      </c>
      <c r="S64" s="413">
        <v>0</v>
      </c>
      <c r="T64" s="848">
        <v>0</v>
      </c>
      <c r="U64" s="848">
        <v>0</v>
      </c>
      <c r="V64" s="413">
        <v>0</v>
      </c>
      <c r="W64" s="833">
        <v>10592</v>
      </c>
      <c r="X64" s="413">
        <v>0</v>
      </c>
      <c r="Y64" s="848">
        <v>0</v>
      </c>
      <c r="Z64" s="848">
        <v>0</v>
      </c>
      <c r="AA64" s="848">
        <v>0</v>
      </c>
      <c r="AB64" s="848">
        <v>0</v>
      </c>
      <c r="AC64" s="1061">
        <f>SUM(E64:AB64)</f>
        <v>305124</v>
      </c>
      <c r="AD64" s="413">
        <v>0</v>
      </c>
      <c r="AE64" s="413">
        <v>0</v>
      </c>
      <c r="AF64" s="413">
        <v>0</v>
      </c>
      <c r="AG64" s="413">
        <v>0</v>
      </c>
      <c r="AH64" s="413">
        <v>0</v>
      </c>
      <c r="AI64" s="848">
        <v>0</v>
      </c>
      <c r="AJ64" s="413">
        <v>0</v>
      </c>
      <c r="AK64" s="414">
        <v>0</v>
      </c>
      <c r="AL64" s="414">
        <v>0</v>
      </c>
      <c r="AM64" s="413">
        <v>0</v>
      </c>
      <c r="AN64" s="413">
        <v>0</v>
      </c>
      <c r="AO64" s="414">
        <v>0</v>
      </c>
      <c r="AP64" s="413">
        <v>0</v>
      </c>
      <c r="AQ64" s="413">
        <v>0</v>
      </c>
      <c r="AR64" s="413">
        <v>0</v>
      </c>
      <c r="AS64" s="413"/>
      <c r="AT64" s="833">
        <v>10374</v>
      </c>
      <c r="AU64" s="413">
        <v>0</v>
      </c>
      <c r="AV64" s="413">
        <v>484</v>
      </c>
      <c r="AW64" s="833">
        <v>2</v>
      </c>
      <c r="AX64" s="833">
        <v>0</v>
      </c>
      <c r="AY64" s="413">
        <v>8788</v>
      </c>
      <c r="AZ64" s="413">
        <v>2615</v>
      </c>
      <c r="BA64" s="413">
        <v>0</v>
      </c>
      <c r="BB64" s="413">
        <v>477</v>
      </c>
      <c r="BC64" s="413">
        <v>208</v>
      </c>
      <c r="BD64" s="413">
        <v>0</v>
      </c>
      <c r="BE64" s="413">
        <v>0</v>
      </c>
      <c r="BF64" s="413">
        <v>0</v>
      </c>
      <c r="BG64" s="413">
        <v>0</v>
      </c>
      <c r="BH64" s="748">
        <f t="shared" si="193"/>
        <v>328072</v>
      </c>
      <c r="BI64" s="439"/>
      <c r="BJ64" s="413">
        <v>0</v>
      </c>
      <c r="BK64" s="848">
        <v>0</v>
      </c>
      <c r="BL64" s="928">
        <v>0</v>
      </c>
      <c r="BM64" s="413">
        <v>0</v>
      </c>
      <c r="BN64" s="413">
        <v>0</v>
      </c>
      <c r="BO64" s="413">
        <v>0</v>
      </c>
      <c r="BP64" s="413">
        <v>0</v>
      </c>
      <c r="BQ64" s="413"/>
      <c r="BR64" s="413">
        <v>2012</v>
      </c>
      <c r="BS64" s="413">
        <v>0</v>
      </c>
      <c r="BT64" s="413">
        <v>477</v>
      </c>
      <c r="BU64" s="413">
        <v>0</v>
      </c>
      <c r="BV64" s="413">
        <v>0</v>
      </c>
      <c r="BW64" s="413">
        <v>0</v>
      </c>
      <c r="BX64" s="609">
        <f t="shared" si="194"/>
        <v>330561</v>
      </c>
      <c r="BY64" s="1298">
        <f>BX64-BH64</f>
        <v>2489</v>
      </c>
    </row>
    <row r="65" spans="1:78" s="396" customFormat="1" ht="12" customHeight="1">
      <c r="A65" s="397">
        <v>37</v>
      </c>
      <c r="B65" s="396" t="s">
        <v>217</v>
      </c>
      <c r="E65" s="406">
        <f>SUM(E60:E64)</f>
        <v>3376734</v>
      </c>
      <c r="F65" s="406">
        <f t="shared" ref="F65:AN65" si="195">SUM(F60:F64)</f>
        <v>0</v>
      </c>
      <c r="G65" s="406">
        <f t="shared" si="195"/>
        <v>0</v>
      </c>
      <c r="H65" s="406">
        <f t="shared" si="195"/>
        <v>0</v>
      </c>
      <c r="I65" s="406">
        <f t="shared" si="195"/>
        <v>0</v>
      </c>
      <c r="J65" s="406">
        <f t="shared" ref="J65" si="196">SUM(J60:J64)</f>
        <v>0</v>
      </c>
      <c r="K65" s="406">
        <f t="shared" si="195"/>
        <v>0</v>
      </c>
      <c r="L65" s="406">
        <f t="shared" si="195"/>
        <v>0</v>
      </c>
      <c r="M65" s="406">
        <f t="shared" si="195"/>
        <v>0</v>
      </c>
      <c r="N65" s="406">
        <f t="shared" si="195"/>
        <v>0</v>
      </c>
      <c r="O65" s="406">
        <f t="shared" si="195"/>
        <v>0</v>
      </c>
      <c r="P65" s="406">
        <f t="shared" si="195"/>
        <v>0</v>
      </c>
      <c r="Q65" s="406">
        <f t="shared" si="195"/>
        <v>0</v>
      </c>
      <c r="R65" s="406">
        <f t="shared" si="195"/>
        <v>0</v>
      </c>
      <c r="S65" s="406">
        <f t="shared" ref="S65" si="197">SUM(S60:S64)</f>
        <v>0</v>
      </c>
      <c r="T65" s="839">
        <f>SUM(T60:T64)</f>
        <v>0</v>
      </c>
      <c r="U65" s="852">
        <f t="shared" ref="U65" si="198">SUM(U60:U64)</f>
        <v>0</v>
      </c>
      <c r="V65" s="406">
        <f>SUM(V60:V64)</f>
        <v>0</v>
      </c>
      <c r="W65" s="412">
        <f>SUM(W60:W64)</f>
        <v>95037</v>
      </c>
      <c r="X65" s="406">
        <f>SUM(X60:X64)</f>
        <v>0</v>
      </c>
      <c r="Y65" s="839">
        <f>SUM(Y60:Y64)</f>
        <v>0</v>
      </c>
      <c r="Z65" s="852">
        <f t="shared" ref="Z65" si="199">SUM(Z60:Z64)</f>
        <v>0</v>
      </c>
      <c r="AA65" s="839">
        <f t="shared" ref="AA65" si="200">SUM(AA60:AA64)</f>
        <v>0</v>
      </c>
      <c r="AB65" s="839">
        <f>SUM(AB60:AB64)</f>
        <v>0</v>
      </c>
      <c r="AC65" s="1060">
        <f t="shared" si="195"/>
        <v>3471771</v>
      </c>
      <c r="AD65" s="406">
        <f>SUM(AD60:AD64)</f>
        <v>0</v>
      </c>
      <c r="AE65" s="406">
        <f t="shared" ref="AE65" si="201">SUM(AE60:AE64)</f>
        <v>0</v>
      </c>
      <c r="AF65" s="406">
        <f t="shared" ref="AF65" si="202">SUM(AF60:AF64)</f>
        <v>0</v>
      </c>
      <c r="AG65" s="406">
        <f t="shared" ref="AG65:AK65" si="203">SUM(AG60:AG64)</f>
        <v>0</v>
      </c>
      <c r="AH65" s="406">
        <f t="shared" si="203"/>
        <v>0</v>
      </c>
      <c r="AI65" s="839">
        <f t="shared" si="203"/>
        <v>0</v>
      </c>
      <c r="AJ65" s="406">
        <f t="shared" si="203"/>
        <v>0</v>
      </c>
      <c r="AK65" s="405">
        <f t="shared" si="203"/>
        <v>0</v>
      </c>
      <c r="AL65" s="405">
        <f t="shared" ref="AL65" si="204">SUM(AL60:AL64)</f>
        <v>0</v>
      </c>
      <c r="AM65" s="406">
        <f t="shared" si="195"/>
        <v>0</v>
      </c>
      <c r="AN65" s="406">
        <f t="shared" si="195"/>
        <v>0</v>
      </c>
      <c r="AO65" s="405">
        <f>SUM(AO60:AO64)</f>
        <v>0</v>
      </c>
      <c r="AP65" s="406">
        <f>SUM(AP60:AP64)</f>
        <v>0</v>
      </c>
      <c r="AQ65" s="412">
        <f>SUM(AQ60:AQ64)</f>
        <v>0</v>
      </c>
      <c r="AR65" s="406">
        <f t="shared" ref="AR65" si="205">SUM(AR60:AR64)</f>
        <v>0</v>
      </c>
      <c r="AS65" s="412">
        <f>SUM(AS60:AS64)</f>
        <v>0</v>
      </c>
      <c r="AT65" s="412">
        <f>SUM(AT60:AT64)</f>
        <v>56408</v>
      </c>
      <c r="AU65" s="406">
        <f t="shared" ref="AU65" si="206">SUM(AU60:AU64)</f>
        <v>0</v>
      </c>
      <c r="AV65" s="412">
        <f t="shared" ref="AV65" si="207">SUM(AV60:AV64)</f>
        <v>7811</v>
      </c>
      <c r="AW65" s="412">
        <f t="shared" ref="AW65:AX65" si="208">SUM(AW60:AW64)</f>
        <v>2504</v>
      </c>
      <c r="AX65" s="412">
        <f t="shared" si="208"/>
        <v>-2001</v>
      </c>
      <c r="AY65" s="412">
        <f t="shared" ref="AY65" si="209">SUM(AY60:AY64)</f>
        <v>145097</v>
      </c>
      <c r="AZ65" s="412">
        <f>SUM(AZ60:AZ64)</f>
        <v>56064</v>
      </c>
      <c r="BA65" s="412">
        <f>SUM(BA60:BA64)</f>
        <v>0</v>
      </c>
      <c r="BB65" s="412">
        <f>SUM(BB60:BB64)</f>
        <v>14789</v>
      </c>
      <c r="BC65" s="412">
        <f>SUM(BC60:BC64)</f>
        <v>7938</v>
      </c>
      <c r="BD65" s="412">
        <f t="shared" ref="BD65" si="210">SUM(BD60:BD64)</f>
        <v>0</v>
      </c>
      <c r="BE65" s="412">
        <f t="shared" ref="BE65" si="211">SUM(BE60:BE64)</f>
        <v>0</v>
      </c>
      <c r="BF65" s="412">
        <f>SUM(BF60:BF64)</f>
        <v>125</v>
      </c>
      <c r="BG65" s="412">
        <f>SUM(BG60:BG64)</f>
        <v>0</v>
      </c>
      <c r="BH65" s="746">
        <f t="shared" si="193"/>
        <v>3760506</v>
      </c>
      <c r="BI65" s="439"/>
      <c r="BJ65" s="406">
        <f t="shared" ref="BJ65" si="212">SUM(BJ60:BJ64)</f>
        <v>0</v>
      </c>
      <c r="BK65" s="839">
        <f t="shared" ref="BK65" si="213">SUM(BK60:BK64)</f>
        <v>0</v>
      </c>
      <c r="BL65" s="926">
        <f>SUM(BL60:BL64)</f>
        <v>0</v>
      </c>
      <c r="BM65" s="406">
        <f t="shared" ref="BM65" si="214">SUM(BM60:BM64)</f>
        <v>0</v>
      </c>
      <c r="BN65" s="406">
        <f t="shared" ref="BN65" si="215">SUM(BN60:BN64)</f>
        <v>0</v>
      </c>
      <c r="BO65" s="412">
        <f>SUM(BO60:BO64)</f>
        <v>0</v>
      </c>
      <c r="BP65" s="406">
        <f t="shared" ref="BP65:BQ65" si="216">SUM(BP60:BP64)</f>
        <v>0</v>
      </c>
      <c r="BQ65" s="412">
        <f t="shared" si="216"/>
        <v>0</v>
      </c>
      <c r="BR65" s="412">
        <f>SUM(BR60:BR64)</f>
        <v>142809</v>
      </c>
      <c r="BS65" s="412">
        <f>SUM(BS60:BS64)</f>
        <v>0</v>
      </c>
      <c r="BT65" s="412">
        <f>SUM(BT60:BT64)</f>
        <v>17694</v>
      </c>
      <c r="BU65" s="412">
        <f t="shared" ref="BU65" si="217">SUM(BU60:BU64)</f>
        <v>0</v>
      </c>
      <c r="BV65" s="412">
        <f>SUM(BV60:BV64)</f>
        <v>243</v>
      </c>
      <c r="BW65" s="412">
        <f>SUM(BW60:BW64)</f>
        <v>0</v>
      </c>
      <c r="BX65" s="607">
        <f t="shared" si="194"/>
        <v>3921252</v>
      </c>
      <c r="BY65" s="412">
        <f t="shared" ref="BY65" si="218">SUM(BY60:BY64)</f>
        <v>160746</v>
      </c>
    </row>
    <row r="66" spans="1:78" s="396" customFormat="1" ht="14.25" customHeight="1">
      <c r="A66" s="397"/>
      <c r="B66" s="396" t="s">
        <v>545</v>
      </c>
      <c r="E66" s="406"/>
      <c r="F66" s="406"/>
      <c r="G66" s="406"/>
      <c r="H66" s="406"/>
      <c r="I66" s="406"/>
      <c r="J66" s="406"/>
      <c r="K66" s="406"/>
      <c r="L66" s="406"/>
      <c r="M66" s="406"/>
      <c r="N66" s="406"/>
      <c r="O66" s="406"/>
      <c r="P66" s="406"/>
      <c r="Q66" s="406"/>
      <c r="R66" s="406"/>
      <c r="S66" s="406"/>
      <c r="T66" s="839"/>
      <c r="U66" s="852"/>
      <c r="V66" s="406"/>
      <c r="W66" s="412"/>
      <c r="X66" s="406"/>
      <c r="Y66" s="839"/>
      <c r="Z66" s="852"/>
      <c r="AA66" s="839">
        <v>0</v>
      </c>
      <c r="AB66" s="839"/>
      <c r="AC66" s="1060"/>
      <c r="AD66" s="406"/>
      <c r="AE66" s="406"/>
      <c r="AF66" s="406"/>
      <c r="AG66" s="406"/>
      <c r="AH66" s="406"/>
      <c r="AI66" s="839"/>
      <c r="AJ66" s="406"/>
      <c r="AK66" s="405"/>
      <c r="AL66" s="405"/>
      <c r="AM66" s="406">
        <v>0</v>
      </c>
      <c r="AN66" s="406">
        <v>0</v>
      </c>
      <c r="AO66" s="405"/>
      <c r="AP66" s="406"/>
      <c r="AQ66" s="412"/>
      <c r="AR66" s="406"/>
      <c r="AS66" s="412"/>
      <c r="AT66" s="412"/>
      <c r="AU66" s="406"/>
      <c r="AV66" s="412"/>
      <c r="AW66" s="412"/>
      <c r="AX66" s="412"/>
      <c r="AY66" s="412"/>
      <c r="AZ66" s="412"/>
      <c r="BA66" s="412"/>
      <c r="BB66" s="412"/>
      <c r="BC66" s="412"/>
      <c r="BD66" s="412"/>
      <c r="BE66" s="412"/>
      <c r="BF66" s="412"/>
      <c r="BG66" s="412"/>
      <c r="BH66" s="746"/>
      <c r="BI66" s="439"/>
      <c r="BJ66" s="406"/>
      <c r="BK66" s="839"/>
      <c r="BL66" s="926">
        <v>0</v>
      </c>
      <c r="BM66" s="406">
        <v>0</v>
      </c>
      <c r="BN66" s="406"/>
      <c r="BO66" s="412"/>
      <c r="BP66" s="406"/>
      <c r="BQ66" s="412"/>
      <c r="BR66" s="412"/>
      <c r="BS66" s="412"/>
      <c r="BT66" s="412"/>
      <c r="BU66" s="412"/>
      <c r="BV66" s="412"/>
      <c r="BW66" s="412"/>
      <c r="BX66" s="607"/>
      <c r="BY66" s="412"/>
    </row>
    <row r="67" spans="1:78" s="396" customFormat="1">
      <c r="A67" s="397">
        <v>38</v>
      </c>
      <c r="C67" s="395" t="s">
        <v>213</v>
      </c>
      <c r="E67" s="733">
        <f>'ROO INPUT 1.00'!F68</f>
        <v>-84845</v>
      </c>
      <c r="F67" s="406">
        <v>0</v>
      </c>
      <c r="G67" s="406">
        <v>0</v>
      </c>
      <c r="H67" s="406">
        <v>0</v>
      </c>
      <c r="I67" s="406">
        <v>0</v>
      </c>
      <c r="J67" s="406">
        <v>0</v>
      </c>
      <c r="K67" s="406">
        <v>0</v>
      </c>
      <c r="L67" s="406">
        <v>0</v>
      </c>
      <c r="M67" s="406">
        <v>0</v>
      </c>
      <c r="N67" s="406">
        <v>0</v>
      </c>
      <c r="O67" s="406">
        <v>0</v>
      </c>
      <c r="P67" s="406">
        <v>0</v>
      </c>
      <c r="Q67" s="406">
        <v>0</v>
      </c>
      <c r="R67" s="406">
        <v>0</v>
      </c>
      <c r="S67" s="406"/>
      <c r="T67" s="839">
        <v>0</v>
      </c>
      <c r="U67" s="852">
        <v>0</v>
      </c>
      <c r="V67" s="406">
        <v>0</v>
      </c>
      <c r="W67" s="412">
        <v>-7817</v>
      </c>
      <c r="X67" s="406">
        <v>0</v>
      </c>
      <c r="Y67" s="839">
        <v>0</v>
      </c>
      <c r="Z67" s="852">
        <v>0</v>
      </c>
      <c r="AA67" s="839">
        <v>0</v>
      </c>
      <c r="AB67" s="839">
        <v>0</v>
      </c>
      <c r="AC67" s="1060">
        <f>SUM(E67:AB67)</f>
        <v>-92662</v>
      </c>
      <c r="AD67" s="406">
        <v>0</v>
      </c>
      <c r="AE67" s="406">
        <v>0</v>
      </c>
      <c r="AF67" s="406">
        <v>0</v>
      </c>
      <c r="AG67" s="406">
        <v>0</v>
      </c>
      <c r="AH67" s="406">
        <v>0</v>
      </c>
      <c r="AI67" s="839">
        <v>-20967</v>
      </c>
      <c r="AJ67" s="406">
        <v>0</v>
      </c>
      <c r="AK67" s="405">
        <v>0</v>
      </c>
      <c r="AL67" s="405">
        <v>0</v>
      </c>
      <c r="AM67" s="406">
        <v>0</v>
      </c>
      <c r="AN67" s="406">
        <v>0</v>
      </c>
      <c r="AO67" s="405">
        <v>0</v>
      </c>
      <c r="AP67" s="406">
        <v>0</v>
      </c>
      <c r="AQ67" s="412">
        <v>0</v>
      </c>
      <c r="AR67" s="406">
        <v>0</v>
      </c>
      <c r="AS67" s="416"/>
      <c r="AT67" s="412">
        <v>-2856</v>
      </c>
      <c r="AU67" s="406">
        <v>0</v>
      </c>
      <c r="AV67" s="412">
        <v>-1227</v>
      </c>
      <c r="AW67" s="412">
        <v>-2</v>
      </c>
      <c r="AX67" s="412">
        <v>0</v>
      </c>
      <c r="AY67" s="416">
        <v>-6977.6830161031212</v>
      </c>
      <c r="AZ67" s="416">
        <v>-5330.8415080515606</v>
      </c>
      <c r="BA67" s="412">
        <v>0</v>
      </c>
      <c r="BB67" s="416">
        <v>-31</v>
      </c>
      <c r="BC67" s="416">
        <v>-18</v>
      </c>
      <c r="BD67" s="416">
        <v>0</v>
      </c>
      <c r="BE67" s="416">
        <v>0</v>
      </c>
      <c r="BF67" s="416">
        <v>-832</v>
      </c>
      <c r="BG67" s="416"/>
      <c r="BH67" s="746">
        <f t="shared" ref="BH67:BH72" si="219">SUM(AC67:BG67)</f>
        <v>-130903.52452415468</v>
      </c>
      <c r="BI67" s="439"/>
      <c r="BJ67" s="406">
        <v>0</v>
      </c>
      <c r="BK67" s="839">
        <v>0</v>
      </c>
      <c r="BL67" s="926">
        <v>0</v>
      </c>
      <c r="BM67" s="406">
        <v>0</v>
      </c>
      <c r="BN67" s="406">
        <v>0</v>
      </c>
      <c r="BO67" s="412">
        <v>0</v>
      </c>
      <c r="BP67" s="406">
        <v>0</v>
      </c>
      <c r="BQ67" s="416"/>
      <c r="BR67" s="416">
        <v>-4894.6830161031212</v>
      </c>
      <c r="BS67" s="416">
        <v>0</v>
      </c>
      <c r="BT67" s="412">
        <v>-34</v>
      </c>
      <c r="BU67" s="416">
        <v>0</v>
      </c>
      <c r="BV67" s="416">
        <v>-1604</v>
      </c>
      <c r="BW67" s="416"/>
      <c r="BX67" s="607">
        <f t="shared" ref="BX67:BX72" si="220">SUM(BH67:BW67)</f>
        <v>-137436.2075402578</v>
      </c>
      <c r="BY67" s="1299">
        <f>BX67-BH67</f>
        <v>-6532.6830161031248</v>
      </c>
    </row>
    <row r="68" spans="1:78" s="396" customFormat="1">
      <c r="A68" s="397">
        <v>39</v>
      </c>
      <c r="C68" s="396" t="s">
        <v>214</v>
      </c>
      <c r="E68" s="733">
        <f>'ROO INPUT 1.00'!F69</f>
        <v>-423739</v>
      </c>
      <c r="F68" s="406">
        <v>0</v>
      </c>
      <c r="G68" s="406">
        <v>0</v>
      </c>
      <c r="H68" s="406">
        <v>0</v>
      </c>
      <c r="I68" s="406">
        <v>0</v>
      </c>
      <c r="J68" s="406">
        <v>0</v>
      </c>
      <c r="K68" s="406">
        <v>0</v>
      </c>
      <c r="L68" s="406">
        <v>0</v>
      </c>
      <c r="M68" s="406">
        <v>0</v>
      </c>
      <c r="N68" s="406">
        <v>0</v>
      </c>
      <c r="O68" s="406">
        <v>0</v>
      </c>
      <c r="P68" s="406">
        <v>0</v>
      </c>
      <c r="Q68" s="406">
        <v>0</v>
      </c>
      <c r="R68" s="406">
        <v>0</v>
      </c>
      <c r="S68" s="406">
        <v>0</v>
      </c>
      <c r="T68" s="839">
        <v>0</v>
      </c>
      <c r="U68" s="852">
        <v>0</v>
      </c>
      <c r="V68" s="406">
        <v>0</v>
      </c>
      <c r="W68" s="412">
        <v>-14429</v>
      </c>
      <c r="X68" s="406">
        <v>0</v>
      </c>
      <c r="Y68" s="839">
        <v>0</v>
      </c>
      <c r="Z68" s="852">
        <v>0</v>
      </c>
      <c r="AA68" s="839">
        <v>0</v>
      </c>
      <c r="AB68" s="839">
        <v>0</v>
      </c>
      <c r="AC68" s="1060">
        <f>SUM(E68:AB68)</f>
        <v>-438168</v>
      </c>
      <c r="AD68" s="406">
        <v>0</v>
      </c>
      <c r="AE68" s="406">
        <v>0</v>
      </c>
      <c r="AF68" s="406">
        <v>0</v>
      </c>
      <c r="AG68" s="406">
        <v>0</v>
      </c>
      <c r="AH68" s="406">
        <v>0</v>
      </c>
      <c r="AI68" s="839">
        <v>0</v>
      </c>
      <c r="AJ68" s="406">
        <v>0</v>
      </c>
      <c r="AK68" s="405">
        <v>0</v>
      </c>
      <c r="AL68" s="405">
        <v>0</v>
      </c>
      <c r="AM68" s="406">
        <v>0</v>
      </c>
      <c r="AN68" s="406">
        <v>0</v>
      </c>
      <c r="AO68" s="405">
        <v>0</v>
      </c>
      <c r="AP68" s="406">
        <v>0</v>
      </c>
      <c r="AQ68" s="412">
        <v>0</v>
      </c>
      <c r="AR68" s="406">
        <v>0</v>
      </c>
      <c r="AS68" s="416"/>
      <c r="AT68" s="412">
        <v>-3724</v>
      </c>
      <c r="AU68" s="406">
        <v>0</v>
      </c>
      <c r="AV68" s="412">
        <v>-3</v>
      </c>
      <c r="AW68" s="412">
        <v>0</v>
      </c>
      <c r="AX68" s="1313">
        <v>-2998</v>
      </c>
      <c r="AY68" s="416">
        <v>-12973.372335062933</v>
      </c>
      <c r="AZ68" s="416">
        <v>-7981.1861675314667</v>
      </c>
      <c r="BA68" s="412">
        <v>0</v>
      </c>
      <c r="BB68" s="416">
        <v>0</v>
      </c>
      <c r="BC68" s="416">
        <v>0</v>
      </c>
      <c r="BD68" s="1313">
        <v>-11969</v>
      </c>
      <c r="BE68" s="1313">
        <v>-5984</v>
      </c>
      <c r="BF68" s="416">
        <v>-1</v>
      </c>
      <c r="BG68" s="1313">
        <v>928</v>
      </c>
      <c r="BH68" s="747">
        <f t="shared" si="219"/>
        <v>-482873.55850259442</v>
      </c>
      <c r="BI68" s="756"/>
      <c r="BJ68" s="406">
        <v>0</v>
      </c>
      <c r="BK68" s="839">
        <v>0</v>
      </c>
      <c r="BL68" s="926">
        <v>0</v>
      </c>
      <c r="BM68" s="406">
        <v>0</v>
      </c>
      <c r="BN68" s="406">
        <v>0</v>
      </c>
      <c r="BO68" s="412">
        <v>0</v>
      </c>
      <c r="BP68" s="406">
        <v>0</v>
      </c>
      <c r="BQ68" s="416"/>
      <c r="BR68" s="416">
        <v>-18495.372335062933</v>
      </c>
      <c r="BS68" s="416">
        <v>0</v>
      </c>
      <c r="BT68" s="412">
        <v>0</v>
      </c>
      <c r="BU68" s="1313">
        <v>-11969</v>
      </c>
      <c r="BV68" s="416">
        <v>-2</v>
      </c>
      <c r="BW68" s="1313">
        <v>2569</v>
      </c>
      <c r="BX68" s="608">
        <f t="shared" si="220"/>
        <v>-510770.93083765736</v>
      </c>
      <c r="BY68" s="1299">
        <f>BX68-BH68</f>
        <v>-27897.372335062944</v>
      </c>
    </row>
    <row r="69" spans="1:78" s="396" customFormat="1">
      <c r="A69" s="397">
        <v>40</v>
      </c>
      <c r="C69" s="396" t="s">
        <v>215</v>
      </c>
      <c r="E69" s="733">
        <f>'ROO INPUT 1.00'!F70</f>
        <v>-158761</v>
      </c>
      <c r="F69" s="406">
        <v>0</v>
      </c>
      <c r="G69" s="406">
        <v>0</v>
      </c>
      <c r="H69" s="406">
        <v>0</v>
      </c>
      <c r="I69" s="406">
        <v>0</v>
      </c>
      <c r="J69" s="406">
        <v>0</v>
      </c>
      <c r="K69" s="406">
        <v>0</v>
      </c>
      <c r="L69" s="406">
        <v>0</v>
      </c>
      <c r="M69" s="406">
        <v>0</v>
      </c>
      <c r="N69" s="406">
        <v>0</v>
      </c>
      <c r="O69" s="406">
        <v>0</v>
      </c>
      <c r="P69" s="406">
        <v>0</v>
      </c>
      <c r="Q69" s="406">
        <v>0</v>
      </c>
      <c r="R69" s="406">
        <v>0</v>
      </c>
      <c r="S69" s="406">
        <v>0</v>
      </c>
      <c r="T69" s="839">
        <v>0</v>
      </c>
      <c r="U69" s="852">
        <v>0</v>
      </c>
      <c r="V69" s="406">
        <v>0</v>
      </c>
      <c r="W69" s="412">
        <v>-751</v>
      </c>
      <c r="X69" s="406">
        <v>0</v>
      </c>
      <c r="Y69" s="839">
        <v>0</v>
      </c>
      <c r="Z69" s="852">
        <v>0</v>
      </c>
      <c r="AA69" s="839">
        <v>0</v>
      </c>
      <c r="AB69" s="839">
        <v>0</v>
      </c>
      <c r="AC69" s="1060">
        <f>SUM(E69:AB69)</f>
        <v>-159512</v>
      </c>
      <c r="AD69" s="406">
        <v>0</v>
      </c>
      <c r="AE69" s="406">
        <v>0</v>
      </c>
      <c r="AF69" s="406">
        <v>0</v>
      </c>
      <c r="AG69" s="406">
        <v>0</v>
      </c>
      <c r="AH69" s="406">
        <v>0</v>
      </c>
      <c r="AI69" s="839">
        <v>0</v>
      </c>
      <c r="AJ69" s="406">
        <v>0</v>
      </c>
      <c r="AK69" s="405">
        <v>0</v>
      </c>
      <c r="AL69" s="405">
        <v>0</v>
      </c>
      <c r="AM69" s="406">
        <v>0</v>
      </c>
      <c r="AN69" s="406">
        <v>0</v>
      </c>
      <c r="AO69" s="405">
        <v>0</v>
      </c>
      <c r="AP69" s="406">
        <v>0</v>
      </c>
      <c r="AQ69" s="412">
        <v>0</v>
      </c>
      <c r="AR69" s="406">
        <v>0</v>
      </c>
      <c r="AS69" s="416"/>
      <c r="AT69" s="412">
        <v>-1777.3002615513778</v>
      </c>
      <c r="AU69" s="406">
        <v>0</v>
      </c>
      <c r="AV69" s="412">
        <v>-1</v>
      </c>
      <c r="AW69" s="412">
        <v>-2</v>
      </c>
      <c r="AX69" s="412">
        <v>0</v>
      </c>
      <c r="AY69" s="416">
        <v>-10941.67323141093</v>
      </c>
      <c r="AZ69" s="416">
        <v>-5655.3366157054652</v>
      </c>
      <c r="BA69" s="412">
        <v>0</v>
      </c>
      <c r="BB69" s="416">
        <v>-39</v>
      </c>
      <c r="BC69" s="416">
        <v>-44</v>
      </c>
      <c r="BD69" s="416">
        <v>0</v>
      </c>
      <c r="BE69" s="416">
        <v>0</v>
      </c>
      <c r="BF69" s="416">
        <v>0</v>
      </c>
      <c r="BG69" s="416"/>
      <c r="BH69" s="746">
        <f t="shared" si="219"/>
        <v>-177972.31010866776</v>
      </c>
      <c r="BI69" s="439"/>
      <c r="BJ69" s="406">
        <v>0</v>
      </c>
      <c r="BK69" s="839">
        <v>0</v>
      </c>
      <c r="BL69" s="926">
        <v>0</v>
      </c>
      <c r="BM69" s="406">
        <v>0</v>
      </c>
      <c r="BN69" s="406">
        <v>0</v>
      </c>
      <c r="BO69" s="412">
        <v>0</v>
      </c>
      <c r="BP69" s="406">
        <v>0</v>
      </c>
      <c r="BQ69" s="416"/>
      <c r="BR69" s="416">
        <v>-11234.67323141093</v>
      </c>
      <c r="BS69" s="416">
        <v>0</v>
      </c>
      <c r="BT69" s="412">
        <v>-127</v>
      </c>
      <c r="BU69" s="416">
        <v>0</v>
      </c>
      <c r="BV69" s="416">
        <v>-1</v>
      </c>
      <c r="BW69" s="416"/>
      <c r="BX69" s="607">
        <f t="shared" si="220"/>
        <v>-189334.9833400787</v>
      </c>
      <c r="BY69" s="1299">
        <f>BX69-BH69</f>
        <v>-11362.673231410939</v>
      </c>
    </row>
    <row r="70" spans="1:78" s="396" customFormat="1">
      <c r="A70" s="397">
        <v>41</v>
      </c>
      <c r="C70" s="396" t="s">
        <v>199</v>
      </c>
      <c r="E70" s="733">
        <f>'ROO INPUT 1.00'!F71</f>
        <v>-384189</v>
      </c>
      <c r="F70" s="406">
        <v>0</v>
      </c>
      <c r="G70" s="406">
        <v>0</v>
      </c>
      <c r="H70" s="406">
        <v>0</v>
      </c>
      <c r="I70" s="406">
        <v>0</v>
      </c>
      <c r="J70" s="406">
        <v>0</v>
      </c>
      <c r="K70" s="406">
        <v>0</v>
      </c>
      <c r="L70" s="406">
        <v>0</v>
      </c>
      <c r="M70" s="406">
        <v>0</v>
      </c>
      <c r="N70" s="406">
        <v>0</v>
      </c>
      <c r="O70" s="406">
        <v>0</v>
      </c>
      <c r="P70" s="406">
        <v>0</v>
      </c>
      <c r="Q70" s="406">
        <v>0</v>
      </c>
      <c r="R70" s="406">
        <v>0</v>
      </c>
      <c r="S70" s="406">
        <v>0</v>
      </c>
      <c r="T70" s="839">
        <v>0</v>
      </c>
      <c r="U70" s="852">
        <v>0</v>
      </c>
      <c r="V70" s="406">
        <v>0</v>
      </c>
      <c r="W70" s="412">
        <v>-15212</v>
      </c>
      <c r="X70" s="406">
        <v>0</v>
      </c>
      <c r="Y70" s="839">
        <v>0</v>
      </c>
      <c r="Z70" s="852">
        <v>0</v>
      </c>
      <c r="AA70" s="839">
        <v>0</v>
      </c>
      <c r="AB70" s="839">
        <v>0</v>
      </c>
      <c r="AC70" s="1060">
        <f>SUM(E70:AB70)</f>
        <v>-399401</v>
      </c>
      <c r="AD70" s="406">
        <v>0</v>
      </c>
      <c r="AE70" s="406">
        <v>0</v>
      </c>
      <c r="AF70" s="406">
        <v>0</v>
      </c>
      <c r="AG70" s="406">
        <v>0</v>
      </c>
      <c r="AH70" s="406">
        <v>0</v>
      </c>
      <c r="AI70" s="839">
        <v>0</v>
      </c>
      <c r="AJ70" s="406">
        <v>0</v>
      </c>
      <c r="AK70" s="405">
        <v>0</v>
      </c>
      <c r="AL70" s="405">
        <v>0</v>
      </c>
      <c r="AM70" s="406">
        <v>0</v>
      </c>
      <c r="AN70" s="406">
        <v>0</v>
      </c>
      <c r="AO70" s="405">
        <v>0</v>
      </c>
      <c r="AP70" s="406">
        <v>0</v>
      </c>
      <c r="AQ70" s="412">
        <v>0</v>
      </c>
      <c r="AR70" s="406">
        <v>0</v>
      </c>
      <c r="AS70" s="416"/>
      <c r="AT70" s="412">
        <v>-6858</v>
      </c>
      <c r="AU70" s="406">
        <v>0</v>
      </c>
      <c r="AV70" s="412">
        <v>-1</v>
      </c>
      <c r="AW70" s="412">
        <v>-3</v>
      </c>
      <c r="AX70" s="412">
        <v>0</v>
      </c>
      <c r="AY70" s="416">
        <v>-29646.372188550813</v>
      </c>
      <c r="AZ70" s="416">
        <v>-16237.186094275407</v>
      </c>
      <c r="BA70" s="412">
        <v>0</v>
      </c>
      <c r="BB70" s="416">
        <v>-190</v>
      </c>
      <c r="BC70" s="416">
        <v>-230</v>
      </c>
      <c r="BD70" s="416">
        <v>0</v>
      </c>
      <c r="BE70" s="416">
        <v>0</v>
      </c>
      <c r="BF70" s="416">
        <v>-1</v>
      </c>
      <c r="BG70" s="416"/>
      <c r="BH70" s="746">
        <f t="shared" si="219"/>
        <v>-452567.55828282621</v>
      </c>
      <c r="BI70" s="439"/>
      <c r="BJ70" s="406">
        <v>0</v>
      </c>
      <c r="BK70" s="839">
        <v>0</v>
      </c>
      <c r="BL70" s="926">
        <v>0</v>
      </c>
      <c r="BM70" s="406">
        <v>0</v>
      </c>
      <c r="BN70" s="406">
        <v>0</v>
      </c>
      <c r="BO70" s="412">
        <v>0</v>
      </c>
      <c r="BP70" s="406">
        <v>0</v>
      </c>
      <c r="BQ70" s="416"/>
      <c r="BR70" s="416">
        <v>-30633.372188550813</v>
      </c>
      <c r="BS70" s="416">
        <v>0</v>
      </c>
      <c r="BT70" s="412">
        <v>-716</v>
      </c>
      <c r="BU70" s="416">
        <v>0</v>
      </c>
      <c r="BV70" s="416">
        <v>-1</v>
      </c>
      <c r="BW70" s="416"/>
      <c r="BX70" s="607">
        <f t="shared" si="220"/>
        <v>-483917.93047137704</v>
      </c>
      <c r="BY70" s="1299">
        <f>BX70-BH70</f>
        <v>-31350.372188550828</v>
      </c>
    </row>
    <row r="71" spans="1:78" s="396" customFormat="1">
      <c r="A71" s="397">
        <v>42</v>
      </c>
      <c r="C71" s="396" t="s">
        <v>216</v>
      </c>
      <c r="E71" s="732">
        <f>'ROO INPUT 1.00'!F72</f>
        <v>-99285</v>
      </c>
      <c r="F71" s="406">
        <v>0</v>
      </c>
      <c r="G71" s="406">
        <v>0</v>
      </c>
      <c r="H71" s="406">
        <v>0</v>
      </c>
      <c r="I71" s="406">
        <v>0</v>
      </c>
      <c r="J71" s="406">
        <v>0</v>
      </c>
      <c r="K71" s="406">
        <v>0</v>
      </c>
      <c r="L71" s="406">
        <v>0</v>
      </c>
      <c r="M71" s="406">
        <v>0</v>
      </c>
      <c r="N71" s="406">
        <v>0</v>
      </c>
      <c r="O71" s="406">
        <v>0</v>
      </c>
      <c r="P71" s="406">
        <v>0</v>
      </c>
      <c r="Q71" s="406">
        <v>0</v>
      </c>
      <c r="R71" s="406">
        <v>0</v>
      </c>
      <c r="S71" s="406">
        <v>0</v>
      </c>
      <c r="T71" s="839">
        <v>0</v>
      </c>
      <c r="U71" s="848">
        <v>0</v>
      </c>
      <c r="V71" s="406">
        <v>0</v>
      </c>
      <c r="W71" s="413">
        <v>-5762</v>
      </c>
      <c r="X71" s="406">
        <v>0</v>
      </c>
      <c r="Y71" s="839">
        <v>0</v>
      </c>
      <c r="Z71" s="848">
        <v>0</v>
      </c>
      <c r="AA71" s="839">
        <v>0</v>
      </c>
      <c r="AB71" s="839">
        <v>0</v>
      </c>
      <c r="AC71" s="1060">
        <f>SUM(E71:AB71)</f>
        <v>-105047</v>
      </c>
      <c r="AD71" s="406">
        <v>0</v>
      </c>
      <c r="AE71" s="406">
        <v>0</v>
      </c>
      <c r="AF71" s="406">
        <v>0</v>
      </c>
      <c r="AG71" s="406">
        <v>0</v>
      </c>
      <c r="AH71" s="406">
        <v>0</v>
      </c>
      <c r="AI71" s="839">
        <v>0</v>
      </c>
      <c r="AJ71" s="406">
        <v>0</v>
      </c>
      <c r="AK71" s="405">
        <v>0</v>
      </c>
      <c r="AL71" s="405">
        <v>0</v>
      </c>
      <c r="AM71" s="406">
        <v>0</v>
      </c>
      <c r="AN71" s="406">
        <v>0</v>
      </c>
      <c r="AO71" s="405">
        <v>0</v>
      </c>
      <c r="AP71" s="406">
        <v>0</v>
      </c>
      <c r="AQ71" s="413">
        <v>0</v>
      </c>
      <c r="AR71" s="406">
        <v>0</v>
      </c>
      <c r="AS71" s="414"/>
      <c r="AT71" s="413">
        <v>-1143</v>
      </c>
      <c r="AU71" s="406">
        <v>0</v>
      </c>
      <c r="AV71" s="413">
        <v>-42</v>
      </c>
      <c r="AW71" s="413">
        <v>0</v>
      </c>
      <c r="AX71" s="413">
        <v>0</v>
      </c>
      <c r="AY71" s="414">
        <v>-5539.5808339443283</v>
      </c>
      <c r="AZ71" s="414">
        <v>-5984.7904169721642</v>
      </c>
      <c r="BA71" s="413">
        <v>0</v>
      </c>
      <c r="BB71" s="414">
        <v>-9</v>
      </c>
      <c r="BC71" s="414">
        <v>-13</v>
      </c>
      <c r="BD71" s="414">
        <v>0</v>
      </c>
      <c r="BE71" s="414">
        <v>0</v>
      </c>
      <c r="BF71" s="414">
        <v>-28</v>
      </c>
      <c r="BG71" s="414"/>
      <c r="BH71" s="748">
        <f t="shared" si="219"/>
        <v>-117806.37125091649</v>
      </c>
      <c r="BI71" s="439"/>
      <c r="BJ71" s="406">
        <v>0</v>
      </c>
      <c r="BK71" s="839">
        <v>0</v>
      </c>
      <c r="BL71" s="926">
        <v>0</v>
      </c>
      <c r="BM71" s="406">
        <v>0</v>
      </c>
      <c r="BN71" s="406">
        <v>0</v>
      </c>
      <c r="BO71" s="413">
        <v>0</v>
      </c>
      <c r="BP71" s="406">
        <v>0</v>
      </c>
      <c r="BQ71" s="414"/>
      <c r="BR71" s="414">
        <v>651.41916605567349</v>
      </c>
      <c r="BS71" s="414">
        <v>0</v>
      </c>
      <c r="BT71" s="413">
        <v>-40</v>
      </c>
      <c r="BU71" s="414">
        <v>0</v>
      </c>
      <c r="BV71" s="414">
        <v>-54</v>
      </c>
      <c r="BW71" s="414"/>
      <c r="BX71" s="609">
        <f t="shared" si="220"/>
        <v>-117248.95208486082</v>
      </c>
      <c r="BY71" s="1298">
        <f>BX71-BH71</f>
        <v>557.41916605566803</v>
      </c>
    </row>
    <row r="72" spans="1:78" s="396" customFormat="1">
      <c r="A72" s="397">
        <v>43</v>
      </c>
      <c r="B72" s="396" t="s">
        <v>262</v>
      </c>
      <c r="E72" s="422">
        <f t="shared" ref="E72:AM72" si="221">SUM(E67:E71)</f>
        <v>-1150819</v>
      </c>
      <c r="F72" s="422">
        <f t="shared" si="221"/>
        <v>0</v>
      </c>
      <c r="G72" s="422">
        <f t="shared" si="221"/>
        <v>0</v>
      </c>
      <c r="H72" s="422">
        <f t="shared" si="221"/>
        <v>0</v>
      </c>
      <c r="I72" s="422">
        <f t="shared" si="221"/>
        <v>0</v>
      </c>
      <c r="J72" s="422">
        <f t="shared" ref="J72" si="222">SUM(J67:J71)</f>
        <v>0</v>
      </c>
      <c r="K72" s="422">
        <f t="shared" si="221"/>
        <v>0</v>
      </c>
      <c r="L72" s="422">
        <f t="shared" si="221"/>
        <v>0</v>
      </c>
      <c r="M72" s="422">
        <f t="shared" si="221"/>
        <v>0</v>
      </c>
      <c r="N72" s="422">
        <f t="shared" si="221"/>
        <v>0</v>
      </c>
      <c r="O72" s="422">
        <f t="shared" si="221"/>
        <v>0</v>
      </c>
      <c r="P72" s="422">
        <f t="shared" si="221"/>
        <v>0</v>
      </c>
      <c r="Q72" s="422">
        <f t="shared" si="221"/>
        <v>0</v>
      </c>
      <c r="R72" s="422">
        <f t="shared" si="221"/>
        <v>0</v>
      </c>
      <c r="S72" s="422">
        <f t="shared" ref="S72" si="223">SUM(S67:S71)</f>
        <v>0</v>
      </c>
      <c r="T72" s="851">
        <f>SUM(T67:T71)</f>
        <v>0</v>
      </c>
      <c r="U72" s="854">
        <f t="shared" ref="U72" si="224">SUM(U67:U71)</f>
        <v>0</v>
      </c>
      <c r="V72" s="422">
        <f>SUM(V67:V71)</f>
        <v>0</v>
      </c>
      <c r="W72" s="422">
        <f>SUM(W67:W71)</f>
        <v>-43971</v>
      </c>
      <c r="X72" s="422">
        <f>SUM(X67:X71)</f>
        <v>0</v>
      </c>
      <c r="Y72" s="851">
        <f>SUM(Y67:Y71)</f>
        <v>0</v>
      </c>
      <c r="Z72" s="854">
        <f t="shared" ref="Z72" si="225">SUM(Z67:Z71)</f>
        <v>0</v>
      </c>
      <c r="AA72" s="851">
        <f t="shared" ref="AA72" si="226">SUM(AA67:AA71)</f>
        <v>0</v>
      </c>
      <c r="AB72" s="851">
        <f>SUM(AB67:AB71)</f>
        <v>0</v>
      </c>
      <c r="AC72" s="1062">
        <f t="shared" si="221"/>
        <v>-1194790</v>
      </c>
      <c r="AD72" s="422">
        <f>SUM(AD67:AD71)</f>
        <v>0</v>
      </c>
      <c r="AE72" s="422">
        <f t="shared" ref="AE72" si="227">SUM(AE67:AE71)</f>
        <v>0</v>
      </c>
      <c r="AF72" s="422">
        <f t="shared" ref="AF72" si="228">SUM(AF67:AF71)</f>
        <v>0</v>
      </c>
      <c r="AG72" s="422">
        <f t="shared" ref="AG72:AK72" si="229">SUM(AG67:AG71)</f>
        <v>0</v>
      </c>
      <c r="AH72" s="422">
        <f t="shared" si="229"/>
        <v>0</v>
      </c>
      <c r="AI72" s="851">
        <f t="shared" si="229"/>
        <v>-20967</v>
      </c>
      <c r="AJ72" s="422">
        <f t="shared" si="229"/>
        <v>0</v>
      </c>
      <c r="AK72" s="422">
        <f t="shared" si="229"/>
        <v>0</v>
      </c>
      <c r="AL72" s="422">
        <f t="shared" ref="AL72" si="230">SUM(AL67:AL71)</f>
        <v>0</v>
      </c>
      <c r="AM72" s="422">
        <f t="shared" si="221"/>
        <v>0</v>
      </c>
      <c r="AN72" s="422">
        <f t="shared" ref="AN72" si="231">SUM(AN67:AN71)</f>
        <v>0</v>
      </c>
      <c r="AO72" s="422">
        <f>SUM(AO67:AO71)</f>
        <v>0</v>
      </c>
      <c r="AP72" s="422">
        <f>SUM(AP67:AP71)</f>
        <v>0</v>
      </c>
      <c r="AQ72" s="420">
        <f>SUM(AQ67:AQ71)</f>
        <v>0</v>
      </c>
      <c r="AR72" s="422">
        <f t="shared" ref="AR72" si="232">SUM(AR67:AR71)</f>
        <v>0</v>
      </c>
      <c r="AS72" s="420">
        <f>SUM(AS67:AS71)</f>
        <v>0</v>
      </c>
      <c r="AT72" s="422">
        <f>SUM(AT67:AT71)</f>
        <v>-16358.300261551378</v>
      </c>
      <c r="AU72" s="422">
        <f t="shared" ref="AU72" si="233">SUM(AU67:AU71)</f>
        <v>0</v>
      </c>
      <c r="AV72" s="986">
        <f t="shared" ref="AV72" si="234">SUM(AV67:AV71)</f>
        <v>-1274</v>
      </c>
      <c r="AW72" s="422">
        <f t="shared" ref="AW72:AX72" si="235">SUM(AW67:AW71)</f>
        <v>-7</v>
      </c>
      <c r="AX72" s="422">
        <f t="shared" si="235"/>
        <v>-2998</v>
      </c>
      <c r="AY72" s="420">
        <f t="shared" ref="AY72" si="236">SUM(AY67:AY71)</f>
        <v>-66078.681605072125</v>
      </c>
      <c r="AZ72" s="420">
        <f>SUM(AZ67:AZ71)</f>
        <v>-41189.340802536062</v>
      </c>
      <c r="BA72" s="420">
        <f>SUM(BA67:BA71)</f>
        <v>0</v>
      </c>
      <c r="BB72" s="420">
        <f>SUM(BB67:BB71)</f>
        <v>-269</v>
      </c>
      <c r="BC72" s="420">
        <f>SUM(BC67:BC71)</f>
        <v>-305</v>
      </c>
      <c r="BD72" s="420">
        <f t="shared" ref="BD72" si="237">SUM(BD67:BD71)</f>
        <v>-11969</v>
      </c>
      <c r="BE72" s="420">
        <f t="shared" ref="BE72" si="238">SUM(BE67:BE71)</f>
        <v>-5984</v>
      </c>
      <c r="BF72" s="420">
        <f>SUM(BF67:BF71)</f>
        <v>-862</v>
      </c>
      <c r="BG72" s="420">
        <f>SUM(BG67:BG71)</f>
        <v>928</v>
      </c>
      <c r="BH72" s="746">
        <f t="shared" si="219"/>
        <v>-1362123.3226691596</v>
      </c>
      <c r="BI72" s="439"/>
      <c r="BJ72" s="422">
        <f t="shared" ref="BJ72" si="239">SUM(BJ67:BJ71)</f>
        <v>0</v>
      </c>
      <c r="BK72" s="851">
        <f t="shared" ref="BK72" si="240">SUM(BK67:BK71)</f>
        <v>0</v>
      </c>
      <c r="BL72" s="934">
        <f>SUM(BL67:BL71)</f>
        <v>0</v>
      </c>
      <c r="BM72" s="422">
        <f t="shared" ref="BM72" si="241">SUM(BM67:BM71)</f>
        <v>0</v>
      </c>
      <c r="BN72" s="422">
        <f t="shared" ref="BN72" si="242">SUM(BN67:BN71)</f>
        <v>0</v>
      </c>
      <c r="BO72" s="420">
        <f>SUM(BO67:BO71)</f>
        <v>0</v>
      </c>
      <c r="BP72" s="422">
        <f t="shared" ref="BP72" si="243">SUM(BP67:BP71)</f>
        <v>0</v>
      </c>
      <c r="BQ72" s="420">
        <f>SUM(BQ67:BQ71)</f>
        <v>0</v>
      </c>
      <c r="BR72" s="420">
        <f>SUM(BR67:BR71)</f>
        <v>-64606.681605072125</v>
      </c>
      <c r="BS72" s="420">
        <f>SUM(BS67:BS71)</f>
        <v>0</v>
      </c>
      <c r="BT72" s="986">
        <f>SUM(BT67:BT71)</f>
        <v>-917</v>
      </c>
      <c r="BU72" s="420">
        <f t="shared" ref="BU72" si="244">SUM(BU67:BU71)</f>
        <v>-11969</v>
      </c>
      <c r="BV72" s="420">
        <f>SUM(BV67:BV71)</f>
        <v>-1662</v>
      </c>
      <c r="BW72" s="420">
        <f>SUM(BW67:BW71)</f>
        <v>2569</v>
      </c>
      <c r="BX72" s="607">
        <f t="shared" si="220"/>
        <v>-1438709.0042742318</v>
      </c>
      <c r="BY72" s="420">
        <f>SUM(BY67:BY71)</f>
        <v>-76585.681605072168</v>
      </c>
    </row>
    <row r="73" spans="1:78" s="396" customFormat="1">
      <c r="A73" s="397">
        <v>44</v>
      </c>
      <c r="B73" s="396" t="s">
        <v>263</v>
      </c>
      <c r="E73" s="422">
        <f>E65+E72</f>
        <v>2225915</v>
      </c>
      <c r="F73" s="422">
        <f t="shared" ref="F73:Y73" si="245">F65+F72</f>
        <v>0</v>
      </c>
      <c r="G73" s="422">
        <f t="shared" si="245"/>
        <v>0</v>
      </c>
      <c r="H73" s="422">
        <f t="shared" si="245"/>
        <v>0</v>
      </c>
      <c r="I73" s="422">
        <f t="shared" si="245"/>
        <v>0</v>
      </c>
      <c r="J73" s="422">
        <f t="shared" si="245"/>
        <v>0</v>
      </c>
      <c r="K73" s="422">
        <f t="shared" si="245"/>
        <v>0</v>
      </c>
      <c r="L73" s="422">
        <f t="shared" si="245"/>
        <v>0</v>
      </c>
      <c r="M73" s="422">
        <f t="shared" si="245"/>
        <v>0</v>
      </c>
      <c r="N73" s="422">
        <f t="shared" si="245"/>
        <v>0</v>
      </c>
      <c r="O73" s="422">
        <f t="shared" si="245"/>
        <v>0</v>
      </c>
      <c r="P73" s="422">
        <f t="shared" si="245"/>
        <v>0</v>
      </c>
      <c r="Q73" s="422">
        <f t="shared" si="245"/>
        <v>0</v>
      </c>
      <c r="R73" s="422">
        <f t="shared" si="245"/>
        <v>0</v>
      </c>
      <c r="S73" s="422">
        <f t="shared" ref="S73" si="246">S65+S72</f>
        <v>0</v>
      </c>
      <c r="T73" s="851">
        <f>T65+T72</f>
        <v>0</v>
      </c>
      <c r="U73" s="852">
        <f>U65+U72</f>
        <v>0</v>
      </c>
      <c r="V73" s="422">
        <f>V65+V72</f>
        <v>0</v>
      </c>
      <c r="W73" s="422">
        <f>W65+W72</f>
        <v>51066</v>
      </c>
      <c r="X73" s="422">
        <f t="shared" si="245"/>
        <v>0</v>
      </c>
      <c r="Y73" s="851">
        <f t="shared" si="245"/>
        <v>0</v>
      </c>
      <c r="Z73" s="852">
        <f t="shared" ref="Z73" si="247">Z65+Z72</f>
        <v>0</v>
      </c>
      <c r="AA73" s="851">
        <f>AA65+AA72</f>
        <v>0</v>
      </c>
      <c r="AB73" s="851">
        <f t="shared" ref="AB73" si="248">AB65+AB72</f>
        <v>0</v>
      </c>
      <c r="AC73" s="1062">
        <f t="shared" ref="AC73" si="249">AC65+AC72</f>
        <v>2276981</v>
      </c>
      <c r="AD73" s="422">
        <f>AD65-AD72</f>
        <v>0</v>
      </c>
      <c r="AE73" s="422">
        <f>AE65-AE72</f>
        <v>0</v>
      </c>
      <c r="AF73" s="422">
        <f>AF65-AF72</f>
        <v>0</v>
      </c>
      <c r="AG73" s="422">
        <f>AG65+AG72</f>
        <v>0</v>
      </c>
      <c r="AH73" s="422">
        <f>AH65+AH72</f>
        <v>0</v>
      </c>
      <c r="AI73" s="851">
        <f>AI65+AI72</f>
        <v>-20967</v>
      </c>
      <c r="AJ73" s="422">
        <f t="shared" ref="AJ73" si="250">AJ65+AJ72</f>
        <v>0</v>
      </c>
      <c r="AK73" s="422">
        <f>AK65+AK72</f>
        <v>0</v>
      </c>
      <c r="AL73" s="422">
        <f>AL65+AL72</f>
        <v>0</v>
      </c>
      <c r="AM73" s="422">
        <f t="shared" ref="AM73:AN73" si="251">AM65+AM72</f>
        <v>0</v>
      </c>
      <c r="AN73" s="422">
        <f t="shared" si="251"/>
        <v>0</v>
      </c>
      <c r="AO73" s="422">
        <f>AO65+AO72</f>
        <v>0</v>
      </c>
      <c r="AP73" s="422">
        <f>AP65+AP72</f>
        <v>0</v>
      </c>
      <c r="AQ73" s="412">
        <f>AQ65+AQ72</f>
        <v>0</v>
      </c>
      <c r="AR73" s="422">
        <f t="shared" ref="AR73" si="252">AR65+AR72</f>
        <v>0</v>
      </c>
      <c r="AS73" s="412">
        <f>AS65+AS72</f>
        <v>0</v>
      </c>
      <c r="AT73" s="422">
        <f>AT65+AT72</f>
        <v>40049.699738448624</v>
      </c>
      <c r="AU73" s="422">
        <f t="shared" ref="AU73" si="253">AU65+AU72</f>
        <v>0</v>
      </c>
      <c r="AV73" s="412">
        <f t="shared" ref="AV73" si="254">AV65+AV72</f>
        <v>6537</v>
      </c>
      <c r="AW73" s="422">
        <f t="shared" ref="AW73" si="255">AW65+AW72</f>
        <v>2497</v>
      </c>
      <c r="AX73" s="422">
        <f t="shared" ref="AX73" si="256">AX65+AX72</f>
        <v>-4999</v>
      </c>
      <c r="AY73" s="412">
        <f t="shared" ref="AY73" si="257">AY65+AY72</f>
        <v>79018.318394927875</v>
      </c>
      <c r="AZ73" s="412">
        <f t="shared" ref="AZ73" si="258">AZ65+AZ72</f>
        <v>14874.659197463938</v>
      </c>
      <c r="BA73" s="412">
        <f>BA65-BA72</f>
        <v>0</v>
      </c>
      <c r="BB73" s="412">
        <f t="shared" ref="BB73:BG73" si="259">BB65+BB72</f>
        <v>14520</v>
      </c>
      <c r="BC73" s="412">
        <f t="shared" si="259"/>
        <v>7633</v>
      </c>
      <c r="BD73" s="412">
        <f t="shared" si="259"/>
        <v>-11969</v>
      </c>
      <c r="BE73" s="412">
        <f t="shared" si="259"/>
        <v>-5984</v>
      </c>
      <c r="BF73" s="412">
        <f t="shared" si="259"/>
        <v>-737</v>
      </c>
      <c r="BG73" s="412">
        <f t="shared" si="259"/>
        <v>928</v>
      </c>
      <c r="BH73" s="750">
        <f t="shared" ref="BH73" si="260">BH65+BH72</f>
        <v>2398382.6773308404</v>
      </c>
      <c r="BI73" s="439"/>
      <c r="BJ73" s="422">
        <f>BJ65+BJ72</f>
        <v>0</v>
      </c>
      <c r="BK73" s="851">
        <f t="shared" ref="BK73" si="261">BK65+BK72</f>
        <v>0</v>
      </c>
      <c r="BL73" s="934">
        <f t="shared" ref="BL73:BM73" si="262">BL65+BL72</f>
        <v>0</v>
      </c>
      <c r="BM73" s="422">
        <f t="shared" si="262"/>
        <v>0</v>
      </c>
      <c r="BN73" s="422">
        <f>BN65+BN72</f>
        <v>0</v>
      </c>
      <c r="BO73" s="412">
        <f>BO65+BO72</f>
        <v>0</v>
      </c>
      <c r="BP73" s="422">
        <f t="shared" ref="BP73" si="263">BP65+BP72</f>
        <v>0</v>
      </c>
      <c r="BQ73" s="412">
        <f>BQ65+BQ72</f>
        <v>0</v>
      </c>
      <c r="BR73" s="412">
        <f t="shared" ref="BR73" si="264">BR65+BR72</f>
        <v>78202.318394927875</v>
      </c>
      <c r="BS73" s="412">
        <f>BS65-BS72</f>
        <v>0</v>
      </c>
      <c r="BT73" s="412">
        <f t="shared" ref="BT73:BY73" si="265">BT65+BT72</f>
        <v>16777</v>
      </c>
      <c r="BU73" s="412">
        <f t="shared" si="265"/>
        <v>-11969</v>
      </c>
      <c r="BV73" s="412">
        <f>BV65+BV72</f>
        <v>-1419</v>
      </c>
      <c r="BW73" s="412">
        <f>BW65+BW72</f>
        <v>2569</v>
      </c>
      <c r="BX73" s="611">
        <f t="shared" si="265"/>
        <v>2482542.9957257682</v>
      </c>
      <c r="BY73" s="412">
        <f t="shared" si="265"/>
        <v>84160.318394927832</v>
      </c>
    </row>
    <row r="74" spans="1:78" s="396" customFormat="1" ht="5.25" customHeight="1">
      <c r="A74" s="397"/>
      <c r="E74" s="412"/>
      <c r="F74" s="412"/>
      <c r="G74" s="412"/>
      <c r="H74" s="412"/>
      <c r="I74" s="412"/>
      <c r="J74" s="412"/>
      <c r="K74" s="412"/>
      <c r="L74" s="412"/>
      <c r="M74" s="412"/>
      <c r="N74" s="412"/>
      <c r="O74" s="412"/>
      <c r="P74" s="412"/>
      <c r="Q74" s="412"/>
      <c r="R74" s="412"/>
      <c r="S74" s="412"/>
      <c r="T74" s="852"/>
      <c r="U74" s="852"/>
      <c r="V74" s="412"/>
      <c r="W74" s="412"/>
      <c r="X74" s="412"/>
      <c r="Y74" s="852"/>
      <c r="Z74" s="852"/>
      <c r="AA74" s="852"/>
      <c r="AB74" s="852"/>
      <c r="AC74" s="1060"/>
      <c r="AD74" s="412"/>
      <c r="AE74" s="412"/>
      <c r="AF74" s="412"/>
      <c r="AG74" s="412"/>
      <c r="AH74" s="412"/>
      <c r="AI74" s="852"/>
      <c r="AJ74" s="412"/>
      <c r="AK74" s="412"/>
      <c r="AL74" s="412"/>
      <c r="AM74" s="412"/>
      <c r="AN74" s="412"/>
      <c r="AO74" s="412"/>
      <c r="AP74" s="412"/>
      <c r="AQ74" s="412"/>
      <c r="AR74" s="412"/>
      <c r="AS74" s="412"/>
      <c r="AT74" s="412"/>
      <c r="AU74" s="412"/>
      <c r="AV74" s="412"/>
      <c r="AW74" s="412"/>
      <c r="AX74" s="412"/>
      <c r="AY74" s="412"/>
      <c r="AZ74" s="412"/>
      <c r="BA74" s="412"/>
      <c r="BB74" s="412"/>
      <c r="BC74" s="412"/>
      <c r="BD74" s="412"/>
      <c r="BE74" s="412"/>
      <c r="BF74" s="412"/>
      <c r="BG74" s="412"/>
      <c r="BH74" s="746"/>
      <c r="BI74" s="439"/>
      <c r="BJ74" s="412"/>
      <c r="BK74" s="852"/>
      <c r="BL74" s="933"/>
      <c r="BM74" s="412"/>
      <c r="BN74" s="412"/>
      <c r="BO74" s="412"/>
      <c r="BP74" s="412"/>
      <c r="BQ74" s="412"/>
      <c r="BR74" s="412"/>
      <c r="BS74" s="412"/>
      <c r="BT74" s="412"/>
      <c r="BU74" s="412"/>
      <c r="BV74" s="412"/>
      <c r="BW74" s="412"/>
      <c r="BX74" s="607"/>
      <c r="BY74" s="412"/>
    </row>
    <row r="75" spans="1:78" s="396" customFormat="1">
      <c r="A75" s="398">
        <v>45</v>
      </c>
      <c r="B75" s="396" t="s">
        <v>219</v>
      </c>
      <c r="E75" s="732">
        <f>'ROO INPUT 1.00'!F76</f>
        <v>-428637</v>
      </c>
      <c r="F75" s="413">
        <v>-680</v>
      </c>
      <c r="G75" s="413">
        <v>0</v>
      </c>
      <c r="H75" s="413">
        <v>0</v>
      </c>
      <c r="I75" s="413">
        <v>0</v>
      </c>
      <c r="J75" s="413">
        <v>0</v>
      </c>
      <c r="K75" s="413">
        <v>0</v>
      </c>
      <c r="L75" s="413">
        <v>0</v>
      </c>
      <c r="M75" s="413">
        <v>0</v>
      </c>
      <c r="N75" s="413">
        <v>0</v>
      </c>
      <c r="O75" s="413">
        <v>0</v>
      </c>
      <c r="P75" s="413">
        <v>0</v>
      </c>
      <c r="Q75" s="413">
        <v>0</v>
      </c>
      <c r="R75" s="413">
        <v>0</v>
      </c>
      <c r="S75" s="413">
        <v>0</v>
      </c>
      <c r="T75" s="848">
        <v>0</v>
      </c>
      <c r="U75" s="848">
        <v>0</v>
      </c>
      <c r="V75" s="413">
        <v>0</v>
      </c>
      <c r="W75" s="413">
        <v>23123</v>
      </c>
      <c r="X75" s="413">
        <v>0</v>
      </c>
      <c r="Y75" s="848">
        <v>0</v>
      </c>
      <c r="Z75" s="848">
        <v>0</v>
      </c>
      <c r="AA75" s="848">
        <v>0</v>
      </c>
      <c r="AB75" s="848">
        <v>0</v>
      </c>
      <c r="AC75" s="1061">
        <f>SUM(E75:AB75)</f>
        <v>-406194</v>
      </c>
      <c r="AD75" s="413">
        <v>0</v>
      </c>
      <c r="AE75" s="413">
        <v>0</v>
      </c>
      <c r="AF75" s="413">
        <v>0</v>
      </c>
      <c r="AG75" s="413">
        <v>0</v>
      </c>
      <c r="AH75" s="413">
        <v>0</v>
      </c>
      <c r="AI75" s="848">
        <v>0</v>
      </c>
      <c r="AJ75" s="413">
        <v>0</v>
      </c>
      <c r="AK75" s="414">
        <v>0</v>
      </c>
      <c r="AL75" s="414">
        <v>0</v>
      </c>
      <c r="AM75" s="413">
        <v>0</v>
      </c>
      <c r="AN75" s="413">
        <v>0</v>
      </c>
      <c r="AO75" s="414">
        <v>0</v>
      </c>
      <c r="AP75" s="413">
        <v>0</v>
      </c>
      <c r="AQ75" s="413">
        <v>0</v>
      </c>
      <c r="AR75" s="413">
        <v>0</v>
      </c>
      <c r="AS75" s="413"/>
      <c r="AT75" s="413">
        <v>-5216</v>
      </c>
      <c r="AU75" s="413">
        <v>0</v>
      </c>
      <c r="AV75" s="413">
        <v>-235</v>
      </c>
      <c r="AW75" s="413"/>
      <c r="AX75" s="413">
        <v>9</v>
      </c>
      <c r="AY75" s="413">
        <v>-620</v>
      </c>
      <c r="AZ75" s="413">
        <v>-694</v>
      </c>
      <c r="BA75" s="413"/>
      <c r="BB75" s="413">
        <v>-714</v>
      </c>
      <c r="BC75" s="413">
        <v>-498</v>
      </c>
      <c r="BD75" s="1315">
        <v>1</v>
      </c>
      <c r="BE75" s="1315">
        <v>-1</v>
      </c>
      <c r="BF75" s="413">
        <v>-165</v>
      </c>
      <c r="BG75" s="413"/>
      <c r="BH75" s="748">
        <f>SUM(AC75:BG75)</f>
        <v>-414327</v>
      </c>
      <c r="BI75" s="439"/>
      <c r="BJ75" s="413">
        <v>0</v>
      </c>
      <c r="BK75" s="848">
        <v>0</v>
      </c>
      <c r="BL75" s="928">
        <v>0</v>
      </c>
      <c r="BM75" s="413">
        <v>0</v>
      </c>
      <c r="BN75" s="413">
        <v>0</v>
      </c>
      <c r="BO75" s="413">
        <v>0</v>
      </c>
      <c r="BP75" s="413">
        <v>0</v>
      </c>
      <c r="BQ75" s="413"/>
      <c r="BR75" s="413">
        <v>-1416</v>
      </c>
      <c r="BS75" s="413"/>
      <c r="BT75" s="413">
        <v>-1087</v>
      </c>
      <c r="BU75" s="1315">
        <v>-1</v>
      </c>
      <c r="BV75" s="413">
        <v>-150</v>
      </c>
      <c r="BW75" s="413"/>
      <c r="BX75" s="609">
        <f>SUM(BH75:BW75)</f>
        <v>-416981</v>
      </c>
      <c r="BY75" s="1298">
        <f>BX75-BH75</f>
        <v>-2654</v>
      </c>
      <c r="BZ75" s="615"/>
    </row>
    <row r="76" spans="1:78" s="396" customFormat="1">
      <c r="A76" s="398">
        <v>46</v>
      </c>
      <c r="C76" s="396" t="s">
        <v>546</v>
      </c>
      <c r="E76" s="412">
        <f>SUM(E73:E75)</f>
        <v>1797278</v>
      </c>
      <c r="F76" s="412">
        <f t="shared" ref="F76:AM76" si="266">SUM(F73:F75)</f>
        <v>-680</v>
      </c>
      <c r="G76" s="412">
        <f t="shared" si="266"/>
        <v>0</v>
      </c>
      <c r="H76" s="412">
        <f t="shared" si="266"/>
        <v>0</v>
      </c>
      <c r="I76" s="412">
        <f t="shared" si="266"/>
        <v>0</v>
      </c>
      <c r="J76" s="412">
        <f t="shared" ref="J76" si="267">SUM(J73:J75)</f>
        <v>0</v>
      </c>
      <c r="K76" s="412">
        <f t="shared" si="266"/>
        <v>0</v>
      </c>
      <c r="L76" s="412">
        <f t="shared" si="266"/>
        <v>0</v>
      </c>
      <c r="M76" s="412">
        <f t="shared" si="266"/>
        <v>0</v>
      </c>
      <c r="N76" s="412">
        <f t="shared" si="266"/>
        <v>0</v>
      </c>
      <c r="O76" s="412">
        <f t="shared" si="266"/>
        <v>0</v>
      </c>
      <c r="P76" s="412">
        <f t="shared" si="266"/>
        <v>0</v>
      </c>
      <c r="Q76" s="412">
        <f t="shared" si="266"/>
        <v>0</v>
      </c>
      <c r="R76" s="412">
        <f t="shared" si="266"/>
        <v>0</v>
      </c>
      <c r="S76" s="412">
        <f t="shared" ref="S76" si="268">SUM(S73:S75)</f>
        <v>0</v>
      </c>
      <c r="T76" s="852">
        <f>SUM(T73:T75)</f>
        <v>0</v>
      </c>
      <c r="U76" s="852">
        <f t="shared" ref="U76" si="269">SUM(U73:U75)</f>
        <v>0</v>
      </c>
      <c r="V76" s="412">
        <f>SUM(V73:V75)</f>
        <v>0</v>
      </c>
      <c r="W76" s="412">
        <f>SUM(W73:W75)</f>
        <v>74189</v>
      </c>
      <c r="X76" s="412">
        <f>SUM(X73:X75)</f>
        <v>0</v>
      </c>
      <c r="Y76" s="852">
        <f>SUM(Y73:Y75)</f>
        <v>0</v>
      </c>
      <c r="Z76" s="852">
        <f t="shared" ref="Z76" si="270">SUM(Z73:Z75)</f>
        <v>0</v>
      </c>
      <c r="AA76" s="852">
        <f t="shared" ref="AA76" si="271">SUM(AA73:AA75)</f>
        <v>0</v>
      </c>
      <c r="AB76" s="852">
        <f>SUM(AB73:AB75)</f>
        <v>0</v>
      </c>
      <c r="AC76" s="1060">
        <f t="shared" si="266"/>
        <v>1870787</v>
      </c>
      <c r="AD76" s="412">
        <f>SUM(AD73:AD75)</f>
        <v>0</v>
      </c>
      <c r="AE76" s="412">
        <f t="shared" ref="AE76" si="272">SUM(AE73:AE75)</f>
        <v>0</v>
      </c>
      <c r="AF76" s="412">
        <f t="shared" ref="AF76" si="273">SUM(AF73:AF75)</f>
        <v>0</v>
      </c>
      <c r="AG76" s="412">
        <f t="shared" ref="AG76:AK76" si="274">SUM(AG73:AG75)</f>
        <v>0</v>
      </c>
      <c r="AH76" s="412">
        <f t="shared" si="274"/>
        <v>0</v>
      </c>
      <c r="AI76" s="852">
        <f t="shared" si="274"/>
        <v>-20967</v>
      </c>
      <c r="AJ76" s="412">
        <f t="shared" si="274"/>
        <v>0</v>
      </c>
      <c r="AK76" s="412">
        <f t="shared" si="274"/>
        <v>0</v>
      </c>
      <c r="AL76" s="412">
        <f t="shared" ref="AL76" si="275">SUM(AL73:AL75)</f>
        <v>0</v>
      </c>
      <c r="AM76" s="412">
        <f t="shared" si="266"/>
        <v>0</v>
      </c>
      <c r="AN76" s="412">
        <f t="shared" ref="AN76" si="276">SUM(AN73:AN75)</f>
        <v>0</v>
      </c>
      <c r="AO76" s="412">
        <f>SUM(AO73:AO75)</f>
        <v>0</v>
      </c>
      <c r="AP76" s="412">
        <f>SUM(AP73:AP75)</f>
        <v>0</v>
      </c>
      <c r="AQ76" s="412">
        <f>SUM(AQ73:AQ75)</f>
        <v>0</v>
      </c>
      <c r="AR76" s="412">
        <f t="shared" ref="AR76" si="277">SUM(AR73:AR75)</f>
        <v>0</v>
      </c>
      <c r="AS76" s="412">
        <f>SUM(AS73:AS75)</f>
        <v>0</v>
      </c>
      <c r="AT76" s="412">
        <f>SUM(AT73:AT75)</f>
        <v>34833.699738448624</v>
      </c>
      <c r="AU76" s="412">
        <f t="shared" ref="AU76" si="278">SUM(AU73:AU75)</f>
        <v>0</v>
      </c>
      <c r="AV76" s="412">
        <f t="shared" ref="AV76" si="279">SUM(AV73:AV75)</f>
        <v>6302</v>
      </c>
      <c r="AW76" s="412">
        <f t="shared" ref="AW76:AX76" si="280">SUM(AW73:AW75)</f>
        <v>2497</v>
      </c>
      <c r="AX76" s="412">
        <f t="shared" si="280"/>
        <v>-4990</v>
      </c>
      <c r="AY76" s="412">
        <f t="shared" ref="AY76" si="281">SUM(AY73:AY75)</f>
        <v>78398.318394927875</v>
      </c>
      <c r="AZ76" s="412">
        <f>SUM(AZ73:AZ75)</f>
        <v>14180.659197463938</v>
      </c>
      <c r="BA76" s="412">
        <f>SUM(BA73:BA75)</f>
        <v>0</v>
      </c>
      <c r="BB76" s="412">
        <f>SUM(BB73:BB75)</f>
        <v>13806</v>
      </c>
      <c r="BC76" s="412">
        <f>SUM(BC73:BC75)</f>
        <v>7135</v>
      </c>
      <c r="BD76" s="412">
        <f t="shared" ref="BD76" si="282">SUM(BD73:BD75)</f>
        <v>-11968</v>
      </c>
      <c r="BE76" s="412">
        <f t="shared" ref="BE76" si="283">SUM(BE73:BE75)</f>
        <v>-5985</v>
      </c>
      <c r="BF76" s="412">
        <f>SUM(BF73:BF75)</f>
        <v>-902</v>
      </c>
      <c r="BG76" s="412">
        <f>SUM(BG73:BG75)</f>
        <v>928</v>
      </c>
      <c r="BH76" s="1316">
        <f t="shared" ref="BH76" si="284">SUM(BH73:BH75)</f>
        <v>1984055.6773308404</v>
      </c>
      <c r="BI76" s="439"/>
      <c r="BJ76" s="412">
        <f t="shared" ref="BJ76" si="285">SUM(BJ73:BJ75)</f>
        <v>0</v>
      </c>
      <c r="BK76" s="852">
        <f t="shared" ref="BK76" si="286">SUM(BK73:BK75)</f>
        <v>0</v>
      </c>
      <c r="BL76" s="933">
        <f>SUM(BL73:BL75)</f>
        <v>0</v>
      </c>
      <c r="BM76" s="412">
        <f t="shared" ref="BM76" si="287">SUM(BM73:BM75)</f>
        <v>0</v>
      </c>
      <c r="BN76" s="412">
        <f t="shared" ref="BN76" si="288">SUM(BN73:BN75)</f>
        <v>0</v>
      </c>
      <c r="BO76" s="412">
        <f>SUM(BO73:BO75)</f>
        <v>0</v>
      </c>
      <c r="BP76" s="412">
        <f t="shared" ref="BP76:BQ76" si="289">SUM(BP73:BP75)</f>
        <v>0</v>
      </c>
      <c r="BQ76" s="412">
        <f t="shared" si="289"/>
        <v>0</v>
      </c>
      <c r="BR76" s="412">
        <f>SUM(BR73:BR75)</f>
        <v>76786.318394927875</v>
      </c>
      <c r="BS76" s="412">
        <f>SUM(BS73:BS75)</f>
        <v>0</v>
      </c>
      <c r="BT76" s="412">
        <f>SUM(BT73:BT75)</f>
        <v>15690</v>
      </c>
      <c r="BU76" s="412">
        <f t="shared" ref="BU76" si="290">SUM(BU73:BU75)</f>
        <v>-11970</v>
      </c>
      <c r="BV76" s="412">
        <f>SUM(BV73:BV75)</f>
        <v>-1569</v>
      </c>
      <c r="BW76" s="412">
        <f>SUM(BW73:BW75)</f>
        <v>2569</v>
      </c>
      <c r="BX76" s="607">
        <f t="shared" ref="BX76:BY76" si="291">SUM(BX73:BX75)</f>
        <v>2065561.9957257682</v>
      </c>
      <c r="BY76" s="412">
        <f t="shared" si="291"/>
        <v>81506.318394927832</v>
      </c>
    </row>
    <row r="77" spans="1:78" s="396" customFormat="1">
      <c r="A77" s="397">
        <v>47</v>
      </c>
      <c r="B77" s="396" t="s">
        <v>613</v>
      </c>
      <c r="E77" s="733">
        <f>'ROO INPUT 1.00'!F78</f>
        <v>-24217</v>
      </c>
      <c r="F77" s="406"/>
      <c r="G77" s="406">
        <v>19</v>
      </c>
      <c r="H77" s="406">
        <v>0</v>
      </c>
      <c r="I77" s="406">
        <v>0</v>
      </c>
      <c r="J77" s="406">
        <v>0</v>
      </c>
      <c r="K77" s="406">
        <v>0</v>
      </c>
      <c r="L77" s="406">
        <v>0</v>
      </c>
      <c r="M77" s="406">
        <v>0</v>
      </c>
      <c r="N77" s="406">
        <v>0</v>
      </c>
      <c r="O77" s="406">
        <v>0</v>
      </c>
      <c r="P77" s="406">
        <v>0</v>
      </c>
      <c r="Q77" s="406">
        <v>0</v>
      </c>
      <c r="R77" s="406">
        <v>0</v>
      </c>
      <c r="S77" s="406">
        <v>0</v>
      </c>
      <c r="T77" s="839">
        <v>0</v>
      </c>
      <c r="U77" s="852">
        <v>0</v>
      </c>
      <c r="V77" s="406">
        <v>0</v>
      </c>
      <c r="W77" s="412">
        <v>0</v>
      </c>
      <c r="X77" s="406">
        <v>0</v>
      </c>
      <c r="Y77" s="839">
        <v>0</v>
      </c>
      <c r="Z77" s="852">
        <v>0</v>
      </c>
      <c r="AA77" s="839">
        <v>0</v>
      </c>
      <c r="AB77" s="839">
        <v>-24902</v>
      </c>
      <c r="AC77" s="1060">
        <f>SUM(E77:AB77)</f>
        <v>-49100</v>
      </c>
      <c r="AD77" s="406">
        <v>0</v>
      </c>
      <c r="AE77" s="406">
        <v>0</v>
      </c>
      <c r="AF77" s="406">
        <v>0</v>
      </c>
      <c r="AG77" s="406">
        <v>-27</v>
      </c>
      <c r="AH77" s="406"/>
      <c r="AI77" s="839">
        <v>51384</v>
      </c>
      <c r="AJ77" s="406">
        <v>0</v>
      </c>
      <c r="AK77" s="405">
        <v>0</v>
      </c>
      <c r="AL77" s="405">
        <v>0</v>
      </c>
      <c r="AM77" s="406">
        <v>0</v>
      </c>
      <c r="AN77" s="406">
        <v>0</v>
      </c>
      <c r="AO77" s="405">
        <v>0</v>
      </c>
      <c r="AP77" s="406">
        <v>0</v>
      </c>
      <c r="AQ77" s="412">
        <v>0</v>
      </c>
      <c r="AR77" s="406">
        <v>0</v>
      </c>
      <c r="AS77" s="412">
        <v>0</v>
      </c>
      <c r="AT77" s="412">
        <v>0</v>
      </c>
      <c r="AU77" s="406">
        <v>0</v>
      </c>
      <c r="AV77" s="412">
        <v>0</v>
      </c>
      <c r="AW77" s="412">
        <v>0</v>
      </c>
      <c r="AX77" s="412">
        <v>1927</v>
      </c>
      <c r="AY77" s="412">
        <v>0</v>
      </c>
      <c r="AZ77" s="412">
        <v>0</v>
      </c>
      <c r="BA77" s="412">
        <v>0</v>
      </c>
      <c r="BB77" s="412">
        <v>0</v>
      </c>
      <c r="BC77" s="412">
        <v>0</v>
      </c>
      <c r="BD77" s="1313">
        <v>2094</v>
      </c>
      <c r="BE77" s="1313">
        <v>1111</v>
      </c>
      <c r="BF77" s="412"/>
      <c r="BG77" s="412"/>
      <c r="BH77" s="746">
        <f>SUM(AC77:BG77)</f>
        <v>7389</v>
      </c>
      <c r="BI77" s="439"/>
      <c r="BJ77" s="406"/>
      <c r="BK77" s="839">
        <v>-2992</v>
      </c>
      <c r="BL77" s="926">
        <v>0</v>
      </c>
      <c r="BM77" s="406">
        <v>0</v>
      </c>
      <c r="BN77" s="406">
        <v>0</v>
      </c>
      <c r="BO77" s="412">
        <v>0</v>
      </c>
      <c r="BP77" s="406">
        <v>0</v>
      </c>
      <c r="BQ77" s="412">
        <v>0</v>
      </c>
      <c r="BR77" s="412">
        <v>0</v>
      </c>
      <c r="BS77" s="412">
        <v>0</v>
      </c>
      <c r="BT77" s="412">
        <v>0</v>
      </c>
      <c r="BU77" s="1313">
        <v>2223</v>
      </c>
      <c r="BV77" s="412"/>
      <c r="BW77" s="412"/>
      <c r="BX77" s="607">
        <f>SUM(BH77:BW77)</f>
        <v>6620</v>
      </c>
      <c r="BY77" s="1299">
        <f>BX77-BH77</f>
        <v>-769</v>
      </c>
    </row>
    <row r="78" spans="1:78" s="396" customFormat="1">
      <c r="A78" s="397">
        <v>48</v>
      </c>
      <c r="B78" s="396" t="s">
        <v>252</v>
      </c>
      <c r="E78" s="732">
        <f>'ROO INPUT 1.00'!F79</f>
        <v>51595</v>
      </c>
      <c r="F78" s="413">
        <v>0</v>
      </c>
      <c r="G78" s="413">
        <v>0</v>
      </c>
      <c r="H78" s="413">
        <v>-295</v>
      </c>
      <c r="I78" s="413">
        <v>0</v>
      </c>
      <c r="J78" s="413">
        <v>0</v>
      </c>
      <c r="K78" s="413">
        <v>0</v>
      </c>
      <c r="L78" s="413">
        <v>0</v>
      </c>
      <c r="M78" s="413">
        <v>0</v>
      </c>
      <c r="N78" s="413">
        <v>0</v>
      </c>
      <c r="O78" s="413">
        <v>0</v>
      </c>
      <c r="P78" s="413">
        <v>0</v>
      </c>
      <c r="Q78" s="413">
        <v>0</v>
      </c>
      <c r="R78" s="413">
        <v>0</v>
      </c>
      <c r="S78" s="413">
        <v>0</v>
      </c>
      <c r="T78" s="848">
        <v>0</v>
      </c>
      <c r="U78" s="848">
        <v>0</v>
      </c>
      <c r="V78" s="413">
        <v>0</v>
      </c>
      <c r="W78" s="413">
        <v>0</v>
      </c>
      <c r="X78" s="413">
        <v>0</v>
      </c>
      <c r="Y78" s="848">
        <v>0</v>
      </c>
      <c r="Z78" s="848">
        <v>0</v>
      </c>
      <c r="AA78" s="848">
        <v>0</v>
      </c>
      <c r="AB78" s="848">
        <v>0</v>
      </c>
      <c r="AC78" s="1061">
        <f>SUM(E78:AB78)</f>
        <v>51300</v>
      </c>
      <c r="AD78" s="413">
        <v>0</v>
      </c>
      <c r="AE78" s="413">
        <v>0</v>
      </c>
      <c r="AF78" s="413">
        <v>0</v>
      </c>
      <c r="AG78" s="413">
        <v>0</v>
      </c>
      <c r="AH78" s="413">
        <v>0</v>
      </c>
      <c r="AI78" s="848">
        <v>0</v>
      </c>
      <c r="AJ78" s="413">
        <v>0</v>
      </c>
      <c r="AK78" s="414">
        <v>0</v>
      </c>
      <c r="AL78" s="414">
        <v>0</v>
      </c>
      <c r="AM78" s="413">
        <v>0</v>
      </c>
      <c r="AN78" s="413">
        <v>0</v>
      </c>
      <c r="AO78" s="414">
        <v>0</v>
      </c>
      <c r="AP78" s="413">
        <v>0</v>
      </c>
      <c r="AQ78" s="413">
        <v>0</v>
      </c>
      <c r="AR78" s="413">
        <v>0</v>
      </c>
      <c r="AS78" s="413">
        <v>0</v>
      </c>
      <c r="AT78" s="413">
        <v>0</v>
      </c>
      <c r="AU78" s="413">
        <v>0</v>
      </c>
      <c r="AV78" s="413">
        <v>0</v>
      </c>
      <c r="AW78" s="413">
        <v>0</v>
      </c>
      <c r="AX78" s="413">
        <v>0</v>
      </c>
      <c r="AY78" s="413">
        <v>0</v>
      </c>
      <c r="AZ78" s="413">
        <v>0</v>
      </c>
      <c r="BA78" s="413">
        <v>0</v>
      </c>
      <c r="BB78" s="413">
        <v>0</v>
      </c>
      <c r="BC78" s="413">
        <v>0</v>
      </c>
      <c r="BD78" s="413">
        <v>0</v>
      </c>
      <c r="BE78" s="413">
        <v>0</v>
      </c>
      <c r="BF78" s="413">
        <v>0</v>
      </c>
      <c r="BG78" s="413">
        <v>0</v>
      </c>
      <c r="BH78" s="748">
        <f>SUM(AC78:BG78)</f>
        <v>51300</v>
      </c>
      <c r="BI78" s="439"/>
      <c r="BJ78" s="413">
        <v>0</v>
      </c>
      <c r="BK78" s="848">
        <v>0</v>
      </c>
      <c r="BL78" s="928">
        <v>0</v>
      </c>
      <c r="BM78" s="413">
        <v>0</v>
      </c>
      <c r="BN78" s="413">
        <v>0</v>
      </c>
      <c r="BO78" s="413">
        <v>0</v>
      </c>
      <c r="BP78" s="413">
        <v>0</v>
      </c>
      <c r="BQ78" s="413">
        <v>0</v>
      </c>
      <c r="BR78" s="413">
        <v>0</v>
      </c>
      <c r="BS78" s="413">
        <v>0</v>
      </c>
      <c r="BT78" s="413">
        <v>0</v>
      </c>
      <c r="BU78" s="413">
        <v>0</v>
      </c>
      <c r="BV78" s="413">
        <v>0</v>
      </c>
      <c r="BW78" s="413">
        <v>0</v>
      </c>
      <c r="BX78" s="609">
        <f>SUM(BH78:BW78)</f>
        <v>51300</v>
      </c>
      <c r="BY78" s="1298">
        <f>BX78-BH78</f>
        <v>0</v>
      </c>
    </row>
    <row r="79" spans="1:78" s="396" customFormat="1" ht="7.5" customHeight="1">
      <c r="A79" s="398"/>
      <c r="E79" s="412"/>
      <c r="F79" s="406"/>
      <c r="G79" s="406"/>
      <c r="H79" s="406"/>
      <c r="I79" s="406"/>
      <c r="J79" s="406"/>
      <c r="K79" s="406"/>
      <c r="L79" s="406"/>
      <c r="M79" s="406"/>
      <c r="N79" s="406"/>
      <c r="O79" s="406"/>
      <c r="P79" s="406"/>
      <c r="Q79" s="406"/>
      <c r="R79" s="406"/>
      <c r="S79" s="406"/>
      <c r="T79" s="839"/>
      <c r="U79" s="852"/>
      <c r="V79" s="406"/>
      <c r="W79" s="412"/>
      <c r="X79" s="406"/>
      <c r="Y79" s="839"/>
      <c r="Z79" s="852"/>
      <c r="AA79" s="839"/>
      <c r="AB79" s="839"/>
      <c r="AC79" s="972"/>
      <c r="AD79" s="406"/>
      <c r="AE79" s="406"/>
      <c r="AF79" s="406"/>
      <c r="AG79" s="406"/>
      <c r="AH79" s="406"/>
      <c r="AI79" s="839"/>
      <c r="AJ79" s="406"/>
      <c r="AK79" s="405"/>
      <c r="AL79" s="926"/>
      <c r="AM79" s="406"/>
      <c r="AN79" s="406"/>
      <c r="AO79" s="405"/>
      <c r="AP79" s="406"/>
      <c r="AQ79" s="412"/>
      <c r="AR79" s="406"/>
      <c r="AS79" s="412"/>
      <c r="AT79" s="412"/>
      <c r="AU79" s="406"/>
      <c r="AV79" s="412"/>
      <c r="AW79" s="412"/>
      <c r="AX79" s="412"/>
      <c r="AY79" s="412"/>
      <c r="AZ79" s="412"/>
      <c r="BA79" s="412"/>
      <c r="BB79" s="412"/>
      <c r="BC79" s="412"/>
      <c r="BD79" s="412"/>
      <c r="BE79" s="412"/>
      <c r="BF79" s="412"/>
      <c r="BG79" s="412"/>
      <c r="BH79" s="746"/>
      <c r="BI79" s="439"/>
      <c r="BJ79" s="406"/>
      <c r="BK79" s="839"/>
      <c r="BL79" s="926"/>
      <c r="BM79" s="406"/>
      <c r="BN79" s="406"/>
      <c r="BO79" s="412"/>
      <c r="BP79" s="406"/>
      <c r="BQ79" s="412"/>
      <c r="BR79" s="412"/>
      <c r="BS79" s="412"/>
      <c r="BT79" s="412"/>
      <c r="BU79" s="412"/>
      <c r="BV79" s="412"/>
      <c r="BW79" s="412"/>
      <c r="BX79" s="607"/>
      <c r="BY79" s="412"/>
    </row>
    <row r="80" spans="1:78" s="395" customFormat="1" ht="13.5" customHeight="1" thickBot="1">
      <c r="A80" s="394">
        <v>49</v>
      </c>
      <c r="B80" s="395" t="s">
        <v>220</v>
      </c>
      <c r="E80" s="734">
        <f t="shared" ref="E80:AM80" si="292">SUM(E76:E78)</f>
        <v>1824656</v>
      </c>
      <c r="F80" s="423">
        <f t="shared" si="292"/>
        <v>-680</v>
      </c>
      <c r="G80" s="423">
        <f t="shared" si="292"/>
        <v>19</v>
      </c>
      <c r="H80" s="423">
        <f t="shared" si="292"/>
        <v>-295</v>
      </c>
      <c r="I80" s="423">
        <f t="shared" si="292"/>
        <v>0</v>
      </c>
      <c r="J80" s="423">
        <f t="shared" si="292"/>
        <v>0</v>
      </c>
      <c r="K80" s="423">
        <f t="shared" si="292"/>
        <v>0</v>
      </c>
      <c r="L80" s="423">
        <f t="shared" si="292"/>
        <v>0</v>
      </c>
      <c r="M80" s="423">
        <f t="shared" si="292"/>
        <v>0</v>
      </c>
      <c r="N80" s="423">
        <f t="shared" si="292"/>
        <v>0</v>
      </c>
      <c r="O80" s="423">
        <f t="shared" si="292"/>
        <v>0</v>
      </c>
      <c r="P80" s="423">
        <f t="shared" si="292"/>
        <v>0</v>
      </c>
      <c r="Q80" s="423">
        <f t="shared" si="292"/>
        <v>0</v>
      </c>
      <c r="R80" s="423">
        <f t="shared" si="292"/>
        <v>0</v>
      </c>
      <c r="S80" s="423">
        <f>SUM(S76:S78)</f>
        <v>0</v>
      </c>
      <c r="T80" s="849">
        <f>SUM(T76:T78)</f>
        <v>0</v>
      </c>
      <c r="U80" s="849">
        <f>SUM(U76:U78)</f>
        <v>0</v>
      </c>
      <c r="V80" s="423">
        <f>SUM(V76:V78)</f>
        <v>0</v>
      </c>
      <c r="W80" s="734">
        <f>SUM(W76:W78)</f>
        <v>74189</v>
      </c>
      <c r="X80" s="423">
        <f t="shared" si="292"/>
        <v>0</v>
      </c>
      <c r="Y80" s="849">
        <f t="shared" si="292"/>
        <v>0</v>
      </c>
      <c r="Z80" s="849">
        <f t="shared" ref="Z80" si="293">SUM(Z76:Z78)</f>
        <v>0</v>
      </c>
      <c r="AA80" s="849">
        <f t="shared" ref="AA80:AB80" si="294">SUM(AA76:AA78)</f>
        <v>0</v>
      </c>
      <c r="AB80" s="849">
        <f t="shared" si="294"/>
        <v>-24902</v>
      </c>
      <c r="AC80" s="1063">
        <f t="shared" si="292"/>
        <v>1872987</v>
      </c>
      <c r="AD80" s="423">
        <f>SUM(AD76:AD78)</f>
        <v>0</v>
      </c>
      <c r="AE80" s="423">
        <f t="shared" ref="AE80" si="295">SUM(AE76:AE78)</f>
        <v>0</v>
      </c>
      <c r="AF80" s="423">
        <f t="shared" ref="AF80" si="296">SUM(AF76:AF78)</f>
        <v>0</v>
      </c>
      <c r="AG80" s="734">
        <f t="shared" ref="AG80:AL80" si="297">SUM(AG76:AG78)</f>
        <v>-27</v>
      </c>
      <c r="AH80" s="734">
        <f t="shared" si="297"/>
        <v>0</v>
      </c>
      <c r="AI80" s="849">
        <f t="shared" si="297"/>
        <v>30417</v>
      </c>
      <c r="AJ80" s="423">
        <f t="shared" si="297"/>
        <v>0</v>
      </c>
      <c r="AK80" s="423">
        <f t="shared" si="297"/>
        <v>0</v>
      </c>
      <c r="AL80" s="929">
        <f t="shared" si="297"/>
        <v>0</v>
      </c>
      <c r="AM80" s="423">
        <f t="shared" si="292"/>
        <v>0</v>
      </c>
      <c r="AN80" s="423">
        <f t="shared" ref="AN80" si="298">SUM(AN76:AN78)</f>
        <v>0</v>
      </c>
      <c r="AO80" s="423">
        <f>SUM(AO76:AO78)</f>
        <v>0</v>
      </c>
      <c r="AP80" s="423">
        <f>SUM(AP76:AP78)</f>
        <v>0</v>
      </c>
      <c r="AQ80" s="423">
        <f t="shared" ref="AQ80:AU80" si="299">SUM(AQ76:AQ78)</f>
        <v>0</v>
      </c>
      <c r="AR80" s="423">
        <f t="shared" si="299"/>
        <v>0</v>
      </c>
      <c r="AS80" s="423">
        <f>SUM(AS76:AS78)</f>
        <v>0</v>
      </c>
      <c r="AT80" s="734">
        <f>SUM(AT76:AT78)</f>
        <v>34833.699738448624</v>
      </c>
      <c r="AU80" s="423">
        <f t="shared" si="299"/>
        <v>0</v>
      </c>
      <c r="AV80" s="423">
        <f t="shared" ref="AV80" si="300">SUM(AV76:AV78)</f>
        <v>6302</v>
      </c>
      <c r="AW80" s="734">
        <f t="shared" ref="AW80:AX80" si="301">SUM(AW76:AW78)</f>
        <v>2497</v>
      </c>
      <c r="AX80" s="734">
        <f t="shared" si="301"/>
        <v>-3063</v>
      </c>
      <c r="AY80" s="423">
        <f t="shared" ref="AY80" si="302">SUM(AY76:AY78)</f>
        <v>78398.318394927875</v>
      </c>
      <c r="AZ80" s="423">
        <f t="shared" ref="AZ80" si="303">SUM(AZ76:AZ78)</f>
        <v>14180.659197463938</v>
      </c>
      <c r="BA80" s="423">
        <f>SUM(BA76:BA78)</f>
        <v>0</v>
      </c>
      <c r="BB80" s="423">
        <f>SUM(BB76:BB78)</f>
        <v>13806</v>
      </c>
      <c r="BC80" s="423">
        <f>SUM(BC76:BC78)</f>
        <v>7135</v>
      </c>
      <c r="BD80" s="1323">
        <f t="shared" ref="BD80" si="304">SUM(BD76:BD78)</f>
        <v>-9874</v>
      </c>
      <c r="BE80" s="1323">
        <f>SUM(BE76:BE78)</f>
        <v>-4874</v>
      </c>
      <c r="BF80" s="423">
        <f>SUM(BF76:BF78)</f>
        <v>-902</v>
      </c>
      <c r="BG80" s="423">
        <f>SUM(BG76:BG78)</f>
        <v>928</v>
      </c>
      <c r="BH80" s="749">
        <f t="shared" ref="BH80" si="305">SUM(BH76:BH78)</f>
        <v>2042744.6773308404</v>
      </c>
      <c r="BI80" s="439"/>
      <c r="BJ80" s="734">
        <f t="shared" ref="BJ80" si="306">SUM(BJ76:BJ78)</f>
        <v>0</v>
      </c>
      <c r="BK80" s="849">
        <f>SUM(BK76:BK78)</f>
        <v>-2992</v>
      </c>
      <c r="BL80" s="929">
        <f>SUM(BL76:BL78)</f>
        <v>0</v>
      </c>
      <c r="BM80" s="423">
        <f t="shared" ref="BM80:BP80" si="307">SUM(BM76:BM78)</f>
        <v>0</v>
      </c>
      <c r="BN80" s="423">
        <f>SUM(BN76:BN78)</f>
        <v>0</v>
      </c>
      <c r="BO80" s="423">
        <f t="shared" si="307"/>
        <v>0</v>
      </c>
      <c r="BP80" s="423">
        <f t="shared" si="307"/>
        <v>0</v>
      </c>
      <c r="BQ80" s="423">
        <f>SUM(BQ76:BQ78)</f>
        <v>0</v>
      </c>
      <c r="BR80" s="423">
        <f>SUM(BR76:BR78)</f>
        <v>76786.318394927875</v>
      </c>
      <c r="BS80" s="423">
        <f>SUM(BS76:BS78)</f>
        <v>0</v>
      </c>
      <c r="BT80" s="423">
        <f t="shared" ref="BT80:BU80" si="308">SUM(BT76:BT78)</f>
        <v>15690</v>
      </c>
      <c r="BU80" s="423">
        <f t="shared" si="308"/>
        <v>-9747</v>
      </c>
      <c r="BV80" s="423">
        <f>SUM(BV76:BV78)</f>
        <v>-1569</v>
      </c>
      <c r="BW80" s="423">
        <f>SUM(BW76:BW78)</f>
        <v>2569</v>
      </c>
      <c r="BX80" s="610">
        <f t="shared" ref="BX80" si="309">SUM(BX76:BX78)</f>
        <v>2123481.9957257682</v>
      </c>
      <c r="BY80" s="423">
        <f>SUM(BY76:BY78)</f>
        <v>80737.318394927832</v>
      </c>
    </row>
    <row r="81" spans="1:78" ht="18" customHeight="1" thickTop="1">
      <c r="A81" s="394">
        <v>50</v>
      </c>
      <c r="B81" s="381" t="s">
        <v>614</v>
      </c>
      <c r="E81" s="400">
        <f>ROUND(E56/E80,4)</f>
        <v>5.8400000000000001E-2</v>
      </c>
      <c r="F81" s="415"/>
      <c r="G81" s="415"/>
      <c r="H81" s="415"/>
      <c r="I81" s="415"/>
      <c r="J81" s="415"/>
      <c r="K81" s="415"/>
      <c r="L81" s="415"/>
      <c r="M81" s="415"/>
      <c r="N81" s="415"/>
      <c r="O81" s="415"/>
      <c r="P81" s="415"/>
      <c r="Q81" s="415"/>
      <c r="R81" s="415"/>
      <c r="U81" s="866"/>
      <c r="Z81" s="866"/>
      <c r="AC81" s="362" t="s">
        <v>609</v>
      </c>
      <c r="AQ81" s="912"/>
      <c r="AS81" s="912"/>
      <c r="AV81" s="912"/>
      <c r="AY81" s="912"/>
      <c r="AZ81" s="912"/>
      <c r="BA81" s="912"/>
      <c r="BB81" s="912"/>
      <c r="BC81" s="912"/>
      <c r="BD81" s="912"/>
      <c r="BE81" s="912"/>
      <c r="BF81" s="912"/>
      <c r="BG81" s="912"/>
      <c r="BO81" s="912"/>
      <c r="BQ81" s="912"/>
      <c r="BR81" s="912"/>
      <c r="BS81" s="912"/>
      <c r="BT81" s="912"/>
      <c r="BU81" s="912"/>
      <c r="BV81" s="912"/>
      <c r="BW81" s="912"/>
      <c r="BY81" s="912"/>
    </row>
    <row r="82" spans="1:78">
      <c r="A82" s="382">
        <v>51</v>
      </c>
      <c r="B82" s="381" t="s">
        <v>610</v>
      </c>
      <c r="E82" s="415">
        <f>E88</f>
        <v>28748.16535018152</v>
      </c>
      <c r="F82" s="415">
        <f>F88</f>
        <v>-58.621993554827654</v>
      </c>
      <c r="G82" s="415">
        <f>G88</f>
        <v>2.683917785656976</v>
      </c>
      <c r="H82" s="415">
        <f>H88</f>
        <v>-25.431600145109059</v>
      </c>
      <c r="I82" s="415">
        <f>I88</f>
        <v>-9.4135528681546532</v>
      </c>
      <c r="J82" s="415">
        <f t="shared" ref="J82" si="310">J88</f>
        <v>2.0919006373677007</v>
      </c>
      <c r="K82" s="415">
        <f t="shared" ref="K82:R82" si="311">K88</f>
        <v>1644.2339009710126</v>
      </c>
      <c r="L82" s="415">
        <f t="shared" si="311"/>
        <v>43.929913384721708</v>
      </c>
      <c r="M82" s="415">
        <f t="shared" si="311"/>
        <v>-129.69783951679744</v>
      </c>
      <c r="N82" s="415">
        <f t="shared" si="311"/>
        <v>1076.402036822747</v>
      </c>
      <c r="O82" s="415">
        <f t="shared" si="311"/>
        <v>-57.52726752761177</v>
      </c>
      <c r="P82" s="415">
        <f t="shared" si="311"/>
        <v>18.827105736309306</v>
      </c>
      <c r="Q82" s="415">
        <f t="shared" si="311"/>
        <v>-65.894870077082572</v>
      </c>
      <c r="R82" s="415">
        <f t="shared" si="311"/>
        <v>1709.0828207294114</v>
      </c>
      <c r="S82" s="415">
        <f t="shared" ref="S82" si="312">S88</f>
        <v>1.0459503186838504</v>
      </c>
      <c r="T82" s="853">
        <f t="shared" ref="T82:Y82" si="313">T88</f>
        <v>-1506.1684589047443</v>
      </c>
      <c r="U82" s="853">
        <f t="shared" si="313"/>
        <v>2864.8579228750659</v>
      </c>
      <c r="V82" s="415">
        <f t="shared" si="313"/>
        <v>695.09356621395114</v>
      </c>
      <c r="W82" s="415">
        <f t="shared" si="313"/>
        <v>6395.7457056457488</v>
      </c>
      <c r="X82" s="415">
        <f t="shared" si="313"/>
        <v>-2222.9754241394739</v>
      </c>
      <c r="Y82" s="853">
        <f t="shared" si="313"/>
        <v>-6.2757019121031012</v>
      </c>
      <c r="Z82" s="853">
        <f t="shared" ref="Z82" si="314">Z88</f>
        <v>-1771.8398398504423</v>
      </c>
      <c r="AA82" s="853">
        <f>AA88</f>
        <v>-5724.4860941567122</v>
      </c>
      <c r="AB82" s="853">
        <f t="shared" ref="AB82" si="315">AB88</f>
        <v>-2146.7718875034093</v>
      </c>
      <c r="AC82" s="415">
        <f t="shared" ref="AC82:AD82" si="316">AC88</f>
        <v>29477.055561145738</v>
      </c>
      <c r="AD82" s="415">
        <f t="shared" si="316"/>
        <v>-21504.738552139963</v>
      </c>
      <c r="AE82" s="415">
        <f t="shared" ref="AE82" si="317">AE88</f>
        <v>-11089.16527868618</v>
      </c>
      <c r="AF82" s="415">
        <f t="shared" ref="AF82" si="318">AF88</f>
        <v>-13294.028550471736</v>
      </c>
      <c r="AG82" s="415">
        <f>AG88</f>
        <v>1197.3773775509933</v>
      </c>
      <c r="AH82" s="415">
        <f>AH88</f>
        <v>839.40823043741909</v>
      </c>
      <c r="AI82" s="853">
        <f>AI88</f>
        <v>13872.719922308401</v>
      </c>
      <c r="AJ82" s="415">
        <f>AJ88</f>
        <v>919.91330528244634</v>
      </c>
      <c r="AK82" s="415">
        <f>AK88</f>
        <v>373.40426377013449</v>
      </c>
      <c r="AL82" s="930">
        <f t="shared" ref="AL82:AQ82" si="319">AL88</f>
        <v>6421.089006400156</v>
      </c>
      <c r="AM82" s="415">
        <f t="shared" si="319"/>
        <v>66.940820395766423</v>
      </c>
      <c r="AN82" s="415">
        <f t="shared" si="319"/>
        <v>-412.10442556143698</v>
      </c>
      <c r="AO82" s="415">
        <f t="shared" ref="AO82" si="320">AO88</f>
        <v>-72.632882030043945</v>
      </c>
      <c r="AP82" s="415">
        <f>AP88</f>
        <v>1006.204206573864</v>
      </c>
      <c r="AQ82" s="415">
        <f t="shared" si="319"/>
        <v>4489.2187677910852</v>
      </c>
      <c r="AR82" s="415">
        <f t="shared" ref="AR82" si="321">AR88</f>
        <v>1319.989302179019</v>
      </c>
      <c r="AS82" s="415">
        <f>AS88</f>
        <v>10221.813068818235</v>
      </c>
      <c r="AT82" s="415">
        <f>AT88</f>
        <v>5267.4543834183842</v>
      </c>
      <c r="AU82" s="415">
        <f>AU88</f>
        <v>64.848919758398722</v>
      </c>
      <c r="AV82" s="1076">
        <f t="shared" ref="AV82" si="322">AV88</f>
        <v>2866.3436039476019</v>
      </c>
      <c r="AW82" s="415">
        <f t="shared" ref="AW82:AX82" si="323">AW88</f>
        <v>222.58506091667613</v>
      </c>
      <c r="AX82" s="415">
        <f t="shared" si="323"/>
        <v>341.54763707907119</v>
      </c>
      <c r="AY82" s="415">
        <f t="shared" ref="AY82" si="324">AY88</f>
        <v>9525.1646453552385</v>
      </c>
      <c r="AZ82" s="415">
        <f>AZ88</f>
        <v>3714.9974213014652</v>
      </c>
      <c r="BA82" s="415">
        <f>BA88</f>
        <v>-8174.1017405142902</v>
      </c>
      <c r="BB82" s="415">
        <f>BB88</f>
        <v>4605.2266772938747</v>
      </c>
      <c r="BC82" s="415">
        <f>BC88</f>
        <v>1056.4909227400192</v>
      </c>
      <c r="BD82" s="415">
        <f t="shared" ref="BD82" si="325">BD88</f>
        <v>135.10532057715267</v>
      </c>
      <c r="BE82" s="415">
        <f t="shared" ref="BE82" si="326">BE88</f>
        <v>-587.53381067504836</v>
      </c>
      <c r="BF82" s="415">
        <f>BF88</f>
        <v>404.4227466390571</v>
      </c>
      <c r="BG82" s="415">
        <f>BG88</f>
        <v>-5274.9982205604701</v>
      </c>
      <c r="BH82" s="751">
        <f t="shared" ref="BH82:BX82" si="327">BH88</f>
        <v>38000.017711041022</v>
      </c>
      <c r="BI82" s="757"/>
      <c r="BJ82" s="415">
        <f>BJ88</f>
        <v>1114.7976814326607</v>
      </c>
      <c r="BK82" s="853">
        <f>BK88</f>
        <v>-1085.0186761711334</v>
      </c>
      <c r="BL82" s="930">
        <f t="shared" ref="BL82:BP82" si="328">BL88</f>
        <v>2038.5571711148241</v>
      </c>
      <c r="BM82" s="415">
        <f t="shared" si="328"/>
        <v>483.22904723193881</v>
      </c>
      <c r="BN82" s="415">
        <f>BN88</f>
        <v>654.76489949609015</v>
      </c>
      <c r="BO82" s="415">
        <f t="shared" si="328"/>
        <v>1581.4768818499815</v>
      </c>
      <c r="BP82" s="415">
        <f t="shared" si="328"/>
        <v>48.113714659457116</v>
      </c>
      <c r="BQ82" s="415">
        <f>BQ88</f>
        <v>4543.027681935775</v>
      </c>
      <c r="BR82" s="415">
        <f>BR88</f>
        <v>8376.8539795747602</v>
      </c>
      <c r="BS82" s="415">
        <f>BS88</f>
        <v>-3558.3229841624584</v>
      </c>
      <c r="BT82" s="415">
        <f>BT88</f>
        <v>1836.8912900142197</v>
      </c>
      <c r="BU82" s="415">
        <f t="shared" ref="BU82" si="329">BU88</f>
        <v>-840.27731055721347</v>
      </c>
      <c r="BV82" s="415">
        <f>BV88</f>
        <v>-100.74526872979264</v>
      </c>
      <c r="BW82" s="415">
        <f>BW88</f>
        <v>-2593.5295567024232</v>
      </c>
      <c r="BX82" s="604">
        <f t="shared" si="327"/>
        <v>50499.836262027631</v>
      </c>
      <c r="BY82" s="415">
        <f>BY88</f>
        <v>12499.818550986678</v>
      </c>
      <c r="BZ82" s="613"/>
    </row>
    <row r="83" spans="1:78" ht="30" customHeight="1">
      <c r="B83" s="433"/>
      <c r="E83" s="381"/>
      <c r="AD83" s="901"/>
      <c r="AE83" s="901"/>
      <c r="AF83" s="901"/>
      <c r="AI83" s="880"/>
      <c r="AJ83" s="901"/>
      <c r="AK83" s="901"/>
      <c r="AL83" s="931"/>
      <c r="AM83" s="901"/>
      <c r="AN83" s="901"/>
      <c r="AO83" s="901"/>
      <c r="AP83" s="901"/>
      <c r="AR83" s="901"/>
      <c r="AS83" s="913"/>
      <c r="AU83" s="901"/>
      <c r="AV83" s="1077"/>
      <c r="AY83" s="913"/>
      <c r="AZ83" s="913"/>
      <c r="BB83" s="913"/>
      <c r="BC83" s="913"/>
      <c r="BD83" s="913"/>
      <c r="BE83" s="913"/>
      <c r="BF83" s="913"/>
      <c r="BG83" s="1324">
        <f>1987156-3100</f>
        <v>1984056</v>
      </c>
      <c r="BI83" s="758"/>
      <c r="BK83" s="880"/>
      <c r="BL83" s="931"/>
      <c r="BM83" s="901"/>
      <c r="BN83" s="901"/>
      <c r="BP83" s="901"/>
      <c r="BQ83" s="913"/>
      <c r="BR83" s="913"/>
      <c r="BS83" s="913"/>
      <c r="BU83" s="913"/>
      <c r="BV83" s="913"/>
      <c r="BW83" s="913">
        <f>2067662-2100</f>
        <v>2065562</v>
      </c>
      <c r="BX83" s="612">
        <f>BX76-BW83</f>
        <v>-4.2742318473756313E-3</v>
      </c>
      <c r="BY83" s="913"/>
    </row>
    <row r="84" spans="1:78" ht="12.75">
      <c r="E84" s="400">
        <f>'RR Summary'!E14</f>
        <v>7.0300000000000001E-2</v>
      </c>
      <c r="AI84" s="881"/>
      <c r="AK84" s="938"/>
      <c r="AO84" s="938"/>
      <c r="AY84" s="706"/>
      <c r="AZ84" s="706"/>
      <c r="BG84" s="596">
        <f>BH76-BG83</f>
        <v>-0.32266915962100029</v>
      </c>
      <c r="BH84" s="404"/>
      <c r="BK84" s="881"/>
      <c r="BR84" s="706"/>
      <c r="BT84" s="706"/>
    </row>
    <row r="85" spans="1:78">
      <c r="E85" s="400"/>
      <c r="BH85" s="404"/>
    </row>
    <row r="86" spans="1:78">
      <c r="D86" s="381" t="s">
        <v>673</v>
      </c>
      <c r="E86" s="735">
        <f>'CF '!E24</f>
        <v>0.75529400000000002</v>
      </c>
    </row>
    <row r="87" spans="1:78">
      <c r="D87" s="381" t="s">
        <v>226</v>
      </c>
      <c r="E87" s="420">
        <f>E80*$E$84-E56</f>
        <v>21713.316800000001</v>
      </c>
      <c r="F87" s="420">
        <f t="shared" ref="F87:BH87" si="330">F80*$E$84-F56</f>
        <v>-44.27684</v>
      </c>
      <c r="G87" s="420">
        <f t="shared" si="330"/>
        <v>2.0271470000000003</v>
      </c>
      <c r="H87" s="420">
        <f>H80*$E$84-H56</f>
        <v>-19.208335000000002</v>
      </c>
      <c r="I87" s="420">
        <f t="shared" si="330"/>
        <v>-7.11</v>
      </c>
      <c r="J87" s="420">
        <f t="shared" si="330"/>
        <v>1.58</v>
      </c>
      <c r="K87" s="420">
        <f t="shared" si="330"/>
        <v>1241.8800000000001</v>
      </c>
      <c r="L87" s="420">
        <f t="shared" si="330"/>
        <v>33.18</v>
      </c>
      <c r="M87" s="420">
        <f t="shared" si="330"/>
        <v>-97.960000000000008</v>
      </c>
      <c r="N87" s="420">
        <f t="shared" si="330"/>
        <v>813</v>
      </c>
      <c r="O87" s="420">
        <f t="shared" si="330"/>
        <v>-43.45</v>
      </c>
      <c r="P87" s="420">
        <f t="shared" si="330"/>
        <v>14.22</v>
      </c>
      <c r="Q87" s="420">
        <f t="shared" si="330"/>
        <v>-49.77</v>
      </c>
      <c r="R87" s="420">
        <f t="shared" si="330"/>
        <v>1290.8600000000001</v>
      </c>
      <c r="S87" s="420">
        <f t="shared" si="330"/>
        <v>0.79</v>
      </c>
      <c r="T87" s="854">
        <f t="shared" si="330"/>
        <v>-1137.5999999999999</v>
      </c>
      <c r="U87" s="854">
        <f t="shared" si="330"/>
        <v>2163.81</v>
      </c>
      <c r="V87" s="420">
        <f t="shared" si="330"/>
        <v>525</v>
      </c>
      <c r="W87" s="420">
        <f>W80*$E$84-W56</f>
        <v>4830.6683570000005</v>
      </c>
      <c r="X87" s="420">
        <f t="shared" si="330"/>
        <v>-1679</v>
      </c>
      <c r="Y87" s="854">
        <f t="shared" si="330"/>
        <v>-4.74</v>
      </c>
      <c r="Z87" s="854">
        <f t="shared" si="330"/>
        <v>-1338.26</v>
      </c>
      <c r="AA87" s="854">
        <f>AA80*$E$84-AA56</f>
        <v>-4323.67</v>
      </c>
      <c r="AB87" s="854">
        <f t="shared" ref="AB87" si="331">AB80*$E$84-AB56</f>
        <v>-1621.4439259999999</v>
      </c>
      <c r="AC87" s="420">
        <f t="shared" si="330"/>
        <v>22263.843203000011</v>
      </c>
      <c r="AD87" s="420">
        <f>AD80*$E$84-AD56</f>
        <v>-16242.400000000001</v>
      </c>
      <c r="AE87" s="420">
        <f t="shared" ref="AE87" si="332">AE80*$E$84-AE56</f>
        <v>-8375.58</v>
      </c>
      <c r="AF87" s="420">
        <f t="shared" ref="AF87:AG87" si="333">AF80*$E$84-AF56</f>
        <v>-10040.9</v>
      </c>
      <c r="AG87" s="420">
        <f t="shared" si="333"/>
        <v>904.37194899999997</v>
      </c>
      <c r="AH87" s="420">
        <f t="shared" ref="AH87" si="334">AH80*$E$84-AH56</f>
        <v>634</v>
      </c>
      <c r="AI87" s="854">
        <f>AI80*$E$84-AI56</f>
        <v>10477.982121000001</v>
      </c>
      <c r="AJ87" s="420">
        <f t="shared" ref="AJ87" si="335">AJ80*$E$84-AJ56</f>
        <v>694.80500000000006</v>
      </c>
      <c r="AK87" s="420">
        <f>AK80*$E$84-AK56</f>
        <v>282.02999999999997</v>
      </c>
      <c r="AL87" s="932">
        <f t="shared" si="330"/>
        <v>4849.8099999999995</v>
      </c>
      <c r="AM87" s="420">
        <f t="shared" si="330"/>
        <v>50.56</v>
      </c>
      <c r="AN87" s="420">
        <f t="shared" si="330"/>
        <v>-311.26</v>
      </c>
      <c r="AO87" s="420">
        <f>AO80*$E$84-AO56</f>
        <v>-54.859180000000009</v>
      </c>
      <c r="AP87" s="420">
        <f>AP80*$E$84-AP56</f>
        <v>759.98</v>
      </c>
      <c r="AQ87" s="420">
        <f t="shared" ref="AQ87" si="336">AQ80*$E$84-AQ56</f>
        <v>3390.6800000000003</v>
      </c>
      <c r="AR87" s="420">
        <f t="shared" si="330"/>
        <v>996.98</v>
      </c>
      <c r="AS87" s="420">
        <f>AS80*$E$84-AS56</f>
        <v>7720.47408</v>
      </c>
      <c r="AT87" s="420">
        <f>AT80*$E$84-AT56</f>
        <v>3978.4766910696053</v>
      </c>
      <c r="AU87" s="420">
        <f t="shared" ref="AU87:AY87" si="337">AU80*$E$84-AU56</f>
        <v>48.980000000000004</v>
      </c>
      <c r="AV87" s="420">
        <f>AV80*$E$84-AV56</f>
        <v>2164.9321260000002</v>
      </c>
      <c r="AW87" s="420">
        <f t="shared" ref="AW87" si="338">AW80*$E$84-AW56</f>
        <v>168.11716099999998</v>
      </c>
      <c r="AX87" s="420">
        <f t="shared" ref="AX87" si="339">AX80*$E$84-AX56</f>
        <v>257.96888100000001</v>
      </c>
      <c r="AY87" s="420">
        <f t="shared" si="337"/>
        <v>7194.2997056489394</v>
      </c>
      <c r="AZ87" s="420">
        <f t="shared" ref="AZ87:BE87" si="340">AZ80*$E$84-AZ56</f>
        <v>2805.915262324469</v>
      </c>
      <c r="BA87" s="420">
        <f t="shared" si="340"/>
        <v>-6173.85</v>
      </c>
      <c r="BB87" s="420">
        <f t="shared" si="340"/>
        <v>3478.3000779999998</v>
      </c>
      <c r="BC87" s="420">
        <f t="shared" si="340"/>
        <v>797.96125500000005</v>
      </c>
      <c r="BD87" s="420">
        <f t="shared" si="340"/>
        <v>102.04423799999995</v>
      </c>
      <c r="BE87" s="420">
        <f t="shared" si="340"/>
        <v>-443.760762</v>
      </c>
      <c r="BF87" s="420">
        <f>BF80*$E$84-BF56</f>
        <v>305.45807400000001</v>
      </c>
      <c r="BG87" s="420">
        <f>BG80*$E$84-BG56</f>
        <v>-3984.1745059999998</v>
      </c>
      <c r="BH87" s="745">
        <f t="shared" si="330"/>
        <v>28701.185377043017</v>
      </c>
      <c r="BJ87" s="420">
        <f t="shared" ref="BJ87" si="341">BJ80*$E$84-BJ56</f>
        <v>842</v>
      </c>
      <c r="BK87" s="854">
        <f t="shared" ref="BK87:BS87" si="342">BK80*$E$84-BK56</f>
        <v>-819.50809600000002</v>
      </c>
      <c r="BL87" s="932">
        <f t="shared" si="342"/>
        <v>1539.71</v>
      </c>
      <c r="BM87" s="420">
        <f t="shared" si="342"/>
        <v>364.98</v>
      </c>
      <c r="BN87" s="420">
        <f t="shared" si="342"/>
        <v>494.53999999999996</v>
      </c>
      <c r="BO87" s="420">
        <f t="shared" si="342"/>
        <v>1194.48</v>
      </c>
      <c r="BP87" s="420">
        <f t="shared" si="342"/>
        <v>36.340000000000003</v>
      </c>
      <c r="BQ87" s="420">
        <f t="shared" si="342"/>
        <v>3431.3215499999997</v>
      </c>
      <c r="BR87" s="420">
        <f t="shared" si="342"/>
        <v>6326.9875496489385</v>
      </c>
      <c r="BS87" s="420">
        <f t="shared" si="342"/>
        <v>-2687.58</v>
      </c>
      <c r="BT87" s="986">
        <f t="shared" ref="BT87:BU87" si="343">BT80*$E$84-BT56</f>
        <v>1387.3929700000001</v>
      </c>
      <c r="BU87" s="420">
        <f t="shared" si="343"/>
        <v>-634.65641100000005</v>
      </c>
      <c r="BV87" s="420">
        <f>BV80*$E$84-BV56</f>
        <v>-76.092297000000002</v>
      </c>
      <c r="BW87" s="420">
        <f>BW80*$E$84-BW56</f>
        <v>-1958.877313</v>
      </c>
      <c r="BX87" s="420">
        <f t="shared" ref="BX87:BY87" si="344">BX80*$E$84-BX56</f>
        <v>38142.2233296919</v>
      </c>
      <c r="BY87" s="420">
        <f t="shared" si="344"/>
        <v>9441.0379526489323</v>
      </c>
    </row>
    <row r="88" spans="1:78" s="438" customFormat="1">
      <c r="A88" s="489"/>
      <c r="D88" s="438" t="s">
        <v>642</v>
      </c>
      <c r="E88" s="413">
        <f>E87/$E$86</f>
        <v>28748.16535018152</v>
      </c>
      <c r="F88" s="413">
        <f>F87/$E$86</f>
        <v>-58.621993554827654</v>
      </c>
      <c r="G88" s="413">
        <f>G87/$E$86</f>
        <v>2.683917785656976</v>
      </c>
      <c r="H88" s="413">
        <f>H87/$E$86</f>
        <v>-25.431600145109059</v>
      </c>
      <c r="I88" s="413">
        <f>I87/$E$86</f>
        <v>-9.4135528681546532</v>
      </c>
      <c r="J88" s="413">
        <f t="shared" ref="J88" si="345">J87/$E$86</f>
        <v>2.0919006373677007</v>
      </c>
      <c r="K88" s="413">
        <f t="shared" ref="K88:R88" si="346">K87/$E$86</f>
        <v>1644.2339009710126</v>
      </c>
      <c r="L88" s="413">
        <f t="shared" si="346"/>
        <v>43.929913384721708</v>
      </c>
      <c r="M88" s="413">
        <f t="shared" si="346"/>
        <v>-129.69783951679744</v>
      </c>
      <c r="N88" s="413">
        <f t="shared" si="346"/>
        <v>1076.402036822747</v>
      </c>
      <c r="O88" s="413">
        <f t="shared" si="346"/>
        <v>-57.52726752761177</v>
      </c>
      <c r="P88" s="413">
        <f t="shared" si="346"/>
        <v>18.827105736309306</v>
      </c>
      <c r="Q88" s="413">
        <f t="shared" si="346"/>
        <v>-65.894870077082572</v>
      </c>
      <c r="R88" s="413">
        <f t="shared" si="346"/>
        <v>1709.0828207294114</v>
      </c>
      <c r="S88" s="413">
        <f t="shared" ref="S88" si="347">S87/$E$86</f>
        <v>1.0459503186838504</v>
      </c>
      <c r="T88" s="848">
        <f>T87/$E$86</f>
        <v>-1506.1684589047443</v>
      </c>
      <c r="U88" s="848">
        <f t="shared" ref="U88" si="348">U87/$E$86</f>
        <v>2864.8579228750659</v>
      </c>
      <c r="V88" s="413">
        <f>V87/$E$86</f>
        <v>695.09356621395114</v>
      </c>
      <c r="W88" s="413">
        <f>W87/$E$86</f>
        <v>6395.7457056457488</v>
      </c>
      <c r="X88" s="413">
        <f>X87/$E$86</f>
        <v>-2222.9754241394739</v>
      </c>
      <c r="Y88" s="848">
        <f>Y87/$E$86</f>
        <v>-6.2757019121031012</v>
      </c>
      <c r="Z88" s="848">
        <f t="shared" ref="Z88" si="349">Z87/$E$86</f>
        <v>-1771.8398398504423</v>
      </c>
      <c r="AA88" s="848">
        <f t="shared" ref="AA88" si="350">AA87/$E$86</f>
        <v>-5724.4860941567122</v>
      </c>
      <c r="AB88" s="848">
        <f>AB87/$E$86</f>
        <v>-2146.7718875034093</v>
      </c>
      <c r="AC88" s="413">
        <f>AC87/$E$86</f>
        <v>29477.055561145738</v>
      </c>
      <c r="AD88" s="413">
        <f>AD87/$E$86</f>
        <v>-21504.738552139963</v>
      </c>
      <c r="AE88" s="413">
        <f t="shared" ref="AE88" si="351">AE87/$E$86</f>
        <v>-11089.16527868618</v>
      </c>
      <c r="AF88" s="413">
        <f t="shared" ref="AF88:AG88" si="352">AF87/$E$86</f>
        <v>-13294.028550471736</v>
      </c>
      <c r="AG88" s="413">
        <f t="shared" si="352"/>
        <v>1197.3773775509933</v>
      </c>
      <c r="AH88" s="413">
        <f>AH87/$E$86</f>
        <v>839.40823043741909</v>
      </c>
      <c r="AI88" s="848">
        <f>AI87/$E$86</f>
        <v>13872.719922308401</v>
      </c>
      <c r="AJ88" s="413">
        <f t="shared" ref="AJ88" si="353">AJ87/$E$86</f>
        <v>919.91330528244634</v>
      </c>
      <c r="AK88" s="413">
        <f>AK87/$E$86</f>
        <v>373.40426377013449</v>
      </c>
      <c r="AL88" s="928">
        <f t="shared" ref="AL88:AQ88" si="354">AL87/$E$86</f>
        <v>6421.089006400156</v>
      </c>
      <c r="AM88" s="413">
        <f t="shared" si="354"/>
        <v>66.940820395766423</v>
      </c>
      <c r="AN88" s="413">
        <f t="shared" si="354"/>
        <v>-412.10442556143698</v>
      </c>
      <c r="AO88" s="413">
        <f>AO87/$E$86</f>
        <v>-72.632882030043945</v>
      </c>
      <c r="AP88" s="413">
        <f>AP87/$E$86</f>
        <v>1006.204206573864</v>
      </c>
      <c r="AQ88" s="413">
        <f t="shared" si="354"/>
        <v>4489.2187677910852</v>
      </c>
      <c r="AR88" s="413">
        <f t="shared" ref="AR88" si="355">AR87/$E$86</f>
        <v>1319.989302179019</v>
      </c>
      <c r="AS88" s="413">
        <f>AS87/$E$86</f>
        <v>10221.813068818235</v>
      </c>
      <c r="AT88" s="413">
        <f>AT87/$E$86</f>
        <v>5267.4543834183842</v>
      </c>
      <c r="AU88" s="413">
        <f>AU87/$E$86</f>
        <v>64.848919758398722</v>
      </c>
      <c r="AV88" s="413">
        <f t="shared" ref="AV88" si="356">AV87/$E$86</f>
        <v>2866.3436039476019</v>
      </c>
      <c r="AW88" s="413">
        <f t="shared" ref="AW88:AX88" si="357">AW87/$E$86</f>
        <v>222.58506091667613</v>
      </c>
      <c r="AX88" s="413">
        <f t="shared" si="357"/>
        <v>341.54763707907119</v>
      </c>
      <c r="AY88" s="413">
        <f t="shared" ref="AY88" si="358">AY87/$E$86</f>
        <v>9525.1646453552385</v>
      </c>
      <c r="AZ88" s="413">
        <f>AZ87/$E$86</f>
        <v>3714.9974213014652</v>
      </c>
      <c r="BA88" s="413">
        <f>BA87/$E$86</f>
        <v>-8174.1017405142902</v>
      </c>
      <c r="BB88" s="413">
        <f>BB87/$E$86</f>
        <v>4605.2266772938747</v>
      </c>
      <c r="BC88" s="413">
        <f>BC87/$E$86</f>
        <v>1056.4909227400192</v>
      </c>
      <c r="BD88" s="413">
        <f t="shared" ref="BD88" si="359">BD87/$E$86</f>
        <v>135.10532057715267</v>
      </c>
      <c r="BE88" s="413">
        <f t="shared" ref="BE88" si="360">BE87/$E$86</f>
        <v>-587.53381067504836</v>
      </c>
      <c r="BF88" s="413">
        <f>BF87/$E$86</f>
        <v>404.4227466390571</v>
      </c>
      <c r="BG88" s="413">
        <f>BG87/$E$86</f>
        <v>-5274.9982205604701</v>
      </c>
      <c r="BH88" s="232">
        <f t="shared" ref="BH88" si="361">BH87/$E$86</f>
        <v>38000.017711041022</v>
      </c>
      <c r="BI88" s="439"/>
      <c r="BJ88" s="413">
        <f>BJ87/$E$86</f>
        <v>1114.7976814326607</v>
      </c>
      <c r="BK88" s="848">
        <f t="shared" ref="BK88" si="362">BK87/$E$86</f>
        <v>-1085.0186761711334</v>
      </c>
      <c r="BL88" s="928">
        <f t="shared" ref="BL88:BQ88" si="363">BL87/$E$86</f>
        <v>2038.5571711148241</v>
      </c>
      <c r="BM88" s="413">
        <f t="shared" si="363"/>
        <v>483.22904723193881</v>
      </c>
      <c r="BN88" s="413">
        <f t="shared" ref="BN88" si="364">BN87/$E$86</f>
        <v>654.76489949609015</v>
      </c>
      <c r="BO88" s="413">
        <f t="shared" si="363"/>
        <v>1581.4768818499815</v>
      </c>
      <c r="BP88" s="413">
        <f t="shared" si="363"/>
        <v>48.113714659457116</v>
      </c>
      <c r="BQ88" s="413">
        <f t="shared" si="363"/>
        <v>4543.027681935775</v>
      </c>
      <c r="BR88" s="413">
        <f>BR87/$E$86</f>
        <v>8376.8539795747602</v>
      </c>
      <c r="BS88" s="413">
        <f>BS87/$E$86</f>
        <v>-3558.3229841624584</v>
      </c>
      <c r="BT88" s="413">
        <f>BT87/$E$86</f>
        <v>1836.8912900142197</v>
      </c>
      <c r="BU88" s="413">
        <f t="shared" ref="BU88" si="365">BU87/$E$86</f>
        <v>-840.27731055721347</v>
      </c>
      <c r="BV88" s="413">
        <f>BV87/$E$86</f>
        <v>-100.74526872979264</v>
      </c>
      <c r="BW88" s="413">
        <f>BW87/$E$86</f>
        <v>-2593.5295567024232</v>
      </c>
      <c r="BX88" s="413">
        <f t="shared" ref="BX88:BY88" si="366">BX87/$E$86</f>
        <v>50499.836262027631</v>
      </c>
      <c r="BY88" s="413">
        <f t="shared" si="366"/>
        <v>12499.818550986678</v>
      </c>
    </row>
    <row r="89" spans="1:78" s="477" customFormat="1">
      <c r="A89" s="476"/>
      <c r="E89" s="412"/>
      <c r="F89" s="412"/>
      <c r="G89" s="412"/>
      <c r="H89" s="412"/>
      <c r="I89" s="412"/>
      <c r="J89" s="412"/>
      <c r="K89" s="412"/>
      <c r="L89" s="412"/>
      <c r="M89" s="412"/>
      <c r="N89" s="412"/>
      <c r="O89" s="412"/>
      <c r="P89" s="412"/>
      <c r="Q89" s="412"/>
      <c r="R89" s="412"/>
      <c r="S89" s="412"/>
      <c r="T89" s="852"/>
      <c r="U89" s="852"/>
      <c r="V89" s="412"/>
      <c r="W89" s="412"/>
      <c r="X89" s="412"/>
      <c r="Y89" s="852"/>
      <c r="Z89" s="852"/>
      <c r="AA89" s="852"/>
      <c r="AB89" s="852"/>
      <c r="AC89" s="412"/>
      <c r="AD89" s="412"/>
      <c r="AE89" s="412"/>
      <c r="AF89" s="412"/>
      <c r="AG89" s="412"/>
      <c r="AH89" s="412"/>
      <c r="AI89" s="852"/>
      <c r="AJ89" s="412"/>
      <c r="AK89" s="412"/>
      <c r="AL89" s="933"/>
      <c r="AM89" s="412"/>
      <c r="AN89" s="412"/>
      <c r="AO89" s="412"/>
      <c r="AP89" s="412"/>
      <c r="AQ89" s="412"/>
      <c r="AR89" s="412"/>
      <c r="AS89" s="412"/>
      <c r="AT89" s="412"/>
      <c r="AU89" s="412"/>
      <c r="AV89" s="412"/>
      <c r="AW89" s="412"/>
      <c r="AX89" s="412"/>
      <c r="AY89" s="412"/>
      <c r="AZ89" s="412"/>
      <c r="BA89" s="412"/>
      <c r="BB89" s="412"/>
      <c r="BC89" s="412"/>
      <c r="BD89" s="412"/>
      <c r="BE89" s="412"/>
      <c r="BF89" s="412"/>
      <c r="BG89" s="412"/>
      <c r="BH89" s="412"/>
      <c r="BI89" s="412"/>
      <c r="BJ89" s="412"/>
      <c r="BK89" s="852"/>
      <c r="BL89" s="933"/>
      <c r="BM89" s="412"/>
      <c r="BN89" s="412"/>
      <c r="BO89" s="412"/>
      <c r="BP89" s="412"/>
      <c r="BQ89" s="412"/>
      <c r="BR89" s="412"/>
      <c r="BS89" s="412"/>
      <c r="BT89" s="412"/>
      <c r="BU89" s="412"/>
      <c r="BV89" s="412"/>
      <c r="BW89" s="412"/>
      <c r="BX89" s="412"/>
      <c r="BY89" s="412"/>
    </row>
    <row r="90" spans="1:78" s="477" customFormat="1">
      <c r="A90" s="476"/>
      <c r="E90" s="412"/>
      <c r="F90" s="412"/>
      <c r="G90" s="412"/>
      <c r="H90" s="412"/>
      <c r="I90" s="412"/>
      <c r="J90" s="412"/>
      <c r="K90" s="412"/>
      <c r="L90" s="412"/>
      <c r="M90" s="412"/>
      <c r="N90" s="412"/>
      <c r="O90" s="412"/>
      <c r="P90" s="412"/>
      <c r="Q90" s="412"/>
      <c r="R90" s="412"/>
      <c r="S90" s="412"/>
      <c r="T90" s="852"/>
      <c r="U90" s="852"/>
      <c r="V90" s="412"/>
      <c r="W90" s="412"/>
      <c r="X90" s="412"/>
      <c r="Y90" s="852"/>
      <c r="Z90" s="852"/>
      <c r="AA90" s="852"/>
      <c r="AB90" s="852"/>
      <c r="AC90" s="412"/>
      <c r="AD90" s="412"/>
      <c r="AE90" s="412"/>
      <c r="AF90" s="412"/>
      <c r="AG90" s="412"/>
      <c r="AH90" s="412"/>
      <c r="AI90" s="852"/>
      <c r="AJ90" s="412"/>
      <c r="AK90" s="412"/>
      <c r="AL90" s="933"/>
      <c r="AM90" s="412"/>
      <c r="AN90" s="412"/>
      <c r="AO90" s="412"/>
      <c r="AP90" s="412"/>
      <c r="AQ90" s="412"/>
      <c r="AR90" s="412"/>
      <c r="AS90" s="412"/>
      <c r="AT90" s="412"/>
      <c r="AU90" s="412"/>
      <c r="AV90" s="412"/>
      <c r="AW90" s="412"/>
      <c r="AX90" s="412"/>
      <c r="BA90" s="412"/>
      <c r="BB90" s="412"/>
      <c r="BC90" s="412"/>
      <c r="BD90" s="412"/>
      <c r="BE90" s="412"/>
      <c r="BF90" s="412"/>
      <c r="BG90" s="412"/>
      <c r="BH90" s="412"/>
      <c r="BI90" s="412"/>
      <c r="BJ90" s="412"/>
      <c r="BK90" s="852"/>
      <c r="BL90" s="933"/>
      <c r="BM90" s="412"/>
      <c r="BN90" s="412"/>
      <c r="BO90" s="412"/>
      <c r="BP90" s="412"/>
      <c r="BQ90" s="412"/>
      <c r="BS90" s="412"/>
      <c r="BT90" s="412"/>
      <c r="BU90" s="412"/>
      <c r="BV90" s="412"/>
      <c r="BW90" s="412"/>
      <c r="BX90" s="412"/>
      <c r="BY90" s="412"/>
    </row>
    <row r="91" spans="1:78" s="477" customFormat="1">
      <c r="A91" s="476"/>
      <c r="E91" s="412"/>
      <c r="F91" s="412"/>
      <c r="G91" s="412"/>
      <c r="H91" s="412"/>
      <c r="I91" s="412"/>
      <c r="J91" s="412"/>
      <c r="K91" s="412"/>
      <c r="L91" s="412"/>
      <c r="M91" s="412"/>
      <c r="N91" s="412"/>
      <c r="O91" s="412"/>
      <c r="P91" s="412"/>
      <c r="Q91" s="412"/>
      <c r="R91" s="412"/>
      <c r="S91" s="412"/>
      <c r="T91" s="852"/>
      <c r="U91" s="852"/>
      <c r="V91" s="412"/>
      <c r="W91" s="412"/>
      <c r="X91" s="412"/>
      <c r="Y91" s="852"/>
      <c r="Z91" s="852"/>
      <c r="AA91" s="852"/>
      <c r="AB91" s="852"/>
      <c r="AC91" s="1102" t="s">
        <v>1078</v>
      </c>
      <c r="AD91" s="412">
        <v>-23024</v>
      </c>
      <c r="AE91" s="412">
        <v>-7553</v>
      </c>
      <c r="AF91" s="412"/>
      <c r="AG91" s="412"/>
      <c r="AH91" s="412"/>
      <c r="AI91" s="852"/>
      <c r="AJ91" s="412"/>
      <c r="AK91" s="412"/>
      <c r="AL91" s="412"/>
      <c r="AM91" s="412"/>
      <c r="AN91" s="412"/>
      <c r="AO91" s="412"/>
      <c r="AP91" s="412"/>
      <c r="AQ91" s="412"/>
      <c r="AR91" s="412"/>
      <c r="AS91" s="412"/>
      <c r="AT91" s="406"/>
      <c r="AU91" s="406"/>
      <c r="AV91" s="412"/>
      <c r="AX91" s="412"/>
      <c r="AY91" s="412"/>
      <c r="AZ91" s="412"/>
      <c r="BA91" s="412"/>
      <c r="BB91" s="412"/>
      <c r="BC91" s="412"/>
      <c r="BD91" s="412"/>
      <c r="BE91" s="412"/>
      <c r="BF91" s="412"/>
      <c r="BG91" s="412"/>
      <c r="BH91" s="412"/>
      <c r="BI91" s="412"/>
      <c r="BJ91" s="412"/>
      <c r="BK91" s="852"/>
      <c r="BL91" s="412"/>
      <c r="BM91" s="412"/>
      <c r="BN91" s="412"/>
      <c r="BO91" s="412"/>
      <c r="BP91" s="412"/>
      <c r="BQ91" s="412"/>
      <c r="BR91" s="412"/>
      <c r="BS91" s="412"/>
      <c r="BT91" s="412"/>
      <c r="BU91" s="412"/>
      <c r="BV91" s="412"/>
      <c r="BW91" s="412"/>
      <c r="BX91" s="412"/>
      <c r="BY91" s="412"/>
    </row>
    <row r="92" spans="1:78" s="402" customFormat="1">
      <c r="A92" s="403"/>
      <c r="E92" s="412"/>
      <c r="F92" s="412"/>
      <c r="G92" s="412"/>
      <c r="H92" s="412"/>
      <c r="I92" s="412"/>
      <c r="J92" s="412"/>
      <c r="K92" s="412"/>
      <c r="L92" s="412"/>
      <c r="M92" s="412"/>
      <c r="N92" s="412"/>
      <c r="O92" s="412"/>
      <c r="P92" s="412"/>
      <c r="Q92" s="412"/>
      <c r="R92" s="412"/>
      <c r="S92" s="412"/>
      <c r="T92" s="852"/>
      <c r="U92" s="852"/>
      <c r="V92" s="412"/>
      <c r="W92" s="412"/>
      <c r="X92" s="412"/>
      <c r="Y92" s="852"/>
      <c r="Z92" s="852"/>
      <c r="AA92" s="877"/>
      <c r="AB92" s="852"/>
      <c r="AC92" s="1102" t="s">
        <v>1079</v>
      </c>
      <c r="AD92" s="413">
        <f>AD88-AD91</f>
        <v>1519.2614478600372</v>
      </c>
      <c r="AE92" s="413">
        <f>AE88-AE91</f>
        <v>-3536.1652786861796</v>
      </c>
      <c r="AF92" s="412"/>
      <c r="AG92" s="412"/>
      <c r="AH92" s="412"/>
      <c r="AI92" s="852"/>
      <c r="AJ92" s="412"/>
      <c r="AK92" s="416"/>
      <c r="AL92" s="933"/>
      <c r="AM92" s="412"/>
      <c r="AN92" s="412"/>
      <c r="AO92" s="416"/>
      <c r="AP92" s="412"/>
      <c r="AQ92" s="412"/>
      <c r="AR92" s="412"/>
      <c r="AS92" s="412"/>
      <c r="AT92" s="412"/>
      <c r="AU92" s="412"/>
      <c r="AV92" s="412"/>
      <c r="AW92" s="412"/>
      <c r="AX92" s="412"/>
      <c r="AY92" s="412"/>
      <c r="AZ92" s="412"/>
      <c r="BA92" s="412"/>
      <c r="BB92" s="412"/>
      <c r="BC92" s="412"/>
      <c r="BD92" s="412"/>
      <c r="BE92" s="412"/>
      <c r="BF92" s="412"/>
      <c r="BG92" s="412"/>
      <c r="BH92" s="417"/>
      <c r="BI92" s="439"/>
      <c r="BJ92" s="412"/>
      <c r="BK92" s="852"/>
      <c r="BL92" s="933"/>
      <c r="BM92" s="412"/>
      <c r="BN92" s="412"/>
      <c r="BO92" s="412"/>
      <c r="BP92" s="412"/>
      <c r="BQ92" s="412"/>
      <c r="BR92" s="412"/>
      <c r="BS92" s="412"/>
      <c r="BT92" s="412"/>
      <c r="BU92" s="412"/>
      <c r="BV92" s="412"/>
      <c r="BW92" s="412"/>
      <c r="BX92" s="412"/>
      <c r="BY92" s="412"/>
    </row>
    <row r="93" spans="1:78" s="402" customFormat="1" ht="12.75" customHeight="1">
      <c r="A93" s="403"/>
      <c r="E93" s="412"/>
      <c r="F93" s="412"/>
      <c r="G93" s="412"/>
      <c r="H93" s="412"/>
      <c r="I93" s="412"/>
      <c r="J93" s="412"/>
      <c r="K93" s="412"/>
      <c r="L93" s="412"/>
      <c r="M93" s="412"/>
      <c r="N93" s="412"/>
      <c r="O93" s="412"/>
      <c r="P93" s="412"/>
      <c r="Q93" s="412"/>
      <c r="R93" s="412"/>
      <c r="S93" s="412"/>
      <c r="T93" s="852"/>
      <c r="U93" s="852"/>
      <c r="V93" s="412"/>
      <c r="W93" s="412"/>
      <c r="X93" s="412"/>
      <c r="Y93" s="852"/>
      <c r="Z93" s="852"/>
      <c r="AA93" s="852"/>
      <c r="AB93" s="1385" t="s">
        <v>1113</v>
      </c>
      <c r="AC93" s="1385"/>
      <c r="AD93" s="809"/>
      <c r="AE93" s="406">
        <f>AE92+AD92</f>
        <v>-2016.9038308261424</v>
      </c>
      <c r="AF93" s="412"/>
      <c r="AG93" s="412"/>
      <c r="AH93" s="412"/>
      <c r="AI93" s="882"/>
      <c r="AJ93" s="412"/>
      <c r="AK93" s="416"/>
      <c r="AL93" s="933"/>
      <c r="AM93" s="412"/>
      <c r="AN93" s="412"/>
      <c r="AO93" s="416"/>
      <c r="AP93" s="412"/>
      <c r="AQ93" s="412"/>
      <c r="AR93" s="412"/>
      <c r="AS93" s="412"/>
      <c r="AT93" s="412">
        <f>W80+AT80+AV80+AW80+AX80+AY80+AZ80+BB80+BC80+BD80+BE80+BF80</f>
        <v>212628.67733084044</v>
      </c>
      <c r="AU93" s="412" t="s">
        <v>1086</v>
      </c>
      <c r="AV93" s="412"/>
      <c r="AW93" s="412"/>
      <c r="AX93" s="412"/>
      <c r="AY93" s="412"/>
      <c r="AZ93" s="412"/>
      <c r="BA93" s="412"/>
      <c r="BB93" s="412"/>
      <c r="BC93" s="412"/>
      <c r="BD93" s="412"/>
      <c r="BE93" s="412"/>
      <c r="BF93" s="412"/>
      <c r="BG93" s="412"/>
      <c r="BH93" s="417">
        <f>BF88+BE88+BD88+BC88+BB88+AZ88+AY88</f>
        <v>18853.87392323176</v>
      </c>
      <c r="BI93" s="756"/>
      <c r="BJ93" s="412"/>
      <c r="BK93" s="882"/>
      <c r="BL93" s="933"/>
      <c r="BM93" s="412"/>
      <c r="BN93" s="412"/>
      <c r="BO93" s="412"/>
      <c r="BP93" s="412"/>
      <c r="BQ93" s="412"/>
      <c r="BR93" s="412"/>
      <c r="BS93" s="412"/>
      <c r="BT93" s="412"/>
      <c r="BU93" s="412"/>
      <c r="BV93" s="412"/>
      <c r="BW93" s="412"/>
      <c r="BX93" s="412"/>
      <c r="BY93" s="412"/>
    </row>
    <row r="94" spans="1:78">
      <c r="AB94" s="1385"/>
      <c r="AC94" s="1385"/>
      <c r="AD94" s="406">
        <v>-3976</v>
      </c>
      <c r="AF94" s="406" t="s">
        <v>1245</v>
      </c>
      <c r="AT94" s="406">
        <f>W82+AT88+AV88+AW88+AX88+AY88+AZ88+BB88+BC88+BD88+BE88+BF88</f>
        <v>33947.550314239241</v>
      </c>
      <c r="AU94" s="406" t="s">
        <v>1071</v>
      </c>
      <c r="AY94" s="706"/>
      <c r="AZ94" s="706"/>
      <c r="BH94" s="407">
        <f>SUM(AC88:AT88)</f>
        <v>29099.918527182286</v>
      </c>
      <c r="BR94" s="706"/>
      <c r="BT94" s="706"/>
    </row>
    <row r="95" spans="1:78">
      <c r="AT95" s="406">
        <f>AK88+AL88+AM88+AN88+AO88+AQ88+AR88+AP88</f>
        <v>13192.109059518545</v>
      </c>
      <c r="AU95" s="406" t="s">
        <v>1087</v>
      </c>
      <c r="AY95" s="412"/>
      <c r="AZ95" s="412"/>
      <c r="BH95" s="407">
        <f>BH94+BA88</f>
        <v>20925.816786667994</v>
      </c>
      <c r="BR95" s="412"/>
      <c r="BT95" s="412"/>
    </row>
    <row r="96" spans="1:78">
      <c r="AD96" s="406">
        <f>AD92-AD94</f>
        <v>5495.2614478600372</v>
      </c>
      <c r="AE96" s="406">
        <f>AE93-AD94</f>
        <v>1959.0961691738576</v>
      </c>
      <c r="AF96" s="406" t="s">
        <v>1246</v>
      </c>
    </row>
    <row r="97" spans="29:75">
      <c r="BF97" s="1064">
        <v>28.7</v>
      </c>
      <c r="BG97" s="1064">
        <v>28.7</v>
      </c>
      <c r="BH97" s="407">
        <f>SUM(AC88:AS88,AU88,BA88)</f>
        <v>15723.211323008009</v>
      </c>
      <c r="BT97" s="412" t="s">
        <v>1086</v>
      </c>
      <c r="BU97" s="419">
        <f>BR80+BT80+BU80++BV80</f>
        <v>81160.318394927875</v>
      </c>
      <c r="BW97" s="1064">
        <v>28.7</v>
      </c>
    </row>
    <row r="98" spans="29:75">
      <c r="BT98" s="406" t="s">
        <v>1071</v>
      </c>
      <c r="BU98" s="406">
        <f>BR82+BT82+BU82+BV82</f>
        <v>9272.7226903019746</v>
      </c>
    </row>
    <row r="99" spans="29:75">
      <c r="BL99" s="926">
        <f>E76-BX76</f>
        <v>-268283.99572576815</v>
      </c>
    </row>
    <row r="100" spans="29:75">
      <c r="AC100" s="706"/>
    </row>
    <row r="101" spans="29:75">
      <c r="AC101" s="406"/>
    </row>
    <row r="102" spans="29:75">
      <c r="AC102" s="706"/>
      <c r="AD102" s="404"/>
      <c r="AE102" s="404"/>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6">
    <mergeCell ref="BR1:BR5"/>
    <mergeCell ref="AY1:AY5"/>
    <mergeCell ref="AZ1:AZ5"/>
    <mergeCell ref="AB93:AC94"/>
    <mergeCell ref="BW2:BW4"/>
    <mergeCell ref="BG3:BG5"/>
  </mergeCells>
  <phoneticPr fontId="0" type="noConversion"/>
  <hyperlinks>
    <hyperlink ref="I9" location="BandO!A1" display="t" xr:uid="{00000000-0004-0000-0400-000000000000}"/>
  </hyperlinks>
  <pageMargins left="0.7" right="0.51" top="1" bottom="0.5" header="0.5" footer="0.5"/>
  <pageSetup scale="65" firstPageNumber="4" fitToWidth="7" orientation="portrait" r:id="rId3"/>
  <headerFooter scaleWithDoc="0" alignWithMargins="0">
    <oddHeader>&amp;R Exh. EMA-8 - REVISED (60-Day update)
Reflects Bench Request 1 -  Revised</oddHeader>
    <oddFooter>&amp;RPage &amp;P of &amp;N</oddFooter>
  </headerFooter>
  <colBreaks count="4" manualBreakCount="4">
    <brk id="12" max="82" man="1"/>
    <brk id="21" max="82" man="1"/>
    <brk id="29" max="82" man="1"/>
    <brk id="60" max="82" man="1"/>
  </colBreaks>
  <drawing r:id="rId4"/>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P85"/>
  <sheetViews>
    <sheetView topLeftCell="A28" workbookViewId="0">
      <selection activeCell="J20" sqref="J20"/>
    </sheetView>
  </sheetViews>
  <sheetFormatPr defaultColWidth="11.42578125" defaultRowHeight="12.75"/>
  <cols>
    <col min="1" max="1" width="11.42578125" style="25" customWidth="1"/>
    <col min="2" max="2" width="12.140625" style="25" customWidth="1"/>
    <col min="3" max="3" width="41.5703125" style="25" customWidth="1"/>
    <col min="4" max="4" width="9.5703125" style="248" customWidth="1"/>
    <col min="5" max="6" width="10.85546875" style="248" customWidth="1"/>
    <col min="7" max="7" width="7.42578125" style="53" bestFit="1" customWidth="1"/>
    <col min="8" max="8" width="8.42578125" style="601" bestFit="1" customWidth="1"/>
    <col min="9" max="9" width="9.85546875" style="737" bestFit="1" customWidth="1"/>
    <col min="10" max="10" width="8.42578125" style="25" bestFit="1" customWidth="1"/>
    <col min="11" max="11" width="27.85546875" style="825" customWidth="1"/>
    <col min="12" max="16384" width="11.42578125" style="25"/>
  </cols>
  <sheetData>
    <row r="1" spans="1:13">
      <c r="A1" s="1368" t="str">
        <f>'ADJ DETAIL-INPUT'!A1</f>
        <v xml:space="preserve">AVISTA UTILITIES  </v>
      </c>
      <c r="B1" s="1368"/>
      <c r="C1" s="1368"/>
      <c r="D1" s="1368"/>
      <c r="E1" s="1368"/>
      <c r="F1" s="1368"/>
      <c r="G1" s="1368"/>
    </row>
    <row r="2" spans="1:13">
      <c r="A2" s="1387" t="s">
        <v>77</v>
      </c>
      <c r="B2" s="1387"/>
      <c r="C2" s="1387"/>
      <c r="D2" s="1387"/>
      <c r="E2" s="1387"/>
      <c r="F2" s="1387"/>
      <c r="G2" s="1387"/>
    </row>
    <row r="3" spans="1:13">
      <c r="A3" s="1387" t="s">
        <v>78</v>
      </c>
      <c r="B3" s="1387"/>
      <c r="C3" s="1387"/>
      <c r="D3" s="1387"/>
      <c r="E3" s="1387"/>
      <c r="F3" s="1387"/>
      <c r="G3" s="1387"/>
    </row>
    <row r="4" spans="1:13">
      <c r="A4" s="1388" t="str">
        <f>'ADJ DETAIL-INPUT'!A3</f>
        <v>TWELVE MONTHS ENDED SEPTEMBER 30, 2021</v>
      </c>
      <c r="B4" s="1388"/>
      <c r="C4" s="1388"/>
      <c r="D4" s="1388"/>
      <c r="E4" s="1388"/>
      <c r="F4" s="1388"/>
      <c r="G4" s="1388"/>
    </row>
    <row r="5" spans="1:13" ht="5.25" customHeight="1"/>
    <row r="6" spans="1:13" ht="5.25" customHeight="1"/>
    <row r="7" spans="1:13">
      <c r="D7" s="1389" t="s">
        <v>78</v>
      </c>
      <c r="E7" s="1389"/>
      <c r="F7" s="1389"/>
      <c r="G7" s="1128">
        <f>'RR Summary'!M15</f>
        <v>7.0300000000000001E-2</v>
      </c>
      <c r="H7" s="725" t="s">
        <v>249</v>
      </c>
      <c r="I7" s="835" t="s">
        <v>248</v>
      </c>
      <c r="J7" s="25" t="s">
        <v>576</v>
      </c>
    </row>
    <row r="8" spans="1:13" ht="25.5">
      <c r="A8" s="31" t="s">
        <v>79</v>
      </c>
      <c r="B8" s="336" t="s">
        <v>553</v>
      </c>
      <c r="C8" s="54" t="s">
        <v>139</v>
      </c>
      <c r="D8" s="250" t="s">
        <v>81</v>
      </c>
      <c r="E8" s="250" t="s">
        <v>24</v>
      </c>
      <c r="F8" s="1122" t="s">
        <v>1019</v>
      </c>
      <c r="G8" s="1121" t="s">
        <v>82</v>
      </c>
      <c r="H8" s="726"/>
      <c r="I8" s="836"/>
      <c r="K8" s="738"/>
      <c r="L8" s="145"/>
    </row>
    <row r="9" spans="1:13">
      <c r="A9" s="187" t="s">
        <v>636</v>
      </c>
      <c r="B9" s="187"/>
      <c r="C9" s="59"/>
      <c r="D9" s="251"/>
      <c r="E9" s="251"/>
      <c r="F9" s="251"/>
      <c r="G9" s="59"/>
      <c r="K9" s="738"/>
      <c r="L9" s="145"/>
    </row>
    <row r="10" spans="1:13">
      <c r="A10" s="236">
        <f>'ADJ DETAIL-INPUT'!E$9</f>
        <v>1</v>
      </c>
      <c r="B10" s="343" t="str">
        <f>'ADJ DETAIL-INPUT'!E$10</f>
        <v>E-ROO</v>
      </c>
      <c r="C10" s="35" t="str">
        <f>TRIM(CONCATENATE('ADJ DETAIL-INPUT'!E$6," ",'ADJ DETAIL-INPUT'!E$7," ",'ADJ DETAIL-INPUT'!E$8))</f>
        <v>Results of Operations</v>
      </c>
      <c r="D10" s="1124">
        <f>'ADJ DETAIL-INPUT'!E$56</f>
        <v>106560</v>
      </c>
      <c r="E10" s="1124">
        <f>'ADJ DETAIL-INPUT'!E$80</f>
        <v>1824656</v>
      </c>
      <c r="F10" s="1124">
        <f>((E10*$G$7)-D10)/$G$66</f>
        <v>28748.16535018152</v>
      </c>
      <c r="G10" s="196">
        <f>D10/E10</f>
        <v>5.8400049105146394E-2</v>
      </c>
      <c r="I10" s="737" t="s">
        <v>250</v>
      </c>
      <c r="J10" s="602" t="s">
        <v>698</v>
      </c>
      <c r="K10" s="738"/>
      <c r="L10" s="145"/>
    </row>
    <row r="11" spans="1:13" s="50" customFormat="1">
      <c r="A11" s="236">
        <f>'ADJ DETAIL-INPUT'!F$9</f>
        <v>1.01</v>
      </c>
      <c r="B11" s="343" t="str">
        <f>'ADJ DETAIL-INPUT'!F$10</f>
        <v>E-DFIT</v>
      </c>
      <c r="C11" s="35" t="str">
        <f>TRIM(CONCATENATE('ADJ DETAIL-INPUT'!F$6," ",'ADJ DETAIL-INPUT'!F$7," ",'ADJ DETAIL-INPUT'!F$8))</f>
        <v>Deferred FIT Rate Base</v>
      </c>
      <c r="D11" s="99">
        <f>'ADJ DETAIL-INPUT'!F$56</f>
        <v>-3.5271599999999999</v>
      </c>
      <c r="E11" s="99">
        <f>'ADJ DETAIL-INPUT'!F$80</f>
        <v>-680</v>
      </c>
      <c r="F11" s="256">
        <f t="shared" ref="F11:F33" si="0">((E11*$G$7)-D11)/$G$66</f>
        <v>-58.621993554827654</v>
      </c>
      <c r="G11" s="128"/>
      <c r="H11" s="601"/>
      <c r="I11" s="737" t="s">
        <v>250</v>
      </c>
      <c r="J11" s="889" t="s">
        <v>698</v>
      </c>
      <c r="K11" s="738"/>
      <c r="L11" s="148"/>
    </row>
    <row r="12" spans="1:13" s="50" customFormat="1">
      <c r="A12" s="236">
        <f>'ADJ DETAIL-INPUT'!G$9</f>
        <v>1.02</v>
      </c>
      <c r="B12" s="343" t="str">
        <f>'ADJ DETAIL-INPUT'!G$10</f>
        <v>E-DDC</v>
      </c>
      <c r="C12" s="35" t="str">
        <f>TRIM(CONCATENATE('ADJ DETAIL-INPUT'!G$6," ",'ADJ DETAIL-INPUT'!G$7," ",'ADJ DETAIL-INPUT'!G$8))</f>
        <v>Deferred Debits and Credits</v>
      </c>
      <c r="D12" s="99">
        <f>'ADJ DETAIL-INPUT'!G$56</f>
        <v>-0.69144700000000003</v>
      </c>
      <c r="E12" s="99">
        <f>'ADJ DETAIL-INPUT'!G$80</f>
        <v>19</v>
      </c>
      <c r="F12" s="256">
        <f t="shared" si="0"/>
        <v>2.683917785656976</v>
      </c>
      <c r="G12" s="128"/>
      <c r="I12" s="737" t="s">
        <v>650</v>
      </c>
      <c r="J12" s="804" t="s">
        <v>698</v>
      </c>
      <c r="K12" s="738"/>
      <c r="L12" s="148"/>
    </row>
    <row r="13" spans="1:13" s="126" customFormat="1">
      <c r="A13" s="236">
        <f>'ADJ DETAIL-INPUT'!H$9</f>
        <v>1.03</v>
      </c>
      <c r="B13" s="343" t="str">
        <f>'ADJ DETAIL-INPUT'!H$10</f>
        <v xml:space="preserve">E-WC </v>
      </c>
      <c r="C13" s="35" t="str">
        <f>TRIM(CONCATENATE('ADJ DETAIL-INPUT'!H$6," ",'ADJ DETAIL-INPUT'!H$7," ",'ADJ DETAIL-INPUT'!H$8))</f>
        <v>Working Capital</v>
      </c>
      <c r="D13" s="99">
        <f>'ADJ DETAIL-INPUT'!H$56</f>
        <v>-1.530165</v>
      </c>
      <c r="E13" s="204">
        <f>'ADJ DETAIL-INPUT'!H$80</f>
        <v>-295</v>
      </c>
      <c r="F13" s="256">
        <f t="shared" si="0"/>
        <v>-25.431600145109059</v>
      </c>
      <c r="G13" s="127"/>
      <c r="H13" s="601"/>
      <c r="I13" s="737" t="s">
        <v>250</v>
      </c>
      <c r="J13" s="804" t="s">
        <v>698</v>
      </c>
      <c r="K13" s="738"/>
      <c r="L13" s="149"/>
    </row>
    <row r="14" spans="1:13" s="44" customFormat="1">
      <c r="A14" s="236">
        <f>'ADJ DETAIL-INPUT'!I$9</f>
        <v>2.0099999999999998</v>
      </c>
      <c r="B14" s="343" t="str">
        <f>'ADJ DETAIL-INPUT'!I$10</f>
        <v>E-EBO</v>
      </c>
      <c r="C14" s="35" t="str">
        <f>TRIM(CONCATENATE('ADJ DETAIL-INPUT'!I$6," ",'ADJ DETAIL-INPUT'!I$7," ",'ADJ DETAIL-INPUT'!I$8))</f>
        <v>Eliminate B &amp; O Taxes</v>
      </c>
      <c r="D14" s="99">
        <f>'ADJ DETAIL-INPUT'!I$56</f>
        <v>7.11</v>
      </c>
      <c r="E14" s="99">
        <f>'ADJ DETAIL-INPUT'!I$80</f>
        <v>0</v>
      </c>
      <c r="F14" s="256">
        <f t="shared" si="0"/>
        <v>-9.4135528681546532</v>
      </c>
      <c r="G14" s="53"/>
      <c r="H14" s="601"/>
      <c r="I14" s="737" t="s">
        <v>608</v>
      </c>
      <c r="J14" s="804" t="s">
        <v>698</v>
      </c>
      <c r="K14" s="738"/>
    </row>
    <row r="15" spans="1:13" s="44" customFormat="1">
      <c r="A15" s="236">
        <f>'ADJ DETAIL-INPUT'!J$9</f>
        <v>2.0199999999999996</v>
      </c>
      <c r="B15" s="343" t="str">
        <f>'ADJ DETAIL-INPUT'!J$10</f>
        <v>E-RPT</v>
      </c>
      <c r="C15" s="35" t="str">
        <f>TRIM(CONCATENATE('ADJ DETAIL-INPUT'!J$6," ",'ADJ DETAIL-INPUT'!J$7," ",'ADJ DETAIL-INPUT'!J$8))</f>
        <v>Restate Property Tax</v>
      </c>
      <c r="D15" s="99">
        <f>'ADJ DETAIL-INPUT'!J$56</f>
        <v>-1.58</v>
      </c>
      <c r="E15" s="99">
        <f>'ADJ DETAIL-INPUT'!J$80</f>
        <v>0</v>
      </c>
      <c r="F15" s="256">
        <f t="shared" si="0"/>
        <v>2.0919006373677007</v>
      </c>
      <c r="G15" s="53"/>
      <c r="H15" s="601"/>
      <c r="I15" s="737" t="s">
        <v>250</v>
      </c>
      <c r="J15" s="804" t="s">
        <v>698</v>
      </c>
      <c r="K15" s="738"/>
      <c r="L15" s="158"/>
      <c r="M15" s="158"/>
    </row>
    <row r="16" spans="1:13" s="44" customFormat="1">
      <c r="A16" s="236">
        <f>'ADJ DETAIL-INPUT'!K$9</f>
        <v>2.0299999999999994</v>
      </c>
      <c r="B16" s="343" t="str">
        <f>'ADJ DETAIL-INPUT'!K$10</f>
        <v>E-UE</v>
      </c>
      <c r="C16" s="35" t="str">
        <f>TRIM(CONCATENATE('ADJ DETAIL-INPUT'!K$6," ",'ADJ DETAIL-INPUT'!K$7," ",'ADJ DETAIL-INPUT'!K$8))</f>
        <v>Uncollect. Expense</v>
      </c>
      <c r="D16" s="99">
        <f>'ADJ DETAIL-INPUT'!K$56</f>
        <v>-1241.8800000000001</v>
      </c>
      <c r="E16" s="99">
        <f>'ADJ DETAIL-INPUT'!K$80</f>
        <v>0</v>
      </c>
      <c r="F16" s="256">
        <f t="shared" si="0"/>
        <v>1644.2339009710126</v>
      </c>
      <c r="G16" s="53"/>
      <c r="I16" s="737" t="s">
        <v>250</v>
      </c>
      <c r="J16" s="804" t="s">
        <v>698</v>
      </c>
      <c r="K16" s="825"/>
    </row>
    <row r="17" spans="1:16" s="44" customFormat="1">
      <c r="A17" s="236">
        <f>'ADJ DETAIL-INPUT'!L$9</f>
        <v>2.0399999999999991</v>
      </c>
      <c r="B17" s="343" t="str">
        <f>'ADJ DETAIL-INPUT'!L$10</f>
        <v>E-RE</v>
      </c>
      <c r="C17" s="35" t="str">
        <f>TRIM(CONCATENATE('ADJ DETAIL-INPUT'!L$6," ",'ADJ DETAIL-INPUT'!L$7," ",'ADJ DETAIL-INPUT'!L$8))</f>
        <v>Regulatory Expense</v>
      </c>
      <c r="D17" s="99">
        <f>'ADJ DETAIL-INPUT'!L$56</f>
        <v>-33.18</v>
      </c>
      <c r="E17" s="99">
        <f>'ADJ DETAIL-INPUT'!L$80</f>
        <v>0</v>
      </c>
      <c r="F17" s="256">
        <f t="shared" si="0"/>
        <v>43.929913384721708</v>
      </c>
      <c r="G17" s="53"/>
      <c r="I17" s="737" t="s">
        <v>650</v>
      </c>
      <c r="J17" s="804" t="s">
        <v>698</v>
      </c>
      <c r="K17" s="825"/>
    </row>
    <row r="18" spans="1:16" s="44" customFormat="1">
      <c r="A18" s="236">
        <f>'ADJ DETAIL-INPUT'!M$9</f>
        <v>2.0499999999999989</v>
      </c>
      <c r="B18" s="343" t="str">
        <f>'ADJ DETAIL-INPUT'!M$10</f>
        <v>E-ID</v>
      </c>
      <c r="C18" s="35" t="str">
        <f>TRIM(CONCATENATE('ADJ DETAIL-INPUT'!M$6," ",'ADJ DETAIL-INPUT'!M$7," ",'ADJ DETAIL-INPUT'!M$8))</f>
        <v>Injuries and Damages</v>
      </c>
      <c r="D18" s="99">
        <f>'ADJ DETAIL-INPUT'!M$56</f>
        <v>97.960000000000008</v>
      </c>
      <c r="E18" s="99">
        <f>'ADJ DETAIL-INPUT'!M$80</f>
        <v>0</v>
      </c>
      <c r="F18" s="256">
        <f t="shared" si="0"/>
        <v>-129.69783951679744</v>
      </c>
      <c r="G18" s="53"/>
      <c r="I18" s="737" t="s">
        <v>650</v>
      </c>
      <c r="J18" s="804" t="s">
        <v>698</v>
      </c>
      <c r="K18" s="825"/>
    </row>
    <row r="19" spans="1:16" s="126" customFormat="1">
      <c r="A19" s="236">
        <f>'ADJ DETAIL-INPUT'!N$9</f>
        <v>2.0599999999999987</v>
      </c>
      <c r="B19" s="343" t="str">
        <f>'ADJ DETAIL-INPUT'!N$10</f>
        <v xml:space="preserve">E-FIT </v>
      </c>
      <c r="C19" s="35" t="str">
        <f>TRIM(CONCATENATE('ADJ DETAIL-INPUT'!N$6," ",'ADJ DETAIL-INPUT'!N$7," ",'ADJ DETAIL-INPUT'!N$8))</f>
        <v>FIT/DFIT/ ITC Expense</v>
      </c>
      <c r="D19" s="204">
        <f>'ADJ DETAIL-INPUT'!N$56</f>
        <v>-813</v>
      </c>
      <c r="E19" s="99">
        <f>'ADJ DETAIL-INPUT'!N$80</f>
        <v>0</v>
      </c>
      <c r="F19" s="256">
        <f t="shared" si="0"/>
        <v>1076.402036822747</v>
      </c>
      <c r="G19" s="127"/>
      <c r="I19" s="737" t="s">
        <v>917</v>
      </c>
      <c r="J19" s="1068" t="s">
        <v>698</v>
      </c>
      <c r="K19" s="825"/>
    </row>
    <row r="20" spans="1:16">
      <c r="A20" s="236">
        <f>'ADJ DETAIL-INPUT'!O$9</f>
        <v>2.0699999999999985</v>
      </c>
      <c r="B20" s="343" t="str">
        <f>'ADJ DETAIL-INPUT'!O$10</f>
        <v>E-OSC</v>
      </c>
      <c r="C20" s="35" t="str">
        <f>TRIM(CONCATENATE('ADJ DETAIL-INPUT'!O$6," ",'ADJ DETAIL-INPUT'!O$7," ",'ADJ DETAIL-INPUT'!O$8))</f>
        <v>Office Space Charges to Non-Utility</v>
      </c>
      <c r="D20" s="99">
        <f>'ADJ DETAIL-INPUT'!O$56</f>
        <v>43.45</v>
      </c>
      <c r="E20" s="99">
        <f>'ADJ DETAIL-INPUT'!O$80</f>
        <v>0</v>
      </c>
      <c r="F20" s="256">
        <f t="shared" si="0"/>
        <v>-57.52726752761177</v>
      </c>
      <c r="I20" s="737" t="s">
        <v>650</v>
      </c>
      <c r="J20" s="804" t="s">
        <v>698</v>
      </c>
    </row>
    <row r="21" spans="1:16" s="126" customFormat="1">
      <c r="A21" s="236">
        <f>'ADJ DETAIL-INPUT'!P$9</f>
        <v>2.0799999999999983</v>
      </c>
      <c r="B21" s="343" t="str">
        <f>'ADJ DETAIL-INPUT'!P$10</f>
        <v>E-RET</v>
      </c>
      <c r="C21" s="35" t="str">
        <f>TRIM(CONCATENATE('ADJ DETAIL-INPUT'!P$6," ",'ADJ DETAIL-INPUT'!P$7," ",'ADJ DETAIL-INPUT'!P$8))</f>
        <v>Restate Excise Taxes</v>
      </c>
      <c r="D21" s="99">
        <f>'ADJ DETAIL-INPUT'!P$56</f>
        <v>-14.22</v>
      </c>
      <c r="E21" s="99">
        <f>'ADJ DETAIL-INPUT'!P$80</f>
        <v>0</v>
      </c>
      <c r="F21" s="256">
        <f t="shared" si="0"/>
        <v>18.827105736309306</v>
      </c>
      <c r="G21" s="128"/>
      <c r="H21" s="601"/>
      <c r="I21" s="737" t="s">
        <v>608</v>
      </c>
      <c r="J21" s="804" t="s">
        <v>698</v>
      </c>
      <c r="K21" s="825"/>
    </row>
    <row r="22" spans="1:16" s="126" customFormat="1">
      <c r="A22" s="236">
        <f>'ADJ DETAIL-INPUT'!Q$9</f>
        <v>2.0899999999999981</v>
      </c>
      <c r="B22" s="343" t="str">
        <f>'ADJ DETAIL-INPUT'!Q$10</f>
        <v>E-NGL</v>
      </c>
      <c r="C22" s="35" t="str">
        <f>TRIM(CONCATENATE('ADJ DETAIL-INPUT'!Q$6," ",'ADJ DETAIL-INPUT'!Q$7," ",'ADJ DETAIL-INPUT'!Q$8))</f>
        <v>Net Gains &amp; Losses</v>
      </c>
      <c r="D22" s="99">
        <f>'ADJ DETAIL-INPUT'!Q$56</f>
        <v>49.77</v>
      </c>
      <c r="E22" s="99">
        <f>'ADJ DETAIL-INPUT'!Q$80</f>
        <v>0</v>
      </c>
      <c r="F22" s="256">
        <f t="shared" si="0"/>
        <v>-65.894870077082572</v>
      </c>
      <c r="G22" s="128"/>
      <c r="I22" s="737" t="s">
        <v>650</v>
      </c>
      <c r="J22" s="805" t="s">
        <v>698</v>
      </c>
      <c r="K22" s="825"/>
      <c r="O22" s="30" t="s">
        <v>964</v>
      </c>
      <c r="P22" s="30" t="s">
        <v>965</v>
      </c>
    </row>
    <row r="23" spans="1:16">
      <c r="A23" s="236">
        <f>'ADJ DETAIL-INPUT'!R$9</f>
        <v>2.0999999999999979</v>
      </c>
      <c r="B23" s="343" t="str">
        <f>'ADJ DETAIL-INPUT'!R$10</f>
        <v>E-WN</v>
      </c>
      <c r="C23" s="35" t="str">
        <f>TRIM(CONCATENATE('ADJ DETAIL-INPUT'!R$6," ",'ADJ DETAIL-INPUT'!R$7," ",'ADJ DETAIL-INPUT'!R$8))</f>
        <v>Weather Normalization</v>
      </c>
      <c r="D23" s="99">
        <f>'ADJ DETAIL-INPUT'!R$56</f>
        <v>-1290.8600000000001</v>
      </c>
      <c r="E23" s="99">
        <f>'ADJ DETAIL-INPUT'!R$80</f>
        <v>0</v>
      </c>
      <c r="F23" s="256">
        <f t="shared" si="0"/>
        <v>1709.0828207294114</v>
      </c>
      <c r="G23" s="58"/>
      <c r="I23" s="737" t="s">
        <v>918</v>
      </c>
      <c r="J23" s="805" t="s">
        <v>698</v>
      </c>
      <c r="K23" s="826"/>
      <c r="N23" s="1149" t="s">
        <v>1241</v>
      </c>
      <c r="O23" s="248">
        <f>F55+F60+F61</f>
        <v>5884.3026609505705</v>
      </c>
      <c r="P23" s="248">
        <f>F79</f>
        <v>1836.8912900142197</v>
      </c>
    </row>
    <row r="24" spans="1:16" s="126" customFormat="1">
      <c r="A24" s="236">
        <f>'ADJ DETAIL-INPUT'!S$9</f>
        <v>2.1099999999999977</v>
      </c>
      <c r="B24" s="343" t="str">
        <f>'ADJ DETAIL-INPUT'!S$10</f>
        <v>E-EAS</v>
      </c>
      <c r="C24" s="35" t="str">
        <f>TRIM(CONCATENATE('ADJ DETAIL-INPUT'!S$6," ",'ADJ DETAIL-INPUT'!S$7," ",'ADJ DETAIL-INPUT'!S$8))</f>
        <v>Eliminate Adder Schedules</v>
      </c>
      <c r="D24" s="204">
        <f>'ADJ DETAIL-INPUT'!S$56</f>
        <v>-0.79</v>
      </c>
      <c r="E24" s="99">
        <f>'ADJ DETAIL-INPUT'!T$80</f>
        <v>0</v>
      </c>
      <c r="F24" s="256">
        <f t="shared" si="0"/>
        <v>1.0459503186838504</v>
      </c>
      <c r="G24" s="127"/>
      <c r="I24" s="737" t="s">
        <v>650</v>
      </c>
      <c r="J24" s="893" t="s">
        <v>698</v>
      </c>
      <c r="K24" s="826"/>
      <c r="N24" s="1149" t="s">
        <v>1184</v>
      </c>
      <c r="O24" s="248">
        <f>F64+F54</f>
        <v>3270.766350586659</v>
      </c>
      <c r="P24" s="1300">
        <f>F81</f>
        <v>-100.74526872979264</v>
      </c>
    </row>
    <row r="25" spans="1:16" s="126" customFormat="1">
      <c r="A25" s="236">
        <f>'ADJ DETAIL-INPUT'!T$9</f>
        <v>2.1199999999999974</v>
      </c>
      <c r="B25" s="343" t="str">
        <f>'ADJ DETAIL-INPUT'!T$10</f>
        <v>E-MR</v>
      </c>
      <c r="C25" s="35" t="str">
        <f>TRIM(CONCATENATE('ADJ DETAIL-INPUT'!T$6," ",'ADJ DETAIL-INPUT'!T$7," ",'ADJ DETAIL-INPUT'!T$8))</f>
        <v>Misc. Restating Non-Util / Non- Recurring Expenses</v>
      </c>
      <c r="D25" s="204">
        <f>'ADJ DETAIL-INPUT'!T$56</f>
        <v>1137.5999999999999</v>
      </c>
      <c r="E25" s="99">
        <f>'ADJ DETAIL-INPUT'!T$80</f>
        <v>0</v>
      </c>
      <c r="F25" s="256">
        <f t="shared" si="0"/>
        <v>-1506.1684589047443</v>
      </c>
      <c r="G25" s="127"/>
      <c r="I25" s="806" t="s">
        <v>650</v>
      </c>
      <c r="J25" s="837" t="s">
        <v>698</v>
      </c>
      <c r="K25" s="825"/>
      <c r="N25" s="1149" t="s">
        <v>1242</v>
      </c>
      <c r="O25" s="248">
        <f>F56+F62+F63</f>
        <v>-110.8808530188245</v>
      </c>
      <c r="P25" s="1300">
        <f>F80</f>
        <v>-840.27731055721347</v>
      </c>
    </row>
    <row r="26" spans="1:16" s="44" customFormat="1">
      <c r="A26" s="236">
        <f>'ADJ DETAIL-INPUT'!U$9</f>
        <v>2.1299999999999972</v>
      </c>
      <c r="B26" s="343" t="str">
        <f>'ADJ DETAIL-INPUT'!U$10</f>
        <v>E-RI</v>
      </c>
      <c r="C26" s="35" t="str">
        <f>TRIM(CONCATENATE('ADJ DETAIL-INPUT'!U$6," ",'ADJ DETAIL-INPUT'!U$7," ",'ADJ DETAIL-INPUT'!U$8))</f>
        <v>Restating Incentives</v>
      </c>
      <c r="D26" s="99">
        <f>'ADJ DETAIL-INPUT'!U$56</f>
        <v>-2163.81</v>
      </c>
      <c r="E26" s="99">
        <f>'ADJ DETAIL-INPUT'!U$80</f>
        <v>0</v>
      </c>
      <c r="F26" s="256">
        <f t="shared" si="0"/>
        <v>2864.8579228750659</v>
      </c>
      <c r="G26" s="53"/>
      <c r="I26" s="806" t="s">
        <v>919</v>
      </c>
      <c r="J26" s="805" t="s">
        <v>698</v>
      </c>
      <c r="K26" s="834"/>
      <c r="N26" s="1149"/>
      <c r="O26" s="1149"/>
    </row>
    <row r="27" spans="1:16" s="149" customFormat="1">
      <c r="A27" s="237">
        <f>'ADJ DETAIL-INPUT'!V$9</f>
        <v>2.139999999999997</v>
      </c>
      <c r="B27" s="343" t="str">
        <f>'ADJ DETAIL-INPUT'!V$10</f>
        <v>E-RDI</v>
      </c>
      <c r="C27" s="190" t="str">
        <f>TRIM(CONCATENATE('ADJ DETAIL-INPUT'!V$6," ",'ADJ DETAIL-INPUT'!V$7," ",'ADJ DETAIL-INPUT'!V$8))</f>
        <v>Restate Debt Interest</v>
      </c>
      <c r="D27" s="161">
        <f>'ADJ DETAIL-INPUT'!V$56</f>
        <v>-525</v>
      </c>
      <c r="E27" s="161">
        <f>'ADJ DETAIL-INPUT'!V$80</f>
        <v>0</v>
      </c>
      <c r="F27" s="256">
        <f t="shared" si="0"/>
        <v>695.09356621395114</v>
      </c>
      <c r="G27" s="151"/>
      <c r="I27" s="806" t="s">
        <v>250</v>
      </c>
      <c r="J27" s="804" t="s">
        <v>698</v>
      </c>
      <c r="K27" s="738"/>
    </row>
    <row r="28" spans="1:16" s="126" customFormat="1">
      <c r="A28" s="236">
        <f>'ADJ DETAIL-INPUT'!W$9</f>
        <v>2.1499999999999968</v>
      </c>
      <c r="B28" s="343" t="str">
        <f>'ADJ DETAIL-INPUT'!W$10</f>
        <v>E-EOP09.2021</v>
      </c>
      <c r="C28" s="35" t="str">
        <f>TRIM(CONCATENATE('ADJ DETAIL-INPUT'!W$6," ",'ADJ DETAIL-INPUT'!W$7," ",'ADJ DETAIL-INPUT'!W$8))</f>
        <v>Restate 09.2021 AMA Rate Base to EOP</v>
      </c>
      <c r="D28" s="248">
        <f>'ADJ DETAIL-INPUT'!W$56</f>
        <v>384.81834299999997</v>
      </c>
      <c r="E28" s="248">
        <f>'ADJ DETAIL-INPUT'!W$80</f>
        <v>74189</v>
      </c>
      <c r="F28" s="256">
        <f t="shared" si="0"/>
        <v>6395.7457056457488</v>
      </c>
      <c r="G28" s="127"/>
      <c r="I28" s="737" t="s">
        <v>917</v>
      </c>
      <c r="J28" s="805" t="s">
        <v>698</v>
      </c>
      <c r="K28" s="825"/>
    </row>
    <row r="29" spans="1:16" s="44" customFormat="1">
      <c r="A29" s="236">
        <f>'ADJ DETAIL-INPUT'!X$9</f>
        <v>2.1599999999999966</v>
      </c>
      <c r="B29" s="343" t="str">
        <f>'ADJ DETAIL-INPUT'!X$10</f>
        <v>E-EWPC</v>
      </c>
      <c r="C29" s="35" t="str">
        <f>TRIM(CONCATENATE('ADJ DETAIL-INPUT'!X$6," ",'ADJ DETAIL-INPUT'!X$7," ",'ADJ DETAIL-INPUT'!X$8))</f>
        <v>Eliminate WA Power Cost Defer</v>
      </c>
      <c r="D29" s="99">
        <f>'ADJ DETAIL-INPUT'!X$56</f>
        <v>1679</v>
      </c>
      <c r="E29" s="99">
        <f>'ADJ DETAIL-INPUT'!X$80</f>
        <v>0</v>
      </c>
      <c r="F29" s="256">
        <f t="shared" si="0"/>
        <v>-2222.9754241394739</v>
      </c>
      <c r="G29" s="53"/>
      <c r="I29" s="737" t="s">
        <v>261</v>
      </c>
      <c r="J29" s="893" t="s">
        <v>698</v>
      </c>
      <c r="K29" s="826"/>
    </row>
    <row r="30" spans="1:16" s="44" customFormat="1">
      <c r="A30" s="236">
        <f>'ADJ DETAIL-INPUT'!Y$9</f>
        <v>2.1699999999999964</v>
      </c>
      <c r="B30" s="343" t="str">
        <f>'ADJ DETAIL-INPUT'!Y$10</f>
        <v>E-NPS</v>
      </c>
      <c r="C30" s="35" t="str">
        <f>TRIM(CONCATENATE('ADJ DETAIL-INPUT'!Y$6," ",'ADJ DETAIL-INPUT'!Y$7," ",'ADJ DETAIL-INPUT'!Y$8))</f>
        <v>Nez Perce Settlement Adjustment</v>
      </c>
      <c r="D30" s="99">
        <f>'ADJ DETAIL-INPUT'!Y$56</f>
        <v>4.74</v>
      </c>
      <c r="E30" s="99">
        <f>'ADJ DETAIL-INPUT'!Y$80</f>
        <v>0</v>
      </c>
      <c r="F30" s="256">
        <f t="shared" si="0"/>
        <v>-6.2757019121031012</v>
      </c>
      <c r="G30" s="53"/>
      <c r="I30" s="737" t="s">
        <v>650</v>
      </c>
      <c r="J30" s="837" t="s">
        <v>698</v>
      </c>
      <c r="K30" s="825"/>
    </row>
    <row r="31" spans="1:16" s="145" customFormat="1">
      <c r="A31" s="378">
        <f>'ADJ DETAIL-INPUT'!Z$9</f>
        <v>2.1799999999999962</v>
      </c>
      <c r="B31" s="356" t="str">
        <f>'ADJ DETAIL-INPUT'!Z$10</f>
        <v>E-RMM</v>
      </c>
      <c r="C31" s="357" t="str">
        <f>TRIM(CONCATENATE('ADJ DETAIL-INPUT'!Z$6," ",'ADJ DETAIL-INPUT'!Z$7," ",'ADJ DETAIL-INPUT'!Z$8))</f>
        <v>Normalize CS2/Colstrip Major Maint</v>
      </c>
      <c r="D31" s="195">
        <f>'ADJ DETAIL-INPUT'!Z$56</f>
        <v>1338.26</v>
      </c>
      <c r="E31" s="401">
        <f>'ADJ DETAIL-INPUT'!Z$80</f>
        <v>0</v>
      </c>
      <c r="F31" s="256">
        <f t="shared" si="0"/>
        <v>-1771.8398398504423</v>
      </c>
      <c r="G31" s="379"/>
      <c r="H31" s="601"/>
      <c r="I31" s="737" t="s">
        <v>608</v>
      </c>
      <c r="J31" s="838" t="s">
        <v>698</v>
      </c>
      <c r="K31" s="738"/>
    </row>
    <row r="32" spans="1:16" s="126" customFormat="1">
      <c r="A32" s="237">
        <f>'ADJ DETAIL-INPUT'!AA$9</f>
        <v>2.1899999999999959</v>
      </c>
      <c r="B32" s="343" t="str">
        <f>'ADJ DETAIL-INPUT'!AA$10</f>
        <v>E-APS</v>
      </c>
      <c r="C32" s="190" t="str">
        <f>TRIM(CONCATENATE('ADJ DETAIL-INPUT'!AA$6," ",'ADJ DETAIL-INPUT'!AA$7," ",'ADJ DETAIL-INPUT'!AA$8))</f>
        <v>Authorized Power Supply</v>
      </c>
      <c r="D32" s="401">
        <f>'ADJ DETAIL-INPUT'!AA$56</f>
        <v>4323.67</v>
      </c>
      <c r="E32" s="401">
        <f>'ADJ DETAIL-INPUT'!AA$80</f>
        <v>0</v>
      </c>
      <c r="F32" s="256">
        <f t="shared" si="0"/>
        <v>-5724.4860941567122</v>
      </c>
      <c r="G32" s="127"/>
      <c r="I32" s="737" t="s">
        <v>261</v>
      </c>
      <c r="J32" s="838" t="s">
        <v>698</v>
      </c>
      <c r="K32" s="825"/>
    </row>
    <row r="33" spans="1:14" s="126" customFormat="1">
      <c r="A33" s="237">
        <f>'ADJ DETAIL-INPUT'!AB$9</f>
        <v>2.1999999999999957</v>
      </c>
      <c r="B33" s="343" t="str">
        <f>'ADJ DETAIL-INPUT'!AB$10</f>
        <v>E-TCRL</v>
      </c>
      <c r="C33" s="190" t="str">
        <f>TRIM(CONCATENATE('ADJ DETAIL-INPUT'!AB$6," ",'ADJ DETAIL-INPUT'!AB$7," ",'ADJ DETAIL-INPUT'!AB$8))</f>
        <v>Restate 09.2021 Tax Credit Regulatory Liability to EOP</v>
      </c>
      <c r="D33" s="401">
        <f>'ADJ DETAIL-INPUT'!AB$56</f>
        <v>-129.166674</v>
      </c>
      <c r="E33" s="401">
        <f>'ADJ DETAIL-INPUT'!AB$80</f>
        <v>-24902</v>
      </c>
      <c r="F33" s="256">
        <f t="shared" si="0"/>
        <v>-2146.7718875034093</v>
      </c>
      <c r="G33" s="127"/>
      <c r="I33" s="737" t="s">
        <v>250</v>
      </c>
      <c r="J33" s="1090" t="s">
        <v>698</v>
      </c>
      <c r="K33" s="825"/>
    </row>
    <row r="34" spans="1:14" ht="15" customHeight="1">
      <c r="A34" s="40"/>
      <c r="B34" s="40"/>
      <c r="C34" s="145" t="s">
        <v>84</v>
      </c>
      <c r="D34" s="1125">
        <f>SUM(D10:D33)</f>
        <v>109407.14289700003</v>
      </c>
      <c r="E34" s="1125">
        <f>SUM(E10:E33)</f>
        <v>1872987</v>
      </c>
      <c r="F34" s="1125">
        <f>SUM(F10:F33)</f>
        <v>29477.055561145731</v>
      </c>
      <c r="G34" s="1129">
        <f>D34/E34</f>
        <v>5.8413188611026144E-2</v>
      </c>
    </row>
    <row r="35" spans="1:14">
      <c r="A35" s="188" t="s">
        <v>1100</v>
      </c>
      <c r="B35" s="188"/>
      <c r="C35" s="145"/>
      <c r="D35" s="252"/>
      <c r="E35" s="253"/>
      <c r="F35" s="253"/>
      <c r="G35" s="196"/>
    </row>
    <row r="36" spans="1:14">
      <c r="A36" s="236" t="str">
        <f>'ADJ DETAIL-INPUT'!AD$9</f>
        <v>3.00P</v>
      </c>
      <c r="B36" s="343" t="str">
        <f>'ADJ DETAIL-INPUT'!AD$10</f>
        <v>E-PPS</v>
      </c>
      <c r="C36" s="35" t="str">
        <f>TRIM(CONCATENATE('ADJ DETAIL-INPUT'!AD$6," ",'ADJ DETAIL-INPUT'!AD$7," ",'ADJ DETAIL-INPUT'!AD$8))</f>
        <v>Pro Forma Power Supply</v>
      </c>
      <c r="D36" s="248">
        <f>'ADJ DETAIL-INPUT'!AD$56</f>
        <v>16242.400000000001</v>
      </c>
      <c r="E36" s="248">
        <f>'ADJ DETAIL-INPUT'!AD$80</f>
        <v>0</v>
      </c>
      <c r="F36" s="256">
        <f t="shared" ref="F36:F64" si="1">((E36*$G$7)-D36)/$G$66</f>
        <v>-21504.738552139963</v>
      </c>
      <c r="I36" s="806" t="s">
        <v>261</v>
      </c>
      <c r="J36" s="918" t="s">
        <v>698</v>
      </c>
    </row>
    <row r="37" spans="1:14">
      <c r="A37" s="236" t="str">
        <f>'ADJ DETAIL-INPUT'!AE$9</f>
        <v>3.00T</v>
      </c>
      <c r="B37" s="343" t="str">
        <f>'ADJ DETAIL-INPUT'!AE$10</f>
        <v>E-PTRAN</v>
      </c>
      <c r="C37" s="35" t="str">
        <f>TRIM(CONCATENATE('ADJ DETAIL-INPUT'!AE$6," ",'ADJ DETAIL-INPUT'!AE$7," ",'ADJ DETAIL-INPUT'!AE$8))</f>
        <v>Pro Forma Transmission Revenue/Expense</v>
      </c>
      <c r="D37" s="248">
        <f>'ADJ DETAIL-INPUT'!AE$56</f>
        <v>8375.58</v>
      </c>
      <c r="E37" s="36">
        <f>'ADJ DETAIL-INPUT'!AE$80</f>
        <v>0</v>
      </c>
      <c r="F37" s="256">
        <f t="shared" si="1"/>
        <v>-11089.16527868618</v>
      </c>
      <c r="I37" s="806" t="s">
        <v>698</v>
      </c>
      <c r="J37" s="893" t="s">
        <v>698</v>
      </c>
    </row>
    <row r="38" spans="1:14">
      <c r="A38" s="236">
        <f>'ADJ DETAIL-INPUT'!AF$9</f>
        <v>3.01</v>
      </c>
      <c r="B38" s="343" t="str">
        <f>'ADJ DETAIL-INPUT'!AF$10</f>
        <v>E-PREV</v>
      </c>
      <c r="C38" s="35" t="str">
        <f>TRIM(CONCATENATE('ADJ DETAIL-INPUT'!AF$6," ",'ADJ DETAIL-INPUT'!AF$7," ",'ADJ DETAIL-INPUT'!AF$8))</f>
        <v>Pro Forma Revenue Normalization</v>
      </c>
      <c r="D38" s="248">
        <f>'ADJ DETAIL-INPUT'!AF$56</f>
        <v>10040.9</v>
      </c>
      <c r="E38" s="36">
        <f>'ADJ DETAIL-INPUT'!AF$80</f>
        <v>0</v>
      </c>
      <c r="F38" s="256">
        <f t="shared" si="1"/>
        <v>-13294.028550471736</v>
      </c>
      <c r="I38" s="737" t="s">
        <v>918</v>
      </c>
      <c r="J38" s="602" t="s">
        <v>698</v>
      </c>
    </row>
    <row r="39" spans="1:14" s="145" customFormat="1">
      <c r="A39" s="237">
        <f>'ADJ DETAIL-INPUT'!AG$9</f>
        <v>3.0199999999999996</v>
      </c>
      <c r="B39" s="350" t="str">
        <f>'ADJ DETAIL-INPUT'!AG$10</f>
        <v>E-PRA</v>
      </c>
      <c r="C39" s="190" t="str">
        <f>TRIM(CONCATENATE('ADJ DETAIL-INPUT'!AG$6," ",'ADJ DETAIL-INPUT'!AG$7," ",'ADJ DETAIL-INPUT'!AG$8))</f>
        <v>Pro Forma Def. Debits, Credits &amp; Regulatory Amorts</v>
      </c>
      <c r="D39" s="256">
        <f>'ADJ DETAIL-INPUT'!AG$56</f>
        <v>-906.27004899999997</v>
      </c>
      <c r="E39" s="256">
        <f>'ADJ DETAIL-INPUT'!AG$80</f>
        <v>-27</v>
      </c>
      <c r="F39" s="256">
        <f>((E39*$G$7)-D39)/$G$66</f>
        <v>1197.3773775509933</v>
      </c>
      <c r="G39" s="155"/>
      <c r="I39" s="806" t="s">
        <v>650</v>
      </c>
      <c r="J39" s="893" t="s">
        <v>698</v>
      </c>
    </row>
    <row r="40" spans="1:14" s="145" customFormat="1">
      <c r="A40" s="237">
        <f>'ADJ DETAIL-INPUT'!AH$9</f>
        <v>3.0299999999999994</v>
      </c>
      <c r="B40" s="350" t="str">
        <f>'ADJ DETAIL-INPUT'!AH$10</f>
        <v>E-ARAM</v>
      </c>
      <c r="C40" s="190" t="str">
        <f>TRIM(CONCATENATE('ADJ DETAIL-INPUT'!AH$6," ",'ADJ DETAIL-INPUT'!AH$7," ",'ADJ DETAIL-INPUT'!AH$8))</f>
        <v>Pro Forma 2023 ARAM DFIT</v>
      </c>
      <c r="D40" s="173">
        <f>'ADJ DETAIL-INPUT'!AH$56</f>
        <v>-634</v>
      </c>
      <c r="E40" s="256">
        <f>'ADJ DETAIL-INPUT'!AH$80</f>
        <v>0</v>
      </c>
      <c r="F40" s="256">
        <f t="shared" si="1"/>
        <v>839.40823043741909</v>
      </c>
      <c r="G40" s="155"/>
      <c r="I40" s="737" t="s">
        <v>917</v>
      </c>
      <c r="J40" s="1068" t="s">
        <v>698</v>
      </c>
      <c r="K40" s="738"/>
    </row>
    <row r="41" spans="1:14" s="149" customFormat="1">
      <c r="A41" s="378">
        <f>'ADJ DETAIL-INPUT'!AI$9</f>
        <v>3.0399999999999991</v>
      </c>
      <c r="B41" s="377" t="str">
        <f>'ADJ DETAIL-INPUT'!AI$10</f>
        <v>E-PAMI</v>
      </c>
      <c r="C41" s="357" t="str">
        <f>TRIM(CONCATENATE('ADJ DETAIL-INPUT'!AI$6," ",'ADJ DETAIL-INPUT'!AI$7," ",'ADJ DETAIL-INPUT'!AI$8))</f>
        <v>Pro Forma AMI Amortization</v>
      </c>
      <c r="D41" s="195">
        <f>'ADJ DETAIL-INPUT'!AI$56</f>
        <v>-8339.6670210000011</v>
      </c>
      <c r="E41" s="195">
        <f>'ADJ DETAIL-INPUT'!AI$80</f>
        <v>30417</v>
      </c>
      <c r="F41" s="256">
        <f t="shared" si="1"/>
        <v>13872.719922308401</v>
      </c>
      <c r="G41" s="379"/>
      <c r="H41" s="601"/>
      <c r="I41" s="737" t="s">
        <v>250</v>
      </c>
      <c r="J41" s="870" t="s">
        <v>698</v>
      </c>
      <c r="K41" s="738"/>
    </row>
    <row r="42" spans="1:14" s="149" customFormat="1">
      <c r="A42" s="378">
        <f>'ADJ DETAIL-INPUT'!AJ$9</f>
        <v>3.0499999999999989</v>
      </c>
      <c r="B42" s="377" t="str">
        <f>'ADJ DETAIL-INPUT'!AJ$10</f>
        <v>E-PAMM</v>
      </c>
      <c r="C42" s="357" t="str">
        <f>TRIM(CONCATENATE('ADJ DETAIL-INPUT'!AJ$6," ",'ADJ DETAIL-INPUT'!AJ$7," ",'ADJ DETAIL-INPUT'!AJ$8))</f>
        <v>Pro Forma Colstrip Trust Fund &amp; Other Amortizations</v>
      </c>
      <c r="D42" s="253">
        <f>'ADJ DETAIL-INPUT'!AJ$56</f>
        <v>-694.80500000000006</v>
      </c>
      <c r="E42" s="401">
        <f>'ADJ DETAIL-INPUT'!AJ$80</f>
        <v>0</v>
      </c>
      <c r="F42" s="256">
        <f t="shared" si="1"/>
        <v>919.91330528244634</v>
      </c>
      <c r="G42" s="379"/>
      <c r="H42" s="182"/>
      <c r="I42" s="737" t="s">
        <v>608</v>
      </c>
      <c r="J42" s="936" t="s">
        <v>698</v>
      </c>
      <c r="N42" s="155"/>
    </row>
    <row r="43" spans="1:14" s="149" customFormat="1">
      <c r="A43" s="378">
        <f>'ADJ DETAIL-INPUT'!AK$9</f>
        <v>3.0599999999999987</v>
      </c>
      <c r="B43" s="356" t="str">
        <f>'ADJ DETAIL-INPUT'!AK$10</f>
        <v>E-CEIP</v>
      </c>
      <c r="C43" s="357" t="str">
        <f>TRIM(CONCATENATE('ADJ DETAIL-INPUT'!AK$6," ",'ADJ DETAIL-INPUT'!AK$7," ",'ADJ DETAIL-INPUT'!AK$8))</f>
        <v>Pro Forma CETA Labor Exp</v>
      </c>
      <c r="D43" s="195">
        <f>'ADJ DETAIL-INPUT'!AK$56</f>
        <v>-282.02999999999997</v>
      </c>
      <c r="E43" s="401">
        <f>'ADJ DETAIL-INPUT'!AK$80</f>
        <v>0</v>
      </c>
      <c r="F43" s="256">
        <f t="shared" si="1"/>
        <v>373.40426377013449</v>
      </c>
      <c r="G43" s="379"/>
      <c r="H43" s="597"/>
      <c r="I43" s="737" t="s">
        <v>919</v>
      </c>
      <c r="J43" s="936" t="s">
        <v>698</v>
      </c>
      <c r="K43" s="885"/>
    </row>
    <row r="44" spans="1:14" s="145" customFormat="1">
      <c r="A44" s="237">
        <f>'ADJ DETAIL-INPUT'!AL$9</f>
        <v>3.0699999999999985</v>
      </c>
      <c r="B44" s="343" t="str">
        <f>'ADJ DETAIL-INPUT'!AL$10</f>
        <v>E-PLN</v>
      </c>
      <c r="C44" s="190" t="str">
        <f>TRIM(CONCATENATE('ADJ DETAIL-INPUT'!AL$6," ",'ADJ DETAIL-INPUT'!AL$7," ",'ADJ DETAIL-INPUT'!AL$8))</f>
        <v>Pro Forma Non-Exec Labor &amp; Union Incentive</v>
      </c>
      <c r="D44" s="256">
        <f>'ADJ DETAIL-INPUT'!AL$56</f>
        <v>-4849.8099999999995</v>
      </c>
      <c r="E44" s="256">
        <f>'ADJ DETAIL-INPUT'!AL$80</f>
        <v>0</v>
      </c>
      <c r="F44" s="256">
        <f t="shared" si="1"/>
        <v>6421.089006400156</v>
      </c>
      <c r="G44" s="152"/>
      <c r="I44" s="737" t="s">
        <v>919</v>
      </c>
      <c r="J44" s="1099" t="s">
        <v>698</v>
      </c>
      <c r="K44" s="738"/>
    </row>
    <row r="45" spans="1:14" s="145" customFormat="1">
      <c r="A45" s="237">
        <f>'ADJ DETAIL-INPUT'!AM$9</f>
        <v>3.0799999999999983</v>
      </c>
      <c r="B45" s="350" t="str">
        <f>'ADJ DETAIL-INPUT'!AM$10</f>
        <v>E-PLE</v>
      </c>
      <c r="C45" s="190" t="str">
        <f>TRIM(CONCATENATE('ADJ DETAIL-INPUT'!AM$6," ",'ADJ DETAIL-INPUT'!AM$7," ",'ADJ DETAIL-INPUT'!AM$8))</f>
        <v>Pro Forma Labor Exec</v>
      </c>
      <c r="D45" s="256">
        <f>'ADJ DETAIL-INPUT'!AM$56</f>
        <v>-50.56</v>
      </c>
      <c r="E45" s="256">
        <f>'ADJ DETAIL-INPUT'!AM$80</f>
        <v>0</v>
      </c>
      <c r="F45" s="256">
        <f t="shared" si="1"/>
        <v>66.940820395766423</v>
      </c>
      <c r="G45" s="155"/>
      <c r="I45" s="806" t="s">
        <v>919</v>
      </c>
      <c r="J45" s="915" t="s">
        <v>698</v>
      </c>
      <c r="K45" s="738"/>
    </row>
    <row r="46" spans="1:14" s="145" customFormat="1">
      <c r="A46" s="237">
        <f>'ADJ DETAIL-INPUT'!AN$9</f>
        <v>3.0899999999999981</v>
      </c>
      <c r="B46" s="350" t="str">
        <f>'ADJ DETAIL-INPUT'!AN$10</f>
        <v>E-PEB</v>
      </c>
      <c r="C46" s="190" t="str">
        <f>TRIM(CONCATENATE('ADJ DETAIL-INPUT'!AN$6," ",'ADJ DETAIL-INPUT'!AN$7," ",'ADJ DETAIL-INPUT'!AN$8))</f>
        <v>Pro Forma Employee Benefits</v>
      </c>
      <c r="D46" s="256">
        <f>'ADJ DETAIL-INPUT'!AN$56</f>
        <v>311.26</v>
      </c>
      <c r="E46" s="256">
        <f>'ADJ DETAIL-INPUT'!AN$80</f>
        <v>0</v>
      </c>
      <c r="F46" s="256">
        <f t="shared" si="1"/>
        <v>-412.10442556143698</v>
      </c>
      <c r="G46" s="155"/>
      <c r="I46" s="737" t="s">
        <v>919</v>
      </c>
      <c r="J46" s="1099" t="s">
        <v>698</v>
      </c>
      <c r="K46" s="738"/>
    </row>
    <row r="47" spans="1:14" s="149" customFormat="1">
      <c r="A47" s="378">
        <f>'ADJ DETAIL-INPUT'!AO$9</f>
        <v>3.0999999999999979</v>
      </c>
      <c r="B47" s="356" t="str">
        <f>'ADJ DETAIL-INPUT'!AO$10</f>
        <v>E-LIRAP</v>
      </c>
      <c r="C47" s="357" t="str">
        <f>TRIM(CONCATENATE('ADJ DETAIL-INPUT'!AO$6," ",'ADJ DETAIL-INPUT'!AO$7," ",'ADJ DETAIL-INPUT'!AO$8))</f>
        <v>Remove LIRAP Labor</v>
      </c>
      <c r="D47" s="195">
        <f>'ADJ DETAIL-INPUT'!AO$56</f>
        <v>54.859180000000009</v>
      </c>
      <c r="E47" s="401">
        <f>'ADJ DETAIL-INPUT'!AO$80</f>
        <v>0</v>
      </c>
      <c r="F47" s="256">
        <f t="shared" si="1"/>
        <v>-72.632882030043945</v>
      </c>
      <c r="G47" s="379"/>
      <c r="H47" s="182"/>
      <c r="I47" s="737" t="s">
        <v>919</v>
      </c>
      <c r="J47" s="936" t="s">
        <v>698</v>
      </c>
      <c r="K47" s="738"/>
    </row>
    <row r="48" spans="1:14" s="44" customFormat="1">
      <c r="A48" s="236">
        <f>'ADJ DETAIL-INPUT'!AP$9</f>
        <v>3.1099999999999977</v>
      </c>
      <c r="B48" s="343" t="str">
        <f>'ADJ DETAIL-INPUT'!AP$10</f>
        <v>E-PPT</v>
      </c>
      <c r="C48" s="35" t="str">
        <f>TRIM(CONCATENATE('ADJ DETAIL-INPUT'!AP$6," ",'ADJ DETAIL-INPUT'!AP$7," ",'ADJ DETAIL-INPUT'!AP$8))</f>
        <v>Pro Forma Property Tax</v>
      </c>
      <c r="D48" s="256">
        <f>'ADJ DETAIL-INPUT'!AP$56</f>
        <v>-759.98</v>
      </c>
      <c r="E48" s="256">
        <f>'ADJ DETAIL-INPUT'!AP$80</f>
        <v>0</v>
      </c>
      <c r="F48" s="256">
        <f t="shared" si="1"/>
        <v>1006.204206573864</v>
      </c>
      <c r="G48" s="53"/>
      <c r="H48" s="601"/>
      <c r="I48" s="737" t="s">
        <v>250</v>
      </c>
      <c r="J48" s="893" t="s">
        <v>698</v>
      </c>
      <c r="K48" s="825"/>
    </row>
    <row r="49" spans="1:14">
      <c r="A49" s="237">
        <f>'ADJ DETAIL-INPUT'!AQ$9</f>
        <v>3.1199999999999974</v>
      </c>
      <c r="B49" s="343" t="str">
        <f>'ADJ DETAIL-INPUT'!AQ$10</f>
        <v>E-PINS</v>
      </c>
      <c r="C49" s="190" t="str">
        <f>TRIM(CONCATENATE('ADJ DETAIL-INPUT'!AQ$6," ",'ADJ DETAIL-INPUT'!AQ$7," ",'ADJ DETAIL-INPUT'!AQ$8))</f>
        <v>Pro Forma Insurance Expense</v>
      </c>
      <c r="D49" s="161">
        <f>'ADJ DETAIL-INPUT'!AQ$56</f>
        <v>-3390.6800000000003</v>
      </c>
      <c r="E49" s="161">
        <f>'ADJ DETAIL-INPUT'!AQ$80</f>
        <v>0</v>
      </c>
      <c r="F49" s="256">
        <f t="shared" si="1"/>
        <v>4489.2187677910852</v>
      </c>
      <c r="G49" s="170"/>
      <c r="I49" s="806" t="s">
        <v>650</v>
      </c>
      <c r="J49" s="918" t="s">
        <v>698</v>
      </c>
      <c r="K49" s="886"/>
    </row>
    <row r="50" spans="1:14" s="44" customFormat="1">
      <c r="A50" s="236">
        <f>'ADJ DETAIL-INPUT'!AR$9</f>
        <v>3.1299999999999972</v>
      </c>
      <c r="B50" s="343" t="str">
        <f>'ADJ DETAIL-INPUT'!AR$10</f>
        <v>E-PIT</v>
      </c>
      <c r="C50" s="35" t="str">
        <f>TRIM(CONCATENATE('ADJ DETAIL-INPUT'!AR$6," ",'ADJ DETAIL-INPUT'!AR$7," ",'ADJ DETAIL-INPUT'!AR$8))</f>
        <v>Pro Forma IS/IT Expense</v>
      </c>
      <c r="D50" s="256">
        <f>'ADJ DETAIL-INPUT'!AR$56</f>
        <v>-996.98</v>
      </c>
      <c r="E50" s="256">
        <f>'ADJ DETAIL-INPUT'!AR$80</f>
        <v>0</v>
      </c>
      <c r="F50" s="256">
        <f t="shared" si="1"/>
        <v>1319.989302179019</v>
      </c>
      <c r="G50" s="53"/>
      <c r="H50" s="601"/>
      <c r="I50" s="737" t="s">
        <v>650</v>
      </c>
      <c r="J50" s="918" t="s">
        <v>698</v>
      </c>
      <c r="K50" s="886"/>
    </row>
    <row r="51" spans="1:14" s="149" customFormat="1">
      <c r="A51" s="378">
        <f>'ADJ DETAIL-INPUT'!AS$9</f>
        <v>3.139999999999997</v>
      </c>
      <c r="B51" s="356" t="str">
        <f>'ADJ DETAIL-INPUT'!AS$10</f>
        <v>E-PMisc</v>
      </c>
      <c r="C51" s="357" t="str">
        <f>TRIM(CONCATENATE('ADJ DETAIL-INPUT'!AS$6," ",'ADJ DETAIL-INPUT'!AS$7," ",'ADJ DETAIL-INPUT'!AS$8))</f>
        <v>Pro Forma Misc O&amp;M Exp</v>
      </c>
      <c r="D51" s="253">
        <f>'ADJ DETAIL-INPUT'!AS$56</f>
        <v>-7720.47408</v>
      </c>
      <c r="E51" s="401">
        <f>'ADJ DETAIL-INPUT'!AS$80</f>
        <v>0</v>
      </c>
      <c r="F51" s="256">
        <f t="shared" si="1"/>
        <v>10221.813068818235</v>
      </c>
      <c r="G51" s="379"/>
      <c r="H51" s="597"/>
      <c r="I51" s="737" t="s">
        <v>608</v>
      </c>
      <c r="J51" s="1100" t="s">
        <v>698</v>
      </c>
      <c r="K51" s="738"/>
    </row>
    <row r="52" spans="1:14">
      <c r="A52" s="236">
        <f>'ADJ DETAIL-INPUT'!AT$9</f>
        <v>3.1499999999999968</v>
      </c>
      <c r="B52" s="343" t="str">
        <f>'ADJ DETAIL-INPUT'!AT$10</f>
        <v>E-EOP12.2021</v>
      </c>
      <c r="C52" s="35" t="str">
        <f>TRIM(CONCATENATE('ADJ DETAIL-INPUT'!AT$6," ",'ADJ DETAIL-INPUT'!AT$7," ",'ADJ DETAIL-INPUT'!AT$8))</f>
        <v>Pro Form 09.2021 EOP Rate Base to 12.31.2021 EOP</v>
      </c>
      <c r="D52" s="36">
        <f>'ADJ DETAIL-INPUT'!AT$56</f>
        <v>-1529.6675994566672</v>
      </c>
      <c r="E52" s="248">
        <f>'ADJ DETAIL-INPUT'!AT$80</f>
        <v>34833.699738448624</v>
      </c>
      <c r="F52" s="256">
        <f t="shared" si="1"/>
        <v>5267.4543834183842</v>
      </c>
      <c r="I52" s="737" t="s">
        <v>917</v>
      </c>
      <c r="J52" s="1100" t="s">
        <v>698</v>
      </c>
    </row>
    <row r="53" spans="1:14" s="149" customFormat="1" ht="14.25" customHeight="1">
      <c r="A53" s="378">
        <f>'ADJ DETAIL-INPUT'!AU$9</f>
        <v>3.1599999999999966</v>
      </c>
      <c r="B53" s="377" t="str">
        <f>'ADJ DETAIL-INPUT'!AU$10</f>
        <v>E-TER</v>
      </c>
      <c r="C53" s="357" t="str">
        <f>TRIM(CONCATENATE('ADJ DETAIL-INPUT'!AU$6," ",'ADJ DETAIL-INPUT'!AU$7," ",'ADJ DETAIL-INPUT'!AU$8))</f>
        <v>Transportation Electrification Return (Kicker)</v>
      </c>
      <c r="D53" s="253">
        <f>'ADJ DETAIL-INPUT'!AU$56</f>
        <v>-48.980000000000004</v>
      </c>
      <c r="E53" s="401">
        <f>'ADJ DETAIL-INPUT'!AU$80</f>
        <v>0</v>
      </c>
      <c r="F53" s="256">
        <f t="shared" si="1"/>
        <v>64.848919758398722</v>
      </c>
      <c r="G53" s="379"/>
      <c r="H53" s="601"/>
      <c r="I53" s="737" t="s">
        <v>1027</v>
      </c>
      <c r="J53" s="1100" t="s">
        <v>698</v>
      </c>
      <c r="K53" s="738"/>
    </row>
    <row r="54" spans="1:14" s="149" customFormat="1">
      <c r="A54" s="378">
        <f>'ADJ DETAIL-INPUT'!AV$9</f>
        <v>3.1699999999999964</v>
      </c>
      <c r="B54" s="377" t="str">
        <f>'ADJ DETAIL-INPUT'!AV$10</f>
        <v>E-PEIM</v>
      </c>
      <c r="C54" s="357" t="str">
        <f>TRIM(CONCATENATE('ADJ DETAIL-INPUT'!AV$6," ",'ADJ DETAIL-INPUT'!AV$7," ",'ADJ DETAIL-INPUT'!AV$8))</f>
        <v>Pro Forma EIM Capital 2021- 2022 Additions &amp; Exp</v>
      </c>
      <c r="D54" s="253">
        <f>'ADJ DETAIL-INPUT'!AV$56</f>
        <v>-1721.9015260000001</v>
      </c>
      <c r="E54" s="195">
        <f>'ADJ DETAIL-INPUT'!AV$80</f>
        <v>6302</v>
      </c>
      <c r="F54" s="256">
        <f t="shared" si="1"/>
        <v>2866.3436039476019</v>
      </c>
      <c r="G54" s="379"/>
      <c r="I54" s="737" t="s">
        <v>917</v>
      </c>
      <c r="J54" s="1068" t="s">
        <v>698</v>
      </c>
      <c r="K54" s="738"/>
    </row>
    <row r="55" spans="1:14">
      <c r="A55" s="236">
        <f>'ADJ DETAIL-INPUT'!AW$9</f>
        <v>3.1799999999999962</v>
      </c>
      <c r="B55" s="343" t="str">
        <f>'ADJ DETAIL-INPUT'!AW$10</f>
        <v>E-WF21</v>
      </c>
      <c r="C55" s="35" t="str">
        <f>TRIM(CONCATENATE('ADJ DETAIL-INPUT'!AW$6," ",'ADJ DETAIL-INPUT'!AW$7," ",'ADJ DETAIL-INPUT'!AW$8))</f>
        <v>Pro Form 12.2021 EOP Wildfire Additions</v>
      </c>
      <c r="D55" s="36">
        <f>'ADJ DETAIL-INPUT'!AW$56</f>
        <v>7.4219390000000001</v>
      </c>
      <c r="E55" s="248">
        <f>'ADJ DETAIL-INPUT'!AW$80</f>
        <v>2497</v>
      </c>
      <c r="F55" s="256">
        <f t="shared" si="1"/>
        <v>222.58506091667613</v>
      </c>
      <c r="I55" s="737" t="s">
        <v>917</v>
      </c>
      <c r="J55" s="1068" t="s">
        <v>698</v>
      </c>
    </row>
    <row r="56" spans="1:14">
      <c r="A56" s="236">
        <f>'ADJ DETAIL-INPUT'!AX$9</f>
        <v>3.1899999999999959</v>
      </c>
      <c r="B56" s="343" t="str">
        <f>'ADJ DETAIL-INPUT'!AX$10</f>
        <v>E-COL21</v>
      </c>
      <c r="C56" s="35" t="str">
        <f>TRIM(CONCATENATE('ADJ DETAIL-INPUT'!AX$6," ",'ADJ DETAIL-INPUT'!AX$7," ",'ADJ DETAIL-INPUT'!AX$8))</f>
        <v>Pro Form 12.2021 EOP Colstrip Adds &amp; Amortization</v>
      </c>
      <c r="D56" s="36">
        <f>'ADJ DETAIL-INPUT'!AX$56</f>
        <v>-473.29778099999999</v>
      </c>
      <c r="E56" s="248">
        <f>'ADJ DETAIL-INPUT'!AX$80</f>
        <v>-3063</v>
      </c>
      <c r="F56" s="256">
        <f t="shared" si="1"/>
        <v>341.54763707907119</v>
      </c>
      <c r="I56" s="737" t="s">
        <v>250</v>
      </c>
      <c r="J56" s="1068" t="s">
        <v>698</v>
      </c>
    </row>
    <row r="57" spans="1:14" s="149" customFormat="1">
      <c r="A57" s="378">
        <f>'ADJ DETAIL-INPUT'!AY$9</f>
        <v>4.01</v>
      </c>
      <c r="B57" s="377" t="str">
        <f>'ADJ DETAIL-INPUT'!AY$10</f>
        <v>E-PVCap22</v>
      </c>
      <c r="C57" s="357" t="str">
        <f>TRIM(CONCATENATE('ADJ DETAIL-INPUT'!AY$6," ",'ADJ DETAIL-INPUT'!AY$7," ",'ADJ DETAIL-INPUT'!AY$8))</f>
        <v>Provisional Capital Groups 2022 Adds EOP</v>
      </c>
      <c r="D57" s="195">
        <f>'ADJ DETAIL-INPUT'!AY$56</f>
        <v>-1682.8979224855093</v>
      </c>
      <c r="E57" s="195">
        <f>'ADJ DETAIL-INPUT'!AY$80</f>
        <v>78398.318394927875</v>
      </c>
      <c r="F57" s="256">
        <f t="shared" si="1"/>
        <v>9525.1646453552385</v>
      </c>
      <c r="G57" s="379"/>
      <c r="I57" s="737" t="s">
        <v>917</v>
      </c>
      <c r="J57" s="1068" t="s">
        <v>698</v>
      </c>
      <c r="K57" s="738"/>
    </row>
    <row r="58" spans="1:14" s="44" customFormat="1">
      <c r="A58" s="376">
        <f>'ADJ DETAIL-INPUT'!AZ$9</f>
        <v>4.0199999999999996</v>
      </c>
      <c r="B58" s="377" t="str">
        <f>'ADJ DETAIL-INPUT'!AZ$10</f>
        <v>E-PVCap23</v>
      </c>
      <c r="C58" s="357" t="str">
        <f>TRIM(CONCATENATE('ADJ DETAIL-INPUT'!AZ$6," ",'ADJ DETAIL-INPUT'!AZ$7," ",'ADJ DETAIL-INPUT'!AZ$8))</f>
        <v>Provisional Capital Groups 2023 Adds AMA</v>
      </c>
      <c r="D58" s="256">
        <f>'ADJ DETAIL-INPUT'!AZ$56</f>
        <v>-1809.0149207427544</v>
      </c>
      <c r="E58" s="256">
        <f>'ADJ DETAIL-INPUT'!AZ$80</f>
        <v>14180.659197463938</v>
      </c>
      <c r="F58" s="256">
        <f t="shared" si="1"/>
        <v>3714.9974213014652</v>
      </c>
      <c r="G58" s="379"/>
      <c r="I58" s="737" t="s">
        <v>917</v>
      </c>
      <c r="J58" s="1068" t="s">
        <v>698</v>
      </c>
      <c r="K58" s="738"/>
      <c r="L58" s="158"/>
      <c r="M58" s="158"/>
      <c r="N58" s="158"/>
    </row>
    <row r="59" spans="1:14" s="149" customFormat="1">
      <c r="A59" s="378">
        <f>'ADJ DETAIL-INPUT'!BA$9</f>
        <v>4.0299999999999994</v>
      </c>
      <c r="B59" s="356" t="str">
        <f>'ADJ DETAIL-INPUT'!BA$10</f>
        <v>E-Offsets23</v>
      </c>
      <c r="C59" s="357" t="str">
        <f>TRIM(CONCATENATE('ADJ DETAIL-INPUT'!BA$6," ",'ADJ DETAIL-INPUT'!BA$7," ",'ADJ DETAIL-INPUT'!BA$8))</f>
        <v>2022-2023 Capital O&amp;M Offsets &amp; Revenue</v>
      </c>
      <c r="D59" s="253">
        <f>'ADJ DETAIL-INPUT'!BA$56</f>
        <v>6173.85</v>
      </c>
      <c r="E59" s="253">
        <f>'ADJ DETAIL-INPUT'!BA$80</f>
        <v>0</v>
      </c>
      <c r="F59" s="256">
        <f t="shared" si="1"/>
        <v>-8174.1017405142902</v>
      </c>
      <c r="G59" s="379"/>
      <c r="H59" s="738"/>
      <c r="I59" s="737" t="s">
        <v>1001</v>
      </c>
      <c r="J59" s="939" t="s">
        <v>698</v>
      </c>
      <c r="K59" s="940"/>
    </row>
    <row r="60" spans="1:14" s="149" customFormat="1">
      <c r="A60" s="378">
        <f>'ADJ DETAIL-INPUT'!BB$9</f>
        <v>4.0399999999999991</v>
      </c>
      <c r="B60" s="356" t="str">
        <f>'ADJ DETAIL-INPUT'!BB$10</f>
        <v>E-PVWF22</v>
      </c>
      <c r="C60" s="357" t="str">
        <f>TRIM(CONCATENATE('ADJ DETAIL-INPUT'!BB$6," ",'ADJ DETAIL-INPUT'!BB$7," ",'ADJ DETAIL-INPUT'!BB$8))</f>
        <v>Provisional Wildfire 2022 Cap EOP &amp; O&amp;M</v>
      </c>
      <c r="D60" s="195">
        <f>'ADJ DETAIL-INPUT'!BB$56</f>
        <v>-2507.7382779999998</v>
      </c>
      <c r="E60" s="195">
        <f>'ADJ DETAIL-INPUT'!BB$80</f>
        <v>13806</v>
      </c>
      <c r="F60" s="256">
        <f t="shared" si="1"/>
        <v>4605.2266772938747</v>
      </c>
      <c r="G60" s="379"/>
      <c r="I60" s="737" t="s">
        <v>917</v>
      </c>
      <c r="J60" s="1052" t="s">
        <v>698</v>
      </c>
      <c r="K60" s="887"/>
    </row>
    <row r="61" spans="1:14" s="149" customFormat="1">
      <c r="A61" s="378">
        <f>'ADJ DETAIL-INPUT'!BC$9</f>
        <v>4.0499999999999989</v>
      </c>
      <c r="B61" s="377" t="str">
        <f>'ADJ DETAIL-INPUT'!BC$10</f>
        <v>E-PVWF23</v>
      </c>
      <c r="C61" s="357" t="str">
        <f>TRIM(CONCATENATE('ADJ DETAIL-INPUT'!BC$6," ",'ADJ DETAIL-INPUT'!BC$7," ",'ADJ DETAIL-INPUT'!BC$8))</f>
        <v>Provisional Wildfire 2023 Cap Adds AMA</v>
      </c>
      <c r="D61" s="253">
        <f>'ADJ DETAIL-INPUT'!BC$56</f>
        <v>-296.37075500000003</v>
      </c>
      <c r="E61" s="401">
        <f>'ADJ DETAIL-INPUT'!BC$80</f>
        <v>7135</v>
      </c>
      <c r="F61" s="256">
        <f t="shared" si="1"/>
        <v>1056.4909227400192</v>
      </c>
      <c r="G61" s="379"/>
      <c r="I61" s="737" t="s">
        <v>917</v>
      </c>
      <c r="J61" s="1052" t="s">
        <v>698</v>
      </c>
      <c r="K61" s="738"/>
    </row>
    <row r="62" spans="1:14" s="149" customFormat="1">
      <c r="A62" s="378">
        <f>'ADJ DETAIL-INPUT'!BD$9</f>
        <v>4.0599999999999987</v>
      </c>
      <c r="B62" s="377" t="str">
        <f>'ADJ DETAIL-INPUT'!BD$10</f>
        <v>E-PVCOL22</v>
      </c>
      <c r="C62" s="357" t="str">
        <f>TRIM(CONCATENATE('ADJ DETAIL-INPUT'!BD$6," ",'ADJ DETAIL-INPUT'!BD$7," ",'ADJ DETAIL-INPUT'!BD$8))</f>
        <v>Provisional Colstrip 2022 Cap Adds EOP</v>
      </c>
      <c r="D62" s="253">
        <f>'ADJ DETAIL-INPUT'!BD$56</f>
        <v>-796.18643799999995</v>
      </c>
      <c r="E62" s="401">
        <f>'ADJ DETAIL-INPUT'!BD$80</f>
        <v>-9874</v>
      </c>
      <c r="F62" s="256">
        <f t="shared" si="1"/>
        <v>135.10532057715267</v>
      </c>
      <c r="G62" s="379"/>
      <c r="H62" s="601"/>
      <c r="I62" s="737" t="s">
        <v>250</v>
      </c>
      <c r="J62" s="893" t="s">
        <v>698</v>
      </c>
      <c r="K62" s="738"/>
    </row>
    <row r="63" spans="1:14" s="145" customFormat="1">
      <c r="A63" s="378">
        <f>'ADJ DETAIL-INPUT'!BE$9</f>
        <v>4.0699999999999985</v>
      </c>
      <c r="B63" s="356" t="str">
        <f>'ADJ DETAIL-INPUT'!BE$10</f>
        <v>E-PVCOL23</v>
      </c>
      <c r="C63" s="357" t="str">
        <f>TRIM(CONCATENATE('ADJ DETAIL-INPUT'!BE$6," ",'ADJ DETAIL-INPUT'!BE$7," ",'ADJ DETAIL-INPUT'!BE$8))</f>
        <v>Provisional Colstrip 2023 Cap Adds AMA</v>
      </c>
      <c r="D63" s="253">
        <f>'ADJ DETAIL-INPUT'!BE$56</f>
        <v>101.118562</v>
      </c>
      <c r="E63" s="253">
        <f>'ADJ DETAIL-INPUT'!BE$80</f>
        <v>-4874</v>
      </c>
      <c r="F63" s="256">
        <f t="shared" si="1"/>
        <v>-587.53381067504836</v>
      </c>
      <c r="G63" s="379"/>
      <c r="H63" s="597"/>
      <c r="I63" s="737" t="s">
        <v>250</v>
      </c>
      <c r="J63" s="893" t="s">
        <v>698</v>
      </c>
      <c r="K63" s="887"/>
    </row>
    <row r="64" spans="1:14" s="145" customFormat="1">
      <c r="A64" s="378">
        <f>'ADJ DETAIL-INPUT'!BF$9</f>
        <v>4.0799999999999983</v>
      </c>
      <c r="B64" s="356" t="str">
        <f>'ADJ DETAIL-INPUT'!BF$10</f>
        <v>E-PVEIM23</v>
      </c>
      <c r="C64" s="357" t="str">
        <f>TRIM(CONCATENATE('ADJ DETAIL-INPUT'!BF$6," ",'ADJ DETAIL-INPUT'!BF$7," ",'ADJ DETAIL-INPUT'!BF$8))</f>
        <v>Provisional EIM 2023 Cap Cap Adds AMA</v>
      </c>
      <c r="D64" s="253">
        <f>'ADJ DETAIL-INPUT'!BF$56</f>
        <v>-368.868674</v>
      </c>
      <c r="E64" s="195">
        <f>'ADJ DETAIL-INPUT'!BF$80</f>
        <v>-902</v>
      </c>
      <c r="F64" s="256">
        <f t="shared" si="1"/>
        <v>404.4227466390571</v>
      </c>
      <c r="G64" s="379"/>
      <c r="H64" s="597"/>
      <c r="I64" s="737" t="s">
        <v>917</v>
      </c>
      <c r="J64" s="1052" t="s">
        <v>698</v>
      </c>
      <c r="K64" s="887"/>
    </row>
    <row r="65" spans="1:11" ht="13.5" thickBot="1">
      <c r="A65" s="470"/>
      <c r="B65" s="470"/>
      <c r="C65" s="59" t="s">
        <v>1103</v>
      </c>
      <c r="D65" s="1126">
        <f>SUM(D34:D64)</f>
        <v>110854.3525333151</v>
      </c>
      <c r="E65" s="1126">
        <f>SUM(E34:E64)</f>
        <v>2041816.6773308404</v>
      </c>
      <c r="F65" s="1126">
        <f>SUM(F34:F64)</f>
        <v>43275.015931601491</v>
      </c>
      <c r="G65" s="169">
        <f>D65/E65</f>
        <v>5.4292020318998067E-2</v>
      </c>
      <c r="H65" s="726"/>
      <c r="I65" s="836"/>
      <c r="J65" s="102"/>
    </row>
    <row r="66" spans="1:11" s="149" customFormat="1" ht="13.5" thickTop="1">
      <c r="A66" s="188" t="s">
        <v>578</v>
      </c>
      <c r="B66" s="479" t="s">
        <v>579</v>
      </c>
      <c r="C66" s="137" t="s">
        <v>135</v>
      </c>
      <c r="D66" s="253"/>
      <c r="E66" s="253"/>
      <c r="F66" s="253"/>
      <c r="G66" s="1123">
        <f>'CF '!E24</f>
        <v>0.75529400000000002</v>
      </c>
      <c r="I66" s="737" t="s">
        <v>650</v>
      </c>
      <c r="J66" s="1066" t="s">
        <v>698</v>
      </c>
      <c r="K66" s="738"/>
    </row>
    <row r="67" spans="1:11" s="149" customFormat="1">
      <c r="A67" s="188"/>
      <c r="B67" s="479"/>
      <c r="C67" s="137"/>
      <c r="D67" s="253"/>
      <c r="E67" s="253"/>
      <c r="F67" s="253"/>
      <c r="G67" s="379"/>
      <c r="H67" s="597"/>
      <c r="I67" s="836"/>
      <c r="J67" s="490"/>
      <c r="K67" s="738"/>
    </row>
    <row r="68" spans="1:11" s="149" customFormat="1">
      <c r="A68" s="188" t="s">
        <v>1101</v>
      </c>
      <c r="B68" s="479"/>
      <c r="C68" s="137"/>
      <c r="D68" s="253"/>
      <c r="E68" s="253"/>
      <c r="F68" s="253"/>
      <c r="G68" s="379"/>
      <c r="H68" s="597"/>
      <c r="I68" s="836"/>
      <c r="J68" s="490"/>
      <c r="K68" s="738"/>
    </row>
    <row r="69" spans="1:11" s="149" customFormat="1">
      <c r="A69" s="378">
        <f>'ADJ DETAIL-INPUT'!BJ$9</f>
        <v>5</v>
      </c>
      <c r="B69" s="356" t="str">
        <f>'ADJ DETAIL-INPUT'!BJ$10</f>
        <v>E-ARAM24</v>
      </c>
      <c r="C69" s="357" t="str">
        <f>TRIM(CONCATENATE('ADJ DETAIL-INPUT'!BJ$6," ",'ADJ DETAIL-INPUT'!BJ$7," ",'ADJ DETAIL-INPUT'!BJ$8))</f>
        <v>Pro Forma 2024 ARAM DFIT</v>
      </c>
      <c r="D69" s="195">
        <f>'ADJ DETAIL-INPUT'!BJ$56</f>
        <v>-842</v>
      </c>
      <c r="E69" s="253">
        <f>'ADJ DETAIL-INPUT'!BJ$80</f>
        <v>0</v>
      </c>
      <c r="F69" s="256">
        <f>((E69*$G$7)-D69)/$G$66</f>
        <v>1114.7976814326607</v>
      </c>
      <c r="G69" s="379"/>
      <c r="H69" s="597"/>
      <c r="I69" s="737" t="s">
        <v>921</v>
      </c>
      <c r="J69" s="1068" t="s">
        <v>698</v>
      </c>
      <c r="K69" s="887"/>
    </row>
    <row r="70" spans="1:11" s="149" customFormat="1">
      <c r="A70" s="378">
        <f>'ADJ DETAIL-INPUT'!BK$9</f>
        <v>5.01</v>
      </c>
      <c r="B70" s="356" t="str">
        <f>'ADJ DETAIL-INPUT'!BK$10</f>
        <v>E-AMI24</v>
      </c>
      <c r="C70" s="357" t="str">
        <f>TRIM(CONCATENATE('ADJ DETAIL-INPUT'!BK$6," ",'ADJ DETAIL-INPUT'!BK$7," ",'ADJ DETAIL-INPUT'!BK$8))</f>
        <v>Pro Forma 2024 AMI Amortization</v>
      </c>
      <c r="D70" s="195">
        <f>'ADJ DETAIL-INPUT'!BK$56</f>
        <v>609.17049599999996</v>
      </c>
      <c r="E70" s="195">
        <f>'ADJ DETAIL-INPUT'!BK$80</f>
        <v>-2992</v>
      </c>
      <c r="F70" s="256">
        <f t="shared" ref="F70:F81" si="2">((E70*$G$7)-D70)/$G$66</f>
        <v>-1085.0186761711334</v>
      </c>
      <c r="G70" s="379"/>
      <c r="H70" s="597"/>
      <c r="I70" s="737" t="s">
        <v>250</v>
      </c>
      <c r="J70" s="870" t="s">
        <v>698</v>
      </c>
      <c r="K70" s="738"/>
    </row>
    <row r="71" spans="1:11" s="149" customFormat="1">
      <c r="A71" s="378">
        <f>'ADJ DETAIL-INPUT'!BL$9</f>
        <v>5.0199999999999996</v>
      </c>
      <c r="B71" s="356" t="str">
        <f>'ADJ DETAIL-INPUT'!BL$10</f>
        <v>E-PLN24</v>
      </c>
      <c r="C71" s="357" t="str">
        <f>TRIM(CONCATENATE('ADJ DETAIL-INPUT'!BL$6," ",'ADJ DETAIL-INPUT'!BL$7," ",'ADJ DETAIL-INPUT'!BL$8))</f>
        <v>Pro Forma Non-Exec Labor &amp; Union Incentive</v>
      </c>
      <c r="D71" s="195">
        <f>'ADJ DETAIL-INPUT'!BL$56</f>
        <v>-1539.71</v>
      </c>
      <c r="E71" s="195">
        <f>'ADJ DETAIL-INPUT'!BL$80</f>
        <v>0</v>
      </c>
      <c r="F71" s="256">
        <f t="shared" si="2"/>
        <v>2038.5571711148241</v>
      </c>
      <c r="G71" s="379"/>
      <c r="I71" s="737" t="s">
        <v>919</v>
      </c>
      <c r="J71" s="1099" t="s">
        <v>698</v>
      </c>
      <c r="K71" s="738"/>
    </row>
    <row r="72" spans="1:11" s="149" customFormat="1">
      <c r="A72" s="378">
        <f>'ADJ DETAIL-INPUT'!BM$9</f>
        <v>5.0299999999999994</v>
      </c>
      <c r="B72" s="356" t="str">
        <f>'ADJ DETAIL-INPUT'!BM$10</f>
        <v>E-PEB24</v>
      </c>
      <c r="C72" s="357" t="str">
        <f>TRIM(CONCATENATE('ADJ DETAIL-INPUT'!BM$6," ",'ADJ DETAIL-INPUT'!BM$7," ",'ADJ DETAIL-INPUT'!BM$8))</f>
        <v>Pro Forma Employee Benefits</v>
      </c>
      <c r="D72" s="195">
        <f>'ADJ DETAIL-INPUT'!BM$56</f>
        <v>-364.98</v>
      </c>
      <c r="E72" s="195">
        <f>'ADJ DETAIL-INPUT'!BM$80</f>
        <v>0</v>
      </c>
      <c r="F72" s="256">
        <f t="shared" si="2"/>
        <v>483.22904723193881</v>
      </c>
      <c r="G72" s="379"/>
      <c r="I72" s="737" t="s">
        <v>919</v>
      </c>
      <c r="J72" s="1099" t="s">
        <v>698</v>
      </c>
      <c r="K72" s="738"/>
    </row>
    <row r="73" spans="1:11" s="149" customFormat="1">
      <c r="A73" s="378">
        <f>'ADJ DETAIL-INPUT'!BN$9</f>
        <v>5.0399999999999991</v>
      </c>
      <c r="B73" s="356" t="str">
        <f>'ADJ DETAIL-INPUT'!BN$10</f>
        <v>E-PPT24</v>
      </c>
      <c r="C73" s="357" t="str">
        <f>TRIM(CONCATENATE('ADJ DETAIL-INPUT'!BN$6," ",'ADJ DETAIL-INPUT'!BN$7," ",'ADJ DETAIL-INPUT'!BN$8))</f>
        <v>Pro Forma Property Tax</v>
      </c>
      <c r="D73" s="195">
        <f>'ADJ DETAIL-INPUT'!BN$56</f>
        <v>-494.53999999999996</v>
      </c>
      <c r="E73" s="195">
        <f>'ADJ DETAIL-INPUT'!BN$80</f>
        <v>0</v>
      </c>
      <c r="F73" s="256">
        <f t="shared" si="2"/>
        <v>654.76489949609015</v>
      </c>
      <c r="G73" s="379"/>
      <c r="H73" s="597"/>
      <c r="I73" s="737" t="s">
        <v>250</v>
      </c>
      <c r="J73" s="893" t="s">
        <v>698</v>
      </c>
      <c r="K73" s="825"/>
    </row>
    <row r="74" spans="1:11" s="149" customFormat="1">
      <c r="A74" s="378">
        <f>'ADJ DETAIL-INPUT'!BO$9</f>
        <v>5.0499999999999989</v>
      </c>
      <c r="B74" s="356" t="str">
        <f>'ADJ DETAIL-INPUT'!BO$10</f>
        <v>E-PINS24</v>
      </c>
      <c r="C74" s="357" t="str">
        <f>TRIM(CONCATENATE('ADJ DETAIL-INPUT'!BO$6," ",'ADJ DETAIL-INPUT'!BO$7," ",'ADJ DETAIL-INPUT'!BO$8))</f>
        <v>Pro Forma Insurance Expense</v>
      </c>
      <c r="D74" s="253">
        <f>'ADJ DETAIL-INPUT'!BO$56</f>
        <v>-1194.48</v>
      </c>
      <c r="E74" s="195">
        <f>'ADJ DETAIL-INPUT'!BO$80</f>
        <v>0</v>
      </c>
      <c r="F74" s="256">
        <f t="shared" si="2"/>
        <v>1581.4768818499815</v>
      </c>
      <c r="G74" s="379"/>
      <c r="H74" s="597"/>
      <c r="I74" s="737" t="s">
        <v>650</v>
      </c>
      <c r="J74" s="918" t="s">
        <v>698</v>
      </c>
      <c r="K74" s="738"/>
    </row>
    <row r="75" spans="1:11" s="149" customFormat="1">
      <c r="A75" s="378">
        <f>'ADJ DETAIL-INPUT'!BP$9</f>
        <v>5.0599999999999987</v>
      </c>
      <c r="B75" s="356" t="str">
        <f>'ADJ DETAIL-INPUT'!BP$10</f>
        <v>E-TER24</v>
      </c>
      <c r="C75" s="357" t="str">
        <f>TRIM(CONCATENATE('ADJ DETAIL-INPUT'!BP$6," ",'ADJ DETAIL-INPUT'!BP$7," ",'ADJ DETAIL-INPUT'!BP$8))</f>
        <v>Transportation Electrification Return (Kicker)</v>
      </c>
      <c r="D75" s="195">
        <f>'ADJ DETAIL-INPUT'!BP$56</f>
        <v>-36.340000000000003</v>
      </c>
      <c r="E75" s="195">
        <f>'ADJ DETAIL-INPUT'!BP$80</f>
        <v>0</v>
      </c>
      <c r="F75" s="256">
        <f t="shared" si="2"/>
        <v>48.113714659457116</v>
      </c>
      <c r="G75" s="379"/>
      <c r="H75" s="597"/>
      <c r="I75" s="737" t="s">
        <v>1027</v>
      </c>
      <c r="J75" s="1100" t="s">
        <v>698</v>
      </c>
      <c r="K75" s="738"/>
    </row>
    <row r="76" spans="1:11" s="149" customFormat="1">
      <c r="A76" s="378">
        <f>'ADJ DETAIL-INPUT'!BQ$9</f>
        <v>5.0699999999999985</v>
      </c>
      <c r="B76" s="356" t="str">
        <f>'ADJ DETAIL-INPUT'!BQ$10</f>
        <v>E-PMisc24</v>
      </c>
      <c r="C76" s="357" t="str">
        <f>TRIM(CONCATENATE('ADJ DETAIL-INPUT'!BQ$6," ",'ADJ DETAIL-INPUT'!BQ$7," ",'ADJ DETAIL-INPUT'!BQ$8))</f>
        <v>Pro Forma Misc O&amp;M Exp</v>
      </c>
      <c r="D76" s="253">
        <f>'ADJ DETAIL-INPUT'!BQ$56</f>
        <v>-3431.3215499999997</v>
      </c>
      <c r="E76" s="195">
        <f>'ADJ DETAIL-INPUT'!BQ$80</f>
        <v>0</v>
      </c>
      <c r="F76" s="256">
        <f t="shared" si="2"/>
        <v>4543.027681935775</v>
      </c>
      <c r="G76" s="379"/>
      <c r="H76" s="737"/>
      <c r="I76" s="737" t="s">
        <v>608</v>
      </c>
      <c r="J76" s="1100" t="s">
        <v>698</v>
      </c>
      <c r="K76" s="738"/>
    </row>
    <row r="77" spans="1:11" s="149" customFormat="1">
      <c r="A77" s="378">
        <f>'ADJ DETAIL-INPUT'!BR$9</f>
        <v>5.0799999999999983</v>
      </c>
      <c r="B77" s="356" t="str">
        <f>'ADJ DETAIL-INPUT'!BR$10</f>
        <v>E-PVCap24</v>
      </c>
      <c r="C77" s="357" t="str">
        <f>TRIM(CONCATENATE('ADJ DETAIL-INPUT'!BR$6," ",'ADJ DETAIL-INPUT'!BR$7," ",'ADJ DETAIL-INPUT'!BR$8))</f>
        <v>Provisional Capital Groups 2024 Adds AMA</v>
      </c>
      <c r="D77" s="253">
        <f>'ADJ DETAIL-INPUT'!BR$56</f>
        <v>-928.90936648550905</v>
      </c>
      <c r="E77" s="195">
        <f>'ADJ DETAIL-INPUT'!BR$80</f>
        <v>76786.318394927875</v>
      </c>
      <c r="F77" s="256">
        <f t="shared" si="2"/>
        <v>8376.8539795747602</v>
      </c>
      <c r="G77" s="379"/>
      <c r="I77" s="737" t="s">
        <v>921</v>
      </c>
      <c r="J77" s="1100" t="s">
        <v>698</v>
      </c>
      <c r="K77" s="738"/>
    </row>
    <row r="78" spans="1:11" s="149" customFormat="1">
      <c r="A78" s="378">
        <f>'ADJ DETAIL-INPUT'!BS$9</f>
        <v>5.0899999999999981</v>
      </c>
      <c r="B78" s="356" t="str">
        <f>'ADJ DETAIL-INPUT'!BS$10</f>
        <v>E-Offsets24</v>
      </c>
      <c r="C78" s="357" t="str">
        <f>TRIM(CONCATENATE('ADJ DETAIL-INPUT'!BS$6," ",'ADJ DETAIL-INPUT'!BS$7," ",'ADJ DETAIL-INPUT'!BS$8))</f>
        <v>Prov. 2024 Capital O&amp;M Offsets &amp; Revnues</v>
      </c>
      <c r="D78" s="253">
        <f>'ADJ DETAIL-INPUT'!BS$56</f>
        <v>2687.58</v>
      </c>
      <c r="E78" s="195">
        <f>'ADJ DETAIL-INPUT'!BS$80</f>
        <v>0</v>
      </c>
      <c r="F78" s="256">
        <f t="shared" si="2"/>
        <v>-3558.3229841624584</v>
      </c>
      <c r="G78" s="379"/>
      <c r="I78" s="737" t="s">
        <v>1001</v>
      </c>
      <c r="J78" s="1100" t="s">
        <v>698</v>
      </c>
      <c r="K78" s="940"/>
    </row>
    <row r="79" spans="1:11" s="149" customFormat="1">
      <c r="A79" s="378">
        <f>'ADJ DETAIL-INPUT'!BT$9</f>
        <v>5.0999999999999979</v>
      </c>
      <c r="B79" s="356" t="str">
        <f>'ADJ DETAIL-INPUT'!BT$10</f>
        <v>E-PVWF24</v>
      </c>
      <c r="C79" s="357" t="str">
        <f>TRIM(CONCATENATE('ADJ DETAIL-INPUT'!BT$6," ",'ADJ DETAIL-INPUT'!BT$7," ",'ADJ DETAIL-INPUT'!BT$8))</f>
        <v>Provisional Wildfire 2024 Cap Adds AMA</v>
      </c>
      <c r="D79" s="253">
        <f>'ADJ DETAIL-INPUT'!BT$56</f>
        <v>-284.38597000000004</v>
      </c>
      <c r="E79" s="195">
        <f>'ADJ DETAIL-INPUT'!BT$80</f>
        <v>15690</v>
      </c>
      <c r="F79" s="256">
        <f t="shared" si="2"/>
        <v>1836.8912900142197</v>
      </c>
      <c r="G79" s="379"/>
      <c r="I79" s="737" t="s">
        <v>917</v>
      </c>
      <c r="J79" s="1052" t="s">
        <v>698</v>
      </c>
      <c r="K79" s="887"/>
    </row>
    <row r="80" spans="1:11" s="149" customFormat="1">
      <c r="A80" s="378">
        <f>'ADJ DETAIL-INPUT'!BU$9</f>
        <v>5.1099999999999977</v>
      </c>
      <c r="B80" s="356" t="str">
        <f>'ADJ DETAIL-INPUT'!BU$10</f>
        <v>E-PVCOL24</v>
      </c>
      <c r="C80" s="357" t="str">
        <f>TRIM(CONCATENATE('ADJ DETAIL-INPUT'!BU$6," ",'ADJ DETAIL-INPUT'!BU$7," ",'ADJ DETAIL-INPUT'!BU$8))</f>
        <v>Provisional Colstrip 2024 Cap Adds AMA</v>
      </c>
      <c r="D80" s="253">
        <f>'ADJ DETAIL-INPUT'!BU$56</f>
        <v>-50.557688999999996</v>
      </c>
      <c r="E80" s="195">
        <f>'ADJ DETAIL-INPUT'!BU$80</f>
        <v>-9747</v>
      </c>
      <c r="F80" s="256">
        <f t="shared" si="2"/>
        <v>-840.27731055721347</v>
      </c>
      <c r="G80" s="379"/>
      <c r="H80" s="597"/>
      <c r="I80" s="737" t="s">
        <v>250</v>
      </c>
      <c r="J80" s="893" t="s">
        <v>698</v>
      </c>
      <c r="K80" s="738"/>
    </row>
    <row r="81" spans="1:11" s="149" customFormat="1">
      <c r="A81" s="378">
        <f>'ADJ DETAIL-INPUT'!BV$9</f>
        <v>5.1199999999999974</v>
      </c>
      <c r="B81" s="356" t="str">
        <f>'ADJ DETAIL-INPUT'!BV$10</f>
        <v>E-PVEIM24</v>
      </c>
      <c r="C81" s="357" t="str">
        <f>TRIM(CONCATENATE('ADJ DETAIL-INPUT'!BV$6," ",'ADJ DETAIL-INPUT'!BV$7," ",'ADJ DETAIL-INPUT'!BV$8))</f>
        <v>Provisional EIM 2024 Cap Cap Adds AMA</v>
      </c>
      <c r="D81" s="253">
        <f>'ADJ DETAIL-INPUT'!BV$56</f>
        <v>-34.208403000000004</v>
      </c>
      <c r="E81" s="195">
        <f>'ADJ DETAIL-INPUT'!BV$80</f>
        <v>-1569</v>
      </c>
      <c r="F81" s="256">
        <f t="shared" si="2"/>
        <v>-100.74526872979264</v>
      </c>
      <c r="G81" s="379"/>
      <c r="H81" s="597"/>
      <c r="I81" s="737" t="s">
        <v>921</v>
      </c>
      <c r="J81" s="1052" t="s">
        <v>698</v>
      </c>
      <c r="K81" s="887"/>
    </row>
    <row r="82" spans="1:11" ht="13.5" thickBot="1">
      <c r="A82" s="801"/>
      <c r="B82" s="801"/>
      <c r="C82" s="59" t="s">
        <v>1102</v>
      </c>
      <c r="D82" s="1126">
        <f>SUM(D65:D81)</f>
        <v>104949.67005082963</v>
      </c>
      <c r="E82" s="1126">
        <f>SUM(E65:E81)</f>
        <v>2119984.9957257682</v>
      </c>
      <c r="F82" s="1126">
        <f>SUM(F65:F81)</f>
        <v>58368.364039290595</v>
      </c>
      <c r="G82" s="169">
        <f>D82/E82</f>
        <v>4.9504911715141903E-2</v>
      </c>
      <c r="H82" s="726"/>
      <c r="I82" s="836"/>
      <c r="J82" s="102"/>
    </row>
    <row r="83" spans="1:11" s="149" customFormat="1" ht="14.25" thickTop="1" thickBot="1">
      <c r="A83" s="188"/>
      <c r="B83" s="479"/>
      <c r="C83" s="479" t="s">
        <v>1104</v>
      </c>
      <c r="D83" s="352"/>
      <c r="E83" s="352"/>
      <c r="F83" s="1127">
        <f>F82-F65</f>
        <v>15093.348107689104</v>
      </c>
      <c r="G83" s="379"/>
      <c r="H83" s="597"/>
      <c r="I83" s="836"/>
      <c r="J83" s="490"/>
      <c r="K83" s="738"/>
    </row>
    <row r="84" spans="1:11" s="149" customFormat="1" ht="13.5" thickTop="1">
      <c r="A84" s="188"/>
      <c r="B84" s="479"/>
      <c r="C84" s="137"/>
      <c r="D84" s="253"/>
      <c r="E84" s="253"/>
      <c r="F84" s="253"/>
      <c r="G84" s="379"/>
      <c r="H84" s="597"/>
      <c r="I84" s="836"/>
      <c r="J84" s="490"/>
      <c r="K84" s="738"/>
    </row>
    <row r="85" spans="1:11" s="149" customFormat="1">
      <c r="A85" s="188"/>
      <c r="B85" s="479"/>
      <c r="C85" s="137"/>
      <c r="D85" s="253"/>
      <c r="E85" s="253"/>
      <c r="F85" s="253"/>
      <c r="G85" s="379"/>
      <c r="H85" s="597"/>
      <c r="I85" s="836"/>
      <c r="J85" s="490"/>
      <c r="K85" s="738"/>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5">
    <mergeCell ref="A1:G1"/>
    <mergeCell ref="A2:G2"/>
    <mergeCell ref="A3:G3"/>
    <mergeCell ref="A4:G4"/>
    <mergeCell ref="D7:F7"/>
  </mergeCells>
  <phoneticPr fontId="0" type="noConversion"/>
  <pageMargins left="1.1000000000000001" right="0.75" top="1.1299999999999999" bottom="0.75" header="0.5" footer="0.5"/>
  <pageSetup scale="80" orientation="portrait" r:id="rId3"/>
  <headerFooter alignWithMargins="0">
    <oddHeader>&amp;C
&amp;R Exh. EMA-8 - REVISED (60-Day update)
Reflects Bench Request 1 -  Revised</oddHeader>
    <oddFooter>&amp;C
&amp;RPage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140625" defaultRowHeight="12.75"/>
  <cols>
    <col min="1" max="16384" width="9.140625" style="473"/>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66AB6-CBB4-45D0-B9F3-288A842A7696}">
  <sheetPr codeName="Sheet9">
    <pageSetUpPr fitToPage="1"/>
  </sheetPr>
  <dimension ref="A1:K45"/>
  <sheetViews>
    <sheetView workbookViewId="0">
      <selection activeCell="I35" sqref="I35"/>
    </sheetView>
  </sheetViews>
  <sheetFormatPr defaultColWidth="9.140625" defaultRowHeight="12.75"/>
  <cols>
    <col min="1" max="1" width="30.85546875" style="691" customWidth="1"/>
    <col min="2" max="2" width="9.140625" style="691" customWidth="1"/>
    <col min="3" max="3" width="9.5703125" style="691" customWidth="1"/>
    <col min="4" max="4" width="15.140625" style="691" customWidth="1"/>
    <col min="5" max="5" width="12" style="691" customWidth="1"/>
    <col min="6" max="9" width="9.140625" style="691"/>
    <col min="10" max="10" width="9.42578125" style="691" customWidth="1"/>
    <col min="11" max="16384" width="9.140625" style="691"/>
  </cols>
  <sheetData>
    <row r="1" spans="1:11" s="688" customFormat="1">
      <c r="A1" s="686" t="s">
        <v>115</v>
      </c>
      <c r="B1" s="686"/>
      <c r="C1" s="686"/>
      <c r="D1" s="686"/>
      <c r="E1" s="687"/>
      <c r="F1" s="686"/>
    </row>
    <row r="2" spans="1:11" s="688" customFormat="1">
      <c r="A2" s="686" t="s">
        <v>892</v>
      </c>
      <c r="B2" s="686"/>
      <c r="C2" s="686"/>
      <c r="D2" s="686"/>
      <c r="E2" s="689"/>
      <c r="F2" s="686"/>
    </row>
    <row r="3" spans="1:11" s="688" customFormat="1">
      <c r="A3" s="686" t="s">
        <v>916</v>
      </c>
      <c r="B3" s="686"/>
      <c r="C3" s="686"/>
      <c r="D3" s="686"/>
      <c r="E3" s="686"/>
      <c r="F3" s="686"/>
    </row>
    <row r="4" spans="1:11">
      <c r="A4" s="690"/>
      <c r="B4" s="690"/>
      <c r="C4" s="690"/>
      <c r="E4" s="690"/>
      <c r="F4" s="690"/>
    </row>
    <row r="5" spans="1:11">
      <c r="A5" s="690" t="s">
        <v>893</v>
      </c>
      <c r="B5" s="690"/>
      <c r="C5" s="690"/>
      <c r="E5" s="690">
        <v>1</v>
      </c>
      <c r="F5" s="690"/>
    </row>
    <row r="6" spans="1:11">
      <c r="A6" s="690"/>
      <c r="B6" s="690"/>
      <c r="C6" s="690"/>
      <c r="E6" s="690"/>
      <c r="F6" s="690"/>
    </row>
    <row r="7" spans="1:11">
      <c r="A7" s="690" t="s">
        <v>172</v>
      </c>
      <c r="B7" s="690"/>
      <c r="C7" s="690"/>
      <c r="E7" s="690"/>
      <c r="F7" s="690"/>
    </row>
    <row r="8" spans="1:11">
      <c r="A8" s="690"/>
      <c r="B8" s="690"/>
      <c r="C8" s="690"/>
      <c r="E8" s="690"/>
      <c r="F8" s="690"/>
    </row>
    <row r="9" spans="1:11">
      <c r="A9" s="690" t="s">
        <v>894</v>
      </c>
      <c r="B9" s="690"/>
      <c r="C9" s="690"/>
      <c r="E9" s="888">
        <f>E30</f>
        <v>3.3262888499492435E-3</v>
      </c>
      <c r="F9" s="690"/>
    </row>
    <row r="10" spans="1:11">
      <c r="A10" s="690"/>
      <c r="B10" s="690"/>
      <c r="C10" s="690"/>
      <c r="E10" s="690"/>
      <c r="F10" s="690"/>
    </row>
    <row r="11" spans="1:11">
      <c r="A11" s="690" t="s">
        <v>895</v>
      </c>
      <c r="B11" s="690"/>
      <c r="C11" s="690"/>
      <c r="E11" s="690">
        <v>2E-3</v>
      </c>
      <c r="F11" s="690"/>
    </row>
    <row r="12" spans="1:11">
      <c r="A12" s="690"/>
      <c r="B12" s="690"/>
      <c r="C12" s="690"/>
      <c r="E12" s="690"/>
      <c r="F12" s="690"/>
    </row>
    <row r="13" spans="1:11">
      <c r="A13" s="690" t="s">
        <v>896</v>
      </c>
      <c r="B13" s="690"/>
      <c r="C13" s="690"/>
      <c r="E13" s="690">
        <f>E43</f>
        <v>3.8605159527686062E-2</v>
      </c>
      <c r="F13" s="690"/>
    </row>
    <row r="14" spans="1:11">
      <c r="A14" s="690"/>
      <c r="B14" s="690"/>
      <c r="C14" s="690"/>
      <c r="E14" s="690"/>
      <c r="F14" s="690"/>
    </row>
    <row r="15" spans="1:11">
      <c r="A15" s="690"/>
      <c r="B15" s="690"/>
      <c r="C15" s="690"/>
      <c r="E15" s="690"/>
    </row>
    <row r="16" spans="1:11">
      <c r="A16" s="690" t="s">
        <v>176</v>
      </c>
      <c r="B16" s="690"/>
      <c r="C16" s="690"/>
      <c r="E16" s="692">
        <f>SUM(E8:E14)</f>
        <v>4.3931448377635303E-2</v>
      </c>
      <c r="F16" s="690"/>
      <c r="K16" s="693"/>
    </row>
    <row r="17" spans="1:6">
      <c r="A17" s="690"/>
      <c r="B17" s="690"/>
      <c r="C17" s="690"/>
      <c r="E17" s="690"/>
    </row>
    <row r="18" spans="1:6">
      <c r="A18" s="690" t="s">
        <v>177</v>
      </c>
      <c r="B18" s="690"/>
      <c r="C18" s="690"/>
      <c r="E18" s="690">
        <f>E5-E16</f>
        <v>0.9560685516223647</v>
      </c>
      <c r="F18" s="690"/>
    </row>
    <row r="19" spans="1:6">
      <c r="A19" s="690"/>
      <c r="B19" s="690"/>
      <c r="C19" s="690"/>
      <c r="E19" s="690"/>
      <c r="F19" s="690"/>
    </row>
    <row r="20" spans="1:6">
      <c r="A20" s="690" t="s">
        <v>897</v>
      </c>
      <c r="B20" s="694">
        <v>0.21</v>
      </c>
      <c r="C20" s="695" t="s">
        <v>898</v>
      </c>
      <c r="E20" s="690">
        <f>E18*$B$20</f>
        <v>0.20077439584069659</v>
      </c>
      <c r="F20" s="690"/>
    </row>
    <row r="21" spans="1:6">
      <c r="A21" s="690"/>
      <c r="B21" s="690"/>
      <c r="C21" s="690"/>
      <c r="E21" s="690"/>
      <c r="F21" s="690"/>
    </row>
    <row r="22" spans="1:6">
      <c r="A22" s="690" t="s">
        <v>178</v>
      </c>
      <c r="B22" s="690"/>
      <c r="C22" s="690"/>
      <c r="E22" s="696">
        <f>E18-E20</f>
        <v>0.75529415578166814</v>
      </c>
      <c r="F22" s="690"/>
    </row>
    <row r="23" spans="1:6">
      <c r="A23" s="690"/>
      <c r="B23" s="690"/>
      <c r="C23" s="690"/>
      <c r="E23" s="690"/>
      <c r="F23" s="690"/>
    </row>
    <row r="24" spans="1:6">
      <c r="A24" s="690"/>
      <c r="B24" s="690"/>
      <c r="C24" s="690"/>
      <c r="E24" s="690"/>
      <c r="F24" s="690"/>
    </row>
    <row r="25" spans="1:6">
      <c r="A25" s="690" t="s">
        <v>889</v>
      </c>
      <c r="B25" s="690"/>
      <c r="C25" s="690"/>
      <c r="E25" s="690"/>
      <c r="F25" s="690"/>
    </row>
    <row r="26" spans="1:6">
      <c r="A26" s="690" t="s">
        <v>899</v>
      </c>
      <c r="B26" s="690"/>
      <c r="C26" s="690"/>
      <c r="E26" s="690"/>
      <c r="F26" s="690"/>
    </row>
    <row r="27" spans="1:6">
      <c r="A27" s="690" t="s">
        <v>900</v>
      </c>
      <c r="B27" s="690"/>
      <c r="C27" s="697" t="s">
        <v>891</v>
      </c>
      <c r="D27" s="698">
        <v>1885328</v>
      </c>
      <c r="E27" s="699"/>
      <c r="F27" s="690"/>
    </row>
    <row r="28" spans="1:6">
      <c r="A28" s="690" t="s">
        <v>901</v>
      </c>
      <c r="B28" s="690"/>
      <c r="C28" s="690"/>
      <c r="D28" s="698"/>
      <c r="E28" s="699"/>
      <c r="F28" s="690"/>
    </row>
    <row r="29" spans="1:6">
      <c r="A29" s="690" t="s">
        <v>902</v>
      </c>
      <c r="B29" s="690"/>
      <c r="C29" s="697" t="s">
        <v>898</v>
      </c>
      <c r="D29" s="700">
        <v>566796236</v>
      </c>
      <c r="E29" s="699"/>
      <c r="F29" s="690"/>
    </row>
    <row r="30" spans="1:6">
      <c r="A30" s="690" t="s">
        <v>903</v>
      </c>
      <c r="B30" s="690"/>
      <c r="C30" s="690"/>
      <c r="E30" s="692">
        <f>D27/D29</f>
        <v>3.3262888499492435E-3</v>
      </c>
      <c r="F30" s="690"/>
    </row>
    <row r="31" spans="1:6">
      <c r="A31" s="690" t="s">
        <v>904</v>
      </c>
      <c r="B31" s="690"/>
      <c r="C31" s="690"/>
      <c r="E31" s="690"/>
      <c r="F31" s="690"/>
    </row>
    <row r="32" spans="1:6">
      <c r="A32" s="690" t="s">
        <v>905</v>
      </c>
      <c r="B32" s="690"/>
      <c r="E32" s="690"/>
      <c r="F32" s="690"/>
    </row>
    <row r="33" spans="1:6">
      <c r="A33" s="690"/>
      <c r="B33" s="690"/>
      <c r="C33" s="690"/>
      <c r="E33" s="690"/>
      <c r="F33" s="690"/>
    </row>
    <row r="34" spans="1:6" ht="24" customHeight="1">
      <c r="A34" s="1390" t="s">
        <v>915</v>
      </c>
      <c r="B34" s="1390"/>
      <c r="C34" s="1390"/>
      <c r="D34" s="1390"/>
      <c r="E34" s="1390"/>
      <c r="F34" s="690"/>
    </row>
    <row r="35" spans="1:6">
      <c r="A35" s="690"/>
      <c r="B35" s="690"/>
      <c r="C35" s="690"/>
      <c r="E35" s="690"/>
      <c r="F35" s="690"/>
    </row>
    <row r="36" spans="1:6">
      <c r="A36" s="690" t="s">
        <v>906</v>
      </c>
      <c r="B36" s="690"/>
      <c r="C36" s="690"/>
      <c r="E36" s="690"/>
      <c r="F36" s="690"/>
    </row>
    <row r="37" spans="1:6">
      <c r="A37" s="690" t="s">
        <v>907</v>
      </c>
      <c r="B37" s="690"/>
      <c r="C37" s="690"/>
      <c r="D37" s="690">
        <v>3.8733999999999998E-2</v>
      </c>
      <c r="E37" s="690"/>
      <c r="F37" s="690"/>
    </row>
    <row r="38" spans="1:6">
      <c r="A38" s="690" t="s">
        <v>908</v>
      </c>
      <c r="B38" s="690"/>
      <c r="C38" s="690"/>
      <c r="D38" s="690"/>
      <c r="E38" s="690"/>
      <c r="F38" s="690"/>
    </row>
    <row r="39" spans="1:6">
      <c r="A39" s="690" t="s">
        <v>909</v>
      </c>
      <c r="B39" s="690"/>
      <c r="C39" s="690"/>
      <c r="D39" s="690"/>
      <c r="E39" s="690"/>
      <c r="F39" s="690"/>
    </row>
    <row r="40" spans="1:6">
      <c r="A40" s="690" t="s">
        <v>910</v>
      </c>
      <c r="C40" s="690">
        <v>1</v>
      </c>
      <c r="D40" s="690"/>
      <c r="E40" s="690"/>
      <c r="F40" s="690"/>
    </row>
    <row r="41" spans="1:6">
      <c r="A41" s="690" t="s">
        <v>911</v>
      </c>
      <c r="C41" s="690"/>
      <c r="D41" s="690"/>
      <c r="E41" s="690"/>
      <c r="F41" s="690"/>
    </row>
    <row r="42" spans="1:6">
      <c r="A42" s="690" t="s">
        <v>912</v>
      </c>
      <c r="C42" s="701">
        <f>E30</f>
        <v>3.3262888499492435E-3</v>
      </c>
      <c r="D42" s="701">
        <f>C40-C42</f>
        <v>0.99667371115005077</v>
      </c>
      <c r="E42" s="701"/>
      <c r="F42" s="690"/>
    </row>
    <row r="43" spans="1:6">
      <c r="A43" s="690" t="s">
        <v>913</v>
      </c>
      <c r="B43" s="690"/>
      <c r="C43" s="690"/>
      <c r="D43" s="690"/>
      <c r="E43" s="701">
        <f>D37*D42</f>
        <v>3.8605159527686062E-2</v>
      </c>
      <c r="F43" s="690"/>
    </row>
    <row r="44" spans="1:6">
      <c r="A44" s="690" t="s">
        <v>914</v>
      </c>
      <c r="B44" s="690"/>
      <c r="C44" s="690"/>
      <c r="D44" s="690"/>
      <c r="E44" s="690"/>
      <c r="F44" s="690"/>
    </row>
    <row r="45" spans="1:6">
      <c r="A45" s="690"/>
      <c r="B45" s="690"/>
      <c r="C45" s="690"/>
      <c r="D45" s="690"/>
      <c r="E45" s="690"/>
      <c r="F45" s="690"/>
    </row>
  </sheetData>
  <mergeCells count="1">
    <mergeCell ref="A34:E34"/>
  </mergeCells>
  <printOptions horizontalCentered="1"/>
  <pageMargins left="0.75" right="0.75" top="0.75" bottom="0.75" header="0.5" footer="0.5"/>
  <pageSetup orientation="portrait" horizontalDpi="300" verticalDpi="300" r:id="rId1"/>
  <headerFooter alignWithMargins="0">
    <oddHeader xml:space="preserve">&amp;RAdjustment No. _______
Workpaper Ref. &amp;A
</oddHeader>
    <oddFooter>&amp;L&amp;F&amp;RPrep by: ____________     1st Review:__________
          Date:  &amp;D           Mgr. Review:__________</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D519"/>
  <sheetViews>
    <sheetView workbookViewId="0"/>
  </sheetViews>
  <sheetFormatPr defaultColWidth="12.42578125" defaultRowHeight="12"/>
  <cols>
    <col min="1" max="1" width="7.85546875" style="259" customWidth="1"/>
    <col min="2" max="2" width="26.140625" style="258" customWidth="1"/>
    <col min="3" max="3" width="12.42578125" style="258" customWidth="1"/>
    <col min="4" max="4" width="5.5703125" style="258" bestFit="1" customWidth="1"/>
    <col min="5" max="5" width="14.5703125" style="258" customWidth="1"/>
    <col min="6" max="8" width="12.42578125" style="258" customWidth="1"/>
    <col min="9" max="9" width="14.5703125" style="258" hidden="1" customWidth="1"/>
    <col min="10" max="11" width="12.42578125" style="258" hidden="1" customWidth="1"/>
    <col min="12" max="16384" width="12.42578125" style="258"/>
  </cols>
  <sheetData>
    <row r="1" spans="1:11">
      <c r="A1" s="285" t="s">
        <v>115</v>
      </c>
      <c r="B1" s="286"/>
      <c r="C1" s="285"/>
    </row>
    <row r="2" spans="1:11">
      <c r="A2" s="285" t="s">
        <v>85</v>
      </c>
      <c r="B2" s="286"/>
      <c r="C2" s="285"/>
      <c r="I2" s="285"/>
      <c r="J2" s="259" t="s">
        <v>137</v>
      </c>
      <c r="K2" s="285"/>
    </row>
    <row r="3" spans="1:11">
      <c r="A3" s="286" t="s">
        <v>916</v>
      </c>
      <c r="B3" s="286"/>
      <c r="C3" s="285"/>
      <c r="I3" s="285" t="s">
        <v>138</v>
      </c>
      <c r="J3" s="285"/>
      <c r="K3" s="285"/>
    </row>
    <row r="4" spans="1:11">
      <c r="A4" s="285" t="s">
        <v>0</v>
      </c>
      <c r="B4" s="286"/>
      <c r="C4" s="285"/>
      <c r="F4" s="359"/>
      <c r="I4" s="284" t="s">
        <v>88</v>
      </c>
      <c r="J4" s="284"/>
      <c r="K4" s="283"/>
    </row>
    <row r="5" spans="1:11">
      <c r="A5" s="285"/>
      <c r="B5" s="286"/>
      <c r="C5" s="285"/>
      <c r="I5" s="282"/>
      <c r="J5" s="282"/>
      <c r="K5" s="281"/>
    </row>
    <row r="6" spans="1:11">
      <c r="A6" s="285"/>
      <c r="B6" s="286"/>
      <c r="C6" s="285"/>
      <c r="E6" s="285" t="s">
        <v>86</v>
      </c>
      <c r="F6" s="285"/>
      <c r="G6" s="285"/>
      <c r="I6" s="282"/>
      <c r="J6" s="282"/>
      <c r="K6" s="281"/>
    </row>
    <row r="7" spans="1:11">
      <c r="A7" s="285"/>
      <c r="B7" s="286"/>
      <c r="C7" s="285"/>
      <c r="E7" s="285" t="s">
        <v>87</v>
      </c>
      <c r="F7" s="285"/>
      <c r="G7" s="285"/>
      <c r="I7" s="282"/>
      <c r="J7" s="282"/>
      <c r="K7" s="281"/>
    </row>
    <row r="8" spans="1:11">
      <c r="A8" s="285"/>
      <c r="B8" s="286"/>
      <c r="C8" s="285"/>
      <c r="E8" s="284" t="s">
        <v>88</v>
      </c>
      <c r="F8" s="284"/>
      <c r="G8" s="283"/>
      <c r="I8" s="282"/>
      <c r="J8" s="282"/>
      <c r="K8" s="281"/>
    </row>
    <row r="9" spans="1:11">
      <c r="A9" s="259" t="s">
        <v>8</v>
      </c>
    </row>
    <row r="10" spans="1:11" s="259" customFormat="1">
      <c r="A10" s="259" t="s">
        <v>89</v>
      </c>
      <c r="B10" s="280" t="s">
        <v>22</v>
      </c>
      <c r="C10" s="280"/>
      <c r="E10" s="280" t="s">
        <v>90</v>
      </c>
      <c r="F10" s="280" t="s">
        <v>91</v>
      </c>
      <c r="G10" s="280" t="s">
        <v>75</v>
      </c>
      <c r="H10" s="279" t="s">
        <v>92</v>
      </c>
      <c r="I10" s="280" t="s">
        <v>90</v>
      </c>
      <c r="J10" s="280" t="s">
        <v>91</v>
      </c>
      <c r="K10" s="280"/>
    </row>
    <row r="11" spans="1:11" s="259" customFormat="1" ht="5.25" customHeight="1">
      <c r="B11" s="337"/>
      <c r="C11" s="337"/>
      <c r="E11" s="337"/>
      <c r="F11" s="337"/>
      <c r="G11" s="337"/>
      <c r="H11" s="279"/>
      <c r="I11" s="337"/>
      <c r="J11" s="337"/>
      <c r="K11" s="337"/>
    </row>
    <row r="12" spans="1:11" s="259" customFormat="1" ht="5.25" customHeight="1">
      <c r="B12" s="337"/>
      <c r="C12" s="337"/>
      <c r="E12" s="337"/>
      <c r="F12" s="337"/>
      <c r="G12" s="337"/>
      <c r="H12" s="279"/>
      <c r="I12" s="337"/>
      <c r="J12" s="337"/>
      <c r="K12" s="337"/>
    </row>
    <row r="13" spans="1:11">
      <c r="B13" s="261" t="s">
        <v>40</v>
      </c>
    </row>
    <row r="14" spans="1:11" s="265" customFormat="1">
      <c r="A14" s="268">
        <v>1</v>
      </c>
      <c r="B14" s="267" t="s">
        <v>41</v>
      </c>
      <c r="E14" s="273">
        <f>F14+G14</f>
        <v>565624</v>
      </c>
      <c r="F14" s="273">
        <f>SUM(F86:F89)+F91</f>
        <v>565624</v>
      </c>
      <c r="G14" s="273">
        <f>SUM(G86:G90)</f>
        <v>0</v>
      </c>
      <c r="H14" s="265" t="str">
        <f t="shared" ref="H14:H19" si="0">IF(E14=F14+G14," ","ERROR")</f>
        <v xml:space="preserve"> </v>
      </c>
      <c r="I14" s="273" t="e">
        <f>J14+K14</f>
        <v>#REF!</v>
      </c>
      <c r="J14" s="273" t="e">
        <f>#REF!</f>
        <v>#REF!</v>
      </c>
      <c r="K14" s="273"/>
    </row>
    <row r="15" spans="1:11">
      <c r="A15" s="259">
        <v>2</v>
      </c>
      <c r="B15" s="261" t="s">
        <v>42</v>
      </c>
      <c r="E15" s="270">
        <f>F15+G15</f>
        <v>1173</v>
      </c>
      <c r="F15" s="270">
        <f>SUM(F90)</f>
        <v>1173</v>
      </c>
      <c r="G15" s="270">
        <f>SUM(G91)</f>
        <v>0</v>
      </c>
      <c r="H15" s="265" t="str">
        <f t="shared" si="0"/>
        <v xml:space="preserve"> </v>
      </c>
      <c r="I15" s="270" t="e">
        <f>J15+K15</f>
        <v>#REF!</v>
      </c>
      <c r="J15" s="270" t="e">
        <f>#REF!</f>
        <v>#REF!</v>
      </c>
      <c r="K15" s="270"/>
    </row>
    <row r="16" spans="1:11">
      <c r="A16" s="259">
        <v>3</v>
      </c>
      <c r="B16" s="261" t="s">
        <v>93</v>
      </c>
      <c r="E16" s="270">
        <f>F16+G16</f>
        <v>50450</v>
      </c>
      <c r="F16" s="270">
        <f>SUM(F94)</f>
        <v>50450</v>
      </c>
      <c r="G16" s="270">
        <f>SUM(G94)</f>
        <v>0</v>
      </c>
      <c r="H16" s="265" t="str">
        <f t="shared" si="0"/>
        <v xml:space="preserve"> </v>
      </c>
      <c r="I16" s="270" t="e">
        <f>J16+K16</f>
        <v>#REF!</v>
      </c>
      <c r="J16" s="270" t="e">
        <f>#REF!</f>
        <v>#REF!</v>
      </c>
      <c r="K16" s="270"/>
    </row>
    <row r="17" spans="1:11">
      <c r="A17" s="259">
        <v>4</v>
      </c>
      <c r="B17" s="261" t="s">
        <v>94</v>
      </c>
      <c r="E17" s="277">
        <f>E14+E15+E16</f>
        <v>617247</v>
      </c>
      <c r="F17" s="277">
        <f>F14+F15+F16</f>
        <v>617247</v>
      </c>
      <c r="G17" s="277">
        <f>G14+G15+G16</f>
        <v>0</v>
      </c>
      <c r="H17" s="265" t="str">
        <f t="shared" si="0"/>
        <v xml:space="preserve"> </v>
      </c>
      <c r="I17" s="277" t="e">
        <f>I14+I15+I16</f>
        <v>#REF!</v>
      </c>
      <c r="J17" s="277" t="e">
        <f>J14+J15+J16</f>
        <v>#REF!</v>
      </c>
      <c r="K17" s="277"/>
    </row>
    <row r="18" spans="1:11">
      <c r="A18" s="259">
        <v>5</v>
      </c>
      <c r="B18" s="261" t="s">
        <v>45</v>
      </c>
      <c r="E18" s="278">
        <f>F18+G18</f>
        <v>41339</v>
      </c>
      <c r="F18" s="270">
        <f>SUM(F98:F104)-1</f>
        <v>41339</v>
      </c>
      <c r="G18" s="270">
        <f>SUM(G100:G104)</f>
        <v>0</v>
      </c>
      <c r="H18" s="265" t="str">
        <f t="shared" si="0"/>
        <v xml:space="preserve"> </v>
      </c>
      <c r="I18" s="278" t="e">
        <f>J18+K18</f>
        <v>#REF!</v>
      </c>
      <c r="J18" s="270" t="e">
        <f>#REF!</f>
        <v>#REF!</v>
      </c>
      <c r="K18" s="270"/>
    </row>
    <row r="19" spans="1:11">
      <c r="A19" s="259">
        <v>6</v>
      </c>
      <c r="B19" s="261" t="s">
        <v>95</v>
      </c>
      <c r="E19" s="277">
        <f>E17+E18</f>
        <v>658586</v>
      </c>
      <c r="F19" s="277">
        <f>F17+F18</f>
        <v>658586</v>
      </c>
      <c r="G19" s="277">
        <f>G17+G18</f>
        <v>0</v>
      </c>
      <c r="H19" s="265" t="str">
        <f t="shared" si="0"/>
        <v xml:space="preserve"> </v>
      </c>
      <c r="I19" s="277" t="e">
        <f>I17+I18</f>
        <v>#REF!</v>
      </c>
      <c r="J19" s="277" t="e">
        <f>J17+J18</f>
        <v>#REF!</v>
      </c>
      <c r="K19" s="277"/>
    </row>
    <row r="20" spans="1:11">
      <c r="E20" s="272"/>
      <c r="F20" s="272"/>
      <c r="G20" s="272"/>
      <c r="H20" s="265"/>
      <c r="I20" s="272"/>
      <c r="J20" s="272"/>
      <c r="K20" s="272"/>
    </row>
    <row r="21" spans="1:11">
      <c r="B21" s="261" t="s">
        <v>47</v>
      </c>
      <c r="E21" s="272"/>
      <c r="F21" s="272"/>
      <c r="G21" s="272"/>
      <c r="H21" s="265"/>
      <c r="I21" s="272"/>
      <c r="J21" s="272"/>
      <c r="K21" s="272"/>
    </row>
    <row r="22" spans="1:11">
      <c r="B22" s="261" t="s">
        <v>48</v>
      </c>
      <c r="E22" s="272"/>
      <c r="F22" s="272"/>
      <c r="G22" s="272"/>
      <c r="H22" s="265"/>
      <c r="I22" s="272"/>
      <c r="J22" s="272"/>
      <c r="K22" s="272"/>
    </row>
    <row r="23" spans="1:11">
      <c r="A23" s="259">
        <v>7</v>
      </c>
      <c r="B23" s="261" t="s">
        <v>96</v>
      </c>
      <c r="E23" s="270">
        <f>F23+G23</f>
        <v>156285</v>
      </c>
      <c r="F23" s="270">
        <f>SUM(F164-F160+F185)</f>
        <v>156285</v>
      </c>
      <c r="G23" s="270">
        <f>SUM(G164-G160+G185)</f>
        <v>0</v>
      </c>
      <c r="H23" s="265" t="str">
        <f>IF(E23=F23+G23," ","ERROR")</f>
        <v xml:space="preserve"> </v>
      </c>
      <c r="I23" s="270" t="e">
        <f>J23+K23</f>
        <v>#REF!</v>
      </c>
      <c r="J23" s="270" t="e">
        <f>#REF!+#REF!+#REF!+#REF!+#REF!</f>
        <v>#REF!</v>
      </c>
      <c r="K23" s="270"/>
    </row>
    <row r="24" spans="1:11">
      <c r="A24" s="259">
        <v>8</v>
      </c>
      <c r="B24" s="261" t="s">
        <v>97</v>
      </c>
      <c r="E24" s="270">
        <f>F24+G24</f>
        <v>95039</v>
      </c>
      <c r="F24" s="270">
        <f>SUM(F160)</f>
        <v>95039</v>
      </c>
      <c r="G24" s="270">
        <f>SUM(G160)</f>
        <v>0</v>
      </c>
      <c r="H24" s="265" t="str">
        <f>IF(E24=F24+G24," ","ERROR")</f>
        <v xml:space="preserve"> </v>
      </c>
      <c r="I24" s="270" t="e">
        <f>J24+K24</f>
        <v>#REF!</v>
      </c>
      <c r="J24" s="270" t="e">
        <f>#REF!</f>
        <v>#REF!</v>
      </c>
      <c r="K24" s="270"/>
    </row>
    <row r="25" spans="1:11">
      <c r="A25" s="259">
        <v>9</v>
      </c>
      <c r="B25" s="261" t="s">
        <v>538</v>
      </c>
      <c r="E25" s="270">
        <f>F25+G25</f>
        <v>42507</v>
      </c>
      <c r="F25" s="270">
        <f>SUM(F187:F190)</f>
        <v>42507</v>
      </c>
      <c r="G25" s="270">
        <f>SUM(G187:G189)</f>
        <v>0</v>
      </c>
      <c r="H25" s="265" t="str">
        <f>IF(E25=F25+G25," ","ERROR")</f>
        <v xml:space="preserve"> </v>
      </c>
      <c r="I25" s="270" t="e">
        <f>J25+K25</f>
        <v>#REF!</v>
      </c>
      <c r="J25" s="270" t="e">
        <f>#REF!</f>
        <v>#REF!</v>
      </c>
      <c r="K25" s="270"/>
    </row>
    <row r="26" spans="1:11">
      <c r="A26" s="259">
        <v>10</v>
      </c>
      <c r="B26" s="261" t="s">
        <v>679</v>
      </c>
      <c r="E26" s="270">
        <f>F26+G26</f>
        <v>-12605</v>
      </c>
      <c r="F26" s="270">
        <f>SUM(F191:F227)+1</f>
        <v>-12607</v>
      </c>
      <c r="G26" s="270">
        <f>SUM(G192:G226)</f>
        <v>2</v>
      </c>
      <c r="H26" s="265"/>
      <c r="I26" s="270"/>
      <c r="J26" s="270"/>
      <c r="K26" s="270"/>
    </row>
    <row r="27" spans="1:11">
      <c r="A27" s="259">
        <v>11</v>
      </c>
      <c r="B27" s="261" t="s">
        <v>98</v>
      </c>
      <c r="E27" s="269">
        <f>F27+G27</f>
        <v>15827</v>
      </c>
      <c r="F27" s="270">
        <f>SUM(F228)</f>
        <v>15827</v>
      </c>
      <c r="G27" s="270">
        <f>SUM(G228)</f>
        <v>0</v>
      </c>
      <c r="H27" s="265" t="str">
        <f>IF(E27=F27+G27," ","ERROR")</f>
        <v xml:space="preserve"> </v>
      </c>
      <c r="I27" s="269" t="e">
        <f>J27+K27</f>
        <v>#REF!</v>
      </c>
      <c r="J27" s="270" t="e">
        <f>#REF!</f>
        <v>#REF!</v>
      </c>
      <c r="K27" s="270"/>
    </row>
    <row r="28" spans="1:11">
      <c r="A28" s="259">
        <v>12</v>
      </c>
      <c r="B28" s="261" t="s">
        <v>99</v>
      </c>
      <c r="E28" s="277">
        <f>SUM(E23:E27)</f>
        <v>297053</v>
      </c>
      <c r="F28" s="277">
        <f>SUM(F23:F27)</f>
        <v>297051</v>
      </c>
      <c r="G28" s="277">
        <f>SUM(G23:G27)</f>
        <v>2</v>
      </c>
      <c r="H28" s="265" t="str">
        <f>IF(E28=F28+G28," ","ERROR")</f>
        <v xml:space="preserve"> </v>
      </c>
      <c r="I28" s="270" t="e">
        <f>I23+I24+I25+I27</f>
        <v>#REF!</v>
      </c>
      <c r="J28" s="277" t="e">
        <f>J23+J24+J25+J27</f>
        <v>#REF!</v>
      </c>
      <c r="K28" s="277"/>
    </row>
    <row r="29" spans="1:11">
      <c r="E29" s="270"/>
      <c r="F29" s="272"/>
      <c r="G29" s="272"/>
      <c r="H29" s="265"/>
      <c r="I29" s="270"/>
      <c r="J29" s="272"/>
      <c r="K29" s="272"/>
    </row>
    <row r="30" spans="1:11">
      <c r="B30" s="261" t="s">
        <v>52</v>
      </c>
      <c r="E30" s="270"/>
      <c r="F30" s="272"/>
      <c r="G30" s="272"/>
      <c r="H30" s="265"/>
      <c r="I30" s="270"/>
      <c r="J30" s="272"/>
      <c r="K30" s="272"/>
    </row>
    <row r="31" spans="1:11">
      <c r="A31" s="259">
        <v>13</v>
      </c>
      <c r="B31" s="261" t="s">
        <v>96</v>
      </c>
      <c r="E31" s="270">
        <f>F31+G31</f>
        <v>24622</v>
      </c>
      <c r="F31" s="270">
        <f>SUM(F257)+1</f>
        <v>24622</v>
      </c>
      <c r="G31" s="270">
        <f>SUM(G257)</f>
        <v>0</v>
      </c>
      <c r="H31" s="265" t="str">
        <f>IF(E31=F31+G31," ","ERROR")</f>
        <v xml:space="preserve"> </v>
      </c>
      <c r="I31" s="270" t="e">
        <f>J31+K31</f>
        <v>#REF!</v>
      </c>
      <c r="J31" s="270" t="e">
        <f>#REF!</f>
        <v>#REF!</v>
      </c>
      <c r="K31" s="270"/>
    </row>
    <row r="32" spans="1:11">
      <c r="A32" s="259">
        <v>14</v>
      </c>
      <c r="B32" s="261" t="s">
        <v>538</v>
      </c>
      <c r="E32" s="270">
        <f>F32+G32</f>
        <v>34676</v>
      </c>
      <c r="F32" s="270">
        <f>SUM(F259:F260)</f>
        <v>34676</v>
      </c>
      <c r="G32" s="270">
        <f>SUM(G259:G260)</f>
        <v>0</v>
      </c>
      <c r="H32" s="265" t="str">
        <f>IF(E32=F32+G32," ","ERROR")</f>
        <v xml:space="preserve"> </v>
      </c>
      <c r="I32" s="270" t="e">
        <f>J32+K32</f>
        <v>#REF!</v>
      </c>
      <c r="J32" s="270" t="e">
        <f>#REF!</f>
        <v>#REF!</v>
      </c>
      <c r="K32" s="270"/>
    </row>
    <row r="33" spans="1:11">
      <c r="B33" s="261" t="s">
        <v>699</v>
      </c>
      <c r="E33" s="270"/>
      <c r="F33" s="270"/>
      <c r="G33" s="270"/>
      <c r="H33" s="265"/>
      <c r="I33" s="270"/>
      <c r="J33" s="270"/>
      <c r="K33" s="270"/>
    </row>
    <row r="34" spans="1:11">
      <c r="A34" s="259">
        <v>15</v>
      </c>
      <c r="B34" s="261" t="s">
        <v>98</v>
      </c>
      <c r="E34" s="269">
        <f>F34+G34</f>
        <v>49705</v>
      </c>
      <c r="F34" s="270">
        <f>SUM(F261)</f>
        <v>49705</v>
      </c>
      <c r="G34" s="270">
        <f>SUM(G261)</f>
        <v>0</v>
      </c>
      <c r="H34" s="265" t="str">
        <f>IF(E34=F34+G34," ","ERROR")</f>
        <v xml:space="preserve"> </v>
      </c>
      <c r="I34" s="269" t="e">
        <f>J34+K34</f>
        <v>#REF!</v>
      </c>
      <c r="J34" s="270" t="e">
        <f>#REF!</f>
        <v>#REF!</v>
      </c>
      <c r="K34" s="270"/>
    </row>
    <row r="35" spans="1:11">
      <c r="A35" s="259">
        <v>16</v>
      </c>
      <c r="B35" s="261" t="s">
        <v>100</v>
      </c>
      <c r="E35" s="270">
        <f>E31+E32+E34</f>
        <v>109003</v>
      </c>
      <c r="F35" s="277">
        <f>F31+F32+F34</f>
        <v>109003</v>
      </c>
      <c r="G35" s="277">
        <f>G31+G32+G34</f>
        <v>0</v>
      </c>
      <c r="H35" s="265" t="str">
        <f>IF(E35=F35+G35," ","ERROR")</f>
        <v xml:space="preserve"> </v>
      </c>
      <c r="I35" s="270" t="e">
        <f>I31+I32+I34</f>
        <v>#REF!</v>
      </c>
      <c r="J35" s="277" t="e">
        <f>J31+J32+J34</f>
        <v>#REF!</v>
      </c>
      <c r="K35" s="277"/>
    </row>
    <row r="36" spans="1:11">
      <c r="E36" s="272"/>
      <c r="F36" s="272"/>
      <c r="G36" s="272"/>
      <c r="H36" s="265"/>
      <c r="I36" s="272"/>
      <c r="J36" s="272"/>
      <c r="K36" s="272"/>
    </row>
    <row r="37" spans="1:11">
      <c r="A37" s="259">
        <v>17</v>
      </c>
      <c r="B37" s="261" t="s">
        <v>54</v>
      </c>
      <c r="E37" s="270">
        <f>F37+G37</f>
        <v>15849</v>
      </c>
      <c r="F37" s="270">
        <f>SUM(F272)</f>
        <v>15849</v>
      </c>
      <c r="G37" s="270">
        <f>SUM(G272)</f>
        <v>0</v>
      </c>
      <c r="H37" s="265" t="str">
        <f>IF(E37=F37+G37," ","ERROR")</f>
        <v xml:space="preserve"> </v>
      </c>
      <c r="I37" s="270" t="e">
        <f>J37+K37</f>
        <v>#REF!</v>
      </c>
      <c r="J37" s="270" t="e">
        <f>#REF!</f>
        <v>#REF!</v>
      </c>
      <c r="K37" s="270"/>
    </row>
    <row r="38" spans="1:11">
      <c r="A38" s="259">
        <v>18</v>
      </c>
      <c r="B38" s="261" t="s">
        <v>55</v>
      </c>
      <c r="E38" s="270">
        <f>F38+G38</f>
        <v>25245</v>
      </c>
      <c r="F38" s="270">
        <f>SUM(F278)</f>
        <v>25245</v>
      </c>
      <c r="G38" s="270">
        <f>SUM(G278)</f>
        <v>0</v>
      </c>
      <c r="H38" s="265" t="str">
        <f>IF(E38=F38+G38," ","ERROR")</f>
        <v xml:space="preserve"> </v>
      </c>
      <c r="I38" s="270" t="e">
        <f>J38+K38</f>
        <v>#REF!</v>
      </c>
      <c r="J38" s="270" t="e">
        <f>#REF!</f>
        <v>#REF!</v>
      </c>
      <c r="K38" s="270"/>
    </row>
    <row r="39" spans="1:11">
      <c r="A39" s="259">
        <v>19</v>
      </c>
      <c r="B39" s="261" t="s">
        <v>56</v>
      </c>
      <c r="E39" s="270">
        <f>F39+G39</f>
        <v>0</v>
      </c>
      <c r="F39" s="270">
        <f>SUM(F284)</f>
        <v>0</v>
      </c>
      <c r="G39" s="270">
        <f>SUM(G284)</f>
        <v>0</v>
      </c>
      <c r="H39" s="265" t="str">
        <f>IF(E39=F39+G39," ","ERROR")</f>
        <v xml:space="preserve"> </v>
      </c>
      <c r="I39" s="270" t="e">
        <f>J39+K39</f>
        <v>#REF!</v>
      </c>
      <c r="J39" s="270" t="e">
        <f>#REF!</f>
        <v>#REF!</v>
      </c>
      <c r="K39" s="270"/>
    </row>
    <row r="40" spans="1:11">
      <c r="E40" s="272"/>
      <c r="F40" s="272"/>
      <c r="G40" s="272"/>
      <c r="H40" s="265"/>
      <c r="I40" s="272"/>
      <c r="J40" s="272"/>
      <c r="K40" s="272"/>
    </row>
    <row r="41" spans="1:11">
      <c r="B41" s="261" t="s">
        <v>57</v>
      </c>
      <c r="E41" s="272"/>
      <c r="F41" s="272"/>
      <c r="G41" s="272"/>
      <c r="H41" s="265"/>
      <c r="I41" s="272"/>
      <c r="J41" s="272"/>
      <c r="K41" s="272"/>
    </row>
    <row r="42" spans="1:11">
      <c r="A42" s="259">
        <v>20</v>
      </c>
      <c r="B42" s="261" t="s">
        <v>96</v>
      </c>
      <c r="E42" s="270">
        <f>F42+G42</f>
        <v>73927</v>
      </c>
      <c r="F42" s="270">
        <f>SUM(F299)</f>
        <v>73927</v>
      </c>
      <c r="G42" s="270">
        <f>SUM(G299)</f>
        <v>0</v>
      </c>
      <c r="H42" s="265" t="str">
        <f>IF(E42=F42+G42," ","ERROR")</f>
        <v xml:space="preserve"> </v>
      </c>
      <c r="I42" s="270" t="e">
        <f>J42+K42</f>
        <v>#REF!</v>
      </c>
      <c r="J42" s="270" t="e">
        <f>#REF!</f>
        <v>#REF!</v>
      </c>
      <c r="K42" s="270"/>
    </row>
    <row r="43" spans="1:11">
      <c r="A43" s="259">
        <v>21</v>
      </c>
      <c r="B43" s="261" t="s">
        <v>538</v>
      </c>
      <c r="E43" s="270">
        <f>F43+G43</f>
        <v>41343</v>
      </c>
      <c r="F43" s="270">
        <f>SUM(F301:F304)</f>
        <v>41343</v>
      </c>
      <c r="G43" s="270">
        <f>SUM(G321)</f>
        <v>0</v>
      </c>
      <c r="H43" s="265" t="str">
        <f>IF(E43=F43+G43," ","ERROR")</f>
        <v xml:space="preserve"> </v>
      </c>
      <c r="I43" s="270" t="e">
        <f>J43+K43</f>
        <v>#REF!</v>
      </c>
      <c r="J43" s="270" t="e">
        <f>#REF!</f>
        <v>#REF!</v>
      </c>
      <c r="K43" s="270"/>
    </row>
    <row r="44" spans="1:11">
      <c r="A44" s="259">
        <v>22</v>
      </c>
      <c r="B44" s="261" t="s">
        <v>679</v>
      </c>
      <c r="E44" s="270">
        <f>F44+G44</f>
        <v>-20056</v>
      </c>
      <c r="F44" s="270">
        <f>SUM(F305:F319)</f>
        <v>-20056</v>
      </c>
      <c r="G44" s="270">
        <f>G305+G306+G307+G309+G310+G312+G313+G318</f>
        <v>0</v>
      </c>
      <c r="H44" s="265"/>
      <c r="I44" s="270"/>
      <c r="J44" s="270"/>
      <c r="K44" s="270"/>
    </row>
    <row r="45" spans="1:11">
      <c r="A45" s="259">
        <v>23</v>
      </c>
      <c r="B45" s="261" t="s">
        <v>98</v>
      </c>
      <c r="E45" s="270">
        <f>F45+G45</f>
        <v>3632</v>
      </c>
      <c r="F45" s="270">
        <f>F320+1</f>
        <v>3632</v>
      </c>
      <c r="G45" s="270">
        <v>0</v>
      </c>
      <c r="H45" s="265" t="str">
        <f>IF(E45=F45+G45," ","ERROR")</f>
        <v xml:space="preserve"> </v>
      </c>
      <c r="I45" s="270" t="e">
        <f>J45+K45</f>
        <v>#REF!</v>
      </c>
      <c r="J45" s="270" t="e">
        <f>#REF!</f>
        <v>#REF!</v>
      </c>
      <c r="K45" s="270"/>
    </row>
    <row r="46" spans="1:11" ht="18.75" customHeight="1">
      <c r="A46" s="259">
        <v>24</v>
      </c>
      <c r="B46" s="261" t="s">
        <v>101</v>
      </c>
      <c r="E46" s="276">
        <f>E42+E43+E44+E45</f>
        <v>98846</v>
      </c>
      <c r="F46" s="276">
        <f>F42+F43+F44+F45</f>
        <v>98846</v>
      </c>
      <c r="G46" s="276">
        <f>G42+G43+G44+G45</f>
        <v>0</v>
      </c>
      <c r="H46" s="265" t="str">
        <f>IF(E46=F46+G46," ","ERROR")</f>
        <v xml:space="preserve"> </v>
      </c>
      <c r="I46" s="276" t="e">
        <f>I42+I43+I45</f>
        <v>#REF!</v>
      </c>
      <c r="J46" s="276" t="e">
        <f>J42+J43+J45</f>
        <v>#REF!</v>
      </c>
      <c r="K46" s="276"/>
    </row>
    <row r="47" spans="1:11">
      <c r="A47" s="259">
        <v>25</v>
      </c>
      <c r="B47" s="261" t="s">
        <v>59</v>
      </c>
      <c r="E47" s="275">
        <f>E28+E35+E37+E38+E39+E46</f>
        <v>545996</v>
      </c>
      <c r="F47" s="275">
        <f>F28+F35+F37+F38+F39+F46</f>
        <v>545994</v>
      </c>
      <c r="G47" s="275">
        <f>G28+G35+G37+G38+G39+G46</f>
        <v>2</v>
      </c>
      <c r="H47" s="265" t="str">
        <f>IF(E47=F47+G47," ","ERROR")</f>
        <v xml:space="preserve"> </v>
      </c>
      <c r="I47" s="275" t="e">
        <f>I28+I35+I37+I38+I39+I46</f>
        <v>#REF!</v>
      </c>
      <c r="J47" s="275" t="e">
        <f>J28+J35+J37+J38+J39+J46</f>
        <v>#REF!</v>
      </c>
      <c r="K47" s="275"/>
    </row>
    <row r="48" spans="1:11">
      <c r="E48" s="272"/>
      <c r="F48" s="272"/>
      <c r="G48" s="272"/>
      <c r="H48" s="265"/>
      <c r="I48" s="272"/>
      <c r="J48" s="272"/>
      <c r="K48" s="272"/>
    </row>
    <row r="49" spans="1:16">
      <c r="A49" s="310">
        <v>26</v>
      </c>
      <c r="B49" s="261" t="s">
        <v>102</v>
      </c>
      <c r="E49" s="272">
        <f>E19-E47</f>
        <v>112590</v>
      </c>
      <c r="F49" s="272">
        <f>F19-F47</f>
        <v>112592</v>
      </c>
      <c r="G49" s="272">
        <f>G19-G47</f>
        <v>-2</v>
      </c>
      <c r="H49" s="265" t="str">
        <f>IF(E49=F49+G49," ","ERROR")</f>
        <v xml:space="preserve"> </v>
      </c>
      <c r="I49" s="272" t="e">
        <f>I19-I47</f>
        <v>#REF!</v>
      </c>
      <c r="J49" s="272" t="e">
        <f>J19-J47</f>
        <v>#REF!</v>
      </c>
      <c r="K49" s="272"/>
    </row>
    <row r="50" spans="1:16">
      <c r="B50" s="261"/>
      <c r="E50" s="272"/>
      <c r="F50" s="272"/>
      <c r="G50" s="272"/>
      <c r="H50" s="265"/>
      <c r="I50" s="272"/>
      <c r="J50" s="272"/>
      <c r="K50" s="272"/>
    </row>
    <row r="51" spans="1:16">
      <c r="B51" s="261" t="s">
        <v>103</v>
      </c>
      <c r="E51" s="272"/>
      <c r="F51" s="272"/>
      <c r="G51" s="272"/>
      <c r="H51" s="265"/>
      <c r="I51" s="272"/>
      <c r="J51" s="272"/>
      <c r="K51" s="272"/>
    </row>
    <row r="52" spans="1:16">
      <c r="A52" s="259">
        <v>27</v>
      </c>
      <c r="B52" s="261" t="s">
        <v>104</v>
      </c>
      <c r="D52" s="274">
        <v>0.21</v>
      </c>
      <c r="E52" s="270">
        <f>F52+G52</f>
        <v>-2018</v>
      </c>
      <c r="F52" s="270">
        <f>SUM(F329)</f>
        <v>-2018</v>
      </c>
      <c r="G52" s="270">
        <f>SUM(G329)</f>
        <v>0</v>
      </c>
      <c r="H52" s="265" t="str">
        <f>IF(E52=F52+G52," ","ERROR")</f>
        <v xml:space="preserve"> </v>
      </c>
      <c r="I52" s="270" t="e">
        <f>J52+K52</f>
        <v>#REF!</v>
      </c>
      <c r="J52" s="270" t="e">
        <f>#REF!</f>
        <v>#REF!</v>
      </c>
      <c r="K52" s="270"/>
    </row>
    <row r="53" spans="1:16">
      <c r="A53" s="259">
        <v>28</v>
      </c>
      <c r="B53" s="261" t="s">
        <v>547</v>
      </c>
      <c r="D53" s="274"/>
      <c r="E53" s="270"/>
      <c r="F53" s="270"/>
      <c r="G53" s="270"/>
      <c r="H53" s="265"/>
      <c r="I53" s="270"/>
      <c r="J53" s="270"/>
      <c r="K53" s="270"/>
    </row>
    <row r="54" spans="1:16">
      <c r="A54" s="259">
        <v>29</v>
      </c>
      <c r="B54" s="261" t="s">
        <v>105</v>
      </c>
      <c r="E54" s="270">
        <f>F54+G54</f>
        <v>8368</v>
      </c>
      <c r="F54" s="270">
        <f t="shared" ref="F54:G55" si="1">SUM(F330)</f>
        <v>8368</v>
      </c>
      <c r="G54" s="270">
        <f t="shared" si="1"/>
        <v>0</v>
      </c>
      <c r="H54" s="265" t="str">
        <f>IF(E54=F54+G54," ","ERROR")</f>
        <v xml:space="preserve"> </v>
      </c>
      <c r="I54" s="270" t="e">
        <f>J54+K54</f>
        <v>#REF!</v>
      </c>
      <c r="J54" s="270" t="e">
        <f>#REF!</f>
        <v>#REF!</v>
      </c>
      <c r="K54" s="270"/>
    </row>
    <row r="55" spans="1:16">
      <c r="A55" s="259">
        <v>30</v>
      </c>
      <c r="B55" s="261" t="s">
        <v>106</v>
      </c>
      <c r="E55" s="269">
        <f>F55+G55</f>
        <v>-318</v>
      </c>
      <c r="F55" s="269">
        <f t="shared" si="1"/>
        <v>-318</v>
      </c>
      <c r="G55" s="269">
        <f t="shared" si="1"/>
        <v>0</v>
      </c>
      <c r="H55" s="265" t="str">
        <f>IF(E55=F55+G55," ","ERROR")</f>
        <v xml:space="preserve"> </v>
      </c>
      <c r="I55" s="270" t="e">
        <f>J55+K55</f>
        <v>#REF!</v>
      </c>
      <c r="J55" s="270" t="e">
        <f>#REF!</f>
        <v>#REF!</v>
      </c>
      <c r="K55" s="270"/>
    </row>
    <row r="56" spans="1:16" s="265" customFormat="1">
      <c r="A56" s="259"/>
      <c r="B56" s="261"/>
      <c r="C56" s="258"/>
      <c r="D56" s="258"/>
      <c r="E56" s="271"/>
      <c r="F56" s="271"/>
      <c r="G56" s="271"/>
      <c r="I56" s="270"/>
      <c r="J56" s="270"/>
      <c r="K56" s="270"/>
      <c r="L56" s="258"/>
      <c r="M56" s="258"/>
      <c r="N56" s="258"/>
      <c r="O56" s="258"/>
      <c r="P56" s="258"/>
    </row>
    <row r="57" spans="1:16" ht="12.75" thickBot="1">
      <c r="A57" s="268">
        <v>31</v>
      </c>
      <c r="B57" s="267" t="s">
        <v>65</v>
      </c>
      <c r="C57" s="265"/>
      <c r="D57" s="265"/>
      <c r="E57" s="266">
        <f>E49-(E51+E52+E54+E55)</f>
        <v>106558</v>
      </c>
      <c r="F57" s="266">
        <f>F49-(F51+F52+F54+F55)</f>
        <v>106560</v>
      </c>
      <c r="G57" s="266">
        <f>G49-(G51+G52+G54+G55)</f>
        <v>-2</v>
      </c>
      <c r="H57" s="265" t="str">
        <f>IF(E57=F57+G57," ","ERROR")</f>
        <v xml:space="preserve"> </v>
      </c>
      <c r="I57" s="266" t="e">
        <f>I49-(I51+I52+I54+I55+#REF!)</f>
        <v>#REF!</v>
      </c>
      <c r="J57" s="266" t="e">
        <f>J49-(J51+J52+J54+J55+#REF!)</f>
        <v>#REF!</v>
      </c>
      <c r="K57" s="266"/>
      <c r="L57" s="265"/>
      <c r="M57" s="265"/>
      <c r="N57" s="265"/>
      <c r="O57" s="265"/>
      <c r="P57" s="265"/>
    </row>
    <row r="58" spans="1:16" ht="12.75" thickTop="1">
      <c r="H58" s="265"/>
    </row>
    <row r="59" spans="1:16">
      <c r="B59" s="261" t="s">
        <v>66</v>
      </c>
      <c r="H59" s="265"/>
    </row>
    <row r="60" spans="1:16" s="265" customFormat="1">
      <c r="A60" s="259"/>
      <c r="B60" s="261" t="s">
        <v>67</v>
      </c>
      <c r="C60" s="258"/>
      <c r="D60" s="258"/>
      <c r="E60" s="258"/>
      <c r="F60" s="258"/>
      <c r="G60" s="258"/>
      <c r="I60" s="258"/>
      <c r="J60" s="258"/>
      <c r="K60" s="258"/>
      <c r="L60" s="258"/>
      <c r="M60" s="258"/>
      <c r="N60" s="258"/>
      <c r="O60" s="258"/>
      <c r="P60" s="258"/>
    </row>
    <row r="61" spans="1:16">
      <c r="A61" s="268">
        <v>32</v>
      </c>
      <c r="B61" s="267" t="s">
        <v>107</v>
      </c>
      <c r="C61" s="265"/>
      <c r="D61" s="265"/>
      <c r="E61" s="273">
        <f>F61+G61</f>
        <v>230718</v>
      </c>
      <c r="F61" s="273">
        <f>SUM(F349)</f>
        <v>230718</v>
      </c>
      <c r="G61" s="273">
        <f>SUM(G349)</f>
        <v>0</v>
      </c>
      <c r="H61" s="265" t="str">
        <f t="shared" ref="H61:H67" si="2">IF(E61=F61+G61," ","ERROR")</f>
        <v xml:space="preserve"> </v>
      </c>
      <c r="I61" s="273" t="e">
        <f>J61+K61</f>
        <v>#REF!</v>
      </c>
      <c r="J61" s="273" t="e">
        <f>#REF!</f>
        <v>#REF!</v>
      </c>
      <c r="K61" s="273"/>
      <c r="L61" s="265"/>
      <c r="M61" s="265"/>
      <c r="N61" s="265"/>
      <c r="O61" s="265"/>
      <c r="P61" s="265"/>
    </row>
    <row r="62" spans="1:16">
      <c r="A62" s="259">
        <v>33</v>
      </c>
      <c r="B62" s="261" t="s">
        <v>108</v>
      </c>
      <c r="E62" s="270">
        <f>F62+G62</f>
        <v>948067</v>
      </c>
      <c r="F62" s="270">
        <f>SUM(F382)</f>
        <v>948067</v>
      </c>
      <c r="G62" s="270">
        <f>SUM(G382)</f>
        <v>0</v>
      </c>
      <c r="H62" s="265" t="str">
        <f t="shared" si="2"/>
        <v xml:space="preserve"> </v>
      </c>
      <c r="I62" s="270" t="e">
        <f>J62+K62</f>
        <v>#REF!</v>
      </c>
      <c r="J62" s="270" t="e">
        <f>#REF!</f>
        <v>#REF!</v>
      </c>
      <c r="K62" s="270"/>
    </row>
    <row r="63" spans="1:16">
      <c r="A63" s="259">
        <v>34</v>
      </c>
      <c r="B63" s="261" t="s">
        <v>109</v>
      </c>
      <c r="E63" s="270">
        <f>F63+G63</f>
        <v>575635</v>
      </c>
      <c r="F63" s="270">
        <f>SUM(F395)</f>
        <v>575635</v>
      </c>
      <c r="G63" s="270">
        <f>SUM(G395)</f>
        <v>0</v>
      </c>
      <c r="H63" s="265" t="str">
        <f t="shared" si="2"/>
        <v xml:space="preserve"> </v>
      </c>
      <c r="I63" s="270" t="e">
        <f>J63+K63</f>
        <v>#REF!</v>
      </c>
      <c r="J63" s="270" t="e">
        <f>#REF!</f>
        <v>#REF!</v>
      </c>
      <c r="K63" s="270"/>
    </row>
    <row r="64" spans="1:16">
      <c r="A64" s="259">
        <v>35</v>
      </c>
      <c r="B64" s="261" t="s">
        <v>110</v>
      </c>
      <c r="E64" s="270">
        <f>F64+G64</f>
        <v>1327782</v>
      </c>
      <c r="F64" s="270">
        <f>SUM(F413)</f>
        <v>1327782</v>
      </c>
      <c r="G64" s="270">
        <f>SUM(G413)</f>
        <v>0</v>
      </c>
      <c r="H64" s="265" t="str">
        <f t="shared" si="2"/>
        <v xml:space="preserve"> </v>
      </c>
      <c r="I64" s="270" t="e">
        <f>J64+K64</f>
        <v>#REF!</v>
      </c>
      <c r="J64" s="270" t="e">
        <f>#REF!</f>
        <v>#REF!</v>
      </c>
      <c r="K64" s="270"/>
    </row>
    <row r="65" spans="1:16">
      <c r="A65" s="259">
        <v>36</v>
      </c>
      <c r="B65" s="261" t="s">
        <v>111</v>
      </c>
      <c r="E65" s="269">
        <f>F65+G65</f>
        <v>294532</v>
      </c>
      <c r="F65" s="269">
        <f>SUM(F427)</f>
        <v>294532</v>
      </c>
      <c r="G65" s="269">
        <f>SUM(G428)</f>
        <v>0</v>
      </c>
      <c r="H65" s="265" t="str">
        <f t="shared" si="2"/>
        <v xml:space="preserve"> </v>
      </c>
      <c r="I65" s="269" t="e">
        <f>J65+K65</f>
        <v>#REF!</v>
      </c>
      <c r="J65" s="269" t="e">
        <f>#REF!</f>
        <v>#REF!</v>
      </c>
      <c r="K65" s="269"/>
    </row>
    <row r="66" spans="1:16" ht="19.5" customHeight="1">
      <c r="A66" s="259">
        <v>37</v>
      </c>
      <c r="B66" s="261" t="s">
        <v>112</v>
      </c>
      <c r="E66" s="272">
        <f>E61+E62+E63+E64+E65</f>
        <v>3376734</v>
      </c>
      <c r="F66" s="272">
        <f>F61+F62+F63+F64+F65</f>
        <v>3376734</v>
      </c>
      <c r="G66" s="272">
        <f>G61+G62+G63+G64+G65</f>
        <v>0</v>
      </c>
      <c r="H66" s="265" t="str">
        <f t="shared" si="2"/>
        <v xml:space="preserve"> </v>
      </c>
      <c r="I66" s="272" t="e">
        <f>I61+I62+I63+I64+I65</f>
        <v>#REF!</v>
      </c>
      <c r="J66" s="272" t="e">
        <f>J61+J62+J63+J64+J65</f>
        <v>#REF!</v>
      </c>
      <c r="K66" s="272"/>
    </row>
    <row r="67" spans="1:16">
      <c r="B67" s="261" t="s">
        <v>541</v>
      </c>
      <c r="E67" s="270"/>
      <c r="F67" s="270"/>
      <c r="G67" s="270"/>
      <c r="H67" s="265" t="str">
        <f t="shared" si="2"/>
        <v xml:space="preserve"> </v>
      </c>
      <c r="I67" s="270" t="e">
        <f>J67+K67</f>
        <v>#REF!</v>
      </c>
      <c r="J67" s="270" t="e">
        <f>#REF!</f>
        <v>#REF!</v>
      </c>
      <c r="K67" s="270"/>
    </row>
    <row r="68" spans="1:16">
      <c r="A68" s="259">
        <v>38</v>
      </c>
      <c r="B68" s="267" t="s">
        <v>107</v>
      </c>
      <c r="E68" s="270">
        <f>F68+G68</f>
        <v>-84845</v>
      </c>
      <c r="F68" s="270">
        <f>SUM(F442:F445)</f>
        <v>-84845</v>
      </c>
      <c r="G68" s="510">
        <f>SUM(G443:G444)</f>
        <v>0</v>
      </c>
      <c r="H68" s="265"/>
      <c r="I68" s="270"/>
      <c r="J68" s="270"/>
      <c r="K68" s="270"/>
    </row>
    <row r="69" spans="1:16">
      <c r="A69" s="259">
        <v>39</v>
      </c>
      <c r="B69" s="261" t="s">
        <v>108</v>
      </c>
      <c r="E69" s="270">
        <f>F69+G69</f>
        <v>-423739</v>
      </c>
      <c r="F69" s="270">
        <f>SUM(F433:F435)</f>
        <v>-423739</v>
      </c>
      <c r="G69" s="510">
        <f>SUM(G434:G436)</f>
        <v>0</v>
      </c>
      <c r="H69" s="265"/>
      <c r="I69" s="270"/>
      <c r="J69" s="270"/>
      <c r="K69" s="270"/>
    </row>
    <row r="70" spans="1:16">
      <c r="A70" s="259">
        <v>40</v>
      </c>
      <c r="B70" s="261" t="s">
        <v>109</v>
      </c>
      <c r="E70" s="270">
        <f>F70+G70</f>
        <v>-158761</v>
      </c>
      <c r="F70" s="270">
        <f>SUM(F436)</f>
        <v>-158761</v>
      </c>
      <c r="G70" s="510">
        <f>SUM(G437)</f>
        <v>0</v>
      </c>
      <c r="H70" s="265"/>
      <c r="I70" s="270"/>
      <c r="J70" s="270"/>
      <c r="K70" s="270"/>
    </row>
    <row r="71" spans="1:16">
      <c r="A71" s="259">
        <v>41</v>
      </c>
      <c r="B71" s="261" t="s">
        <v>110</v>
      </c>
      <c r="E71" s="270">
        <f>F71+G71</f>
        <v>-384189</v>
      </c>
      <c r="F71" s="270">
        <f>SUM(F437)</f>
        <v>-384189</v>
      </c>
      <c r="G71" s="510">
        <f>SUM(G438)</f>
        <v>0</v>
      </c>
      <c r="H71" s="265"/>
      <c r="I71" s="270"/>
      <c r="J71" s="270"/>
      <c r="K71" s="270"/>
    </row>
    <row r="72" spans="1:16">
      <c r="A72" s="259">
        <v>42</v>
      </c>
      <c r="B72" s="261" t="s">
        <v>111</v>
      </c>
      <c r="E72" s="269">
        <f>F72+G72</f>
        <v>-99285</v>
      </c>
      <c r="F72" s="269">
        <f>SUM(F438,F446)</f>
        <v>-99285</v>
      </c>
      <c r="G72" s="511">
        <f>SUM(G439,G445,G446,G447)</f>
        <v>0</v>
      </c>
    </row>
    <row r="73" spans="1:16">
      <c r="A73" s="259">
        <v>43</v>
      </c>
      <c r="B73" s="261" t="s">
        <v>266</v>
      </c>
      <c r="E73" s="361">
        <f>SUM(E68:E72)</f>
        <v>-1150819</v>
      </c>
      <c r="F73" s="361">
        <f>SUM(F68:F72)</f>
        <v>-1150819</v>
      </c>
      <c r="G73" s="258">
        <f>SUM(G68:G72)</f>
        <v>0</v>
      </c>
    </row>
    <row r="74" spans="1:16" ht="3.75" customHeight="1">
      <c r="A74" s="259">
        <v>44</v>
      </c>
      <c r="B74" s="258" t="s">
        <v>544</v>
      </c>
      <c r="E74" s="311">
        <f>E66+E73</f>
        <v>2225915</v>
      </c>
      <c r="F74" s="311">
        <f>F66+F73</f>
        <v>2225915</v>
      </c>
      <c r="G74" s="311">
        <f>G66+G73</f>
        <v>0</v>
      </c>
    </row>
    <row r="75" spans="1:16">
      <c r="B75" s="261"/>
      <c r="E75" s="272"/>
      <c r="F75" s="272"/>
      <c r="G75" s="272"/>
      <c r="H75" s="265"/>
      <c r="I75" s="272"/>
      <c r="J75" s="272"/>
      <c r="K75" s="272"/>
    </row>
    <row r="76" spans="1:16">
      <c r="A76" s="259">
        <v>45</v>
      </c>
      <c r="B76" s="261" t="s">
        <v>542</v>
      </c>
      <c r="E76" s="269">
        <f>F76+G76</f>
        <v>-428637</v>
      </c>
      <c r="F76" s="269">
        <f>SUM(F465)</f>
        <v>-428637</v>
      </c>
      <c r="G76" s="269">
        <f>SUM(G466)</f>
        <v>0</v>
      </c>
      <c r="H76" s="265" t="str">
        <f>IF(E76=F76+G76," ","ERROR")</f>
        <v xml:space="preserve"> </v>
      </c>
      <c r="I76" s="269" t="e">
        <f>J76+K76</f>
        <v>#REF!</v>
      </c>
      <c r="J76" s="269" t="e">
        <f>#REF!</f>
        <v>#REF!</v>
      </c>
      <c r="K76" s="269"/>
    </row>
    <row r="77" spans="1:16">
      <c r="A77" s="259">
        <v>46</v>
      </c>
      <c r="B77" s="261" t="s">
        <v>543</v>
      </c>
      <c r="E77" s="271">
        <f>SUM(E74:E76)</f>
        <v>1797278</v>
      </c>
      <c r="F77" s="271">
        <f>SUM(F74:F76)</f>
        <v>1797278</v>
      </c>
      <c r="G77" s="271">
        <f>SUM(G74-G76)</f>
        <v>0</v>
      </c>
      <c r="H77" s="265"/>
      <c r="I77" s="271"/>
      <c r="J77" s="271"/>
      <c r="K77" s="271"/>
    </row>
    <row r="78" spans="1:16">
      <c r="A78" s="259">
        <v>47</v>
      </c>
      <c r="B78" s="261" t="s">
        <v>265</v>
      </c>
      <c r="E78" s="270">
        <f t="shared" ref="E78:E79" si="3">F78+G78</f>
        <v>-24214</v>
      </c>
      <c r="F78" s="272">
        <f>SUM(F516)-F79-1</f>
        <v>-24217</v>
      </c>
      <c r="G78" s="272">
        <f>SUM(G471:G516)-G79</f>
        <v>3</v>
      </c>
      <c r="H78" s="265"/>
      <c r="I78" s="272"/>
      <c r="J78" s="272"/>
      <c r="K78" s="272"/>
    </row>
    <row r="79" spans="1:16">
      <c r="A79" s="259">
        <v>48</v>
      </c>
      <c r="B79" s="261" t="s">
        <v>252</v>
      </c>
      <c r="E79" s="269">
        <f t="shared" si="3"/>
        <v>51595</v>
      </c>
      <c r="F79" s="269">
        <f>F514</f>
        <v>51595</v>
      </c>
      <c r="G79" s="269">
        <f>G513</f>
        <v>0</v>
      </c>
      <c r="H79" s="265"/>
      <c r="I79" s="270"/>
      <c r="J79" s="270"/>
      <c r="K79" s="270"/>
    </row>
    <row r="80" spans="1:16" s="265" customFormat="1">
      <c r="A80" s="259"/>
      <c r="B80" s="258"/>
      <c r="C80" s="258"/>
      <c r="D80" s="258"/>
      <c r="E80" s="258"/>
      <c r="F80" s="258"/>
      <c r="G80" s="258"/>
      <c r="I80" s="258"/>
      <c r="J80" s="258"/>
      <c r="K80" s="258"/>
      <c r="L80" s="258"/>
      <c r="M80" s="258"/>
      <c r="N80" s="258"/>
      <c r="O80" s="258"/>
      <c r="P80" s="258"/>
    </row>
    <row r="81" spans="1:16" s="260" customFormat="1" ht="12.75" thickBot="1">
      <c r="A81" s="268">
        <v>49</v>
      </c>
      <c r="B81" s="267" t="s">
        <v>74</v>
      </c>
      <c r="C81" s="265"/>
      <c r="D81" s="265"/>
      <c r="E81" s="266">
        <f>SUM(E77:E79)</f>
        <v>1824659</v>
      </c>
      <c r="F81" s="266">
        <f>SUM(F77:F79)</f>
        <v>1824656</v>
      </c>
      <c r="G81" s="266">
        <f>SUM(G77:G79)</f>
        <v>3</v>
      </c>
      <c r="H81" s="265" t="str">
        <f>IF(E81=F81+G81," ","ERROR")</f>
        <v xml:space="preserve"> </v>
      </c>
      <c r="I81" s="266" t="e">
        <f>J81+K81</f>
        <v>#REF!</v>
      </c>
      <c r="J81" s="266" t="e">
        <f>J66-#REF!+#REF!+#REF!</f>
        <v>#REF!</v>
      </c>
      <c r="K81" s="266"/>
      <c r="L81" s="265"/>
      <c r="M81" s="265"/>
      <c r="N81" s="265"/>
      <c r="O81" s="265"/>
      <c r="P81" s="265"/>
    </row>
    <row r="82" spans="1:16" ht="12.75" thickTop="1">
      <c r="A82" s="260"/>
      <c r="B82" s="260"/>
      <c r="C82" s="260"/>
      <c r="D82" s="260"/>
      <c r="E82" s="255">
        <f>E57/E81</f>
        <v>5.8398856991909172E-2</v>
      </c>
      <c r="F82" s="255">
        <f>F57/F81</f>
        <v>5.8400049105146394E-2</v>
      </c>
      <c r="G82" s="255"/>
      <c r="H82" s="260"/>
      <c r="I82" s="255" t="e">
        <f>I57/I81</f>
        <v>#REF!</v>
      </c>
      <c r="J82" s="255" t="e">
        <f>J57/J81</f>
        <v>#REF!</v>
      </c>
      <c r="K82" s="255"/>
      <c r="L82" s="260"/>
      <c r="M82" s="260"/>
      <c r="N82" s="260"/>
      <c r="O82" s="260"/>
      <c r="P82" s="260"/>
    </row>
    <row r="83" spans="1:16">
      <c r="A83" s="258"/>
      <c r="B83" s="264" t="s">
        <v>113</v>
      </c>
      <c r="C83" s="263"/>
      <c r="D83" s="263"/>
      <c r="E83" s="263"/>
      <c r="F83" s="263"/>
      <c r="G83" s="262"/>
      <c r="I83" s="263"/>
      <c r="J83" s="263"/>
      <c r="K83" s="262"/>
    </row>
    <row r="84" spans="1:16" ht="15.75">
      <c r="A84" s="288"/>
      <c r="B84" s="289" t="s">
        <v>268</v>
      </c>
      <c r="C84" s="289"/>
      <c r="M84" s="369"/>
      <c r="N84" s="369"/>
    </row>
    <row r="85" spans="1:16" ht="15.75">
      <c r="A85" s="288"/>
      <c r="B85" s="290" t="s">
        <v>269</v>
      </c>
      <c r="C85" s="289"/>
      <c r="M85" s="365"/>
      <c r="N85" s="369"/>
    </row>
    <row r="86" spans="1:16" ht="15.75">
      <c r="A86" s="291">
        <v>440000</v>
      </c>
      <c r="B86" s="290" t="s">
        <v>270</v>
      </c>
      <c r="C86" s="289"/>
      <c r="F86" s="258">
        <f>ROUND(H86/1000,0)</f>
        <v>268999</v>
      </c>
      <c r="G86" s="258">
        <v>0</v>
      </c>
      <c r="H86" s="258">
        <v>268998637</v>
      </c>
      <c r="M86" s="365"/>
      <c r="N86" s="369"/>
    </row>
    <row r="87" spans="1:16" ht="15.75">
      <c r="A87" s="291">
        <v>442200</v>
      </c>
      <c r="B87" s="290" t="s">
        <v>271</v>
      </c>
      <c r="C87" s="289"/>
      <c r="F87" s="258">
        <f t="shared" ref="F87:F153" si="4">ROUND(H87/1000,0)</f>
        <v>231225</v>
      </c>
      <c r="G87" s="258">
        <v>0</v>
      </c>
      <c r="H87" s="258">
        <v>231224883</v>
      </c>
      <c r="M87" s="365"/>
      <c r="N87" s="369"/>
    </row>
    <row r="88" spans="1:16" ht="15.75">
      <c r="A88" s="291">
        <v>442300</v>
      </c>
      <c r="B88" s="290" t="s">
        <v>272</v>
      </c>
      <c r="C88" s="289"/>
      <c r="F88" s="258">
        <f t="shared" si="4"/>
        <v>62203</v>
      </c>
      <c r="G88" s="258">
        <v>0</v>
      </c>
      <c r="H88" s="258">
        <v>62202999</v>
      </c>
      <c r="M88" s="365"/>
      <c r="N88" s="369"/>
    </row>
    <row r="89" spans="1:16" ht="15.75">
      <c r="A89" s="291">
        <v>444000</v>
      </c>
      <c r="B89" s="290" t="s">
        <v>273</v>
      </c>
      <c r="C89" s="289"/>
      <c r="F89" s="258">
        <f t="shared" si="4"/>
        <v>4666</v>
      </c>
      <c r="G89" s="258">
        <v>0</v>
      </c>
      <c r="H89" s="258">
        <v>4665598</v>
      </c>
      <c r="M89" s="365"/>
      <c r="N89" s="369"/>
    </row>
    <row r="90" spans="1:16" ht="15.75">
      <c r="A90" s="291">
        <v>448000</v>
      </c>
      <c r="B90" s="290" t="s">
        <v>276</v>
      </c>
      <c r="E90" s="289"/>
      <c r="F90" s="258">
        <f t="shared" si="4"/>
        <v>1173</v>
      </c>
      <c r="G90" s="258">
        <v>0</v>
      </c>
      <c r="H90" s="258">
        <v>1173020</v>
      </c>
      <c r="M90" s="365"/>
      <c r="N90" s="369"/>
    </row>
    <row r="91" spans="1:16" ht="15.75">
      <c r="A91" s="288" t="s">
        <v>274</v>
      </c>
      <c r="B91" s="290" t="s">
        <v>275</v>
      </c>
      <c r="C91" s="289"/>
      <c r="F91" s="258">
        <f t="shared" si="4"/>
        <v>-1469</v>
      </c>
      <c r="G91" s="258">
        <v>0</v>
      </c>
      <c r="H91" s="258">
        <v>-1468901</v>
      </c>
      <c r="M91" s="365"/>
      <c r="N91" s="369"/>
    </row>
    <row r="92" spans="1:16" ht="15.75">
      <c r="A92" s="291"/>
      <c r="B92" s="290" t="s">
        <v>277</v>
      </c>
      <c r="C92" s="289"/>
      <c r="F92" s="258">
        <f t="shared" si="4"/>
        <v>566796</v>
      </c>
      <c r="G92" s="258">
        <v>0</v>
      </c>
      <c r="H92" s="258">
        <v>566796236</v>
      </c>
      <c r="M92" s="365"/>
      <c r="N92" s="369"/>
    </row>
    <row r="93" spans="1:16" ht="15.75">
      <c r="A93" s="291"/>
      <c r="B93" s="290"/>
      <c r="C93" s="289"/>
      <c r="F93" s="258">
        <f t="shared" si="4"/>
        <v>0</v>
      </c>
      <c r="G93" s="258">
        <v>0</v>
      </c>
      <c r="M93" s="365"/>
      <c r="N93" s="369"/>
    </row>
    <row r="94" spans="1:16" ht="15.75">
      <c r="A94" s="291" t="s">
        <v>278</v>
      </c>
      <c r="B94" s="290" t="s">
        <v>43</v>
      </c>
      <c r="C94" s="289"/>
      <c r="F94" s="258">
        <f t="shared" si="4"/>
        <v>50450</v>
      </c>
      <c r="G94" s="258">
        <v>0</v>
      </c>
      <c r="H94" s="258">
        <v>50449849</v>
      </c>
      <c r="M94" s="365"/>
      <c r="N94" s="369"/>
    </row>
    <row r="95" spans="1:16" ht="15.75">
      <c r="A95" s="291"/>
      <c r="B95" s="290" t="s">
        <v>279</v>
      </c>
      <c r="C95" s="289"/>
      <c r="F95" s="258">
        <f t="shared" si="4"/>
        <v>617246</v>
      </c>
      <c r="G95" s="258">
        <v>0</v>
      </c>
      <c r="H95" s="258">
        <v>617246085</v>
      </c>
      <c r="M95" s="365"/>
      <c r="N95" s="369"/>
    </row>
    <row r="96" spans="1:16" ht="15.75">
      <c r="A96" s="291"/>
      <c r="B96" s="290"/>
      <c r="C96" s="289"/>
      <c r="F96" s="258">
        <f t="shared" si="4"/>
        <v>0</v>
      </c>
      <c r="G96" s="258">
        <v>0</v>
      </c>
      <c r="M96" s="365"/>
      <c r="N96" s="369"/>
    </row>
    <row r="97" spans="1:14" ht="15.75">
      <c r="A97" s="291"/>
      <c r="B97" s="290" t="s">
        <v>280</v>
      </c>
      <c r="C97" s="289"/>
      <c r="F97" s="258">
        <f t="shared" si="4"/>
        <v>0</v>
      </c>
      <c r="G97" s="258">
        <v>0</v>
      </c>
      <c r="M97" s="365"/>
      <c r="N97" s="369"/>
    </row>
    <row r="98" spans="1:14" ht="15.75">
      <c r="A98" s="366">
        <v>449100</v>
      </c>
      <c r="B98" s="365" t="s">
        <v>622</v>
      </c>
      <c r="C98" s="289"/>
      <c r="F98" s="258">
        <f t="shared" si="4"/>
        <v>0</v>
      </c>
      <c r="G98" s="258">
        <v>0</v>
      </c>
      <c r="H98" s="258">
        <v>0</v>
      </c>
      <c r="M98" s="365"/>
      <c r="N98" s="369"/>
    </row>
    <row r="99" spans="1:14" ht="15.75">
      <c r="A99" s="366">
        <v>449110</v>
      </c>
      <c r="B99" s="365" t="s">
        <v>680</v>
      </c>
      <c r="C99" s="289"/>
      <c r="F99" s="258">
        <f t="shared" si="4"/>
        <v>0</v>
      </c>
      <c r="G99" s="258">
        <v>0</v>
      </c>
      <c r="H99" s="258">
        <v>0</v>
      </c>
      <c r="M99" s="365"/>
      <c r="N99" s="369"/>
    </row>
    <row r="100" spans="1:14" ht="15.75">
      <c r="A100" s="291">
        <v>451000</v>
      </c>
      <c r="B100" s="290" t="s">
        <v>281</v>
      </c>
      <c r="C100" s="289"/>
      <c r="F100" s="258">
        <f t="shared" si="4"/>
        <v>32</v>
      </c>
      <c r="G100" s="258">
        <v>0</v>
      </c>
      <c r="H100" s="258">
        <v>31594</v>
      </c>
      <c r="M100" s="365"/>
      <c r="N100" s="369"/>
    </row>
    <row r="101" spans="1:14" ht="15.75">
      <c r="A101" s="291">
        <v>453000</v>
      </c>
      <c r="B101" s="290" t="s">
        <v>282</v>
      </c>
      <c r="C101" s="289"/>
      <c r="F101" s="258">
        <f t="shared" si="4"/>
        <v>391</v>
      </c>
      <c r="G101" s="258">
        <v>0</v>
      </c>
      <c r="H101" s="258">
        <v>391219</v>
      </c>
      <c r="M101" s="365"/>
      <c r="N101" s="369"/>
    </row>
    <row r="102" spans="1:14" ht="15.75">
      <c r="A102" s="291">
        <v>454000</v>
      </c>
      <c r="B102" s="290" t="s">
        <v>283</v>
      </c>
      <c r="C102" s="289"/>
      <c r="F102" s="258">
        <f t="shared" si="4"/>
        <v>1806</v>
      </c>
      <c r="G102" s="258">
        <v>0</v>
      </c>
      <c r="H102" s="258">
        <v>1805972</v>
      </c>
      <c r="M102" s="365"/>
      <c r="N102" s="369"/>
    </row>
    <row r="103" spans="1:14" ht="15.75">
      <c r="A103" s="366">
        <v>454100</v>
      </c>
      <c r="B103" s="365" t="s">
        <v>681</v>
      </c>
      <c r="C103" s="289"/>
      <c r="F103" s="258">
        <f t="shared" si="4"/>
        <v>9</v>
      </c>
      <c r="G103" s="258">
        <v>0</v>
      </c>
      <c r="H103" s="258">
        <v>8532</v>
      </c>
      <c r="M103" s="365"/>
      <c r="N103" s="369"/>
    </row>
    <row r="104" spans="1:14" ht="15.75">
      <c r="A104" s="288" t="s">
        <v>284</v>
      </c>
      <c r="B104" s="290" t="s">
        <v>285</v>
      </c>
      <c r="C104" s="289"/>
      <c r="F104" s="258">
        <f t="shared" si="4"/>
        <v>39102</v>
      </c>
      <c r="G104" s="258">
        <v>0</v>
      </c>
      <c r="H104" s="258">
        <v>39102187</v>
      </c>
      <c r="M104" s="365"/>
      <c r="N104" s="369"/>
    </row>
    <row r="105" spans="1:14" ht="15.75">
      <c r="A105" s="288"/>
      <c r="B105" s="290" t="s">
        <v>286</v>
      </c>
      <c r="C105" s="289"/>
      <c r="F105" s="258">
        <f t="shared" si="4"/>
        <v>41340</v>
      </c>
      <c r="G105" s="258">
        <v>0</v>
      </c>
      <c r="H105" s="258">
        <v>41339504</v>
      </c>
      <c r="M105" s="365"/>
      <c r="N105" s="369"/>
    </row>
    <row r="106" spans="1:14" ht="15.75">
      <c r="A106" s="288"/>
      <c r="B106" s="290" t="s">
        <v>287</v>
      </c>
      <c r="C106" s="289"/>
      <c r="F106" s="258">
        <f t="shared" si="4"/>
        <v>658586</v>
      </c>
      <c r="G106" s="258">
        <v>0</v>
      </c>
      <c r="H106" s="258">
        <v>658585589</v>
      </c>
      <c r="M106" s="365"/>
      <c r="N106" s="369"/>
    </row>
    <row r="107" spans="1:14" ht="15.75">
      <c r="A107" s="288"/>
      <c r="B107" s="290"/>
      <c r="C107" s="289"/>
      <c r="F107" s="258">
        <f t="shared" si="4"/>
        <v>0</v>
      </c>
      <c r="G107" s="258">
        <v>0</v>
      </c>
      <c r="M107" s="365"/>
      <c r="N107" s="369"/>
    </row>
    <row r="108" spans="1:14" ht="15.75">
      <c r="A108" s="288"/>
      <c r="B108" s="290" t="s">
        <v>288</v>
      </c>
      <c r="C108" s="289"/>
      <c r="F108" s="258">
        <f t="shared" si="4"/>
        <v>0</v>
      </c>
      <c r="G108" s="258">
        <v>0</v>
      </c>
      <c r="M108" s="365"/>
      <c r="N108" s="369"/>
    </row>
    <row r="109" spans="1:14" ht="15.75">
      <c r="A109" s="288"/>
      <c r="B109" s="290" t="s">
        <v>289</v>
      </c>
      <c r="C109" s="289"/>
      <c r="F109" s="258">
        <f t="shared" si="4"/>
        <v>0</v>
      </c>
      <c r="G109" s="258">
        <v>0</v>
      </c>
      <c r="M109" s="365"/>
      <c r="N109" s="369"/>
    </row>
    <row r="110" spans="1:14" ht="15.75">
      <c r="A110" s="288"/>
      <c r="B110" s="290" t="s">
        <v>290</v>
      </c>
      <c r="C110" s="289"/>
      <c r="F110" s="258">
        <f t="shared" si="4"/>
        <v>0</v>
      </c>
      <c r="G110" s="258">
        <v>0</v>
      </c>
      <c r="M110" s="365"/>
      <c r="N110" s="369"/>
    </row>
    <row r="111" spans="1:14" ht="15.75">
      <c r="A111" s="291">
        <v>500000</v>
      </c>
      <c r="B111" s="290" t="s">
        <v>291</v>
      </c>
      <c r="C111" s="289"/>
      <c r="F111" s="258">
        <f t="shared" si="4"/>
        <v>237</v>
      </c>
      <c r="G111" s="258">
        <v>0</v>
      </c>
      <c r="H111" s="258">
        <v>237162</v>
      </c>
      <c r="M111" s="365"/>
      <c r="N111" s="369"/>
    </row>
    <row r="112" spans="1:14" ht="15.75">
      <c r="A112" s="291">
        <v>501000</v>
      </c>
      <c r="B112" s="290" t="s">
        <v>292</v>
      </c>
      <c r="C112" s="289"/>
      <c r="F112" s="258">
        <f t="shared" si="4"/>
        <v>20745</v>
      </c>
      <c r="G112" s="258">
        <v>0</v>
      </c>
      <c r="H112" s="258">
        <v>20744881</v>
      </c>
      <c r="M112" s="365"/>
      <c r="N112" s="369"/>
    </row>
    <row r="113" spans="1:14" ht="15.75">
      <c r="A113" s="291">
        <v>502000</v>
      </c>
      <c r="B113" s="290" t="s">
        <v>293</v>
      </c>
      <c r="C113" s="289"/>
      <c r="F113" s="258">
        <f t="shared" si="4"/>
        <v>2112</v>
      </c>
      <c r="G113" s="258">
        <v>0</v>
      </c>
      <c r="H113" s="258">
        <v>2112141</v>
      </c>
      <c r="M113" s="365"/>
      <c r="N113" s="369"/>
    </row>
    <row r="114" spans="1:14" ht="15.75">
      <c r="A114" s="291">
        <v>505000</v>
      </c>
      <c r="B114" s="290" t="s">
        <v>294</v>
      </c>
      <c r="C114" s="289"/>
      <c r="F114" s="258">
        <f t="shared" si="4"/>
        <v>522</v>
      </c>
      <c r="G114" s="258">
        <v>0</v>
      </c>
      <c r="H114" s="258">
        <v>521740</v>
      </c>
      <c r="M114" s="365"/>
      <c r="N114" s="369"/>
    </row>
    <row r="115" spans="1:14" ht="15.75">
      <c r="A115" s="291">
        <v>506000</v>
      </c>
      <c r="B115" s="290" t="s">
        <v>295</v>
      </c>
      <c r="C115" s="289"/>
      <c r="F115" s="258">
        <f t="shared" si="4"/>
        <v>3679</v>
      </c>
      <c r="G115" s="258">
        <v>0</v>
      </c>
      <c r="H115" s="258">
        <v>3679210</v>
      </c>
      <c r="M115" s="365"/>
      <c r="N115" s="369"/>
    </row>
    <row r="116" spans="1:14" ht="15.75">
      <c r="A116" s="291">
        <v>507000</v>
      </c>
      <c r="B116" s="290" t="s">
        <v>296</v>
      </c>
      <c r="C116" s="289"/>
      <c r="F116" s="258">
        <f t="shared" si="4"/>
        <v>0</v>
      </c>
      <c r="G116" s="258">
        <v>0</v>
      </c>
      <c r="H116" s="258">
        <v>0</v>
      </c>
      <c r="M116" s="365"/>
      <c r="N116" s="369"/>
    </row>
    <row r="117" spans="1:14" ht="15.75">
      <c r="A117" s="291"/>
      <c r="B117" s="290"/>
      <c r="C117" s="289"/>
      <c r="F117" s="258">
        <f t="shared" si="4"/>
        <v>0</v>
      </c>
      <c r="G117" s="258">
        <v>0</v>
      </c>
      <c r="M117" s="365"/>
      <c r="N117" s="369"/>
    </row>
    <row r="118" spans="1:14" ht="15.75">
      <c r="A118" s="291"/>
      <c r="B118" s="290" t="s">
        <v>297</v>
      </c>
      <c r="C118" s="289"/>
      <c r="F118" s="258">
        <f t="shared" si="4"/>
        <v>0</v>
      </c>
      <c r="G118" s="258">
        <v>0</v>
      </c>
      <c r="M118" s="365"/>
      <c r="N118" s="369"/>
    </row>
    <row r="119" spans="1:14" ht="15.75">
      <c r="A119" s="291">
        <v>510000</v>
      </c>
      <c r="B119" s="290" t="s">
        <v>291</v>
      </c>
      <c r="C119" s="289"/>
      <c r="F119" s="258">
        <f t="shared" si="4"/>
        <v>550</v>
      </c>
      <c r="G119" s="258">
        <v>0</v>
      </c>
      <c r="H119" s="258">
        <v>549736</v>
      </c>
      <c r="M119" s="365"/>
      <c r="N119" s="369"/>
    </row>
    <row r="120" spans="1:14" ht="15.75">
      <c r="A120" s="291">
        <v>511000</v>
      </c>
      <c r="B120" s="290" t="s">
        <v>298</v>
      </c>
      <c r="C120" s="289"/>
      <c r="F120" s="258">
        <f t="shared" si="4"/>
        <v>492</v>
      </c>
      <c r="G120" s="258">
        <v>0</v>
      </c>
      <c r="H120" s="258">
        <v>492318</v>
      </c>
      <c r="M120" s="365"/>
      <c r="N120" s="369"/>
    </row>
    <row r="121" spans="1:14" ht="15.75">
      <c r="A121" s="291">
        <v>512000</v>
      </c>
      <c r="B121" s="290" t="s">
        <v>299</v>
      </c>
      <c r="C121" s="289"/>
      <c r="F121" s="258">
        <f t="shared" si="4"/>
        <v>6132</v>
      </c>
      <c r="G121" s="258">
        <v>0</v>
      </c>
      <c r="H121" s="258">
        <v>6131837</v>
      </c>
      <c r="M121" s="365"/>
      <c r="N121" s="369"/>
    </row>
    <row r="122" spans="1:14" ht="15.75">
      <c r="A122" s="291">
        <v>513000</v>
      </c>
      <c r="B122" s="290" t="s">
        <v>300</v>
      </c>
      <c r="C122" s="289"/>
      <c r="F122" s="258">
        <f t="shared" si="4"/>
        <v>2096</v>
      </c>
      <c r="G122" s="258">
        <v>0</v>
      </c>
      <c r="H122" s="258">
        <v>2095657</v>
      </c>
      <c r="M122" s="365"/>
      <c r="N122" s="369"/>
    </row>
    <row r="123" spans="1:14" ht="15.75">
      <c r="A123" s="291" t="s">
        <v>682</v>
      </c>
      <c r="B123" s="290" t="s">
        <v>301</v>
      </c>
      <c r="C123" s="289"/>
      <c r="F123" s="258">
        <f t="shared" si="4"/>
        <v>925</v>
      </c>
      <c r="G123" s="258">
        <v>0</v>
      </c>
      <c r="H123" s="258">
        <v>925145</v>
      </c>
      <c r="M123" s="365"/>
      <c r="N123" s="369"/>
    </row>
    <row r="124" spans="1:14" ht="15.75">
      <c r="A124" s="288"/>
      <c r="B124" s="290" t="s">
        <v>302</v>
      </c>
      <c r="C124" s="289"/>
      <c r="F124" s="258">
        <f t="shared" si="4"/>
        <v>37490</v>
      </c>
      <c r="G124" s="258">
        <v>0</v>
      </c>
      <c r="H124" s="258">
        <v>37489827</v>
      </c>
      <c r="M124" s="365"/>
      <c r="N124" s="369"/>
    </row>
    <row r="125" spans="1:14" ht="15.75">
      <c r="A125" s="288"/>
      <c r="B125" s="290"/>
      <c r="C125" s="289"/>
      <c r="F125" s="258">
        <f t="shared" si="4"/>
        <v>0</v>
      </c>
      <c r="G125" s="258">
        <v>0</v>
      </c>
      <c r="M125" s="365"/>
      <c r="N125" s="369"/>
    </row>
    <row r="126" spans="1:14" ht="15.75">
      <c r="A126" s="288"/>
      <c r="B126" s="290" t="s">
        <v>303</v>
      </c>
      <c r="C126" s="289"/>
      <c r="F126" s="258">
        <f t="shared" si="4"/>
        <v>0</v>
      </c>
      <c r="G126" s="258">
        <v>0</v>
      </c>
      <c r="M126" s="365"/>
      <c r="N126" s="369"/>
    </row>
    <row r="127" spans="1:14" ht="15.75">
      <c r="A127" s="288"/>
      <c r="B127" s="290" t="s">
        <v>290</v>
      </c>
      <c r="C127" s="289"/>
      <c r="F127" s="258">
        <f t="shared" si="4"/>
        <v>0</v>
      </c>
      <c r="G127" s="258">
        <v>0</v>
      </c>
      <c r="M127" s="365"/>
      <c r="N127" s="369"/>
    </row>
    <row r="128" spans="1:14" ht="15.75">
      <c r="A128" s="291">
        <v>535000</v>
      </c>
      <c r="B128" s="290" t="s">
        <v>291</v>
      </c>
      <c r="C128" s="289"/>
      <c r="F128" s="258">
        <f t="shared" si="4"/>
        <v>1377</v>
      </c>
      <c r="G128" s="258">
        <v>0</v>
      </c>
      <c r="H128" s="258">
        <v>1376643</v>
      </c>
      <c r="M128" s="365"/>
      <c r="N128" s="369"/>
    </row>
    <row r="129" spans="1:14" ht="15.75">
      <c r="A129" s="291">
        <v>536000</v>
      </c>
      <c r="B129" s="290" t="s">
        <v>304</v>
      </c>
      <c r="C129" s="289"/>
      <c r="F129" s="258">
        <f t="shared" si="4"/>
        <v>874</v>
      </c>
      <c r="G129" s="258">
        <v>0</v>
      </c>
      <c r="H129" s="258">
        <v>873873</v>
      </c>
      <c r="M129" s="365"/>
      <c r="N129" s="369"/>
    </row>
    <row r="130" spans="1:14" ht="15.75">
      <c r="A130" s="291">
        <v>537000</v>
      </c>
      <c r="B130" s="290" t="s">
        <v>305</v>
      </c>
      <c r="C130" s="289"/>
      <c r="F130" s="258">
        <f t="shared" si="4"/>
        <v>5949</v>
      </c>
      <c r="G130" s="258">
        <v>0</v>
      </c>
      <c r="H130" s="258">
        <v>5948918</v>
      </c>
      <c r="M130" s="365"/>
      <c r="N130" s="369"/>
    </row>
    <row r="131" spans="1:14" ht="15.75">
      <c r="A131" s="291">
        <v>538000</v>
      </c>
      <c r="B131" s="290" t="s">
        <v>294</v>
      </c>
      <c r="C131" s="289"/>
      <c r="F131" s="258">
        <f t="shared" si="4"/>
        <v>3792</v>
      </c>
      <c r="G131" s="258">
        <v>0</v>
      </c>
      <c r="H131" s="258">
        <v>3791526</v>
      </c>
      <c r="M131" s="365"/>
      <c r="N131" s="369"/>
    </row>
    <row r="132" spans="1:14" ht="15.75">
      <c r="A132" s="291">
        <v>539000</v>
      </c>
      <c r="B132" s="290" t="s">
        <v>306</v>
      </c>
      <c r="C132" s="289"/>
      <c r="F132" s="258">
        <f t="shared" si="4"/>
        <v>791</v>
      </c>
      <c r="G132" s="258">
        <v>0</v>
      </c>
      <c r="H132" s="258">
        <v>790505</v>
      </c>
      <c r="M132" s="365"/>
      <c r="N132" s="369"/>
    </row>
    <row r="133" spans="1:14" ht="15.75">
      <c r="A133" s="291">
        <v>540000</v>
      </c>
      <c r="B133" s="290" t="s">
        <v>296</v>
      </c>
      <c r="C133" s="289"/>
      <c r="F133" s="258">
        <f t="shared" si="4"/>
        <v>1071</v>
      </c>
      <c r="G133" s="258">
        <v>0</v>
      </c>
      <c r="H133" s="258">
        <v>1070559</v>
      </c>
      <c r="M133" s="365"/>
      <c r="N133" s="369"/>
    </row>
    <row r="134" spans="1:14" ht="15.75">
      <c r="A134" s="292">
        <v>540100</v>
      </c>
      <c r="B134" s="293" t="s">
        <v>307</v>
      </c>
      <c r="C134" s="294"/>
      <c r="F134" s="258">
        <f t="shared" si="4"/>
        <v>3377</v>
      </c>
      <c r="G134" s="258">
        <v>0</v>
      </c>
      <c r="H134" s="258">
        <v>3377404</v>
      </c>
      <c r="M134" s="368"/>
      <c r="N134" s="371"/>
    </row>
    <row r="135" spans="1:14" ht="15.75">
      <c r="A135" s="288"/>
      <c r="B135" s="290"/>
      <c r="C135" s="289"/>
      <c r="F135" s="258">
        <f t="shared" si="4"/>
        <v>0</v>
      </c>
      <c r="G135" s="258">
        <v>0</v>
      </c>
      <c r="M135" s="365"/>
      <c r="N135" s="369"/>
    </row>
    <row r="136" spans="1:14" ht="15.75">
      <c r="A136" s="288"/>
      <c r="B136" s="290" t="s">
        <v>297</v>
      </c>
      <c r="C136" s="289"/>
      <c r="F136" s="258">
        <f t="shared" si="4"/>
        <v>0</v>
      </c>
      <c r="G136" s="258">
        <v>0</v>
      </c>
      <c r="M136" s="365"/>
      <c r="N136" s="369"/>
    </row>
    <row r="137" spans="1:14" ht="15.75">
      <c r="A137" s="291">
        <v>541000</v>
      </c>
      <c r="B137" s="290" t="s">
        <v>291</v>
      </c>
      <c r="C137" s="289"/>
      <c r="F137" s="258">
        <f t="shared" si="4"/>
        <v>399</v>
      </c>
      <c r="G137" s="258">
        <v>0</v>
      </c>
      <c r="H137" s="258">
        <v>399089</v>
      </c>
      <c r="M137" s="365"/>
      <c r="N137" s="369"/>
    </row>
    <row r="138" spans="1:14" ht="15.75">
      <c r="A138" s="291">
        <v>542000</v>
      </c>
      <c r="B138" s="290" t="s">
        <v>298</v>
      </c>
      <c r="C138" s="289"/>
      <c r="F138" s="258">
        <f t="shared" si="4"/>
        <v>504</v>
      </c>
      <c r="G138" s="258">
        <v>0</v>
      </c>
      <c r="H138" s="258">
        <v>504221</v>
      </c>
      <c r="M138" s="365"/>
      <c r="N138" s="369"/>
    </row>
    <row r="139" spans="1:14" ht="15.75">
      <c r="A139" s="291">
        <v>543000</v>
      </c>
      <c r="B139" s="290" t="s">
        <v>308</v>
      </c>
      <c r="C139" s="289"/>
      <c r="F139" s="258">
        <f t="shared" si="4"/>
        <v>382</v>
      </c>
      <c r="G139" s="258">
        <v>0</v>
      </c>
      <c r="H139" s="258">
        <v>381980</v>
      </c>
      <c r="M139" s="365"/>
      <c r="N139" s="369"/>
    </row>
    <row r="140" spans="1:14" ht="15.75">
      <c r="A140" s="291">
        <v>544000</v>
      </c>
      <c r="B140" s="290" t="s">
        <v>300</v>
      </c>
      <c r="C140" s="289"/>
      <c r="F140" s="258">
        <f t="shared" si="4"/>
        <v>2220</v>
      </c>
      <c r="G140" s="258">
        <v>0</v>
      </c>
      <c r="H140" s="258">
        <v>2220088</v>
      </c>
      <c r="M140" s="365"/>
      <c r="N140" s="369"/>
    </row>
    <row r="141" spans="1:14" ht="15.75">
      <c r="A141" s="291">
        <v>545000</v>
      </c>
      <c r="B141" s="290" t="s">
        <v>309</v>
      </c>
      <c r="C141" s="289"/>
      <c r="F141" s="258">
        <f t="shared" si="4"/>
        <v>377</v>
      </c>
      <c r="G141" s="258">
        <v>0</v>
      </c>
      <c r="H141" s="258">
        <v>377009</v>
      </c>
      <c r="M141" s="365"/>
      <c r="N141" s="369"/>
    </row>
    <row r="142" spans="1:14" ht="15.75">
      <c r="A142" s="288"/>
      <c r="B142" s="290" t="s">
        <v>310</v>
      </c>
      <c r="C142" s="289"/>
      <c r="F142" s="258">
        <f t="shared" si="4"/>
        <v>21112</v>
      </c>
      <c r="G142" s="258">
        <v>0</v>
      </c>
      <c r="H142" s="258">
        <v>21111815</v>
      </c>
      <c r="M142" s="365"/>
      <c r="N142" s="369"/>
    </row>
    <row r="143" spans="1:14" ht="15.75">
      <c r="A143" s="288"/>
      <c r="B143" s="290"/>
      <c r="C143" s="289"/>
      <c r="F143" s="258">
        <f t="shared" si="4"/>
        <v>0</v>
      </c>
      <c r="G143" s="258">
        <v>0</v>
      </c>
      <c r="M143" s="365"/>
      <c r="N143" s="369"/>
    </row>
    <row r="144" spans="1:14" ht="15.75">
      <c r="A144" s="288"/>
      <c r="B144" s="290" t="s">
        <v>311</v>
      </c>
      <c r="C144" s="289"/>
      <c r="F144" s="258">
        <f t="shared" si="4"/>
        <v>0</v>
      </c>
      <c r="G144" s="258">
        <v>0</v>
      </c>
      <c r="M144" s="365"/>
      <c r="N144" s="369"/>
    </row>
    <row r="145" spans="1:14" ht="15.75">
      <c r="A145" s="288"/>
      <c r="B145" s="290" t="s">
        <v>290</v>
      </c>
      <c r="C145" s="289"/>
      <c r="F145" s="258">
        <f t="shared" si="4"/>
        <v>0</v>
      </c>
      <c r="G145" s="258">
        <v>0</v>
      </c>
      <c r="M145" s="365"/>
      <c r="N145" s="369"/>
    </row>
    <row r="146" spans="1:14" ht="15.75">
      <c r="A146" s="291">
        <v>546000</v>
      </c>
      <c r="B146" s="290" t="s">
        <v>291</v>
      </c>
      <c r="C146" s="289"/>
      <c r="F146" s="258">
        <f t="shared" si="4"/>
        <v>291</v>
      </c>
      <c r="G146" s="258">
        <v>0</v>
      </c>
      <c r="H146" s="258">
        <v>290901</v>
      </c>
      <c r="M146" s="365"/>
      <c r="N146" s="369"/>
    </row>
    <row r="147" spans="1:14" ht="15.75">
      <c r="A147" s="291">
        <v>547000</v>
      </c>
      <c r="B147" s="290" t="s">
        <v>292</v>
      </c>
      <c r="C147" s="289"/>
      <c r="F147" s="258">
        <f t="shared" si="4"/>
        <v>51191</v>
      </c>
      <c r="G147" s="258">
        <v>0</v>
      </c>
      <c r="H147" s="258">
        <v>51191412</v>
      </c>
      <c r="M147" s="365"/>
      <c r="N147" s="369"/>
    </row>
    <row r="148" spans="1:14" ht="15.75">
      <c r="A148" s="291">
        <v>548000</v>
      </c>
      <c r="B148" s="290" t="s">
        <v>312</v>
      </c>
      <c r="C148" s="289"/>
      <c r="F148" s="258">
        <f t="shared" si="4"/>
        <v>1281</v>
      </c>
      <c r="G148" s="258">
        <v>0</v>
      </c>
      <c r="H148" s="258">
        <v>1280980</v>
      </c>
      <c r="M148" s="365"/>
      <c r="N148" s="369"/>
    </row>
    <row r="149" spans="1:14" ht="15.75">
      <c r="A149" s="291">
        <v>549000</v>
      </c>
      <c r="B149" s="290" t="s">
        <v>313</v>
      </c>
      <c r="C149" s="289"/>
      <c r="F149" s="258">
        <f t="shared" si="4"/>
        <v>511</v>
      </c>
      <c r="G149" s="258">
        <v>0</v>
      </c>
      <c r="H149" s="258">
        <v>511040</v>
      </c>
      <c r="M149" s="365"/>
      <c r="N149" s="369"/>
    </row>
    <row r="150" spans="1:14" ht="15.75">
      <c r="A150" s="291">
        <v>550000</v>
      </c>
      <c r="B150" s="290" t="s">
        <v>296</v>
      </c>
      <c r="C150" s="289"/>
      <c r="F150" s="258">
        <f t="shared" si="4"/>
        <v>57</v>
      </c>
      <c r="G150" s="258">
        <v>0</v>
      </c>
      <c r="H150" s="258">
        <v>57100</v>
      </c>
      <c r="M150" s="365"/>
      <c r="N150" s="369"/>
    </row>
    <row r="151" spans="1:14" ht="15.75">
      <c r="A151" s="288"/>
      <c r="B151" s="290"/>
      <c r="C151" s="289"/>
      <c r="F151" s="258">
        <f t="shared" si="4"/>
        <v>0</v>
      </c>
      <c r="G151" s="258">
        <v>0</v>
      </c>
      <c r="M151" s="365"/>
      <c r="N151" s="369"/>
    </row>
    <row r="152" spans="1:14" ht="15.75">
      <c r="A152" s="288"/>
      <c r="B152" s="290" t="s">
        <v>297</v>
      </c>
      <c r="C152" s="289"/>
      <c r="F152" s="258">
        <f t="shared" si="4"/>
        <v>0</v>
      </c>
      <c r="G152" s="258">
        <v>0</v>
      </c>
      <c r="M152" s="365"/>
      <c r="N152" s="369"/>
    </row>
    <row r="153" spans="1:14" ht="15.75">
      <c r="A153" s="291">
        <v>551000</v>
      </c>
      <c r="B153" s="290" t="s">
        <v>291</v>
      </c>
      <c r="C153" s="289"/>
      <c r="F153" s="258">
        <f t="shared" si="4"/>
        <v>485</v>
      </c>
      <c r="G153" s="258">
        <v>0</v>
      </c>
      <c r="H153" s="258">
        <v>484611</v>
      </c>
      <c r="M153" s="365"/>
      <c r="N153" s="369"/>
    </row>
    <row r="154" spans="1:14" ht="15.75">
      <c r="A154" s="291">
        <v>552000</v>
      </c>
      <c r="B154" s="290" t="s">
        <v>298</v>
      </c>
      <c r="C154" s="289"/>
      <c r="F154" s="258">
        <f t="shared" ref="F154:F236" si="5">ROUND(H154/1000,0)</f>
        <v>63</v>
      </c>
      <c r="G154" s="258">
        <v>0</v>
      </c>
      <c r="H154" s="258">
        <v>63286</v>
      </c>
      <c r="M154" s="365"/>
      <c r="N154" s="369"/>
    </row>
    <row r="155" spans="1:14" ht="15.75">
      <c r="A155" s="291">
        <v>553000</v>
      </c>
      <c r="B155" s="290" t="s">
        <v>314</v>
      </c>
      <c r="C155" s="289"/>
      <c r="F155" s="258">
        <f t="shared" si="5"/>
        <v>3289</v>
      </c>
      <c r="G155" s="258">
        <v>0</v>
      </c>
      <c r="H155" s="258">
        <v>3288524</v>
      </c>
      <c r="M155" s="365"/>
      <c r="N155" s="369"/>
    </row>
    <row r="156" spans="1:14" ht="15.75">
      <c r="A156" s="291">
        <v>554000</v>
      </c>
      <c r="B156" s="290" t="s">
        <v>315</v>
      </c>
      <c r="C156" s="289"/>
      <c r="F156" s="258">
        <f t="shared" si="5"/>
        <v>345</v>
      </c>
      <c r="G156" s="258">
        <v>0</v>
      </c>
      <c r="H156" s="258">
        <v>345054</v>
      </c>
      <c r="M156" s="365"/>
      <c r="N156" s="369"/>
    </row>
    <row r="157" spans="1:14" ht="15.75">
      <c r="A157" s="288"/>
      <c r="B157" s="290" t="s">
        <v>316</v>
      </c>
      <c r="C157" s="289"/>
      <c r="F157" s="258">
        <f t="shared" si="5"/>
        <v>57513</v>
      </c>
      <c r="G157" s="258">
        <v>0</v>
      </c>
      <c r="H157" s="258">
        <v>57512908</v>
      </c>
      <c r="M157" s="365"/>
      <c r="N157" s="369"/>
    </row>
    <row r="158" spans="1:14" ht="15.75">
      <c r="A158" s="288"/>
      <c r="B158" s="290"/>
      <c r="C158" s="289"/>
      <c r="F158" s="258">
        <f t="shared" si="5"/>
        <v>0</v>
      </c>
      <c r="G158" s="258">
        <v>0</v>
      </c>
      <c r="M158" s="365"/>
      <c r="N158" s="369"/>
    </row>
    <row r="159" spans="1:14" ht="15.75">
      <c r="A159" s="288"/>
      <c r="B159" s="290" t="s">
        <v>317</v>
      </c>
      <c r="C159" s="289"/>
      <c r="F159" s="258">
        <f t="shared" si="5"/>
        <v>0</v>
      </c>
      <c r="G159" s="258">
        <v>0</v>
      </c>
      <c r="M159" s="365"/>
      <c r="N159" s="369"/>
    </row>
    <row r="160" spans="1:14" ht="15.75">
      <c r="A160" s="288" t="s">
        <v>318</v>
      </c>
      <c r="B160" s="290" t="s">
        <v>50</v>
      </c>
      <c r="C160" s="289"/>
      <c r="F160" s="258">
        <f t="shared" si="5"/>
        <v>95039</v>
      </c>
      <c r="G160" s="258">
        <v>0</v>
      </c>
      <c r="H160" s="258">
        <v>95038795</v>
      </c>
      <c r="M160" s="365"/>
      <c r="N160" s="369"/>
    </row>
    <row r="161" spans="1:14" ht="15.75">
      <c r="A161" s="291">
        <v>556000</v>
      </c>
      <c r="B161" s="290" t="s">
        <v>319</v>
      </c>
      <c r="C161" s="289"/>
      <c r="F161" s="258">
        <f t="shared" si="5"/>
        <v>479</v>
      </c>
      <c r="G161" s="258">
        <v>0</v>
      </c>
      <c r="H161" s="258">
        <v>479467</v>
      </c>
      <c r="M161" s="365"/>
      <c r="N161" s="369"/>
    </row>
    <row r="162" spans="1:14" ht="15.75">
      <c r="A162" s="291" t="s">
        <v>320</v>
      </c>
      <c r="B162" s="290" t="s">
        <v>321</v>
      </c>
      <c r="C162" s="289"/>
      <c r="F162" s="258">
        <f t="shared" si="5"/>
        <v>19892</v>
      </c>
      <c r="G162" s="258">
        <v>0</v>
      </c>
      <c r="H162" s="258">
        <v>19891551</v>
      </c>
      <c r="M162" s="365"/>
      <c r="N162" s="369"/>
    </row>
    <row r="163" spans="1:14" ht="15.75">
      <c r="A163" s="291"/>
      <c r="B163" s="290" t="s">
        <v>322</v>
      </c>
      <c r="C163" s="289"/>
      <c r="F163" s="258">
        <f t="shared" si="5"/>
        <v>115410</v>
      </c>
      <c r="G163" s="258">
        <v>0</v>
      </c>
      <c r="H163" s="258">
        <v>115409813</v>
      </c>
      <c r="M163" s="365"/>
      <c r="N163" s="369"/>
    </row>
    <row r="164" spans="1:14" ht="15.75">
      <c r="A164" s="291"/>
      <c r="B164" s="290" t="s">
        <v>323</v>
      </c>
      <c r="C164" s="289"/>
      <c r="F164" s="258">
        <f t="shared" si="5"/>
        <v>231524</v>
      </c>
      <c r="G164" s="258">
        <v>0</v>
      </c>
      <c r="H164" s="258">
        <v>231524363</v>
      </c>
      <c r="M164" s="365"/>
      <c r="N164" s="369"/>
    </row>
    <row r="165" spans="1:14" ht="15.75">
      <c r="A165" s="291"/>
      <c r="B165" s="290"/>
      <c r="C165" s="289"/>
      <c r="F165" s="258">
        <f t="shared" si="5"/>
        <v>0</v>
      </c>
      <c r="G165" s="258">
        <v>0</v>
      </c>
      <c r="M165" s="365"/>
      <c r="N165" s="369"/>
    </row>
    <row r="166" spans="1:14" ht="15.75">
      <c r="A166" s="291"/>
      <c r="B166" s="290" t="s">
        <v>324</v>
      </c>
      <c r="C166" s="289"/>
      <c r="F166" s="258">
        <f t="shared" si="5"/>
        <v>0</v>
      </c>
      <c r="G166" s="258">
        <v>0</v>
      </c>
      <c r="M166" s="365"/>
      <c r="N166" s="369"/>
    </row>
    <row r="167" spans="1:14" ht="15.75">
      <c r="A167" s="291"/>
      <c r="B167" s="290" t="s">
        <v>290</v>
      </c>
      <c r="C167" s="289"/>
      <c r="F167" s="258">
        <f t="shared" si="5"/>
        <v>0</v>
      </c>
      <c r="G167" s="258">
        <v>0</v>
      </c>
      <c r="M167" s="365"/>
      <c r="N167" s="369"/>
    </row>
    <row r="168" spans="1:14" ht="15.75">
      <c r="A168" s="291">
        <v>560000</v>
      </c>
      <c r="B168" s="290" t="s">
        <v>291</v>
      </c>
      <c r="C168" s="289"/>
      <c r="F168" s="258">
        <f t="shared" si="5"/>
        <v>1335</v>
      </c>
      <c r="G168" s="258">
        <v>0</v>
      </c>
      <c r="H168" s="258">
        <v>1334965</v>
      </c>
      <c r="M168" s="365"/>
      <c r="N168" s="369"/>
    </row>
    <row r="169" spans="1:14" ht="15.75">
      <c r="A169" s="291">
        <v>561000</v>
      </c>
      <c r="B169" s="290" t="s">
        <v>325</v>
      </c>
      <c r="C169" s="289"/>
      <c r="F169" s="258">
        <f t="shared" si="5"/>
        <v>1812</v>
      </c>
      <c r="G169" s="258">
        <v>0</v>
      </c>
      <c r="H169" s="258">
        <v>1811738</v>
      </c>
      <c r="M169" s="365"/>
      <c r="N169" s="369"/>
    </row>
    <row r="170" spans="1:14" ht="15.75">
      <c r="A170" s="291">
        <v>562000</v>
      </c>
      <c r="B170" s="290" t="s">
        <v>326</v>
      </c>
      <c r="C170" s="289"/>
      <c r="F170" s="258">
        <f t="shared" si="5"/>
        <v>224</v>
      </c>
      <c r="G170" s="258">
        <v>0</v>
      </c>
      <c r="H170" s="258">
        <v>224340</v>
      </c>
      <c r="M170" s="365"/>
      <c r="N170" s="369"/>
    </row>
    <row r="171" spans="1:14" ht="15.75">
      <c r="A171" s="366">
        <v>562100</v>
      </c>
      <c r="B171" s="365" t="s">
        <v>623</v>
      </c>
      <c r="C171" s="289"/>
      <c r="F171" s="258">
        <f t="shared" si="5"/>
        <v>0</v>
      </c>
      <c r="G171" s="258">
        <v>0</v>
      </c>
      <c r="H171" s="258">
        <v>0</v>
      </c>
      <c r="M171" s="365"/>
      <c r="N171" s="369"/>
    </row>
    <row r="172" spans="1:14" ht="15.75">
      <c r="A172" s="291">
        <v>563000</v>
      </c>
      <c r="B172" s="290" t="s">
        <v>327</v>
      </c>
      <c r="C172" s="289"/>
      <c r="F172" s="258">
        <f t="shared" si="5"/>
        <v>403</v>
      </c>
      <c r="G172" s="258">
        <v>0</v>
      </c>
      <c r="H172" s="258">
        <v>402681</v>
      </c>
      <c r="M172" s="365"/>
      <c r="N172" s="369"/>
    </row>
    <row r="173" spans="1:14" ht="15.75">
      <c r="A173" s="291">
        <v>565000</v>
      </c>
      <c r="B173" s="290" t="s">
        <v>328</v>
      </c>
      <c r="C173" s="289"/>
      <c r="F173" s="258">
        <f t="shared" si="5"/>
        <v>11624</v>
      </c>
      <c r="G173" s="258">
        <v>0</v>
      </c>
      <c r="H173" s="258">
        <v>11623690</v>
      </c>
      <c r="M173" s="365"/>
      <c r="N173" s="369"/>
    </row>
    <row r="174" spans="1:14" ht="15.75">
      <c r="A174" s="291">
        <v>566000</v>
      </c>
      <c r="B174" s="290" t="s">
        <v>329</v>
      </c>
      <c r="C174" s="289"/>
      <c r="F174" s="258">
        <f t="shared" si="5"/>
        <v>2179</v>
      </c>
      <c r="G174" s="258">
        <v>0</v>
      </c>
      <c r="H174" s="258">
        <v>2179130</v>
      </c>
      <c r="M174" s="365"/>
      <c r="N174" s="369"/>
    </row>
    <row r="175" spans="1:14" ht="15.75">
      <c r="A175" s="291">
        <v>567000</v>
      </c>
      <c r="B175" s="290" t="s">
        <v>296</v>
      </c>
      <c r="C175" s="289"/>
      <c r="F175" s="258">
        <f t="shared" si="5"/>
        <v>121</v>
      </c>
      <c r="G175" s="258">
        <v>0</v>
      </c>
      <c r="H175" s="258">
        <v>121286</v>
      </c>
      <c r="M175" s="365"/>
      <c r="N175" s="369"/>
    </row>
    <row r="176" spans="1:14" ht="15.75">
      <c r="A176" s="288"/>
      <c r="B176" s="290"/>
      <c r="C176" s="289"/>
      <c r="F176" s="258">
        <f t="shared" si="5"/>
        <v>0</v>
      </c>
      <c r="G176" s="258">
        <v>0</v>
      </c>
      <c r="M176" s="365"/>
      <c r="N176" s="369"/>
    </row>
    <row r="177" spans="1:14" ht="15.75">
      <c r="A177" s="288"/>
      <c r="B177" s="290" t="s">
        <v>297</v>
      </c>
      <c r="C177" s="289"/>
      <c r="F177" s="258">
        <f t="shared" si="5"/>
        <v>0</v>
      </c>
      <c r="G177" s="258">
        <v>0</v>
      </c>
      <c r="M177" s="365"/>
      <c r="N177" s="369"/>
    </row>
    <row r="178" spans="1:14" ht="15.75">
      <c r="A178" s="291">
        <v>568000</v>
      </c>
      <c r="B178" s="290" t="s">
        <v>291</v>
      </c>
      <c r="C178" s="289"/>
      <c r="F178" s="258">
        <f t="shared" si="5"/>
        <v>276</v>
      </c>
      <c r="G178" s="258">
        <v>0</v>
      </c>
      <c r="H178" s="258">
        <v>276449</v>
      </c>
      <c r="M178" s="365"/>
      <c r="N178" s="369"/>
    </row>
    <row r="179" spans="1:14" ht="15.75">
      <c r="A179" s="291">
        <v>569000</v>
      </c>
      <c r="B179" s="290" t="s">
        <v>298</v>
      </c>
      <c r="C179" s="289"/>
      <c r="F179" s="258">
        <f t="shared" si="5"/>
        <v>384</v>
      </c>
      <c r="G179" s="258">
        <v>0</v>
      </c>
      <c r="H179" s="258">
        <v>384188</v>
      </c>
      <c r="M179" s="365"/>
      <c r="N179" s="369"/>
    </row>
    <row r="180" spans="1:14" ht="15.75">
      <c r="A180" s="291">
        <v>570000</v>
      </c>
      <c r="B180" s="290" t="s">
        <v>330</v>
      </c>
      <c r="C180" s="289"/>
      <c r="F180" s="258">
        <f t="shared" si="5"/>
        <v>542</v>
      </c>
      <c r="G180" s="258">
        <v>0</v>
      </c>
      <c r="H180" s="258">
        <v>542292</v>
      </c>
      <c r="M180" s="365"/>
      <c r="N180" s="369"/>
    </row>
    <row r="181" spans="1:14" ht="15.75">
      <c r="A181" s="366">
        <v>570100</v>
      </c>
      <c r="B181" s="365" t="s">
        <v>623</v>
      </c>
      <c r="C181" s="289"/>
      <c r="F181" s="258">
        <f t="shared" si="5"/>
        <v>0</v>
      </c>
      <c r="G181" s="258">
        <v>0</v>
      </c>
      <c r="H181" s="258">
        <v>0</v>
      </c>
      <c r="M181" s="365"/>
      <c r="N181" s="369"/>
    </row>
    <row r="182" spans="1:14" ht="15.75">
      <c r="A182" s="291">
        <v>571000</v>
      </c>
      <c r="B182" s="290" t="s">
        <v>331</v>
      </c>
      <c r="C182" s="289"/>
      <c r="F182" s="258">
        <f t="shared" si="5"/>
        <v>847</v>
      </c>
      <c r="G182" s="258">
        <v>0</v>
      </c>
      <c r="H182" s="258">
        <v>847448</v>
      </c>
      <c r="M182" s="365"/>
      <c r="N182" s="369"/>
    </row>
    <row r="183" spans="1:14" ht="15.75">
      <c r="A183" s="291">
        <v>572000</v>
      </c>
      <c r="B183" s="290" t="s">
        <v>332</v>
      </c>
      <c r="C183" s="289"/>
      <c r="F183" s="258">
        <f t="shared" si="5"/>
        <v>16</v>
      </c>
      <c r="G183" s="258">
        <v>0</v>
      </c>
      <c r="H183" s="258">
        <v>15511</v>
      </c>
      <c r="M183" s="365"/>
      <c r="N183" s="369"/>
    </row>
    <row r="184" spans="1:14" ht="15.75">
      <c r="A184" s="291">
        <v>573000</v>
      </c>
      <c r="B184" s="290" t="s">
        <v>333</v>
      </c>
      <c r="C184" s="289"/>
      <c r="F184" s="258">
        <f t="shared" si="5"/>
        <v>37</v>
      </c>
      <c r="G184" s="258">
        <v>0</v>
      </c>
      <c r="H184" s="258">
        <v>36529</v>
      </c>
      <c r="M184" s="365"/>
      <c r="N184" s="369"/>
    </row>
    <row r="185" spans="1:14" ht="15.75">
      <c r="A185" s="288"/>
      <c r="B185" s="290" t="s">
        <v>334</v>
      </c>
      <c r="C185" s="289"/>
      <c r="F185" s="258">
        <f t="shared" si="5"/>
        <v>19800</v>
      </c>
      <c r="G185" s="258">
        <v>0</v>
      </c>
      <c r="H185" s="258">
        <v>19800247</v>
      </c>
      <c r="M185" s="365"/>
      <c r="N185" s="369"/>
    </row>
    <row r="186" spans="1:14" ht="15.75">
      <c r="A186" s="288"/>
      <c r="B186" s="290"/>
      <c r="C186" s="289"/>
      <c r="F186" s="258">
        <f t="shared" si="5"/>
        <v>0</v>
      </c>
      <c r="G186" s="258">
        <v>0</v>
      </c>
      <c r="M186" s="365"/>
    </row>
    <row r="187" spans="1:14" ht="15.75">
      <c r="A187" s="288"/>
      <c r="B187" s="290" t="s">
        <v>335</v>
      </c>
      <c r="C187" s="289"/>
      <c r="F187" s="258">
        <f>ROUND(H187/1000,0)</f>
        <v>30032</v>
      </c>
      <c r="G187" s="258">
        <v>0</v>
      </c>
      <c r="H187" s="594">
        <v>30032088</v>
      </c>
      <c r="M187" s="365"/>
    </row>
    <row r="188" spans="1:14" ht="15.75">
      <c r="A188" s="288"/>
      <c r="B188" s="290" t="s">
        <v>336</v>
      </c>
      <c r="C188" s="289"/>
      <c r="F188" s="258">
        <f t="shared" ref="F188:F231" si="6">ROUND(H188/1000,0)</f>
        <v>11716</v>
      </c>
      <c r="G188" s="258">
        <v>0</v>
      </c>
      <c r="H188" s="594">
        <v>11715884</v>
      </c>
      <c r="M188" s="365"/>
    </row>
    <row r="189" spans="1:14" ht="15.75">
      <c r="A189" s="295"/>
      <c r="B189" s="293" t="s">
        <v>337</v>
      </c>
      <c r="C189" s="294"/>
      <c r="F189" s="258">
        <f t="shared" si="6"/>
        <v>759</v>
      </c>
      <c r="G189" s="258">
        <v>0</v>
      </c>
      <c r="H189" s="594">
        <v>758796</v>
      </c>
      <c r="M189" s="368"/>
    </row>
    <row r="190" spans="1:14" ht="15.75">
      <c r="A190" s="295"/>
      <c r="B190" s="290" t="s">
        <v>588</v>
      </c>
      <c r="C190" s="294"/>
      <c r="F190" s="258">
        <f t="shared" si="6"/>
        <v>0</v>
      </c>
      <c r="G190" s="258">
        <v>0</v>
      </c>
      <c r="H190" s="594">
        <v>0</v>
      </c>
      <c r="M190" s="365"/>
    </row>
    <row r="191" spans="1:14" ht="15.75">
      <c r="A191" s="291">
        <v>403027</v>
      </c>
      <c r="B191" s="365" t="s">
        <v>700</v>
      </c>
      <c r="C191" s="294"/>
      <c r="F191" s="258">
        <f t="shared" si="6"/>
        <v>-2039</v>
      </c>
      <c r="G191" s="258">
        <v>0</v>
      </c>
      <c r="H191" s="594">
        <v>-2038974</v>
      </c>
      <c r="M191" s="366">
        <v>403027</v>
      </c>
      <c r="N191" s="365" t="s">
        <v>700</v>
      </c>
    </row>
    <row r="192" spans="1:14" ht="15.75">
      <c r="A192" s="291">
        <v>405930</v>
      </c>
      <c r="B192" s="290" t="s">
        <v>338</v>
      </c>
      <c r="C192" s="289"/>
      <c r="F192" s="258">
        <f t="shared" si="6"/>
        <v>0</v>
      </c>
      <c r="G192" s="258">
        <v>0</v>
      </c>
      <c r="H192" s="594">
        <v>0</v>
      </c>
      <c r="M192" s="366">
        <v>405930</v>
      </c>
      <c r="N192" s="365" t="s">
        <v>338</v>
      </c>
    </row>
    <row r="193" spans="1:14" ht="15.75">
      <c r="A193" s="291">
        <v>406100</v>
      </c>
      <c r="B193" s="290" t="s">
        <v>339</v>
      </c>
      <c r="C193" s="289"/>
      <c r="F193" s="258">
        <f t="shared" si="6"/>
        <v>32</v>
      </c>
      <c r="G193" s="258">
        <v>0</v>
      </c>
      <c r="H193" s="594">
        <v>31743</v>
      </c>
      <c r="M193" s="366">
        <v>406100</v>
      </c>
      <c r="N193" s="365" t="s">
        <v>339</v>
      </c>
    </row>
    <row r="194" spans="1:14" ht="15.75">
      <c r="A194" s="291">
        <v>407312</v>
      </c>
      <c r="B194" s="290" t="s">
        <v>340</v>
      </c>
      <c r="C194" s="289"/>
      <c r="F194" s="258">
        <f t="shared" si="6"/>
        <v>0</v>
      </c>
      <c r="G194" s="258">
        <v>0</v>
      </c>
      <c r="H194" s="594">
        <v>0</v>
      </c>
      <c r="M194" s="366">
        <v>407312</v>
      </c>
      <c r="N194" s="365" t="s">
        <v>340</v>
      </c>
    </row>
    <row r="195" spans="1:14" ht="15.75">
      <c r="A195" s="367">
        <v>407320</v>
      </c>
      <c r="B195" s="368" t="s">
        <v>626</v>
      </c>
      <c r="C195" s="289"/>
      <c r="F195" s="258">
        <f t="shared" si="6"/>
        <v>0</v>
      </c>
      <c r="G195" s="258">
        <v>0</v>
      </c>
      <c r="H195" s="594">
        <v>0</v>
      </c>
      <c r="M195" s="366">
        <v>407320</v>
      </c>
      <c r="N195" s="365" t="s">
        <v>626</v>
      </c>
    </row>
    <row r="196" spans="1:14" ht="15.75">
      <c r="A196" s="292">
        <v>407322</v>
      </c>
      <c r="B196" s="293" t="s">
        <v>341</v>
      </c>
      <c r="C196" s="294"/>
      <c r="F196" s="258">
        <f t="shared" si="6"/>
        <v>12</v>
      </c>
      <c r="G196" s="258">
        <v>0</v>
      </c>
      <c r="H196" s="594">
        <v>12157</v>
      </c>
      <c r="M196" s="366">
        <v>407322</v>
      </c>
      <c r="N196" s="365" t="s">
        <v>341</v>
      </c>
    </row>
    <row r="197" spans="1:14" ht="15.75">
      <c r="A197" s="292">
        <v>407324</v>
      </c>
      <c r="B197" s="293" t="s">
        <v>342</v>
      </c>
      <c r="C197" s="294"/>
      <c r="F197" s="258">
        <f t="shared" si="6"/>
        <v>133</v>
      </c>
      <c r="G197" s="258">
        <v>0</v>
      </c>
      <c r="H197" s="594">
        <v>132924</v>
      </c>
      <c r="M197" s="366">
        <v>407324</v>
      </c>
      <c r="N197" s="365" t="s">
        <v>342</v>
      </c>
    </row>
    <row r="198" spans="1:14" ht="15.75">
      <c r="A198" s="292">
        <v>407326</v>
      </c>
      <c r="B198" s="293" t="s">
        <v>630</v>
      </c>
      <c r="C198" s="294"/>
      <c r="F198" s="258">
        <f t="shared" si="6"/>
        <v>0</v>
      </c>
      <c r="G198" s="258">
        <v>0</v>
      </c>
      <c r="H198" s="594">
        <v>0</v>
      </c>
      <c r="M198" s="366">
        <v>407326</v>
      </c>
      <c r="N198" s="365" t="s">
        <v>630</v>
      </c>
    </row>
    <row r="199" spans="1:14" ht="15.75">
      <c r="A199" s="292">
        <v>407327</v>
      </c>
      <c r="B199" s="368" t="s">
        <v>701</v>
      </c>
      <c r="C199" s="294"/>
      <c r="F199" s="258">
        <f t="shared" si="6"/>
        <v>979</v>
      </c>
      <c r="G199" s="258">
        <v>0</v>
      </c>
      <c r="H199" s="594">
        <v>979168</v>
      </c>
      <c r="M199" s="366">
        <v>407327</v>
      </c>
      <c r="N199" s="365" t="s">
        <v>701</v>
      </c>
    </row>
    <row r="200" spans="1:14" ht="15.75">
      <c r="A200" s="292">
        <v>407331</v>
      </c>
      <c r="B200" s="293" t="s">
        <v>589</v>
      </c>
      <c r="C200" s="294"/>
      <c r="F200" s="258">
        <f t="shared" si="6"/>
        <v>0</v>
      </c>
      <c r="G200" s="258">
        <v>0</v>
      </c>
      <c r="H200" s="594">
        <v>0</v>
      </c>
      <c r="M200" s="366">
        <v>407331</v>
      </c>
      <c r="N200" s="365" t="s">
        <v>589</v>
      </c>
    </row>
    <row r="201" spans="1:14" ht="15.75">
      <c r="A201" s="292">
        <v>407333</v>
      </c>
      <c r="B201" s="293" t="s">
        <v>590</v>
      </c>
      <c r="C201" s="294"/>
      <c r="F201" s="258">
        <f t="shared" si="6"/>
        <v>21</v>
      </c>
      <c r="G201" s="258">
        <v>0</v>
      </c>
      <c r="H201" s="594">
        <v>21444</v>
      </c>
      <c r="M201" s="366">
        <v>407333</v>
      </c>
      <c r="N201" s="365" t="s">
        <v>590</v>
      </c>
    </row>
    <row r="202" spans="1:14" ht="15.75">
      <c r="A202" s="292">
        <v>407335</v>
      </c>
      <c r="B202" s="293" t="s">
        <v>343</v>
      </c>
      <c r="C202" s="289"/>
      <c r="F202" s="258">
        <f t="shared" si="6"/>
        <v>0</v>
      </c>
      <c r="G202" s="258">
        <v>0</v>
      </c>
      <c r="H202" s="594">
        <v>0</v>
      </c>
      <c r="M202" s="366">
        <v>407335</v>
      </c>
      <c r="N202" s="365" t="s">
        <v>343</v>
      </c>
    </row>
    <row r="203" spans="1:14" ht="15.75">
      <c r="A203" s="291">
        <v>407350</v>
      </c>
      <c r="B203" s="290" t="s">
        <v>591</v>
      </c>
      <c r="C203" s="289"/>
      <c r="F203" s="258">
        <f t="shared" si="6"/>
        <v>0</v>
      </c>
      <c r="G203" s="258">
        <v>0</v>
      </c>
      <c r="H203" s="594">
        <v>0</v>
      </c>
      <c r="M203" s="366">
        <v>407350</v>
      </c>
      <c r="N203" s="365" t="s">
        <v>591</v>
      </c>
    </row>
    <row r="204" spans="1:14" ht="15.75">
      <c r="A204" s="291">
        <v>407351</v>
      </c>
      <c r="B204" s="290" t="s">
        <v>344</v>
      </c>
      <c r="C204" s="294"/>
      <c r="F204" s="258">
        <f t="shared" si="6"/>
        <v>0</v>
      </c>
      <c r="G204" s="258">
        <v>0</v>
      </c>
      <c r="H204" s="594">
        <v>0</v>
      </c>
      <c r="M204" s="366">
        <v>407351</v>
      </c>
      <c r="N204" s="365" t="s">
        <v>344</v>
      </c>
    </row>
    <row r="205" spans="1:14" ht="15.75">
      <c r="A205" s="291">
        <v>407360</v>
      </c>
      <c r="B205" s="290" t="s">
        <v>592</v>
      </c>
      <c r="C205" s="294"/>
      <c r="F205" s="258">
        <f t="shared" si="6"/>
        <v>0</v>
      </c>
      <c r="G205" s="258">
        <v>0</v>
      </c>
      <c r="H205" s="594">
        <v>0</v>
      </c>
      <c r="M205" s="366">
        <v>407360</v>
      </c>
      <c r="N205" s="365" t="s">
        <v>592</v>
      </c>
    </row>
    <row r="206" spans="1:14" ht="15.75">
      <c r="A206" s="291">
        <v>407362</v>
      </c>
      <c r="B206" s="290" t="s">
        <v>593</v>
      </c>
      <c r="C206" s="294"/>
      <c r="F206" s="258">
        <f t="shared" si="6"/>
        <v>0</v>
      </c>
      <c r="G206" s="258">
        <v>0</v>
      </c>
      <c r="H206" s="594">
        <v>0</v>
      </c>
      <c r="M206" s="366">
        <v>407362</v>
      </c>
      <c r="N206" s="365" t="s">
        <v>593</v>
      </c>
    </row>
    <row r="207" spans="1:14" ht="15.75">
      <c r="A207" s="291">
        <v>407365</v>
      </c>
      <c r="B207" s="290" t="s">
        <v>594</v>
      </c>
      <c r="C207" s="294"/>
      <c r="F207" s="258">
        <f t="shared" si="6"/>
        <v>0</v>
      </c>
      <c r="G207" s="258">
        <v>0</v>
      </c>
      <c r="H207" s="594">
        <v>0</v>
      </c>
      <c r="M207" s="366">
        <v>407365</v>
      </c>
      <c r="N207" s="365" t="s">
        <v>594</v>
      </c>
    </row>
    <row r="208" spans="1:14" ht="15.75">
      <c r="A208" s="291">
        <v>407368</v>
      </c>
      <c r="B208" s="290" t="s">
        <v>651</v>
      </c>
      <c r="C208" s="294"/>
      <c r="F208" s="258">
        <f t="shared" si="6"/>
        <v>0</v>
      </c>
      <c r="H208" s="594">
        <v>0</v>
      </c>
      <c r="M208" s="366">
        <v>407368</v>
      </c>
      <c r="N208" s="365" t="s">
        <v>651</v>
      </c>
    </row>
    <row r="209" spans="1:14" ht="15.75">
      <c r="A209" s="291">
        <v>407380</v>
      </c>
      <c r="B209" s="290" t="s">
        <v>345</v>
      </c>
      <c r="C209" s="294"/>
      <c r="F209" s="258">
        <f t="shared" si="6"/>
        <v>0</v>
      </c>
      <c r="G209" s="258">
        <v>0</v>
      </c>
      <c r="H209" s="594">
        <v>0</v>
      </c>
      <c r="M209" s="366">
        <v>407380</v>
      </c>
      <c r="N209" s="365" t="s">
        <v>345</v>
      </c>
    </row>
    <row r="210" spans="1:14" ht="15.75">
      <c r="A210" s="292">
        <v>407382</v>
      </c>
      <c r="B210" s="293" t="s">
        <v>346</v>
      </c>
      <c r="C210" s="294"/>
      <c r="F210" s="258">
        <f t="shared" si="6"/>
        <v>579</v>
      </c>
      <c r="G210" s="258">
        <v>0</v>
      </c>
      <c r="H210" s="594">
        <v>579430</v>
      </c>
      <c r="M210" s="366">
        <v>407382</v>
      </c>
      <c r="N210" s="365" t="s">
        <v>346</v>
      </c>
    </row>
    <row r="211" spans="1:14" ht="15.75">
      <c r="A211" s="292">
        <v>407382</v>
      </c>
      <c r="B211" s="293" t="s">
        <v>347</v>
      </c>
      <c r="C211" s="294"/>
      <c r="F211" s="258">
        <f t="shared" si="6"/>
        <v>25</v>
      </c>
      <c r="G211" s="258">
        <v>0</v>
      </c>
      <c r="H211" s="594">
        <v>25353</v>
      </c>
      <c r="M211" s="366">
        <v>407382</v>
      </c>
      <c r="N211" s="365" t="s">
        <v>347</v>
      </c>
    </row>
    <row r="212" spans="1:14" ht="15.75">
      <c r="A212" s="367">
        <v>407391</v>
      </c>
      <c r="B212" s="368" t="s">
        <v>630</v>
      </c>
      <c r="C212" s="294"/>
      <c r="F212" s="258">
        <f t="shared" si="6"/>
        <v>0</v>
      </c>
      <c r="G212" s="258">
        <v>0</v>
      </c>
      <c r="H212" s="594">
        <v>0</v>
      </c>
      <c r="M212" s="366">
        <v>407391</v>
      </c>
      <c r="N212" s="365" t="s">
        <v>630</v>
      </c>
    </row>
    <row r="213" spans="1:14" ht="15.75">
      <c r="A213" s="292">
        <v>407395</v>
      </c>
      <c r="B213" s="293" t="s">
        <v>348</v>
      </c>
      <c r="C213" s="294"/>
      <c r="F213" s="258">
        <f t="shared" si="6"/>
        <v>178</v>
      </c>
      <c r="G213" s="258">
        <v>0</v>
      </c>
      <c r="H213" s="594">
        <v>178204</v>
      </c>
      <c r="M213" s="366">
        <v>407395</v>
      </c>
      <c r="N213" s="365" t="s">
        <v>348</v>
      </c>
    </row>
    <row r="214" spans="1:14" ht="15.75">
      <c r="A214" s="291">
        <v>407403</v>
      </c>
      <c r="B214" s="290" t="s">
        <v>349</v>
      </c>
      <c r="C214" s="294"/>
      <c r="F214" s="258">
        <f t="shared" si="6"/>
        <v>0</v>
      </c>
      <c r="G214" s="258">
        <v>0</v>
      </c>
      <c r="H214" s="594">
        <v>0</v>
      </c>
      <c r="M214" s="366">
        <v>407403</v>
      </c>
      <c r="N214" s="365" t="s">
        <v>349</v>
      </c>
    </row>
    <row r="215" spans="1:14" ht="15.75">
      <c r="A215" s="291">
        <v>407405</v>
      </c>
      <c r="B215" s="290" t="s">
        <v>350</v>
      </c>
      <c r="C215" s="289"/>
      <c r="F215" s="258">
        <f t="shared" si="6"/>
        <v>0</v>
      </c>
      <c r="G215" s="258">
        <v>0</v>
      </c>
      <c r="H215" s="594">
        <v>0</v>
      </c>
      <c r="M215" s="366">
        <v>407405</v>
      </c>
      <c r="N215" s="365" t="s">
        <v>350</v>
      </c>
    </row>
    <row r="216" spans="1:14" ht="15.75">
      <c r="A216" s="366">
        <v>407415</v>
      </c>
      <c r="B216" s="365" t="s">
        <v>924</v>
      </c>
      <c r="C216" s="289"/>
      <c r="F216" s="258">
        <f t="shared" ref="F216" si="7">ROUND(H216/1000,0)</f>
        <v>-714</v>
      </c>
      <c r="G216" s="258">
        <v>1</v>
      </c>
      <c r="H216" s="594">
        <v>-714223</v>
      </c>
      <c r="M216" s="366">
        <v>407415</v>
      </c>
      <c r="N216" s="365" t="s">
        <v>924</v>
      </c>
    </row>
    <row r="217" spans="1:14" ht="15.75">
      <c r="A217" s="291">
        <v>407420</v>
      </c>
      <c r="B217" s="290" t="s">
        <v>351</v>
      </c>
      <c r="C217" s="289"/>
      <c r="F217" s="258">
        <f t="shared" si="6"/>
        <v>0</v>
      </c>
      <c r="G217" s="258">
        <v>0</v>
      </c>
      <c r="H217" s="594">
        <v>0</v>
      </c>
      <c r="M217" s="366">
        <v>407420</v>
      </c>
      <c r="N217" s="365" t="s">
        <v>351</v>
      </c>
    </row>
    <row r="218" spans="1:14" ht="15.75">
      <c r="A218" s="291">
        <v>407427</v>
      </c>
      <c r="B218" s="365" t="s">
        <v>702</v>
      </c>
      <c r="C218" s="289"/>
      <c r="F218" s="258">
        <f t="shared" si="6"/>
        <v>-1838</v>
      </c>
      <c r="G218" s="258">
        <v>0</v>
      </c>
      <c r="H218" s="594">
        <v>-1838250</v>
      </c>
      <c r="M218" s="366">
        <v>407427</v>
      </c>
      <c r="N218" s="365" t="s">
        <v>702</v>
      </c>
    </row>
    <row r="219" spans="1:14" ht="15.75">
      <c r="A219" s="366">
        <v>407434</v>
      </c>
      <c r="B219" s="365" t="s">
        <v>925</v>
      </c>
      <c r="C219" s="289"/>
      <c r="F219" s="258">
        <f t="shared" ref="F219" si="8">ROUND(H219/1000,0)</f>
        <v>0</v>
      </c>
      <c r="G219" s="258">
        <v>1</v>
      </c>
      <c r="H219" s="594">
        <v>0</v>
      </c>
      <c r="M219" s="366">
        <v>407434</v>
      </c>
      <c r="N219" s="365" t="s">
        <v>925</v>
      </c>
    </row>
    <row r="220" spans="1:14" ht="15.75">
      <c r="A220" s="288" t="s">
        <v>352</v>
      </c>
      <c r="B220" s="290" t="s">
        <v>353</v>
      </c>
      <c r="C220" s="289"/>
      <c r="F220" s="258">
        <f t="shared" si="6"/>
        <v>-10012</v>
      </c>
      <c r="G220" s="258">
        <v>0</v>
      </c>
      <c r="H220" s="594">
        <v>-10012065</v>
      </c>
      <c r="M220" s="727" t="s">
        <v>352</v>
      </c>
      <c r="N220" s="365" t="s">
        <v>353</v>
      </c>
    </row>
    <row r="221" spans="1:14" ht="15.75">
      <c r="A221" s="367">
        <v>407455</v>
      </c>
      <c r="B221" s="368" t="s">
        <v>652</v>
      </c>
      <c r="C221" s="289"/>
      <c r="F221" s="258">
        <f t="shared" si="6"/>
        <v>0</v>
      </c>
      <c r="G221" s="258">
        <v>0</v>
      </c>
      <c r="H221" s="594">
        <v>0</v>
      </c>
      <c r="M221" s="366">
        <v>407455</v>
      </c>
      <c r="N221" s="365" t="s">
        <v>652</v>
      </c>
    </row>
    <row r="222" spans="1:14" ht="15.75">
      <c r="A222" s="292">
        <v>407460</v>
      </c>
      <c r="B222" s="293" t="s">
        <v>354</v>
      </c>
      <c r="C222" s="294"/>
      <c r="F222" s="258">
        <f t="shared" si="6"/>
        <v>0</v>
      </c>
      <c r="G222" s="258">
        <v>0</v>
      </c>
      <c r="H222" s="594">
        <v>0</v>
      </c>
      <c r="M222" s="366">
        <v>407460</v>
      </c>
      <c r="N222" s="365" t="s">
        <v>354</v>
      </c>
    </row>
    <row r="223" spans="1:14" ht="15.75">
      <c r="A223" s="292">
        <v>407462</v>
      </c>
      <c r="B223" s="293" t="s">
        <v>595</v>
      </c>
      <c r="C223" s="289"/>
      <c r="F223" s="258">
        <f t="shared" si="6"/>
        <v>0</v>
      </c>
      <c r="G223" s="258">
        <v>0</v>
      </c>
      <c r="H223" s="594">
        <v>0</v>
      </c>
      <c r="M223" s="366">
        <v>407462</v>
      </c>
      <c r="N223" s="365" t="s">
        <v>595</v>
      </c>
    </row>
    <row r="224" spans="1:14" ht="15.75">
      <c r="A224" s="367">
        <v>407494</v>
      </c>
      <c r="B224" s="368" t="s">
        <v>631</v>
      </c>
      <c r="C224" s="289"/>
      <c r="F224" s="258">
        <f t="shared" si="6"/>
        <v>42</v>
      </c>
      <c r="G224" s="258">
        <v>0</v>
      </c>
      <c r="H224" s="594">
        <v>41946</v>
      </c>
      <c r="M224" s="366">
        <v>407494</v>
      </c>
      <c r="N224" s="365" t="s">
        <v>631</v>
      </c>
    </row>
    <row r="225" spans="1:14" ht="15.75">
      <c r="A225" s="292">
        <v>407495</v>
      </c>
      <c r="B225" s="293" t="s">
        <v>596</v>
      </c>
      <c r="C225" s="294"/>
      <c r="F225" s="258">
        <f t="shared" si="6"/>
        <v>-6</v>
      </c>
      <c r="G225" s="258">
        <v>0</v>
      </c>
      <c r="H225" s="594">
        <v>-5515</v>
      </c>
      <c r="M225" s="366">
        <v>407495</v>
      </c>
      <c r="N225" s="365" t="s">
        <v>596</v>
      </c>
    </row>
    <row r="226" spans="1:14" ht="15.75">
      <c r="A226" s="292">
        <v>407496</v>
      </c>
      <c r="B226" s="293" t="s">
        <v>597</v>
      </c>
      <c r="C226" s="294"/>
      <c r="F226" s="258">
        <f t="shared" si="6"/>
        <v>0</v>
      </c>
      <c r="G226" s="258">
        <v>0</v>
      </c>
      <c r="H226" s="594">
        <v>0</v>
      </c>
      <c r="M226" s="366">
        <v>407496</v>
      </c>
      <c r="N226" s="365" t="s">
        <v>597</v>
      </c>
    </row>
    <row r="227" spans="1:14" ht="15.75">
      <c r="A227" s="367">
        <v>407497</v>
      </c>
      <c r="B227" s="368" t="s">
        <v>624</v>
      </c>
      <c r="C227" s="294"/>
      <c r="F227" s="258">
        <f t="shared" si="6"/>
        <v>0</v>
      </c>
      <c r="G227" s="258">
        <v>0</v>
      </c>
      <c r="H227" s="594">
        <v>0</v>
      </c>
      <c r="M227" s="366">
        <v>407497</v>
      </c>
      <c r="N227" s="365" t="s">
        <v>624</v>
      </c>
    </row>
    <row r="228" spans="1:14" ht="15.75">
      <c r="A228" s="288"/>
      <c r="B228" s="290" t="s">
        <v>355</v>
      </c>
      <c r="C228" s="289"/>
      <c r="F228" s="258">
        <f t="shared" si="6"/>
        <v>15827</v>
      </c>
      <c r="G228" s="258">
        <v>0</v>
      </c>
      <c r="H228" s="594">
        <v>15826944</v>
      </c>
      <c r="M228" s="365"/>
    </row>
    <row r="229" spans="1:14" ht="15.75">
      <c r="A229" s="288"/>
      <c r="B229" s="290" t="s">
        <v>356</v>
      </c>
      <c r="C229" s="289"/>
      <c r="F229" s="258">
        <f t="shared" si="6"/>
        <v>45727</v>
      </c>
      <c r="G229" s="258">
        <v>0</v>
      </c>
      <c r="H229" s="594">
        <v>45727054</v>
      </c>
      <c r="M229" s="369"/>
    </row>
    <row r="230" spans="1:14" ht="15.75">
      <c r="A230" s="288"/>
      <c r="B230" s="290"/>
      <c r="C230" s="289"/>
      <c r="F230" s="258">
        <f t="shared" si="6"/>
        <v>0</v>
      </c>
      <c r="G230" s="258">
        <v>0</v>
      </c>
      <c r="H230" s="594"/>
      <c r="M230" s="365"/>
    </row>
    <row r="231" spans="1:14" ht="15.75">
      <c r="A231" s="288"/>
      <c r="B231" s="290" t="s">
        <v>357</v>
      </c>
      <c r="C231" s="289"/>
      <c r="F231" s="258">
        <f t="shared" si="6"/>
        <v>297052</v>
      </c>
      <c r="G231" s="258">
        <v>0</v>
      </c>
      <c r="H231" s="594">
        <v>297051664</v>
      </c>
      <c r="M231" s="369"/>
    </row>
    <row r="232" spans="1:14" ht="15.75">
      <c r="A232" s="288"/>
      <c r="B232" s="290"/>
      <c r="C232" s="289"/>
      <c r="F232" s="258">
        <f t="shared" si="5"/>
        <v>0</v>
      </c>
      <c r="G232" s="258">
        <v>0</v>
      </c>
      <c r="H232" s="594"/>
      <c r="M232" s="365"/>
    </row>
    <row r="233" spans="1:14" ht="15.75">
      <c r="A233" s="288"/>
      <c r="B233" s="290" t="s">
        <v>358</v>
      </c>
      <c r="C233" s="289"/>
      <c r="F233" s="258">
        <f t="shared" si="5"/>
        <v>0</v>
      </c>
      <c r="G233" s="258">
        <v>0</v>
      </c>
      <c r="H233" s="594"/>
      <c r="M233" s="365"/>
    </row>
    <row r="234" spans="1:14" ht="15.75">
      <c r="A234" s="288"/>
      <c r="B234" s="289" t="s">
        <v>359</v>
      </c>
      <c r="C234" s="289"/>
      <c r="F234" s="258">
        <f t="shared" si="5"/>
        <v>0</v>
      </c>
      <c r="G234" s="258">
        <v>0</v>
      </c>
      <c r="H234" s="594"/>
      <c r="M234" s="365"/>
    </row>
    <row r="235" spans="1:14" ht="15.75">
      <c r="A235" s="291">
        <v>580000</v>
      </c>
      <c r="B235" s="290" t="s">
        <v>291</v>
      </c>
      <c r="C235" s="289"/>
      <c r="F235" s="258">
        <f>ROUND(H235/1000,0)</f>
        <v>2564</v>
      </c>
      <c r="G235" s="258">
        <v>0</v>
      </c>
      <c r="H235" s="594">
        <v>2564370</v>
      </c>
      <c r="M235" s="365"/>
    </row>
    <row r="236" spans="1:14" ht="15.75">
      <c r="A236" s="291">
        <v>582000</v>
      </c>
      <c r="B236" s="289" t="s">
        <v>326</v>
      </c>
      <c r="C236" s="289"/>
      <c r="F236" s="258">
        <f t="shared" si="5"/>
        <v>591</v>
      </c>
      <c r="G236" s="258">
        <v>0</v>
      </c>
      <c r="H236" s="594">
        <v>591131</v>
      </c>
      <c r="M236" s="365"/>
    </row>
    <row r="237" spans="1:14" ht="15.75">
      <c r="A237" s="291">
        <v>583000</v>
      </c>
      <c r="B237" s="290" t="s">
        <v>327</v>
      </c>
      <c r="C237" s="289"/>
      <c r="F237" s="258">
        <f t="shared" ref="F237:F302" si="9">ROUND(H237/1000,0)</f>
        <v>2019</v>
      </c>
      <c r="G237" s="258">
        <v>0</v>
      </c>
      <c r="H237" s="594">
        <v>2019197</v>
      </c>
      <c r="M237" s="365"/>
    </row>
    <row r="238" spans="1:14" ht="15.75">
      <c r="A238" s="291">
        <v>584000</v>
      </c>
      <c r="B238" s="290" t="s">
        <v>360</v>
      </c>
      <c r="C238" s="289"/>
      <c r="F238" s="258">
        <f t="shared" si="9"/>
        <v>978</v>
      </c>
      <c r="G238" s="258">
        <v>0</v>
      </c>
      <c r="H238" s="594">
        <v>977644</v>
      </c>
      <c r="M238" s="365"/>
    </row>
    <row r="239" spans="1:14" ht="15.75">
      <c r="A239" s="366">
        <v>584100</v>
      </c>
      <c r="B239" s="365" t="s">
        <v>623</v>
      </c>
      <c r="C239" s="289"/>
      <c r="F239" s="258">
        <f t="shared" si="9"/>
        <v>0</v>
      </c>
      <c r="G239" s="258">
        <v>0</v>
      </c>
      <c r="H239" s="594">
        <v>0</v>
      </c>
      <c r="M239" s="365"/>
    </row>
    <row r="240" spans="1:14" ht="15.75">
      <c r="A240" s="291">
        <v>585000</v>
      </c>
      <c r="B240" s="290" t="s">
        <v>361</v>
      </c>
      <c r="C240" s="289"/>
      <c r="F240" s="258">
        <f t="shared" si="9"/>
        <v>3</v>
      </c>
      <c r="G240" s="258">
        <v>0</v>
      </c>
      <c r="H240" s="594">
        <v>3028</v>
      </c>
      <c r="M240" s="365"/>
    </row>
    <row r="241" spans="1:13" ht="15.75">
      <c r="A241" s="291">
        <v>586000</v>
      </c>
      <c r="B241" s="290" t="s">
        <v>362</v>
      </c>
      <c r="C241" s="289"/>
      <c r="F241" s="258">
        <f t="shared" si="9"/>
        <v>1614</v>
      </c>
      <c r="G241" s="258">
        <v>0</v>
      </c>
      <c r="H241" s="594">
        <v>1614432</v>
      </c>
      <c r="M241" s="369"/>
    </row>
    <row r="242" spans="1:13" ht="15.75">
      <c r="A242" s="291">
        <v>587000</v>
      </c>
      <c r="B242" s="290" t="s">
        <v>363</v>
      </c>
      <c r="C242" s="289"/>
      <c r="F242" s="258">
        <f t="shared" si="9"/>
        <v>445</v>
      </c>
      <c r="G242" s="258">
        <v>0</v>
      </c>
      <c r="H242" s="594">
        <v>444884</v>
      </c>
      <c r="M242" s="365"/>
    </row>
    <row r="243" spans="1:13" ht="15.75">
      <c r="A243" s="291">
        <v>588000</v>
      </c>
      <c r="B243" s="290" t="s">
        <v>364</v>
      </c>
      <c r="C243" s="289"/>
      <c r="F243" s="258">
        <f t="shared" si="9"/>
        <v>3321</v>
      </c>
      <c r="G243" s="258">
        <v>0</v>
      </c>
      <c r="H243" s="594">
        <v>3320979</v>
      </c>
      <c r="M243" s="365"/>
    </row>
    <row r="244" spans="1:13" ht="15.75">
      <c r="A244" s="291">
        <v>589000</v>
      </c>
      <c r="B244" s="290" t="s">
        <v>296</v>
      </c>
      <c r="C244" s="289"/>
      <c r="F244" s="258">
        <f t="shared" si="9"/>
        <v>205</v>
      </c>
      <c r="G244" s="258">
        <v>0</v>
      </c>
      <c r="H244" s="594">
        <v>205314</v>
      </c>
      <c r="M244" s="369"/>
    </row>
    <row r="245" spans="1:13" ht="15.75">
      <c r="A245" s="296"/>
      <c r="B245" s="290"/>
      <c r="C245" s="289"/>
      <c r="F245" s="258">
        <f t="shared" si="9"/>
        <v>0</v>
      </c>
      <c r="G245" s="258">
        <v>0</v>
      </c>
      <c r="H245" s="594"/>
      <c r="M245" s="365"/>
    </row>
    <row r="246" spans="1:13" ht="15.75">
      <c r="A246" s="288"/>
      <c r="B246" s="289" t="s">
        <v>365</v>
      </c>
      <c r="C246" s="289"/>
      <c r="F246" s="258">
        <f t="shared" si="9"/>
        <v>0</v>
      </c>
      <c r="G246" s="258">
        <v>0</v>
      </c>
      <c r="H246" s="594"/>
      <c r="M246" s="365"/>
    </row>
    <row r="247" spans="1:13" ht="15.75">
      <c r="A247" s="291">
        <v>590000</v>
      </c>
      <c r="B247" s="290" t="s">
        <v>291</v>
      </c>
      <c r="C247" s="289"/>
      <c r="F247" s="258">
        <f t="shared" si="9"/>
        <v>828</v>
      </c>
      <c r="G247" s="258">
        <v>0</v>
      </c>
      <c r="H247" s="594">
        <v>828091</v>
      </c>
      <c r="M247" s="365"/>
    </row>
    <row r="248" spans="1:13" ht="15.75">
      <c r="A248" s="291">
        <v>591000</v>
      </c>
      <c r="B248" s="290" t="s">
        <v>298</v>
      </c>
      <c r="C248" s="289"/>
      <c r="F248" s="258">
        <f t="shared" si="9"/>
        <v>320</v>
      </c>
      <c r="G248" s="258">
        <v>0</v>
      </c>
      <c r="H248" s="594">
        <v>319757</v>
      </c>
      <c r="M248" s="365"/>
    </row>
    <row r="249" spans="1:13" ht="15.75">
      <c r="A249" s="291">
        <v>592000</v>
      </c>
      <c r="B249" s="289" t="s">
        <v>330</v>
      </c>
      <c r="C249" s="289"/>
      <c r="F249" s="258">
        <f t="shared" si="9"/>
        <v>418</v>
      </c>
      <c r="G249" s="258">
        <v>0</v>
      </c>
      <c r="H249" s="594">
        <v>417656</v>
      </c>
      <c r="M249" s="365"/>
    </row>
    <row r="250" spans="1:13" ht="15.75">
      <c r="A250" s="366">
        <v>592200</v>
      </c>
      <c r="B250" s="365" t="s">
        <v>623</v>
      </c>
      <c r="C250" s="289"/>
      <c r="F250" s="258">
        <f t="shared" si="9"/>
        <v>0</v>
      </c>
      <c r="G250" s="258">
        <v>0</v>
      </c>
      <c r="H250" s="594">
        <v>0</v>
      </c>
      <c r="M250" s="365"/>
    </row>
    <row r="251" spans="1:13" ht="15.75">
      <c r="A251" s="291">
        <v>593000</v>
      </c>
      <c r="B251" s="290" t="s">
        <v>331</v>
      </c>
      <c r="C251" s="289"/>
      <c r="F251" s="258">
        <f t="shared" si="9"/>
        <v>9531</v>
      </c>
      <c r="G251" s="258">
        <v>0</v>
      </c>
      <c r="H251" s="594">
        <v>9531340</v>
      </c>
      <c r="M251" s="365"/>
    </row>
    <row r="252" spans="1:13" ht="15.75">
      <c r="A252" s="291">
        <v>594000</v>
      </c>
      <c r="B252" s="290" t="s">
        <v>332</v>
      </c>
      <c r="C252" s="289"/>
      <c r="F252" s="258">
        <f t="shared" si="9"/>
        <v>456</v>
      </c>
      <c r="G252" s="258">
        <v>0</v>
      </c>
      <c r="H252" s="594">
        <v>456493</v>
      </c>
      <c r="M252" s="365"/>
    </row>
    <row r="253" spans="1:13" ht="15.75">
      <c r="A253" s="291">
        <v>595000</v>
      </c>
      <c r="B253" s="290" t="s">
        <v>366</v>
      </c>
      <c r="C253" s="289"/>
      <c r="F253" s="258">
        <f t="shared" si="9"/>
        <v>293</v>
      </c>
      <c r="G253" s="258">
        <v>0</v>
      </c>
      <c r="H253" s="594">
        <v>292963</v>
      </c>
      <c r="M253" s="365"/>
    </row>
    <row r="254" spans="1:13" ht="15.75">
      <c r="A254" s="291">
        <v>596000</v>
      </c>
      <c r="B254" s="290" t="s">
        <v>367</v>
      </c>
      <c r="C254" s="289"/>
      <c r="F254" s="258">
        <f t="shared" si="9"/>
        <v>97</v>
      </c>
      <c r="G254" s="258">
        <v>0</v>
      </c>
      <c r="H254" s="594">
        <v>96626</v>
      </c>
      <c r="M254" s="365"/>
    </row>
    <row r="255" spans="1:13" ht="15.75">
      <c r="A255" s="291">
        <v>597000</v>
      </c>
      <c r="B255" s="290" t="s">
        <v>368</v>
      </c>
      <c r="C255" s="289"/>
      <c r="F255" s="258">
        <f t="shared" si="9"/>
        <v>38</v>
      </c>
      <c r="G255" s="258">
        <v>0</v>
      </c>
      <c r="H255" s="594">
        <v>37715</v>
      </c>
      <c r="M255" s="368"/>
    </row>
    <row r="256" spans="1:13" ht="15.75">
      <c r="A256" s="291">
        <v>598000</v>
      </c>
      <c r="B256" s="290" t="s">
        <v>364</v>
      </c>
      <c r="C256" s="289"/>
      <c r="F256" s="258">
        <f t="shared" si="9"/>
        <v>900</v>
      </c>
      <c r="G256" s="258">
        <v>0</v>
      </c>
      <c r="H256" s="594">
        <v>899867</v>
      </c>
      <c r="M256" s="365"/>
    </row>
    <row r="257" spans="1:13" ht="15.75">
      <c r="A257" s="296"/>
      <c r="B257" s="290" t="s">
        <v>369</v>
      </c>
      <c r="C257" s="289"/>
      <c r="F257" s="258">
        <f t="shared" si="9"/>
        <v>24621</v>
      </c>
      <c r="G257" s="258">
        <v>0</v>
      </c>
      <c r="H257" s="594">
        <v>24621487</v>
      </c>
      <c r="M257" s="365"/>
    </row>
    <row r="258" spans="1:13" ht="15.75">
      <c r="A258" s="296"/>
      <c r="B258" s="290"/>
      <c r="C258" s="289"/>
      <c r="F258" s="258">
        <f t="shared" si="9"/>
        <v>0</v>
      </c>
      <c r="G258" s="258">
        <v>0</v>
      </c>
      <c r="H258" s="594"/>
      <c r="M258" s="365"/>
    </row>
    <row r="259" spans="1:13" ht="15.75">
      <c r="A259" s="288"/>
      <c r="B259" s="290" t="s">
        <v>370</v>
      </c>
      <c r="C259" s="289"/>
      <c r="F259" s="258">
        <f t="shared" si="9"/>
        <v>34566</v>
      </c>
      <c r="G259" s="258">
        <v>0</v>
      </c>
      <c r="H259" s="594">
        <v>34566278</v>
      </c>
      <c r="M259" s="365"/>
    </row>
    <row r="260" spans="1:13" ht="15.75">
      <c r="A260" s="295"/>
      <c r="B260" s="293" t="s">
        <v>337</v>
      </c>
      <c r="C260" s="294"/>
      <c r="F260" s="258">
        <f t="shared" si="9"/>
        <v>110</v>
      </c>
      <c r="G260" s="258">
        <v>0</v>
      </c>
      <c r="H260" s="594">
        <v>109660</v>
      </c>
      <c r="M260" s="369"/>
    </row>
    <row r="261" spans="1:13" ht="15.75">
      <c r="A261" s="288"/>
      <c r="B261" s="290" t="s">
        <v>371</v>
      </c>
      <c r="C261" s="289"/>
      <c r="F261" s="258">
        <f t="shared" si="9"/>
        <v>49705</v>
      </c>
      <c r="G261" s="258">
        <v>0</v>
      </c>
      <c r="H261" s="594">
        <v>49705216</v>
      </c>
      <c r="M261" s="365"/>
    </row>
    <row r="262" spans="1:13" ht="15.75">
      <c r="A262" s="288"/>
      <c r="B262" s="290" t="s">
        <v>372</v>
      </c>
      <c r="C262" s="289"/>
      <c r="F262" s="258">
        <f t="shared" si="9"/>
        <v>84381</v>
      </c>
      <c r="G262" s="258">
        <v>0</v>
      </c>
      <c r="H262" s="594">
        <v>84381154</v>
      </c>
      <c r="M262" s="365"/>
    </row>
    <row r="263" spans="1:13" ht="15.75">
      <c r="A263" s="288"/>
      <c r="B263" s="290"/>
      <c r="C263" s="289"/>
      <c r="F263" s="258">
        <f t="shared" si="9"/>
        <v>0</v>
      </c>
      <c r="G263" s="258">
        <v>0</v>
      </c>
      <c r="H263" s="594"/>
      <c r="M263" s="365"/>
    </row>
    <row r="264" spans="1:13" ht="15.75">
      <c r="A264" s="288"/>
      <c r="B264" s="290" t="s">
        <v>373</v>
      </c>
      <c r="C264" s="289"/>
      <c r="F264" s="258">
        <f t="shared" si="9"/>
        <v>109003</v>
      </c>
      <c r="G264" s="258">
        <v>0</v>
      </c>
      <c r="H264" s="594">
        <v>109002641</v>
      </c>
      <c r="M264" s="365"/>
    </row>
    <row r="265" spans="1:13" ht="15.75">
      <c r="A265" s="288"/>
      <c r="B265" s="289"/>
      <c r="C265" s="289"/>
      <c r="F265" s="258">
        <f t="shared" si="9"/>
        <v>0</v>
      </c>
      <c r="G265" s="258">
        <v>0</v>
      </c>
      <c r="H265" s="594"/>
      <c r="M265" s="365"/>
    </row>
    <row r="266" spans="1:13" ht="15.75">
      <c r="A266" s="288"/>
      <c r="B266" s="290" t="s">
        <v>374</v>
      </c>
      <c r="C266" s="289"/>
      <c r="F266" s="258">
        <f t="shared" si="9"/>
        <v>0</v>
      </c>
      <c r="G266" s="258">
        <v>0</v>
      </c>
      <c r="H266" s="594"/>
      <c r="M266" s="365"/>
    </row>
    <row r="267" spans="1:13" ht="15.75">
      <c r="A267" s="291">
        <v>901000</v>
      </c>
      <c r="B267" s="290" t="s">
        <v>375</v>
      </c>
      <c r="C267" s="289"/>
      <c r="F267" s="258">
        <f t="shared" si="9"/>
        <v>116</v>
      </c>
      <c r="G267" s="258">
        <v>0</v>
      </c>
      <c r="H267" s="594">
        <v>115976</v>
      </c>
      <c r="M267" s="365"/>
    </row>
    <row r="268" spans="1:13" ht="15.75">
      <c r="A268" s="291">
        <v>902000</v>
      </c>
      <c r="B268" s="290" t="s">
        <v>376</v>
      </c>
      <c r="C268" s="289"/>
      <c r="F268" s="258">
        <f t="shared" si="9"/>
        <v>550</v>
      </c>
      <c r="G268" s="258">
        <v>0</v>
      </c>
      <c r="H268" s="594">
        <v>549853</v>
      </c>
      <c r="M268" s="365"/>
    </row>
    <row r="269" spans="1:13" ht="15.75">
      <c r="A269" s="291" t="s">
        <v>377</v>
      </c>
      <c r="B269" s="290" t="s">
        <v>378</v>
      </c>
      <c r="C269" s="289"/>
      <c r="F269" s="258">
        <f t="shared" si="9"/>
        <v>4621</v>
      </c>
      <c r="G269" s="258">
        <v>0</v>
      </c>
      <c r="H269" s="594">
        <v>4621133</v>
      </c>
      <c r="M269" s="365"/>
    </row>
    <row r="270" spans="1:13" ht="15.75">
      <c r="A270" s="291">
        <v>904000</v>
      </c>
      <c r="B270" s="290" t="s">
        <v>379</v>
      </c>
      <c r="C270" s="289"/>
      <c r="F270" s="258">
        <f t="shared" si="9"/>
        <v>10488</v>
      </c>
      <c r="G270" s="258">
        <v>0</v>
      </c>
      <c r="H270" s="594">
        <v>10488199</v>
      </c>
      <c r="M270" s="365"/>
    </row>
    <row r="271" spans="1:13" ht="15.75">
      <c r="A271" s="291">
        <v>905000</v>
      </c>
      <c r="B271" s="290" t="s">
        <v>380</v>
      </c>
      <c r="C271" s="289"/>
      <c r="F271" s="258">
        <f t="shared" si="9"/>
        <v>74</v>
      </c>
      <c r="G271" s="258">
        <v>0</v>
      </c>
      <c r="H271" s="594">
        <v>74288</v>
      </c>
      <c r="M271" s="365"/>
    </row>
    <row r="272" spans="1:13" ht="15.75">
      <c r="A272" s="288"/>
      <c r="B272" s="290" t="s">
        <v>381</v>
      </c>
      <c r="C272" s="289"/>
      <c r="F272" s="258">
        <f t="shared" si="9"/>
        <v>15849</v>
      </c>
      <c r="G272" s="258">
        <v>0</v>
      </c>
      <c r="H272" s="594">
        <v>15849449</v>
      </c>
      <c r="M272" s="365"/>
    </row>
    <row r="273" spans="1:13" ht="15.75">
      <c r="A273" s="288"/>
      <c r="B273" s="290"/>
      <c r="C273" s="289"/>
      <c r="F273" s="258">
        <f t="shared" si="9"/>
        <v>0</v>
      </c>
      <c r="G273" s="258">
        <v>0</v>
      </c>
      <c r="H273" s="594"/>
      <c r="M273" s="365"/>
    </row>
    <row r="274" spans="1:13" ht="15.75">
      <c r="A274" s="288"/>
      <c r="B274" s="290" t="s">
        <v>382</v>
      </c>
      <c r="C274" s="289"/>
      <c r="F274" s="258">
        <f t="shared" si="9"/>
        <v>0</v>
      </c>
      <c r="G274" s="258">
        <v>0</v>
      </c>
      <c r="H274" s="594"/>
      <c r="M274" s="365"/>
    </row>
    <row r="275" spans="1:13" ht="15.75">
      <c r="A275" s="288" t="s">
        <v>383</v>
      </c>
      <c r="B275" s="290" t="s">
        <v>384</v>
      </c>
      <c r="C275" s="289"/>
      <c r="F275" s="258">
        <f t="shared" si="9"/>
        <v>24437</v>
      </c>
      <c r="G275" s="258">
        <v>0</v>
      </c>
      <c r="H275" s="594">
        <v>24436994</v>
      </c>
      <c r="M275" s="365"/>
    </row>
    <row r="276" spans="1:13" ht="15.75">
      <c r="A276" s="291">
        <v>909000</v>
      </c>
      <c r="B276" s="290" t="s">
        <v>385</v>
      </c>
      <c r="C276" s="289"/>
      <c r="F276" s="258">
        <f t="shared" si="9"/>
        <v>628</v>
      </c>
      <c r="G276" s="258">
        <v>0</v>
      </c>
      <c r="H276" s="594">
        <v>628210</v>
      </c>
      <c r="M276" s="365"/>
    </row>
    <row r="277" spans="1:13" ht="15.75">
      <c r="A277" s="291">
        <v>910000</v>
      </c>
      <c r="B277" s="290" t="s">
        <v>386</v>
      </c>
      <c r="C277" s="289"/>
      <c r="F277" s="258">
        <f t="shared" si="9"/>
        <v>180</v>
      </c>
      <c r="G277" s="258">
        <v>0</v>
      </c>
      <c r="H277" s="594">
        <v>179881</v>
      </c>
      <c r="M277" s="365"/>
    </row>
    <row r="278" spans="1:13" ht="15.75">
      <c r="A278" s="291"/>
      <c r="B278" s="290" t="s">
        <v>387</v>
      </c>
      <c r="C278" s="289"/>
      <c r="F278" s="258">
        <f t="shared" si="9"/>
        <v>25245</v>
      </c>
      <c r="G278" s="258">
        <v>0</v>
      </c>
      <c r="H278" s="594">
        <v>25245085</v>
      </c>
      <c r="M278" s="365"/>
    </row>
    <row r="279" spans="1:13" ht="15.75">
      <c r="A279" s="291"/>
      <c r="B279" s="290"/>
      <c r="C279" s="289"/>
      <c r="F279" s="258">
        <f t="shared" si="9"/>
        <v>0</v>
      </c>
      <c r="G279" s="258">
        <v>0</v>
      </c>
      <c r="H279" s="594"/>
      <c r="M279" s="365"/>
    </row>
    <row r="280" spans="1:13" ht="15.75">
      <c r="A280" s="291"/>
      <c r="B280" s="290" t="s">
        <v>388</v>
      </c>
      <c r="C280" s="289"/>
      <c r="F280" s="258">
        <f t="shared" si="9"/>
        <v>0</v>
      </c>
      <c r="G280" s="258">
        <v>0</v>
      </c>
      <c r="H280" s="594"/>
      <c r="M280" s="365"/>
    </row>
    <row r="281" spans="1:13" ht="15.75">
      <c r="A281" s="291">
        <v>912000</v>
      </c>
      <c r="B281" s="290" t="s">
        <v>389</v>
      </c>
      <c r="C281" s="289"/>
      <c r="F281" s="258">
        <f t="shared" si="9"/>
        <v>0</v>
      </c>
      <c r="G281" s="258">
        <v>0</v>
      </c>
      <c r="H281" s="594">
        <v>0</v>
      </c>
      <c r="M281" s="365"/>
    </row>
    <row r="282" spans="1:13" ht="15.75">
      <c r="A282" s="291">
        <v>913000</v>
      </c>
      <c r="B282" s="290" t="s">
        <v>385</v>
      </c>
      <c r="C282" s="289"/>
      <c r="F282" s="258">
        <f t="shared" si="9"/>
        <v>0</v>
      </c>
      <c r="G282" s="258">
        <v>0</v>
      </c>
      <c r="H282" s="594">
        <v>0</v>
      </c>
      <c r="M282" s="365"/>
    </row>
    <row r="283" spans="1:13" ht="15.75">
      <c r="A283" s="291">
        <v>916000</v>
      </c>
      <c r="B283" s="290" t="s">
        <v>390</v>
      </c>
      <c r="C283" s="289"/>
      <c r="F283" s="258">
        <f t="shared" si="9"/>
        <v>0</v>
      </c>
      <c r="G283" s="258">
        <v>0</v>
      </c>
      <c r="H283" s="594">
        <v>0</v>
      </c>
      <c r="M283" s="365"/>
    </row>
    <row r="284" spans="1:13" ht="15.75">
      <c r="A284" s="291"/>
      <c r="B284" s="290" t="s">
        <v>391</v>
      </c>
      <c r="C284" s="289"/>
      <c r="F284" s="258">
        <f t="shared" si="9"/>
        <v>0</v>
      </c>
      <c r="G284" s="258">
        <v>0</v>
      </c>
      <c r="H284" s="594">
        <v>0</v>
      </c>
      <c r="M284" s="365"/>
    </row>
    <row r="285" spans="1:13" ht="15.75">
      <c r="A285" s="291"/>
      <c r="B285" s="290"/>
      <c r="C285" s="289"/>
      <c r="F285" s="258">
        <f t="shared" si="9"/>
        <v>0</v>
      </c>
      <c r="G285" s="258">
        <v>0</v>
      </c>
      <c r="H285" s="594"/>
      <c r="M285" s="365"/>
    </row>
    <row r="286" spans="1:13" ht="15.75">
      <c r="A286" s="291"/>
      <c r="B286" s="290" t="s">
        <v>392</v>
      </c>
      <c r="C286" s="289"/>
      <c r="F286" s="258">
        <f t="shared" si="9"/>
        <v>0</v>
      </c>
      <c r="G286" s="258">
        <v>0</v>
      </c>
      <c r="H286" s="594"/>
      <c r="M286" s="365"/>
    </row>
    <row r="287" spans="1:13" ht="15.75">
      <c r="A287" s="291">
        <v>920000</v>
      </c>
      <c r="B287" s="290" t="s">
        <v>393</v>
      </c>
      <c r="C287" s="289"/>
      <c r="F287" s="258">
        <f t="shared" si="9"/>
        <v>18501</v>
      </c>
      <c r="G287" s="258">
        <v>0</v>
      </c>
      <c r="H287" s="594">
        <v>18500924</v>
      </c>
      <c r="M287" s="365"/>
    </row>
    <row r="288" spans="1:13" ht="15.75">
      <c r="A288" s="291">
        <v>921000</v>
      </c>
      <c r="B288" s="290" t="s">
        <v>394</v>
      </c>
      <c r="C288" s="289"/>
      <c r="F288" s="258">
        <f t="shared" si="9"/>
        <v>2914</v>
      </c>
      <c r="G288" s="258">
        <v>0</v>
      </c>
      <c r="H288" s="594">
        <v>2914344</v>
      </c>
      <c r="M288" s="365"/>
    </row>
    <row r="289" spans="1:18" ht="15.75">
      <c r="A289" s="291">
        <v>922000</v>
      </c>
      <c r="B289" s="290" t="s">
        <v>395</v>
      </c>
      <c r="C289" s="289"/>
      <c r="F289" s="258">
        <f t="shared" si="9"/>
        <v>-68</v>
      </c>
      <c r="G289" s="258">
        <v>0</v>
      </c>
      <c r="H289" s="594">
        <v>-68015</v>
      </c>
      <c r="M289" s="365"/>
    </row>
    <row r="290" spans="1:18" ht="15.75">
      <c r="A290" s="291">
        <v>923000</v>
      </c>
      <c r="B290" s="290" t="s">
        <v>396</v>
      </c>
      <c r="C290" s="289"/>
      <c r="F290" s="258">
        <f t="shared" si="9"/>
        <v>8119</v>
      </c>
      <c r="G290" s="258">
        <v>0</v>
      </c>
      <c r="H290" s="594">
        <v>8118545</v>
      </c>
      <c r="M290" s="365"/>
    </row>
    <row r="291" spans="1:18" ht="15.75">
      <c r="A291" s="291">
        <v>924000</v>
      </c>
      <c r="B291" s="290" t="s">
        <v>397</v>
      </c>
      <c r="C291" s="289"/>
      <c r="F291" s="258">
        <f t="shared" si="9"/>
        <v>1315</v>
      </c>
      <c r="G291" s="258">
        <v>0</v>
      </c>
      <c r="H291" s="594">
        <v>1315274</v>
      </c>
      <c r="M291" s="365"/>
    </row>
    <row r="292" spans="1:18" ht="15.75">
      <c r="A292" s="288" t="s">
        <v>398</v>
      </c>
      <c r="B292" s="290" t="s">
        <v>399</v>
      </c>
      <c r="C292" s="289"/>
      <c r="F292" s="258">
        <f t="shared" si="9"/>
        <v>4391</v>
      </c>
      <c r="G292" s="258">
        <v>0</v>
      </c>
      <c r="H292" s="594">
        <v>4391368</v>
      </c>
      <c r="M292" s="365"/>
      <c r="Q292" s="258">
        <v>10137303</v>
      </c>
    </row>
    <row r="293" spans="1:18" ht="15.75">
      <c r="A293" s="288" t="s">
        <v>400</v>
      </c>
      <c r="B293" s="290" t="s">
        <v>401</v>
      </c>
      <c r="C293" s="289"/>
      <c r="F293" s="258">
        <f t="shared" si="9"/>
        <v>21360</v>
      </c>
      <c r="G293" s="258">
        <v>0</v>
      </c>
      <c r="H293" s="594">
        <v>21360139</v>
      </c>
      <c r="M293" s="365"/>
      <c r="Q293" s="258">
        <v>192090</v>
      </c>
    </row>
    <row r="294" spans="1:18" ht="15.75">
      <c r="A294" s="291">
        <v>927000</v>
      </c>
      <c r="B294" s="290" t="s">
        <v>402</v>
      </c>
      <c r="C294" s="289"/>
      <c r="F294" s="258">
        <f t="shared" si="9"/>
        <v>0</v>
      </c>
      <c r="G294" s="258">
        <v>0</v>
      </c>
      <c r="H294" s="594">
        <v>0</v>
      </c>
      <c r="M294" s="365"/>
      <c r="Q294" s="258">
        <v>5865595</v>
      </c>
      <c r="R294" s="258" t="s">
        <v>641</v>
      </c>
    </row>
    <row r="295" spans="1:18" ht="15.75">
      <c r="A295" s="291">
        <v>928000</v>
      </c>
      <c r="B295" s="290" t="s">
        <v>403</v>
      </c>
      <c r="C295" s="289"/>
      <c r="F295" s="258">
        <f t="shared" si="9"/>
        <v>4544</v>
      </c>
      <c r="G295" s="258">
        <v>0</v>
      </c>
      <c r="H295" s="594">
        <v>4544092</v>
      </c>
      <c r="M295" s="365"/>
      <c r="Q295" s="258">
        <v>20485</v>
      </c>
    </row>
    <row r="296" spans="1:18" ht="15.75">
      <c r="A296" s="291">
        <v>930000</v>
      </c>
      <c r="B296" s="290" t="s">
        <v>404</v>
      </c>
      <c r="C296" s="289"/>
      <c r="F296" s="258">
        <f t="shared" si="9"/>
        <v>3361</v>
      </c>
      <c r="G296" s="258">
        <v>0</v>
      </c>
      <c r="H296" s="594">
        <v>3361414</v>
      </c>
      <c r="M296" s="365"/>
    </row>
    <row r="297" spans="1:18" ht="15.75">
      <c r="A297" s="291">
        <v>931000</v>
      </c>
      <c r="B297" s="290" t="s">
        <v>405</v>
      </c>
      <c r="C297" s="289"/>
      <c r="F297" s="258">
        <f t="shared" si="9"/>
        <v>519</v>
      </c>
      <c r="G297" s="258">
        <v>0</v>
      </c>
      <c r="H297" s="594">
        <v>519286</v>
      </c>
      <c r="M297" s="365"/>
    </row>
    <row r="298" spans="1:18" ht="15.75">
      <c r="A298" s="291">
        <v>935000</v>
      </c>
      <c r="B298" s="290" t="s">
        <v>406</v>
      </c>
      <c r="C298" s="289"/>
      <c r="F298" s="258">
        <f t="shared" si="9"/>
        <v>8970</v>
      </c>
      <c r="G298" s="258">
        <v>0</v>
      </c>
      <c r="H298" s="594">
        <v>8969654</v>
      </c>
      <c r="M298" s="365"/>
      <c r="Q298" s="258">
        <f>SUM(Q292:Q297)</f>
        <v>16215473</v>
      </c>
    </row>
    <row r="299" spans="1:18" ht="15.75">
      <c r="A299" s="288"/>
      <c r="B299" s="290" t="s">
        <v>407</v>
      </c>
      <c r="C299" s="289"/>
      <c r="F299" s="258">
        <f t="shared" si="9"/>
        <v>73927</v>
      </c>
      <c r="G299" s="258">
        <v>0</v>
      </c>
      <c r="H299" s="594">
        <v>73927025</v>
      </c>
      <c r="M299" s="365"/>
    </row>
    <row r="300" spans="1:18" ht="15.75">
      <c r="A300" s="288"/>
      <c r="B300" s="290"/>
      <c r="C300" s="289"/>
      <c r="F300" s="258">
        <f t="shared" si="9"/>
        <v>0</v>
      </c>
      <c r="G300" s="258">
        <v>0</v>
      </c>
      <c r="M300" s="365"/>
    </row>
    <row r="301" spans="1:18" ht="15.75">
      <c r="A301" s="288"/>
      <c r="B301" s="290" t="s">
        <v>408</v>
      </c>
      <c r="C301" s="289"/>
      <c r="F301" s="258">
        <f t="shared" si="9"/>
        <v>15679</v>
      </c>
      <c r="G301" s="258">
        <v>0</v>
      </c>
      <c r="H301" s="258">
        <v>15678581</v>
      </c>
      <c r="M301" s="365"/>
    </row>
    <row r="302" spans="1:18" ht="15.75">
      <c r="A302" s="288"/>
      <c r="B302" s="290" t="s">
        <v>409</v>
      </c>
      <c r="C302" s="289"/>
      <c r="F302" s="258">
        <f t="shared" si="9"/>
        <v>203</v>
      </c>
      <c r="G302" s="258">
        <v>0</v>
      </c>
      <c r="H302" s="258">
        <v>203197</v>
      </c>
      <c r="M302" s="365"/>
    </row>
    <row r="303" spans="1:18" ht="15.75">
      <c r="A303" s="288"/>
      <c r="B303" s="290" t="s">
        <v>410</v>
      </c>
      <c r="C303" s="289"/>
      <c r="F303" s="258">
        <f t="shared" ref="F303:F376" si="10">ROUND(H303/1000,0)</f>
        <v>25181</v>
      </c>
      <c r="G303" s="258">
        <v>0</v>
      </c>
      <c r="H303" s="258">
        <v>25181236</v>
      </c>
      <c r="M303" s="365"/>
    </row>
    <row r="304" spans="1:18" ht="15.75">
      <c r="A304" s="288"/>
      <c r="B304" s="290" t="s">
        <v>411</v>
      </c>
      <c r="C304" s="289"/>
      <c r="F304" s="258">
        <f t="shared" si="10"/>
        <v>280</v>
      </c>
      <c r="G304" s="258">
        <v>0</v>
      </c>
      <c r="H304" s="258">
        <v>280337</v>
      </c>
      <c r="M304" s="365"/>
    </row>
    <row r="305" spans="1:14" ht="15.75">
      <c r="A305" s="366">
        <v>407229</v>
      </c>
      <c r="B305" s="365" t="s">
        <v>625</v>
      </c>
      <c r="C305" s="289"/>
      <c r="F305" s="258">
        <f t="shared" si="10"/>
        <v>0</v>
      </c>
      <c r="G305" s="258">
        <v>0</v>
      </c>
      <c r="H305" s="258">
        <v>0</v>
      </c>
      <c r="M305" s="366">
        <v>407229</v>
      </c>
      <c r="N305" s="365" t="s">
        <v>625</v>
      </c>
    </row>
    <row r="306" spans="1:14" ht="15.75">
      <c r="A306" s="366">
        <v>407230</v>
      </c>
      <c r="B306" s="365" t="s">
        <v>683</v>
      </c>
      <c r="C306" s="289"/>
      <c r="F306" s="258">
        <f t="shared" si="10"/>
        <v>0</v>
      </c>
      <c r="G306" s="258">
        <v>0</v>
      </c>
      <c r="H306" s="258">
        <v>0</v>
      </c>
      <c r="M306" s="366">
        <v>407230</v>
      </c>
      <c r="N306" s="365" t="s">
        <v>683</v>
      </c>
    </row>
    <row r="307" spans="1:14" ht="15.75">
      <c r="A307" s="366">
        <v>407311</v>
      </c>
      <c r="B307" s="365" t="s">
        <v>684</v>
      </c>
      <c r="C307" s="289"/>
      <c r="F307" s="258">
        <f t="shared" si="10"/>
        <v>1142</v>
      </c>
      <c r="G307" s="258">
        <v>0</v>
      </c>
      <c r="H307" s="258">
        <v>1142211</v>
      </c>
      <c r="M307" s="366">
        <v>407311</v>
      </c>
      <c r="N307" s="365" t="s">
        <v>684</v>
      </c>
    </row>
    <row r="308" spans="1:14" ht="15.75">
      <c r="A308" s="366">
        <v>407314</v>
      </c>
      <c r="B308" s="365" t="s">
        <v>926</v>
      </c>
      <c r="C308" s="289"/>
      <c r="F308" s="258">
        <f t="shared" ref="F308" si="11">ROUND(H308/1000,0)</f>
        <v>775</v>
      </c>
      <c r="G308" s="258">
        <v>1</v>
      </c>
      <c r="H308" s="258">
        <v>774990</v>
      </c>
      <c r="M308" s="366">
        <v>407314</v>
      </c>
      <c r="N308" s="365" t="s">
        <v>926</v>
      </c>
    </row>
    <row r="309" spans="1:14" ht="15.75">
      <c r="A309" s="366">
        <v>407319</v>
      </c>
      <c r="B309" s="365" t="s">
        <v>685</v>
      </c>
      <c r="C309" s="289"/>
      <c r="F309" s="258">
        <f t="shared" si="10"/>
        <v>0</v>
      </c>
      <c r="G309" s="258">
        <v>0</v>
      </c>
      <c r="H309" s="258">
        <v>0</v>
      </c>
      <c r="M309" s="366">
        <v>407319</v>
      </c>
      <c r="N309" s="365" t="s">
        <v>685</v>
      </c>
    </row>
    <row r="310" spans="1:14" ht="15.75">
      <c r="A310" s="366">
        <v>407332</v>
      </c>
      <c r="B310" s="365" t="s">
        <v>686</v>
      </c>
      <c r="C310" s="289"/>
      <c r="F310" s="258">
        <f t="shared" si="10"/>
        <v>751</v>
      </c>
      <c r="G310" s="258">
        <v>0</v>
      </c>
      <c r="H310" s="258">
        <v>750656</v>
      </c>
      <c r="M310" s="366">
        <v>407332</v>
      </c>
      <c r="N310" s="365" t="s">
        <v>686</v>
      </c>
    </row>
    <row r="311" spans="1:14" ht="15.75">
      <c r="A311" s="366">
        <v>407347</v>
      </c>
      <c r="B311" s="365" t="s">
        <v>927</v>
      </c>
      <c r="C311" s="289"/>
      <c r="F311" s="258">
        <f t="shared" ref="F311" si="12">ROUND(H311/1000,0)</f>
        <v>2257</v>
      </c>
      <c r="G311" s="258">
        <v>1</v>
      </c>
      <c r="H311" s="258">
        <v>2257340</v>
      </c>
      <c r="M311" s="366">
        <v>407347</v>
      </c>
      <c r="N311" s="365" t="s">
        <v>927</v>
      </c>
    </row>
    <row r="312" spans="1:14" ht="15.75">
      <c r="A312" s="366">
        <v>407414</v>
      </c>
      <c r="B312" s="365" t="s">
        <v>687</v>
      </c>
      <c r="C312" s="289"/>
      <c r="F312" s="258">
        <f t="shared" si="10"/>
        <v>0</v>
      </c>
      <c r="G312" s="258">
        <v>0</v>
      </c>
      <c r="H312" s="258">
        <v>0</v>
      </c>
      <c r="M312" s="366">
        <v>407414</v>
      </c>
      <c r="N312" s="365" t="s">
        <v>687</v>
      </c>
    </row>
    <row r="313" spans="1:14" ht="15.75">
      <c r="A313" s="366">
        <v>407436</v>
      </c>
      <c r="B313" s="365" t="s">
        <v>703</v>
      </c>
      <c r="C313" s="289"/>
      <c r="F313" s="258">
        <f t="shared" si="10"/>
        <v>-9819</v>
      </c>
      <c r="G313" s="258">
        <v>0</v>
      </c>
      <c r="H313" s="258">
        <v>-9819153</v>
      </c>
      <c r="M313" s="366">
        <v>407436</v>
      </c>
      <c r="N313" s="365" t="s">
        <v>703</v>
      </c>
    </row>
    <row r="314" spans="1:14" ht="15.75">
      <c r="A314" s="366">
        <v>407442</v>
      </c>
      <c r="B314" s="365" t="s">
        <v>928</v>
      </c>
      <c r="F314" s="258">
        <f t="shared" ref="F314:F317" si="13">ROUND(H314/1000,0)</f>
        <v>0</v>
      </c>
      <c r="G314" s="258">
        <v>1</v>
      </c>
      <c r="H314" s="258">
        <v>0</v>
      </c>
      <c r="M314" s="366">
        <v>407442</v>
      </c>
      <c r="N314" s="365" t="s">
        <v>928</v>
      </c>
    </row>
    <row r="315" spans="1:14" ht="15.75">
      <c r="A315" s="366">
        <v>407444</v>
      </c>
      <c r="B315" s="365" t="s">
        <v>929</v>
      </c>
      <c r="F315" s="258">
        <f t="shared" si="13"/>
        <v>-1840</v>
      </c>
      <c r="G315" s="258">
        <v>2</v>
      </c>
      <c r="H315" s="258">
        <v>-1840167</v>
      </c>
      <c r="M315" s="366">
        <v>407444</v>
      </c>
      <c r="N315" s="365" t="s">
        <v>929</v>
      </c>
    </row>
    <row r="316" spans="1:14" ht="15.75">
      <c r="A316" s="366">
        <v>407447</v>
      </c>
      <c r="B316" s="365" t="s">
        <v>930</v>
      </c>
      <c r="F316" s="258">
        <f t="shared" si="13"/>
        <v>-10710</v>
      </c>
      <c r="G316" s="258">
        <v>3</v>
      </c>
      <c r="H316" s="258">
        <v>-10710269</v>
      </c>
      <c r="M316" s="366">
        <v>407447</v>
      </c>
      <c r="N316" s="365" t="s">
        <v>930</v>
      </c>
    </row>
    <row r="317" spans="1:14" ht="15.75">
      <c r="A317" s="366">
        <v>407453</v>
      </c>
      <c r="B317" s="365" t="s">
        <v>931</v>
      </c>
      <c r="F317" s="258">
        <f t="shared" si="13"/>
        <v>0</v>
      </c>
      <c r="G317" s="258">
        <v>4</v>
      </c>
      <c r="H317" s="258">
        <v>0</v>
      </c>
      <c r="M317" s="366">
        <v>407453</v>
      </c>
      <c r="N317" s="365" t="s">
        <v>931</v>
      </c>
    </row>
    <row r="318" spans="1:14" ht="15.75">
      <c r="A318" s="366">
        <v>407468</v>
      </c>
      <c r="B318" s="365" t="s">
        <v>632</v>
      </c>
      <c r="C318" s="289"/>
      <c r="F318" s="258">
        <f t="shared" si="10"/>
        <v>0</v>
      </c>
      <c r="G318" s="258">
        <v>0</v>
      </c>
      <c r="H318" s="258">
        <v>0</v>
      </c>
      <c r="M318" s="366">
        <v>407468</v>
      </c>
      <c r="N318" s="365" t="s">
        <v>632</v>
      </c>
    </row>
    <row r="319" spans="1:14" ht="15.75">
      <c r="A319" s="366">
        <v>407493</v>
      </c>
      <c r="B319" s="365" t="s">
        <v>932</v>
      </c>
      <c r="C319" s="289"/>
      <c r="F319" s="258">
        <f t="shared" ref="F319" si="14">ROUND(H319/1000,0)</f>
        <v>-2612</v>
      </c>
      <c r="G319" s="258">
        <v>1</v>
      </c>
      <c r="H319" s="258">
        <v>-2612495</v>
      </c>
      <c r="M319" s="366">
        <v>407493</v>
      </c>
      <c r="N319" s="365" t="s">
        <v>932</v>
      </c>
    </row>
    <row r="320" spans="1:14" ht="15.75">
      <c r="A320" s="366"/>
      <c r="B320" s="365" t="s">
        <v>933</v>
      </c>
      <c r="C320" s="289"/>
      <c r="F320" s="258">
        <f t="shared" ref="F320" si="15">ROUND(H320/1000,0)</f>
        <v>3631</v>
      </c>
      <c r="G320" s="258">
        <v>2</v>
      </c>
      <c r="H320" s="258">
        <v>3630913</v>
      </c>
      <c r="M320" s="366"/>
      <c r="N320" s="365"/>
    </row>
    <row r="321" spans="1:13" ht="12.75">
      <c r="A321" s="288"/>
      <c r="B321" s="290" t="s">
        <v>412</v>
      </c>
      <c r="C321" s="289"/>
      <c r="F321" s="258">
        <f t="shared" si="10"/>
        <v>24917</v>
      </c>
      <c r="G321" s="258">
        <v>0</v>
      </c>
      <c r="H321" s="258">
        <v>24917377</v>
      </c>
    </row>
    <row r="322" spans="1:13" ht="15.75">
      <c r="A322" s="288"/>
      <c r="B322" s="290"/>
      <c r="C322" s="289"/>
      <c r="F322" s="258">
        <f t="shared" si="10"/>
        <v>0</v>
      </c>
      <c r="G322" s="258">
        <v>0</v>
      </c>
      <c r="M322" s="365"/>
    </row>
    <row r="323" spans="1:13" ht="15.75">
      <c r="A323" s="291"/>
      <c r="B323" s="290" t="s">
        <v>413</v>
      </c>
      <c r="C323" s="289"/>
      <c r="F323" s="258">
        <f t="shared" si="10"/>
        <v>98844</v>
      </c>
      <c r="G323" s="258">
        <v>0</v>
      </c>
      <c r="H323" s="258">
        <v>98844402</v>
      </c>
      <c r="M323" s="365"/>
    </row>
    <row r="324" spans="1:13" ht="15.75">
      <c r="A324" s="291"/>
      <c r="B324" s="290"/>
      <c r="C324" s="289"/>
      <c r="F324" s="258">
        <f t="shared" si="10"/>
        <v>0</v>
      </c>
      <c r="G324" s="258">
        <v>0</v>
      </c>
      <c r="M324" s="368"/>
    </row>
    <row r="325" spans="1:13" ht="15.75">
      <c r="A325" s="291"/>
      <c r="B325" s="290" t="s">
        <v>414</v>
      </c>
      <c r="C325" s="289"/>
      <c r="F325" s="258">
        <f t="shared" si="10"/>
        <v>545993</v>
      </c>
      <c r="G325" s="258">
        <v>0</v>
      </c>
      <c r="H325" s="258">
        <v>545993241</v>
      </c>
      <c r="M325" s="368"/>
    </row>
    <row r="326" spans="1:13" ht="15.75">
      <c r="A326" s="291"/>
      <c r="B326" s="290"/>
      <c r="C326" s="289"/>
      <c r="F326" s="258">
        <f t="shared" si="10"/>
        <v>0</v>
      </c>
      <c r="G326" s="258">
        <v>0</v>
      </c>
      <c r="M326" s="368"/>
    </row>
    <row r="327" spans="1:13" ht="15.75">
      <c r="A327" s="291"/>
      <c r="B327" s="290" t="s">
        <v>415</v>
      </c>
      <c r="C327" s="289"/>
      <c r="F327" s="258">
        <f t="shared" si="10"/>
        <v>112592</v>
      </c>
      <c r="G327" s="258">
        <v>0</v>
      </c>
      <c r="H327" s="258">
        <v>112592348</v>
      </c>
      <c r="M327" s="368"/>
    </row>
    <row r="328" spans="1:13" ht="15.75">
      <c r="A328" s="291"/>
      <c r="B328" s="290"/>
      <c r="C328" s="289"/>
      <c r="F328" s="258">
        <f t="shared" si="10"/>
        <v>0</v>
      </c>
      <c r="G328" s="258">
        <v>0</v>
      </c>
      <c r="M328" s="365"/>
    </row>
    <row r="329" spans="1:13" ht="15.75">
      <c r="A329" s="291"/>
      <c r="B329" s="290" t="s">
        <v>416</v>
      </c>
      <c r="C329" s="289"/>
      <c r="F329" s="258">
        <f t="shared" si="10"/>
        <v>-2018</v>
      </c>
      <c r="G329" s="258">
        <v>0</v>
      </c>
      <c r="H329" s="258">
        <v>-2017589</v>
      </c>
      <c r="M329" s="368"/>
    </row>
    <row r="330" spans="1:13" ht="15.75">
      <c r="A330" s="291"/>
      <c r="B330" s="290" t="s">
        <v>417</v>
      </c>
      <c r="C330" s="289"/>
      <c r="F330" s="258">
        <f t="shared" si="10"/>
        <v>8368</v>
      </c>
      <c r="G330" s="258">
        <v>0</v>
      </c>
      <c r="H330" s="258">
        <v>8368441</v>
      </c>
      <c r="M330" s="365"/>
    </row>
    <row r="331" spans="1:13" ht="15.75">
      <c r="A331" s="291"/>
      <c r="B331" s="290" t="s">
        <v>418</v>
      </c>
      <c r="C331" s="294"/>
      <c r="F331" s="258">
        <f t="shared" si="10"/>
        <v>-318</v>
      </c>
      <c r="G331" s="258">
        <v>0</v>
      </c>
      <c r="H331" s="258">
        <v>-317730</v>
      </c>
      <c r="M331" s="365"/>
    </row>
    <row r="332" spans="1:13" ht="15.75">
      <c r="A332" s="288"/>
      <c r="B332" s="290" t="s">
        <v>419</v>
      </c>
      <c r="C332" s="289"/>
      <c r="F332" s="258">
        <f t="shared" si="10"/>
        <v>106559</v>
      </c>
      <c r="G332" s="258">
        <v>0</v>
      </c>
      <c r="H332" s="258">
        <v>106559226</v>
      </c>
      <c r="M332" s="365"/>
    </row>
    <row r="333" spans="1:13" ht="15.75">
      <c r="F333" s="258">
        <f t="shared" si="10"/>
        <v>0</v>
      </c>
      <c r="G333" s="258">
        <v>0</v>
      </c>
      <c r="M333" s="365"/>
    </row>
    <row r="334" spans="1:13" ht="15.75">
      <c r="A334" s="297"/>
      <c r="B334" s="290" t="s">
        <v>67</v>
      </c>
      <c r="F334" s="258">
        <f t="shared" si="10"/>
        <v>0</v>
      </c>
      <c r="G334" s="258">
        <v>0</v>
      </c>
      <c r="M334" s="365"/>
    </row>
    <row r="335" spans="1:13" ht="15.75">
      <c r="A335" s="297"/>
      <c r="B335" s="290" t="s">
        <v>420</v>
      </c>
      <c r="F335" s="258">
        <f t="shared" si="10"/>
        <v>0</v>
      </c>
      <c r="G335" s="258">
        <v>0</v>
      </c>
      <c r="M335" s="365"/>
    </row>
    <row r="336" spans="1:13" ht="15.75">
      <c r="A336" s="370">
        <v>182324</v>
      </c>
      <c r="B336" s="365" t="s">
        <v>598</v>
      </c>
      <c r="F336" s="258">
        <f t="shared" si="10"/>
        <v>5047</v>
      </c>
      <c r="G336" s="258">
        <v>0</v>
      </c>
      <c r="H336" s="258">
        <v>5046580</v>
      </c>
      <c r="M336" s="365"/>
    </row>
    <row r="337" spans="1:13" ht="15.75">
      <c r="A337" s="370">
        <v>182325</v>
      </c>
      <c r="B337" s="365" t="s">
        <v>599</v>
      </c>
      <c r="F337" s="258">
        <f t="shared" si="10"/>
        <v>1311</v>
      </c>
      <c r="G337" s="258">
        <v>0</v>
      </c>
      <c r="H337" s="258">
        <v>1310800</v>
      </c>
      <c r="M337" s="365"/>
    </row>
    <row r="338" spans="1:13" ht="15.75">
      <c r="A338" s="370">
        <v>182333</v>
      </c>
      <c r="B338" s="365" t="s">
        <v>600</v>
      </c>
      <c r="F338" s="258">
        <f t="shared" si="10"/>
        <v>703</v>
      </c>
      <c r="G338" s="258">
        <v>0</v>
      </c>
      <c r="H338" s="258">
        <v>703195</v>
      </c>
      <c r="M338" s="365"/>
    </row>
    <row r="339" spans="1:13" ht="15.75">
      <c r="A339" s="370">
        <v>182381</v>
      </c>
      <c r="B339" s="365" t="s">
        <v>601</v>
      </c>
      <c r="F339" s="258">
        <f t="shared" si="10"/>
        <v>19000</v>
      </c>
      <c r="G339" s="258">
        <v>0</v>
      </c>
      <c r="H339" s="258">
        <v>19000466</v>
      </c>
      <c r="M339" s="365"/>
    </row>
    <row r="340" spans="1:13" ht="15.75">
      <c r="A340" s="370">
        <v>302000</v>
      </c>
      <c r="B340" s="365" t="s">
        <v>421</v>
      </c>
      <c r="F340" s="258">
        <f t="shared" si="10"/>
        <v>31234</v>
      </c>
      <c r="G340" s="258">
        <v>0</v>
      </c>
      <c r="H340" s="258">
        <v>31234228</v>
      </c>
      <c r="M340" s="365"/>
    </row>
    <row r="341" spans="1:13" ht="15.75">
      <c r="A341" s="370">
        <v>303000</v>
      </c>
      <c r="B341" s="365" t="s">
        <v>934</v>
      </c>
      <c r="F341" s="258">
        <f t="shared" si="10"/>
        <v>10691</v>
      </c>
      <c r="G341" s="258">
        <v>0</v>
      </c>
      <c r="H341" s="258">
        <v>10690970</v>
      </c>
      <c r="M341" s="365"/>
    </row>
    <row r="342" spans="1:13" ht="15.75">
      <c r="A342" s="370">
        <v>303100</v>
      </c>
      <c r="B342" s="365" t="s">
        <v>935</v>
      </c>
      <c r="F342" s="258">
        <f t="shared" si="10"/>
        <v>83163</v>
      </c>
      <c r="G342" s="258">
        <v>0</v>
      </c>
      <c r="H342" s="258">
        <v>83163471</v>
      </c>
      <c r="M342" s="365"/>
    </row>
    <row r="343" spans="1:13" ht="15.75">
      <c r="A343" s="370" t="s">
        <v>936</v>
      </c>
      <c r="B343" s="365" t="s">
        <v>937</v>
      </c>
      <c r="F343" s="258">
        <f t="shared" ref="F343" si="16">ROUND(H343/1000,0)</f>
        <v>452</v>
      </c>
      <c r="G343" s="258">
        <v>1</v>
      </c>
      <c r="H343" s="258">
        <v>451980</v>
      </c>
      <c r="M343" s="365"/>
    </row>
    <row r="344" spans="1:13" ht="15.75">
      <c r="A344" s="370">
        <v>303110</v>
      </c>
      <c r="B344" s="365" t="s">
        <v>633</v>
      </c>
      <c r="F344" s="258">
        <f t="shared" si="10"/>
        <v>324</v>
      </c>
      <c r="G344" s="258">
        <v>0</v>
      </c>
      <c r="H344" s="258">
        <v>323694</v>
      </c>
      <c r="M344" s="365"/>
    </row>
    <row r="345" spans="1:13" ht="15.75">
      <c r="A345" s="370">
        <v>303115</v>
      </c>
      <c r="B345" s="365" t="s">
        <v>633</v>
      </c>
      <c r="F345" s="258">
        <f t="shared" si="10"/>
        <v>48022</v>
      </c>
      <c r="G345" s="258">
        <v>0</v>
      </c>
      <c r="H345" s="258">
        <v>48022497</v>
      </c>
      <c r="M345" s="365"/>
    </row>
    <row r="346" spans="1:13" ht="15.75">
      <c r="A346" s="370">
        <v>303120</v>
      </c>
      <c r="B346" s="365" t="s">
        <v>688</v>
      </c>
      <c r="F346" s="258">
        <f t="shared" si="10"/>
        <v>13895</v>
      </c>
      <c r="G346" s="258">
        <v>0</v>
      </c>
      <c r="H346" s="258">
        <v>13895357</v>
      </c>
      <c r="M346" s="365"/>
    </row>
    <row r="347" spans="1:13" ht="15.75">
      <c r="A347" s="370">
        <v>303121</v>
      </c>
      <c r="B347" s="365" t="s">
        <v>689</v>
      </c>
      <c r="F347" s="258">
        <f t="shared" si="10"/>
        <v>16238</v>
      </c>
      <c r="G347" s="258">
        <v>0</v>
      </c>
      <c r="H347" s="258">
        <v>16237834</v>
      </c>
      <c r="M347" s="365"/>
    </row>
    <row r="348" spans="1:13" ht="15.75">
      <c r="A348" s="370" t="s">
        <v>938</v>
      </c>
      <c r="B348" s="365" t="s">
        <v>939</v>
      </c>
      <c r="F348" s="258">
        <f t="shared" ref="F348" si="17">ROUND(H348/1000,0)</f>
        <v>636</v>
      </c>
      <c r="G348" s="258">
        <v>1</v>
      </c>
      <c r="H348" s="258">
        <v>636438</v>
      </c>
      <c r="M348" s="365"/>
    </row>
    <row r="349" spans="1:13" ht="15.75">
      <c r="A349" s="300"/>
      <c r="B349" s="290" t="s">
        <v>422</v>
      </c>
      <c r="F349" s="258">
        <f t="shared" si="10"/>
        <v>230718</v>
      </c>
      <c r="G349" s="258">
        <v>0</v>
      </c>
      <c r="H349" s="258">
        <v>230717510</v>
      </c>
      <c r="M349" s="365"/>
    </row>
    <row r="350" spans="1:13" ht="15.75">
      <c r="A350" s="297"/>
      <c r="B350" s="290"/>
      <c r="F350" s="258">
        <f t="shared" si="10"/>
        <v>0</v>
      </c>
      <c r="G350" s="258">
        <v>0</v>
      </c>
      <c r="M350" s="365"/>
    </row>
    <row r="351" spans="1:13" ht="15.75">
      <c r="A351" s="297"/>
      <c r="B351" s="290" t="s">
        <v>423</v>
      </c>
      <c r="F351" s="258">
        <f t="shared" si="10"/>
        <v>0</v>
      </c>
      <c r="G351" s="258">
        <v>0</v>
      </c>
      <c r="M351" s="365"/>
    </row>
    <row r="352" spans="1:13" ht="15.75">
      <c r="A352" s="299" t="s">
        <v>424</v>
      </c>
      <c r="B352" s="290" t="s">
        <v>425</v>
      </c>
      <c r="F352" s="258">
        <f t="shared" si="10"/>
        <v>2530</v>
      </c>
      <c r="G352" s="258">
        <v>0</v>
      </c>
      <c r="H352" s="258">
        <v>2529674</v>
      </c>
      <c r="M352" s="365"/>
    </row>
    <row r="353" spans="1:16384" ht="15.75">
      <c r="A353" s="299" t="s">
        <v>426</v>
      </c>
      <c r="B353" s="290" t="s">
        <v>427</v>
      </c>
      <c r="F353" s="258">
        <f t="shared" si="10"/>
        <v>91988</v>
      </c>
      <c r="G353" s="258">
        <v>0</v>
      </c>
      <c r="H353" s="258">
        <v>91988074</v>
      </c>
      <c r="M353" s="365"/>
    </row>
    <row r="354" spans="1:16384" ht="15.75">
      <c r="A354" s="299">
        <v>312000</v>
      </c>
      <c r="B354" s="290" t="s">
        <v>299</v>
      </c>
      <c r="F354" s="258">
        <f t="shared" si="10"/>
        <v>127711</v>
      </c>
      <c r="G354" s="258">
        <v>0</v>
      </c>
      <c r="H354" s="258">
        <v>127710765</v>
      </c>
      <c r="M354" s="365"/>
    </row>
    <row r="355" spans="1:16384" ht="15.75">
      <c r="A355" s="299">
        <v>313000</v>
      </c>
      <c r="B355" s="290" t="s">
        <v>428</v>
      </c>
      <c r="F355" s="258">
        <f t="shared" si="10"/>
        <v>244</v>
      </c>
      <c r="G355" s="258">
        <v>0</v>
      </c>
      <c r="H355" s="258">
        <v>243928</v>
      </c>
      <c r="M355" s="365"/>
    </row>
    <row r="356" spans="1:16384" ht="15.75">
      <c r="A356" s="299">
        <v>314000</v>
      </c>
      <c r="B356" s="290" t="s">
        <v>429</v>
      </c>
      <c r="F356" s="258">
        <f t="shared" si="10"/>
        <v>38377</v>
      </c>
      <c r="G356" s="258">
        <v>0</v>
      </c>
      <c r="H356" s="258">
        <v>38376640</v>
      </c>
      <c r="M356" s="365"/>
    </row>
    <row r="357" spans="1:16384" ht="15.75">
      <c r="A357" s="299">
        <v>315000</v>
      </c>
      <c r="B357" s="290" t="s">
        <v>430</v>
      </c>
      <c r="F357" s="258">
        <f t="shared" si="10"/>
        <v>20181</v>
      </c>
      <c r="G357" s="258">
        <v>0</v>
      </c>
      <c r="H357" s="258">
        <v>20181326</v>
      </c>
      <c r="M357" s="365"/>
    </row>
    <row r="358" spans="1:16384" ht="15.75">
      <c r="A358" s="299">
        <v>316000</v>
      </c>
      <c r="B358" s="290" t="s">
        <v>431</v>
      </c>
      <c r="F358" s="258">
        <f t="shared" si="10"/>
        <v>11070</v>
      </c>
      <c r="G358" s="258">
        <v>0</v>
      </c>
      <c r="H358" s="258">
        <v>11070166</v>
      </c>
      <c r="M358" s="365"/>
    </row>
    <row r="359" spans="1:16384" ht="15.75">
      <c r="A359" s="301"/>
      <c r="B359" s="290" t="s">
        <v>432</v>
      </c>
      <c r="F359" s="258">
        <f t="shared" si="10"/>
        <v>292101</v>
      </c>
      <c r="G359" s="258">
        <v>0</v>
      </c>
      <c r="H359" s="258">
        <v>292100573</v>
      </c>
      <c r="M359" s="365"/>
    </row>
    <row r="360" spans="1:16384" ht="15.75">
      <c r="A360" s="302"/>
      <c r="B360" s="290"/>
      <c r="F360" s="258">
        <f t="shared" si="10"/>
        <v>0</v>
      </c>
      <c r="G360" s="258">
        <v>0</v>
      </c>
      <c r="M360" s="365"/>
    </row>
    <row r="361" spans="1:16384" ht="15.75">
      <c r="A361" s="297"/>
      <c r="B361" s="290" t="s">
        <v>433</v>
      </c>
      <c r="F361" s="258">
        <f t="shared" si="10"/>
        <v>0</v>
      </c>
      <c r="G361" s="258">
        <v>0</v>
      </c>
      <c r="M361" s="365"/>
    </row>
    <row r="362" spans="1:16384" ht="15.75">
      <c r="A362" s="299" t="s">
        <v>434</v>
      </c>
      <c r="B362" s="290" t="s">
        <v>425</v>
      </c>
      <c r="F362" s="258">
        <f t="shared" si="10"/>
        <v>42617</v>
      </c>
      <c r="G362" s="258">
        <v>0</v>
      </c>
      <c r="H362" s="258">
        <v>42616897</v>
      </c>
      <c r="M362" s="365"/>
    </row>
    <row r="363" spans="1:16384" ht="15.75">
      <c r="A363" s="299" t="s">
        <v>435</v>
      </c>
      <c r="B363" s="290" t="s">
        <v>427</v>
      </c>
      <c r="F363" s="258">
        <f t="shared" si="10"/>
        <v>64525</v>
      </c>
      <c r="G363" s="258">
        <v>0</v>
      </c>
      <c r="H363" s="258">
        <v>64525184</v>
      </c>
      <c r="M363" s="365"/>
    </row>
    <row r="364" spans="1:16384" ht="15.75">
      <c r="A364" s="299" t="s">
        <v>436</v>
      </c>
      <c r="B364" s="290" t="s">
        <v>308</v>
      </c>
      <c r="F364" s="258">
        <f t="shared" si="10"/>
        <v>127474</v>
      </c>
      <c r="G364" s="258">
        <v>0</v>
      </c>
      <c r="H364" s="258">
        <v>127474070</v>
      </c>
      <c r="M364" s="365"/>
    </row>
    <row r="365" spans="1:16384" ht="15.75">
      <c r="A365" s="299">
        <v>333000</v>
      </c>
      <c r="B365" s="290" t="s">
        <v>437</v>
      </c>
      <c r="F365" s="258">
        <f t="shared" si="10"/>
        <v>153642</v>
      </c>
      <c r="G365" s="258">
        <v>0</v>
      </c>
      <c r="H365" s="258">
        <v>153641919</v>
      </c>
      <c r="M365" s="365"/>
    </row>
    <row r="366" spans="1:16384" ht="15.75">
      <c r="A366" s="299">
        <v>334000</v>
      </c>
      <c r="B366" s="290" t="s">
        <v>430</v>
      </c>
      <c r="F366" s="258">
        <f t="shared" si="10"/>
        <v>50784</v>
      </c>
      <c r="G366" s="258">
        <v>0</v>
      </c>
      <c r="H366" s="258">
        <v>50783930</v>
      </c>
      <c r="M366" s="365"/>
      <c r="Q366" s="370"/>
      <c r="R366" s="365"/>
      <c r="S366" s="370"/>
      <c r="T366" s="365"/>
      <c r="U366" s="370"/>
      <c r="V366" s="365"/>
      <c r="W366" s="370"/>
      <c r="X366" s="365"/>
      <c r="Y366" s="370"/>
      <c r="Z366" s="365"/>
      <c r="AA366" s="370"/>
      <c r="AB366" s="365"/>
      <c r="AC366" s="370"/>
      <c r="AD366" s="365"/>
      <c r="AE366" s="370"/>
      <c r="AF366" s="365"/>
      <c r="AG366" s="370"/>
      <c r="AH366" s="365"/>
      <c r="AI366" s="370"/>
      <c r="AJ366" s="365"/>
      <c r="AK366" s="370"/>
      <c r="AL366" s="365"/>
      <c r="AM366" s="370"/>
      <c r="AN366" s="365"/>
      <c r="AO366" s="370"/>
      <c r="AP366" s="365"/>
      <c r="AQ366" s="370"/>
      <c r="AR366" s="365"/>
      <c r="AS366" s="370"/>
      <c r="AT366" s="365"/>
      <c r="AU366" s="370"/>
      <c r="AV366" s="365"/>
      <c r="AW366" s="370"/>
      <c r="AX366" s="365"/>
      <c r="AY366" s="370"/>
      <c r="AZ366" s="365"/>
      <c r="BA366" s="370"/>
      <c r="BB366" s="365"/>
      <c r="BC366" s="370"/>
      <c r="BD366" s="365"/>
      <c r="BE366" s="370"/>
      <c r="BF366" s="365"/>
      <c r="BG366" s="370"/>
      <c r="BH366" s="365"/>
      <c r="BI366" s="370"/>
      <c r="BJ366" s="365"/>
      <c r="BK366" s="370"/>
      <c r="BL366" s="365"/>
      <c r="BM366" s="370"/>
      <c r="BN366" s="365"/>
      <c r="BO366" s="370"/>
      <c r="BP366" s="365"/>
      <c r="BQ366" s="370"/>
      <c r="BR366" s="365"/>
      <c r="BS366" s="370"/>
      <c r="BT366" s="365"/>
      <c r="BU366" s="370"/>
      <c r="BV366" s="365"/>
      <c r="BW366" s="370"/>
      <c r="BX366" s="365"/>
      <c r="BY366" s="370"/>
      <c r="BZ366" s="365"/>
      <c r="CA366" s="370"/>
      <c r="CB366" s="365"/>
      <c r="CC366" s="370"/>
      <c r="CD366" s="365"/>
      <c r="CE366" s="370"/>
      <c r="CF366" s="365"/>
      <c r="CG366" s="370"/>
      <c r="CH366" s="365"/>
      <c r="CI366" s="370"/>
      <c r="CJ366" s="365"/>
      <c r="CK366" s="370"/>
      <c r="CL366" s="365"/>
      <c r="CM366" s="370"/>
      <c r="CN366" s="365"/>
      <c r="CO366" s="370"/>
      <c r="CP366" s="365"/>
      <c r="CQ366" s="370"/>
      <c r="CR366" s="365"/>
      <c r="CS366" s="370"/>
      <c r="CT366" s="365"/>
      <c r="CU366" s="370"/>
      <c r="CV366" s="365"/>
      <c r="CW366" s="370"/>
      <c r="CX366" s="365"/>
      <c r="CY366" s="370"/>
      <c r="CZ366" s="365"/>
      <c r="DA366" s="370"/>
      <c r="DB366" s="365"/>
      <c r="DC366" s="370"/>
      <c r="DD366" s="365"/>
      <c r="DE366" s="370"/>
      <c r="DF366" s="365"/>
      <c r="DG366" s="370"/>
      <c r="DH366" s="365"/>
      <c r="DI366" s="370"/>
      <c r="DJ366" s="365"/>
      <c r="DK366" s="370"/>
      <c r="DL366" s="365"/>
      <c r="DM366" s="370"/>
      <c r="DN366" s="365"/>
      <c r="DO366" s="370"/>
      <c r="DP366" s="365"/>
      <c r="DQ366" s="370"/>
      <c r="DR366" s="365"/>
      <c r="DS366" s="370"/>
      <c r="DT366" s="365"/>
      <c r="DU366" s="370"/>
      <c r="DV366" s="365"/>
      <c r="DW366" s="370"/>
      <c r="DX366" s="365"/>
      <c r="DY366" s="370"/>
      <c r="DZ366" s="365"/>
      <c r="EA366" s="370"/>
      <c r="EB366" s="365"/>
      <c r="EC366" s="370"/>
      <c r="ED366" s="365"/>
      <c r="EE366" s="370"/>
      <c r="EF366" s="365"/>
      <c r="EG366" s="370"/>
      <c r="EH366" s="365"/>
      <c r="EI366" s="370"/>
      <c r="EJ366" s="365"/>
      <c r="EK366" s="370"/>
      <c r="EL366" s="365"/>
      <c r="EM366" s="370"/>
      <c r="EN366" s="365"/>
      <c r="EO366" s="370"/>
      <c r="EP366" s="365"/>
      <c r="EQ366" s="370"/>
      <c r="ER366" s="365"/>
      <c r="ES366" s="370"/>
      <c r="ET366" s="365"/>
      <c r="EU366" s="370"/>
      <c r="EV366" s="365"/>
      <c r="EW366" s="370"/>
      <c r="EX366" s="365"/>
      <c r="EY366" s="370"/>
      <c r="EZ366" s="365"/>
      <c r="FA366" s="370"/>
      <c r="FB366" s="365"/>
      <c r="FC366" s="370"/>
      <c r="FD366" s="365"/>
      <c r="FE366" s="370"/>
      <c r="FF366" s="365"/>
      <c r="FG366" s="370"/>
      <c r="FH366" s="365"/>
      <c r="FI366" s="370"/>
      <c r="FJ366" s="365"/>
      <c r="FK366" s="370"/>
      <c r="FL366" s="365"/>
      <c r="FM366" s="370"/>
      <c r="FN366" s="365"/>
      <c r="FO366" s="370"/>
      <c r="FP366" s="365"/>
      <c r="FQ366" s="370"/>
      <c r="FR366" s="365"/>
      <c r="FS366" s="370"/>
      <c r="FT366" s="365"/>
      <c r="FU366" s="370"/>
      <c r="FV366" s="365"/>
      <c r="FW366" s="370"/>
      <c r="FX366" s="365"/>
      <c r="FY366" s="370"/>
      <c r="FZ366" s="365"/>
      <c r="GA366" s="370"/>
      <c r="GB366" s="365"/>
      <c r="GC366" s="370"/>
      <c r="GD366" s="365"/>
      <c r="GE366" s="370"/>
      <c r="GF366" s="365"/>
      <c r="GG366" s="370"/>
      <c r="GH366" s="365"/>
      <c r="GI366" s="370"/>
      <c r="GJ366" s="365"/>
      <c r="GK366" s="370"/>
      <c r="GL366" s="365"/>
      <c r="GM366" s="370"/>
      <c r="GN366" s="365"/>
      <c r="GO366" s="370"/>
      <c r="GP366" s="365"/>
      <c r="GQ366" s="370"/>
      <c r="GR366" s="365"/>
      <c r="GS366" s="370"/>
      <c r="GT366" s="365"/>
      <c r="GU366" s="370"/>
      <c r="GV366" s="365"/>
      <c r="GW366" s="370"/>
      <c r="GX366" s="365"/>
      <c r="GY366" s="370"/>
      <c r="GZ366" s="365"/>
      <c r="HA366" s="370"/>
      <c r="HB366" s="365"/>
      <c r="HC366" s="370"/>
      <c r="HD366" s="365"/>
      <c r="HE366" s="370"/>
      <c r="HF366" s="365"/>
      <c r="HG366" s="370"/>
      <c r="HH366" s="365"/>
      <c r="HI366" s="370"/>
      <c r="HJ366" s="365"/>
      <c r="HK366" s="370"/>
      <c r="HL366" s="365"/>
      <c r="HM366" s="370"/>
      <c r="HN366" s="365"/>
      <c r="HO366" s="370"/>
      <c r="HP366" s="365"/>
      <c r="HQ366" s="370"/>
      <c r="HR366" s="365"/>
      <c r="HS366" s="370"/>
      <c r="HT366" s="365"/>
      <c r="HU366" s="370"/>
      <c r="HV366" s="365"/>
      <c r="HW366" s="370"/>
      <c r="HX366" s="365"/>
      <c r="HY366" s="370"/>
      <c r="HZ366" s="365"/>
      <c r="IA366" s="370"/>
      <c r="IB366" s="365"/>
      <c r="IC366" s="370"/>
      <c r="ID366" s="365"/>
      <c r="IE366" s="370"/>
      <c r="IF366" s="365"/>
      <c r="IG366" s="370"/>
      <c r="IH366" s="365"/>
      <c r="II366" s="370"/>
      <c r="IJ366" s="365"/>
      <c r="IK366" s="370"/>
      <c r="IL366" s="365"/>
      <c r="IM366" s="370"/>
      <c r="IN366" s="365"/>
      <c r="IO366" s="370"/>
      <c r="IP366" s="365"/>
      <c r="IQ366" s="370"/>
      <c r="IR366" s="365"/>
      <c r="IS366" s="370"/>
      <c r="IT366" s="365"/>
      <c r="IU366" s="370"/>
      <c r="IV366" s="365"/>
      <c r="IW366" s="370"/>
      <c r="IX366" s="365"/>
      <c r="IY366" s="370"/>
      <c r="IZ366" s="365"/>
      <c r="JA366" s="370"/>
      <c r="JB366" s="365"/>
      <c r="JC366" s="370"/>
      <c r="JD366" s="365"/>
      <c r="JE366" s="370"/>
      <c r="JF366" s="365"/>
      <c r="JG366" s="370"/>
      <c r="JH366" s="365"/>
      <c r="JI366" s="370"/>
      <c r="JJ366" s="365"/>
      <c r="JK366" s="370"/>
      <c r="JL366" s="365"/>
      <c r="JM366" s="370"/>
      <c r="JN366" s="365"/>
      <c r="JO366" s="370"/>
      <c r="JP366" s="365"/>
      <c r="JQ366" s="370"/>
      <c r="JR366" s="365"/>
      <c r="JS366" s="370"/>
      <c r="JT366" s="365"/>
      <c r="JU366" s="370"/>
      <c r="JV366" s="365"/>
      <c r="JW366" s="370"/>
      <c r="JX366" s="365"/>
      <c r="JY366" s="370"/>
      <c r="JZ366" s="365"/>
      <c r="KA366" s="370"/>
      <c r="KB366" s="365"/>
      <c r="KC366" s="370"/>
      <c r="KD366" s="365"/>
      <c r="KE366" s="370"/>
      <c r="KF366" s="365"/>
      <c r="KG366" s="370"/>
      <c r="KH366" s="365"/>
      <c r="KI366" s="370"/>
      <c r="KJ366" s="365"/>
      <c r="KK366" s="370"/>
      <c r="KL366" s="365"/>
      <c r="KM366" s="370"/>
      <c r="KN366" s="365"/>
      <c r="KO366" s="370"/>
      <c r="KP366" s="365"/>
      <c r="KQ366" s="370"/>
      <c r="KR366" s="365"/>
      <c r="KS366" s="370"/>
      <c r="KT366" s="365"/>
      <c r="KU366" s="370"/>
      <c r="KV366" s="365"/>
      <c r="KW366" s="370"/>
      <c r="KX366" s="365"/>
      <c r="KY366" s="370"/>
      <c r="KZ366" s="365"/>
      <c r="LA366" s="370"/>
      <c r="LB366" s="365"/>
      <c r="LC366" s="370"/>
      <c r="LD366" s="365"/>
      <c r="LE366" s="370"/>
      <c r="LF366" s="365"/>
      <c r="LG366" s="370"/>
      <c r="LH366" s="365"/>
      <c r="LI366" s="370"/>
      <c r="LJ366" s="365"/>
      <c r="LK366" s="370"/>
      <c r="LL366" s="365"/>
      <c r="LM366" s="370"/>
      <c r="LN366" s="365"/>
      <c r="LO366" s="370"/>
      <c r="LP366" s="365"/>
      <c r="LQ366" s="370"/>
      <c r="LR366" s="365"/>
      <c r="LS366" s="370"/>
      <c r="LT366" s="365"/>
      <c r="LU366" s="370"/>
      <c r="LV366" s="365"/>
      <c r="LW366" s="370"/>
      <c r="LX366" s="365"/>
      <c r="LY366" s="370"/>
      <c r="LZ366" s="365"/>
      <c r="MA366" s="370"/>
      <c r="MB366" s="365"/>
      <c r="MC366" s="370"/>
      <c r="MD366" s="365"/>
      <c r="ME366" s="370"/>
      <c r="MF366" s="365"/>
      <c r="MG366" s="370"/>
      <c r="MH366" s="365"/>
      <c r="MI366" s="370"/>
      <c r="MJ366" s="365"/>
      <c r="MK366" s="370"/>
      <c r="ML366" s="365"/>
      <c r="MM366" s="370"/>
      <c r="MN366" s="365"/>
      <c r="MO366" s="370"/>
      <c r="MP366" s="365"/>
      <c r="MQ366" s="370"/>
      <c r="MR366" s="365"/>
      <c r="MS366" s="370"/>
      <c r="MT366" s="365"/>
      <c r="MU366" s="370"/>
      <c r="MV366" s="365"/>
      <c r="MW366" s="370"/>
      <c r="MX366" s="365"/>
      <c r="MY366" s="370"/>
      <c r="MZ366" s="365"/>
      <c r="NA366" s="370"/>
      <c r="NB366" s="365"/>
      <c r="NC366" s="370"/>
      <c r="ND366" s="365"/>
      <c r="NE366" s="370"/>
      <c r="NF366" s="365"/>
      <c r="NG366" s="370"/>
      <c r="NH366" s="365"/>
      <c r="NI366" s="370"/>
      <c r="NJ366" s="365"/>
      <c r="NK366" s="370"/>
      <c r="NL366" s="365"/>
      <c r="NM366" s="370"/>
      <c r="NN366" s="365"/>
      <c r="NO366" s="370"/>
      <c r="NP366" s="365"/>
      <c r="NQ366" s="370"/>
      <c r="NR366" s="365"/>
      <c r="NS366" s="370"/>
      <c r="NT366" s="365"/>
      <c r="NU366" s="370"/>
      <c r="NV366" s="365"/>
      <c r="NW366" s="370"/>
      <c r="NX366" s="365"/>
      <c r="NY366" s="370"/>
      <c r="NZ366" s="365"/>
      <c r="OA366" s="370"/>
      <c r="OB366" s="365"/>
      <c r="OC366" s="370"/>
      <c r="OD366" s="365"/>
      <c r="OE366" s="370"/>
      <c r="OF366" s="365"/>
      <c r="OG366" s="370"/>
      <c r="OH366" s="365"/>
      <c r="OI366" s="370"/>
      <c r="OJ366" s="365"/>
      <c r="OK366" s="370"/>
      <c r="OL366" s="365"/>
      <c r="OM366" s="370"/>
      <c r="ON366" s="365"/>
      <c r="OO366" s="370"/>
      <c r="OP366" s="365"/>
      <c r="OQ366" s="370"/>
      <c r="OR366" s="365"/>
      <c r="OS366" s="370"/>
      <c r="OT366" s="365"/>
      <c r="OU366" s="370"/>
      <c r="OV366" s="365"/>
      <c r="OW366" s="370"/>
      <c r="OX366" s="365"/>
      <c r="OY366" s="370"/>
      <c r="OZ366" s="365"/>
      <c r="PA366" s="370"/>
      <c r="PB366" s="365"/>
      <c r="PC366" s="370"/>
      <c r="PD366" s="365"/>
      <c r="PE366" s="370"/>
      <c r="PF366" s="365"/>
      <c r="PG366" s="370"/>
      <c r="PH366" s="365"/>
      <c r="PI366" s="370"/>
      <c r="PJ366" s="365"/>
      <c r="PK366" s="370"/>
      <c r="PL366" s="365"/>
      <c r="PM366" s="370"/>
      <c r="PN366" s="365"/>
      <c r="PO366" s="370"/>
      <c r="PP366" s="365"/>
      <c r="PQ366" s="370"/>
      <c r="PR366" s="365"/>
      <c r="PS366" s="370"/>
      <c r="PT366" s="365"/>
      <c r="PU366" s="370"/>
      <c r="PV366" s="365"/>
      <c r="PW366" s="370"/>
      <c r="PX366" s="365"/>
      <c r="PY366" s="370"/>
      <c r="PZ366" s="365"/>
      <c r="QA366" s="370"/>
      <c r="QB366" s="365"/>
      <c r="QC366" s="370"/>
      <c r="QD366" s="365"/>
      <c r="QE366" s="370"/>
      <c r="QF366" s="365"/>
      <c r="QG366" s="370"/>
      <c r="QH366" s="365"/>
      <c r="QI366" s="370"/>
      <c r="QJ366" s="365"/>
      <c r="QK366" s="370"/>
      <c r="QL366" s="365"/>
      <c r="QM366" s="370"/>
      <c r="QN366" s="365"/>
      <c r="QO366" s="370"/>
      <c r="QP366" s="365"/>
      <c r="QQ366" s="370"/>
      <c r="QR366" s="365"/>
      <c r="QS366" s="370"/>
      <c r="QT366" s="365"/>
      <c r="QU366" s="370"/>
      <c r="QV366" s="365"/>
      <c r="QW366" s="370"/>
      <c r="QX366" s="365"/>
      <c r="QY366" s="370"/>
      <c r="QZ366" s="365"/>
      <c r="RA366" s="370"/>
      <c r="RB366" s="365"/>
      <c r="RC366" s="370"/>
      <c r="RD366" s="365"/>
      <c r="RE366" s="370"/>
      <c r="RF366" s="365"/>
      <c r="RG366" s="370"/>
      <c r="RH366" s="365"/>
      <c r="RI366" s="370"/>
      <c r="RJ366" s="365"/>
      <c r="RK366" s="370"/>
      <c r="RL366" s="365"/>
      <c r="RM366" s="370"/>
      <c r="RN366" s="365"/>
      <c r="RO366" s="370"/>
      <c r="RP366" s="365"/>
      <c r="RQ366" s="370"/>
      <c r="RR366" s="365"/>
      <c r="RS366" s="370"/>
      <c r="RT366" s="365"/>
      <c r="RU366" s="370"/>
      <c r="RV366" s="365"/>
      <c r="RW366" s="370"/>
      <c r="RX366" s="365"/>
      <c r="RY366" s="370"/>
      <c r="RZ366" s="365"/>
      <c r="SA366" s="370"/>
      <c r="SB366" s="365"/>
      <c r="SC366" s="370"/>
      <c r="SD366" s="365"/>
      <c r="SE366" s="370"/>
      <c r="SF366" s="365"/>
      <c r="SG366" s="370"/>
      <c r="SH366" s="365"/>
      <c r="SI366" s="370"/>
      <c r="SJ366" s="365"/>
      <c r="SK366" s="370"/>
      <c r="SL366" s="365"/>
      <c r="SM366" s="370"/>
      <c r="SN366" s="365"/>
      <c r="SO366" s="370"/>
      <c r="SP366" s="365"/>
      <c r="SQ366" s="370"/>
      <c r="SR366" s="365"/>
      <c r="SS366" s="370"/>
      <c r="ST366" s="365"/>
      <c r="SU366" s="370"/>
      <c r="SV366" s="365"/>
      <c r="SW366" s="370"/>
      <c r="SX366" s="365"/>
      <c r="SY366" s="370"/>
      <c r="SZ366" s="365"/>
      <c r="TA366" s="370"/>
      <c r="TB366" s="365"/>
      <c r="TC366" s="370"/>
      <c r="TD366" s="365"/>
      <c r="TE366" s="370"/>
      <c r="TF366" s="365"/>
      <c r="TG366" s="370"/>
      <c r="TH366" s="365"/>
      <c r="TI366" s="370"/>
      <c r="TJ366" s="365"/>
      <c r="TK366" s="370"/>
      <c r="TL366" s="365"/>
      <c r="TM366" s="370"/>
      <c r="TN366" s="365"/>
      <c r="TO366" s="370"/>
      <c r="TP366" s="365"/>
      <c r="TQ366" s="370"/>
      <c r="TR366" s="365"/>
      <c r="TS366" s="370"/>
      <c r="TT366" s="365"/>
      <c r="TU366" s="370"/>
      <c r="TV366" s="365"/>
      <c r="TW366" s="370"/>
      <c r="TX366" s="365"/>
      <c r="TY366" s="370"/>
      <c r="TZ366" s="365"/>
      <c r="UA366" s="370"/>
      <c r="UB366" s="365"/>
      <c r="UC366" s="370"/>
      <c r="UD366" s="365"/>
      <c r="UE366" s="370"/>
      <c r="UF366" s="365"/>
      <c r="UG366" s="370"/>
      <c r="UH366" s="365"/>
      <c r="UI366" s="370"/>
      <c r="UJ366" s="365"/>
      <c r="UK366" s="370"/>
      <c r="UL366" s="365"/>
      <c r="UM366" s="370"/>
      <c r="UN366" s="365"/>
      <c r="UO366" s="370"/>
      <c r="UP366" s="365"/>
      <c r="UQ366" s="370"/>
      <c r="UR366" s="365"/>
      <c r="US366" s="370"/>
      <c r="UT366" s="365"/>
      <c r="UU366" s="370"/>
      <c r="UV366" s="365"/>
      <c r="UW366" s="370"/>
      <c r="UX366" s="365"/>
      <c r="UY366" s="370"/>
      <c r="UZ366" s="365"/>
      <c r="VA366" s="370"/>
      <c r="VB366" s="365"/>
      <c r="VC366" s="370"/>
      <c r="VD366" s="365"/>
      <c r="VE366" s="370"/>
      <c r="VF366" s="365"/>
      <c r="VG366" s="370"/>
      <c r="VH366" s="365"/>
      <c r="VI366" s="370"/>
      <c r="VJ366" s="365"/>
      <c r="VK366" s="370"/>
      <c r="VL366" s="365"/>
      <c r="VM366" s="370"/>
      <c r="VN366" s="365"/>
      <c r="VO366" s="370"/>
      <c r="VP366" s="365"/>
      <c r="VQ366" s="370"/>
      <c r="VR366" s="365"/>
      <c r="VS366" s="370"/>
      <c r="VT366" s="365"/>
      <c r="VU366" s="370"/>
      <c r="VV366" s="365"/>
      <c r="VW366" s="370"/>
      <c r="VX366" s="365"/>
      <c r="VY366" s="370"/>
      <c r="VZ366" s="365"/>
      <c r="WA366" s="370"/>
      <c r="WB366" s="365"/>
      <c r="WC366" s="370"/>
      <c r="WD366" s="365"/>
      <c r="WE366" s="370"/>
      <c r="WF366" s="365"/>
      <c r="WG366" s="370"/>
      <c r="WH366" s="365"/>
      <c r="WI366" s="370"/>
      <c r="WJ366" s="365"/>
      <c r="WK366" s="370"/>
      <c r="WL366" s="365"/>
      <c r="WM366" s="370"/>
      <c r="WN366" s="365"/>
      <c r="WO366" s="370"/>
      <c r="WP366" s="365"/>
      <c r="WQ366" s="370"/>
      <c r="WR366" s="365"/>
      <c r="WS366" s="370"/>
      <c r="WT366" s="365"/>
      <c r="WU366" s="370"/>
      <c r="WV366" s="365"/>
      <c r="WW366" s="370"/>
      <c r="WX366" s="365"/>
      <c r="WY366" s="370"/>
      <c r="WZ366" s="365"/>
      <c r="XA366" s="370"/>
      <c r="XB366" s="365"/>
      <c r="XC366" s="370"/>
      <c r="XD366" s="365"/>
      <c r="XE366" s="370"/>
      <c r="XF366" s="365"/>
      <c r="XG366" s="370"/>
      <c r="XH366" s="365"/>
      <c r="XI366" s="370"/>
      <c r="XJ366" s="365"/>
      <c r="XK366" s="370"/>
      <c r="XL366" s="365"/>
      <c r="XM366" s="370"/>
      <c r="XN366" s="365"/>
      <c r="XO366" s="370"/>
      <c r="XP366" s="365"/>
      <c r="XQ366" s="370"/>
      <c r="XR366" s="365"/>
      <c r="XS366" s="370"/>
      <c r="XT366" s="365"/>
      <c r="XU366" s="370"/>
      <c r="XV366" s="365"/>
      <c r="XW366" s="370"/>
      <c r="XX366" s="365"/>
      <c r="XY366" s="370"/>
      <c r="XZ366" s="365"/>
      <c r="YA366" s="370"/>
      <c r="YB366" s="365"/>
      <c r="YC366" s="370"/>
      <c r="YD366" s="365"/>
      <c r="YE366" s="370"/>
      <c r="YF366" s="365"/>
      <c r="YG366" s="370"/>
      <c r="YH366" s="365"/>
      <c r="YI366" s="370"/>
      <c r="YJ366" s="365"/>
      <c r="YK366" s="370"/>
      <c r="YL366" s="365"/>
      <c r="YM366" s="370"/>
      <c r="YN366" s="365"/>
      <c r="YO366" s="370"/>
      <c r="YP366" s="365"/>
      <c r="YQ366" s="370"/>
      <c r="YR366" s="365"/>
      <c r="YS366" s="370"/>
      <c r="YT366" s="365"/>
      <c r="YU366" s="370"/>
      <c r="YV366" s="365"/>
      <c r="YW366" s="370"/>
      <c r="YX366" s="365"/>
      <c r="YY366" s="370"/>
      <c r="YZ366" s="365"/>
      <c r="ZA366" s="370"/>
      <c r="ZB366" s="365"/>
      <c r="ZC366" s="370"/>
      <c r="ZD366" s="365"/>
      <c r="ZE366" s="370"/>
      <c r="ZF366" s="365"/>
      <c r="ZG366" s="370"/>
      <c r="ZH366" s="365"/>
      <c r="ZI366" s="370"/>
      <c r="ZJ366" s="365"/>
      <c r="ZK366" s="370"/>
      <c r="ZL366" s="365"/>
      <c r="ZM366" s="370"/>
      <c r="ZN366" s="365"/>
      <c r="ZO366" s="370"/>
      <c r="ZP366" s="365"/>
      <c r="ZQ366" s="370"/>
      <c r="ZR366" s="365"/>
      <c r="ZS366" s="370"/>
      <c r="ZT366" s="365"/>
      <c r="ZU366" s="370"/>
      <c r="ZV366" s="365"/>
      <c r="ZW366" s="370"/>
      <c r="ZX366" s="365"/>
      <c r="ZY366" s="370"/>
      <c r="ZZ366" s="365"/>
      <c r="AAA366" s="370"/>
      <c r="AAB366" s="365"/>
      <c r="AAC366" s="370"/>
      <c r="AAD366" s="365"/>
      <c r="AAE366" s="370"/>
      <c r="AAF366" s="365"/>
      <c r="AAG366" s="370"/>
      <c r="AAH366" s="365"/>
      <c r="AAI366" s="370"/>
      <c r="AAJ366" s="365"/>
      <c r="AAK366" s="370"/>
      <c r="AAL366" s="365"/>
      <c r="AAM366" s="370"/>
      <c r="AAN366" s="365"/>
      <c r="AAO366" s="370"/>
      <c r="AAP366" s="365"/>
      <c r="AAQ366" s="370"/>
      <c r="AAR366" s="365"/>
      <c r="AAS366" s="370"/>
      <c r="AAT366" s="365"/>
      <c r="AAU366" s="370"/>
      <c r="AAV366" s="365"/>
      <c r="AAW366" s="370"/>
      <c r="AAX366" s="365"/>
      <c r="AAY366" s="370"/>
      <c r="AAZ366" s="365"/>
      <c r="ABA366" s="370"/>
      <c r="ABB366" s="365"/>
      <c r="ABC366" s="370"/>
      <c r="ABD366" s="365"/>
      <c r="ABE366" s="370"/>
      <c r="ABF366" s="365"/>
      <c r="ABG366" s="370"/>
      <c r="ABH366" s="365"/>
      <c r="ABI366" s="370"/>
      <c r="ABJ366" s="365"/>
      <c r="ABK366" s="370"/>
      <c r="ABL366" s="365"/>
      <c r="ABM366" s="370"/>
      <c r="ABN366" s="365"/>
      <c r="ABO366" s="370"/>
      <c r="ABP366" s="365"/>
      <c r="ABQ366" s="370"/>
      <c r="ABR366" s="365"/>
      <c r="ABS366" s="370"/>
      <c r="ABT366" s="365"/>
      <c r="ABU366" s="370"/>
      <c r="ABV366" s="365"/>
      <c r="ABW366" s="370"/>
      <c r="ABX366" s="365"/>
      <c r="ABY366" s="370"/>
      <c r="ABZ366" s="365"/>
      <c r="ACA366" s="370"/>
      <c r="ACB366" s="365"/>
      <c r="ACC366" s="370"/>
      <c r="ACD366" s="365"/>
      <c r="ACE366" s="370"/>
      <c r="ACF366" s="365"/>
      <c r="ACG366" s="370"/>
      <c r="ACH366" s="365"/>
      <c r="ACI366" s="370"/>
      <c r="ACJ366" s="365"/>
      <c r="ACK366" s="370"/>
      <c r="ACL366" s="365"/>
      <c r="ACM366" s="370"/>
      <c r="ACN366" s="365"/>
      <c r="ACO366" s="370"/>
      <c r="ACP366" s="365"/>
      <c r="ACQ366" s="370"/>
      <c r="ACR366" s="365"/>
      <c r="ACS366" s="370"/>
      <c r="ACT366" s="365"/>
      <c r="ACU366" s="370"/>
      <c r="ACV366" s="365"/>
      <c r="ACW366" s="370"/>
      <c r="ACX366" s="365"/>
      <c r="ACY366" s="370"/>
      <c r="ACZ366" s="365"/>
      <c r="ADA366" s="370"/>
      <c r="ADB366" s="365"/>
      <c r="ADC366" s="370"/>
      <c r="ADD366" s="365"/>
      <c r="ADE366" s="370"/>
      <c r="ADF366" s="365"/>
      <c r="ADG366" s="370"/>
      <c r="ADH366" s="365"/>
      <c r="ADI366" s="370"/>
      <c r="ADJ366" s="365"/>
      <c r="ADK366" s="370"/>
      <c r="ADL366" s="365"/>
      <c r="ADM366" s="370"/>
      <c r="ADN366" s="365"/>
      <c r="ADO366" s="370"/>
      <c r="ADP366" s="365"/>
      <c r="ADQ366" s="370"/>
      <c r="ADR366" s="365"/>
      <c r="ADS366" s="370"/>
      <c r="ADT366" s="365"/>
      <c r="ADU366" s="370"/>
      <c r="ADV366" s="365"/>
      <c r="ADW366" s="370"/>
      <c r="ADX366" s="365"/>
      <c r="ADY366" s="370"/>
      <c r="ADZ366" s="365"/>
      <c r="AEA366" s="370"/>
      <c r="AEB366" s="365"/>
      <c r="AEC366" s="370"/>
      <c r="AED366" s="365"/>
      <c r="AEE366" s="370"/>
      <c r="AEF366" s="365"/>
      <c r="AEG366" s="370"/>
      <c r="AEH366" s="365"/>
      <c r="AEI366" s="370"/>
      <c r="AEJ366" s="365"/>
      <c r="AEK366" s="370"/>
      <c r="AEL366" s="365"/>
      <c r="AEM366" s="370"/>
      <c r="AEN366" s="365"/>
      <c r="AEO366" s="370"/>
      <c r="AEP366" s="365"/>
      <c r="AEQ366" s="370"/>
      <c r="AER366" s="365"/>
      <c r="AES366" s="370"/>
      <c r="AET366" s="365"/>
      <c r="AEU366" s="370"/>
      <c r="AEV366" s="365"/>
      <c r="AEW366" s="370"/>
      <c r="AEX366" s="365"/>
      <c r="AEY366" s="370"/>
      <c r="AEZ366" s="365"/>
      <c r="AFA366" s="370"/>
      <c r="AFB366" s="365"/>
      <c r="AFC366" s="370"/>
      <c r="AFD366" s="365"/>
      <c r="AFE366" s="370"/>
      <c r="AFF366" s="365"/>
      <c r="AFG366" s="370"/>
      <c r="AFH366" s="365"/>
      <c r="AFI366" s="370"/>
      <c r="AFJ366" s="365"/>
      <c r="AFK366" s="370"/>
      <c r="AFL366" s="365"/>
      <c r="AFM366" s="370"/>
      <c r="AFN366" s="365"/>
      <c r="AFO366" s="370"/>
      <c r="AFP366" s="365"/>
      <c r="AFQ366" s="370"/>
      <c r="AFR366" s="365"/>
      <c r="AFS366" s="370"/>
      <c r="AFT366" s="365"/>
      <c r="AFU366" s="370"/>
      <c r="AFV366" s="365"/>
      <c r="AFW366" s="370"/>
      <c r="AFX366" s="365"/>
      <c r="AFY366" s="370"/>
      <c r="AFZ366" s="365"/>
      <c r="AGA366" s="370"/>
      <c r="AGB366" s="365"/>
      <c r="AGC366" s="370"/>
      <c r="AGD366" s="365"/>
      <c r="AGE366" s="370"/>
      <c r="AGF366" s="365"/>
      <c r="AGG366" s="370"/>
      <c r="AGH366" s="365"/>
      <c r="AGI366" s="370"/>
      <c r="AGJ366" s="365"/>
      <c r="AGK366" s="370"/>
      <c r="AGL366" s="365"/>
      <c r="AGM366" s="370"/>
      <c r="AGN366" s="365"/>
      <c r="AGO366" s="370"/>
      <c r="AGP366" s="365"/>
      <c r="AGQ366" s="370"/>
      <c r="AGR366" s="365"/>
      <c r="AGS366" s="370"/>
      <c r="AGT366" s="365"/>
      <c r="AGU366" s="370"/>
      <c r="AGV366" s="365"/>
      <c r="AGW366" s="370"/>
      <c r="AGX366" s="365"/>
      <c r="AGY366" s="370"/>
      <c r="AGZ366" s="365"/>
      <c r="AHA366" s="370"/>
      <c r="AHB366" s="365"/>
      <c r="AHC366" s="370"/>
      <c r="AHD366" s="365"/>
      <c r="AHE366" s="370"/>
      <c r="AHF366" s="365"/>
      <c r="AHG366" s="370"/>
      <c r="AHH366" s="365"/>
      <c r="AHI366" s="370"/>
      <c r="AHJ366" s="365"/>
      <c r="AHK366" s="370"/>
      <c r="AHL366" s="365"/>
      <c r="AHM366" s="370"/>
      <c r="AHN366" s="365"/>
      <c r="AHO366" s="370"/>
      <c r="AHP366" s="365"/>
      <c r="AHQ366" s="370"/>
      <c r="AHR366" s="365"/>
      <c r="AHS366" s="370"/>
      <c r="AHT366" s="365"/>
      <c r="AHU366" s="370"/>
      <c r="AHV366" s="365"/>
      <c r="AHW366" s="370"/>
      <c r="AHX366" s="365"/>
      <c r="AHY366" s="370"/>
      <c r="AHZ366" s="365"/>
      <c r="AIA366" s="370"/>
      <c r="AIB366" s="365"/>
      <c r="AIC366" s="370"/>
      <c r="AID366" s="365"/>
      <c r="AIE366" s="370"/>
      <c r="AIF366" s="365"/>
      <c r="AIG366" s="370"/>
      <c r="AIH366" s="365"/>
      <c r="AII366" s="370"/>
      <c r="AIJ366" s="365"/>
      <c r="AIK366" s="370"/>
      <c r="AIL366" s="365"/>
      <c r="AIM366" s="370"/>
      <c r="AIN366" s="365"/>
      <c r="AIO366" s="370"/>
      <c r="AIP366" s="365"/>
      <c r="AIQ366" s="370"/>
      <c r="AIR366" s="365"/>
      <c r="AIS366" s="370"/>
      <c r="AIT366" s="365"/>
      <c r="AIU366" s="370"/>
      <c r="AIV366" s="365"/>
      <c r="AIW366" s="370"/>
      <c r="AIX366" s="365"/>
      <c r="AIY366" s="370"/>
      <c r="AIZ366" s="365"/>
      <c r="AJA366" s="370"/>
      <c r="AJB366" s="365"/>
      <c r="AJC366" s="370"/>
      <c r="AJD366" s="365"/>
      <c r="AJE366" s="370"/>
      <c r="AJF366" s="365"/>
      <c r="AJG366" s="370"/>
      <c r="AJH366" s="365"/>
      <c r="AJI366" s="370"/>
      <c r="AJJ366" s="365"/>
      <c r="AJK366" s="370"/>
      <c r="AJL366" s="365"/>
      <c r="AJM366" s="370"/>
      <c r="AJN366" s="365"/>
      <c r="AJO366" s="370"/>
      <c r="AJP366" s="365"/>
      <c r="AJQ366" s="370"/>
      <c r="AJR366" s="365"/>
      <c r="AJS366" s="370"/>
      <c r="AJT366" s="365"/>
      <c r="AJU366" s="370"/>
      <c r="AJV366" s="365"/>
      <c r="AJW366" s="370"/>
      <c r="AJX366" s="365"/>
      <c r="AJY366" s="370"/>
      <c r="AJZ366" s="365"/>
      <c r="AKA366" s="370"/>
      <c r="AKB366" s="365"/>
      <c r="AKC366" s="370"/>
      <c r="AKD366" s="365"/>
      <c r="AKE366" s="370"/>
      <c r="AKF366" s="365"/>
      <c r="AKG366" s="370"/>
      <c r="AKH366" s="365"/>
      <c r="AKI366" s="370"/>
      <c r="AKJ366" s="365"/>
      <c r="AKK366" s="370"/>
      <c r="AKL366" s="365"/>
      <c r="AKM366" s="370"/>
      <c r="AKN366" s="365"/>
      <c r="AKO366" s="370"/>
      <c r="AKP366" s="365"/>
      <c r="AKQ366" s="370"/>
      <c r="AKR366" s="365"/>
      <c r="AKS366" s="370"/>
      <c r="AKT366" s="365"/>
      <c r="AKU366" s="370"/>
      <c r="AKV366" s="365"/>
      <c r="AKW366" s="370"/>
      <c r="AKX366" s="365"/>
      <c r="AKY366" s="370"/>
      <c r="AKZ366" s="365"/>
      <c r="ALA366" s="370"/>
      <c r="ALB366" s="365"/>
      <c r="ALC366" s="370"/>
      <c r="ALD366" s="365"/>
      <c r="ALE366" s="370"/>
      <c r="ALF366" s="365"/>
      <c r="ALG366" s="370"/>
      <c r="ALH366" s="365"/>
      <c r="ALI366" s="370"/>
      <c r="ALJ366" s="365"/>
      <c r="ALK366" s="370"/>
      <c r="ALL366" s="365"/>
      <c r="ALM366" s="370"/>
      <c r="ALN366" s="365"/>
      <c r="ALO366" s="370"/>
      <c r="ALP366" s="365"/>
      <c r="ALQ366" s="370"/>
      <c r="ALR366" s="365"/>
      <c r="ALS366" s="370"/>
      <c r="ALT366" s="365"/>
      <c r="ALU366" s="370"/>
      <c r="ALV366" s="365"/>
      <c r="ALW366" s="370"/>
      <c r="ALX366" s="365"/>
      <c r="ALY366" s="370"/>
      <c r="ALZ366" s="365"/>
      <c r="AMA366" s="370"/>
      <c r="AMB366" s="365"/>
      <c r="AMC366" s="370"/>
      <c r="AMD366" s="365"/>
      <c r="AME366" s="370"/>
      <c r="AMF366" s="365"/>
      <c r="AMG366" s="370"/>
      <c r="AMH366" s="365"/>
      <c r="AMI366" s="370"/>
      <c r="AMJ366" s="365"/>
      <c r="AMK366" s="370"/>
      <c r="AML366" s="365"/>
      <c r="AMM366" s="370"/>
      <c r="AMN366" s="365"/>
      <c r="AMO366" s="370"/>
      <c r="AMP366" s="365"/>
      <c r="AMQ366" s="370"/>
      <c r="AMR366" s="365"/>
      <c r="AMS366" s="370"/>
      <c r="AMT366" s="365"/>
      <c r="AMU366" s="370"/>
      <c r="AMV366" s="365"/>
      <c r="AMW366" s="370"/>
      <c r="AMX366" s="365"/>
      <c r="AMY366" s="370"/>
      <c r="AMZ366" s="365"/>
      <c r="ANA366" s="370"/>
      <c r="ANB366" s="365"/>
      <c r="ANC366" s="370"/>
      <c r="AND366" s="365"/>
      <c r="ANE366" s="370"/>
      <c r="ANF366" s="365"/>
      <c r="ANG366" s="370"/>
      <c r="ANH366" s="365"/>
      <c r="ANI366" s="370"/>
      <c r="ANJ366" s="365"/>
      <c r="ANK366" s="370"/>
      <c r="ANL366" s="365"/>
      <c r="ANM366" s="370"/>
      <c r="ANN366" s="365"/>
      <c r="ANO366" s="370"/>
      <c r="ANP366" s="365"/>
      <c r="ANQ366" s="370"/>
      <c r="ANR366" s="365"/>
      <c r="ANS366" s="370"/>
      <c r="ANT366" s="365"/>
      <c r="ANU366" s="370"/>
      <c r="ANV366" s="365"/>
      <c r="ANW366" s="370"/>
      <c r="ANX366" s="365"/>
      <c r="ANY366" s="370"/>
      <c r="ANZ366" s="365"/>
      <c r="AOA366" s="370"/>
      <c r="AOB366" s="365"/>
      <c r="AOC366" s="370"/>
      <c r="AOD366" s="365"/>
      <c r="AOE366" s="370"/>
      <c r="AOF366" s="365"/>
      <c r="AOG366" s="370"/>
      <c r="AOH366" s="365"/>
      <c r="AOI366" s="370"/>
      <c r="AOJ366" s="365"/>
      <c r="AOK366" s="370"/>
      <c r="AOL366" s="365"/>
      <c r="AOM366" s="370"/>
      <c r="AON366" s="365"/>
      <c r="AOO366" s="370"/>
      <c r="AOP366" s="365"/>
      <c r="AOQ366" s="370"/>
      <c r="AOR366" s="365"/>
      <c r="AOS366" s="370"/>
      <c r="AOT366" s="365"/>
      <c r="AOU366" s="370"/>
      <c r="AOV366" s="365"/>
      <c r="AOW366" s="370"/>
      <c r="AOX366" s="365"/>
      <c r="AOY366" s="370"/>
      <c r="AOZ366" s="365"/>
      <c r="APA366" s="370"/>
      <c r="APB366" s="365"/>
      <c r="APC366" s="370"/>
      <c r="APD366" s="365"/>
      <c r="APE366" s="370"/>
      <c r="APF366" s="365"/>
      <c r="APG366" s="370"/>
      <c r="APH366" s="365"/>
      <c r="API366" s="370"/>
      <c r="APJ366" s="365"/>
      <c r="APK366" s="370"/>
      <c r="APL366" s="365"/>
      <c r="APM366" s="370"/>
      <c r="APN366" s="365"/>
      <c r="APO366" s="370"/>
      <c r="APP366" s="365"/>
      <c r="APQ366" s="370"/>
      <c r="APR366" s="365"/>
      <c r="APS366" s="370"/>
      <c r="APT366" s="365"/>
      <c r="APU366" s="370"/>
      <c r="APV366" s="365"/>
      <c r="APW366" s="370"/>
      <c r="APX366" s="365"/>
      <c r="APY366" s="370"/>
      <c r="APZ366" s="365"/>
      <c r="AQA366" s="370"/>
      <c r="AQB366" s="365"/>
      <c r="AQC366" s="370"/>
      <c r="AQD366" s="365"/>
      <c r="AQE366" s="370"/>
      <c r="AQF366" s="365"/>
      <c r="AQG366" s="370"/>
      <c r="AQH366" s="365"/>
      <c r="AQI366" s="370"/>
      <c r="AQJ366" s="365"/>
      <c r="AQK366" s="370"/>
      <c r="AQL366" s="365"/>
      <c r="AQM366" s="370"/>
      <c r="AQN366" s="365"/>
      <c r="AQO366" s="370"/>
      <c r="AQP366" s="365"/>
      <c r="AQQ366" s="370"/>
      <c r="AQR366" s="365"/>
      <c r="AQS366" s="370"/>
      <c r="AQT366" s="365"/>
      <c r="AQU366" s="370"/>
      <c r="AQV366" s="365"/>
      <c r="AQW366" s="370"/>
      <c r="AQX366" s="365"/>
      <c r="AQY366" s="370"/>
      <c r="AQZ366" s="365"/>
      <c r="ARA366" s="370"/>
      <c r="ARB366" s="365"/>
      <c r="ARC366" s="370"/>
      <c r="ARD366" s="365"/>
      <c r="ARE366" s="370"/>
      <c r="ARF366" s="365"/>
      <c r="ARG366" s="370"/>
      <c r="ARH366" s="365"/>
      <c r="ARI366" s="370"/>
      <c r="ARJ366" s="365"/>
      <c r="ARK366" s="370"/>
      <c r="ARL366" s="365"/>
      <c r="ARM366" s="370"/>
      <c r="ARN366" s="365"/>
      <c r="ARO366" s="370"/>
      <c r="ARP366" s="365"/>
      <c r="ARQ366" s="370"/>
      <c r="ARR366" s="365"/>
      <c r="ARS366" s="370"/>
      <c r="ART366" s="365"/>
      <c r="ARU366" s="370"/>
      <c r="ARV366" s="365"/>
      <c r="ARW366" s="370"/>
      <c r="ARX366" s="365"/>
      <c r="ARY366" s="370"/>
      <c r="ARZ366" s="365"/>
      <c r="ASA366" s="370"/>
      <c r="ASB366" s="365"/>
      <c r="ASC366" s="370"/>
      <c r="ASD366" s="365"/>
      <c r="ASE366" s="370"/>
      <c r="ASF366" s="365"/>
      <c r="ASG366" s="370"/>
      <c r="ASH366" s="365"/>
      <c r="ASI366" s="370"/>
      <c r="ASJ366" s="365"/>
      <c r="ASK366" s="370"/>
      <c r="ASL366" s="365"/>
      <c r="ASM366" s="370"/>
      <c r="ASN366" s="365"/>
      <c r="ASO366" s="370"/>
      <c r="ASP366" s="365"/>
      <c r="ASQ366" s="370"/>
      <c r="ASR366" s="365"/>
      <c r="ASS366" s="370"/>
      <c r="AST366" s="365"/>
      <c r="ASU366" s="370"/>
      <c r="ASV366" s="365"/>
      <c r="ASW366" s="370"/>
      <c r="ASX366" s="365"/>
      <c r="ASY366" s="370"/>
      <c r="ASZ366" s="365"/>
      <c r="ATA366" s="370"/>
      <c r="ATB366" s="365"/>
      <c r="ATC366" s="370"/>
      <c r="ATD366" s="365"/>
      <c r="ATE366" s="370"/>
      <c r="ATF366" s="365"/>
      <c r="ATG366" s="370"/>
      <c r="ATH366" s="365"/>
      <c r="ATI366" s="370"/>
      <c r="ATJ366" s="365"/>
      <c r="ATK366" s="370"/>
      <c r="ATL366" s="365"/>
      <c r="ATM366" s="370"/>
      <c r="ATN366" s="365"/>
      <c r="ATO366" s="370"/>
      <c r="ATP366" s="365"/>
      <c r="ATQ366" s="370"/>
      <c r="ATR366" s="365"/>
      <c r="ATS366" s="370"/>
      <c r="ATT366" s="365"/>
      <c r="ATU366" s="370"/>
      <c r="ATV366" s="365"/>
      <c r="ATW366" s="370"/>
      <c r="ATX366" s="365"/>
      <c r="ATY366" s="370"/>
      <c r="ATZ366" s="365"/>
      <c r="AUA366" s="370"/>
      <c r="AUB366" s="365"/>
      <c r="AUC366" s="370"/>
      <c r="AUD366" s="365"/>
      <c r="AUE366" s="370"/>
      <c r="AUF366" s="365"/>
      <c r="AUG366" s="370"/>
      <c r="AUH366" s="365"/>
      <c r="AUI366" s="370"/>
      <c r="AUJ366" s="365"/>
      <c r="AUK366" s="370"/>
      <c r="AUL366" s="365"/>
      <c r="AUM366" s="370"/>
      <c r="AUN366" s="365"/>
      <c r="AUO366" s="370"/>
      <c r="AUP366" s="365"/>
      <c r="AUQ366" s="370"/>
      <c r="AUR366" s="365"/>
      <c r="AUS366" s="370"/>
      <c r="AUT366" s="365"/>
      <c r="AUU366" s="370"/>
      <c r="AUV366" s="365"/>
      <c r="AUW366" s="370"/>
      <c r="AUX366" s="365"/>
      <c r="AUY366" s="370"/>
      <c r="AUZ366" s="365"/>
      <c r="AVA366" s="370"/>
      <c r="AVB366" s="365"/>
      <c r="AVC366" s="370"/>
      <c r="AVD366" s="365"/>
      <c r="AVE366" s="370"/>
      <c r="AVF366" s="365"/>
      <c r="AVG366" s="370"/>
      <c r="AVH366" s="365"/>
      <c r="AVI366" s="370"/>
      <c r="AVJ366" s="365"/>
      <c r="AVK366" s="370"/>
      <c r="AVL366" s="365"/>
      <c r="AVM366" s="370"/>
      <c r="AVN366" s="365"/>
      <c r="AVO366" s="370"/>
      <c r="AVP366" s="365"/>
      <c r="AVQ366" s="370"/>
      <c r="AVR366" s="365"/>
      <c r="AVS366" s="370"/>
      <c r="AVT366" s="365"/>
      <c r="AVU366" s="370"/>
      <c r="AVV366" s="365"/>
      <c r="AVW366" s="370"/>
      <c r="AVX366" s="365"/>
      <c r="AVY366" s="370"/>
      <c r="AVZ366" s="365"/>
      <c r="AWA366" s="370"/>
      <c r="AWB366" s="365"/>
      <c r="AWC366" s="370"/>
      <c r="AWD366" s="365"/>
      <c r="AWE366" s="370"/>
      <c r="AWF366" s="365"/>
      <c r="AWG366" s="370"/>
      <c r="AWH366" s="365"/>
      <c r="AWI366" s="370"/>
      <c r="AWJ366" s="365"/>
      <c r="AWK366" s="370"/>
      <c r="AWL366" s="365"/>
      <c r="AWM366" s="370"/>
      <c r="AWN366" s="365"/>
      <c r="AWO366" s="370"/>
      <c r="AWP366" s="365"/>
      <c r="AWQ366" s="370"/>
      <c r="AWR366" s="365"/>
      <c r="AWS366" s="370"/>
      <c r="AWT366" s="365"/>
      <c r="AWU366" s="370"/>
      <c r="AWV366" s="365"/>
      <c r="AWW366" s="370"/>
      <c r="AWX366" s="365"/>
      <c r="AWY366" s="370"/>
      <c r="AWZ366" s="365"/>
      <c r="AXA366" s="370"/>
      <c r="AXB366" s="365"/>
      <c r="AXC366" s="370"/>
      <c r="AXD366" s="365"/>
      <c r="AXE366" s="370"/>
      <c r="AXF366" s="365"/>
      <c r="AXG366" s="370"/>
      <c r="AXH366" s="365"/>
      <c r="AXI366" s="370"/>
      <c r="AXJ366" s="365"/>
      <c r="AXK366" s="370"/>
      <c r="AXL366" s="365"/>
      <c r="AXM366" s="370"/>
      <c r="AXN366" s="365"/>
      <c r="AXO366" s="370"/>
      <c r="AXP366" s="365"/>
      <c r="AXQ366" s="370"/>
      <c r="AXR366" s="365"/>
      <c r="AXS366" s="370"/>
      <c r="AXT366" s="365"/>
      <c r="AXU366" s="370"/>
      <c r="AXV366" s="365"/>
      <c r="AXW366" s="370"/>
      <c r="AXX366" s="365"/>
      <c r="AXY366" s="370"/>
      <c r="AXZ366" s="365"/>
      <c r="AYA366" s="370"/>
      <c r="AYB366" s="365"/>
      <c r="AYC366" s="370"/>
      <c r="AYD366" s="365"/>
      <c r="AYE366" s="370"/>
      <c r="AYF366" s="365"/>
      <c r="AYG366" s="370"/>
      <c r="AYH366" s="365"/>
      <c r="AYI366" s="370"/>
      <c r="AYJ366" s="365"/>
      <c r="AYK366" s="370"/>
      <c r="AYL366" s="365"/>
      <c r="AYM366" s="370"/>
      <c r="AYN366" s="365"/>
      <c r="AYO366" s="370"/>
      <c r="AYP366" s="365"/>
      <c r="AYQ366" s="370"/>
      <c r="AYR366" s="365"/>
      <c r="AYS366" s="370"/>
      <c r="AYT366" s="365"/>
      <c r="AYU366" s="370"/>
      <c r="AYV366" s="365"/>
      <c r="AYW366" s="370"/>
      <c r="AYX366" s="365"/>
      <c r="AYY366" s="370"/>
      <c r="AYZ366" s="365"/>
      <c r="AZA366" s="370"/>
      <c r="AZB366" s="365"/>
      <c r="AZC366" s="370"/>
      <c r="AZD366" s="365"/>
      <c r="AZE366" s="370"/>
      <c r="AZF366" s="365"/>
      <c r="AZG366" s="370"/>
      <c r="AZH366" s="365"/>
      <c r="AZI366" s="370"/>
      <c r="AZJ366" s="365"/>
      <c r="AZK366" s="370"/>
      <c r="AZL366" s="365"/>
      <c r="AZM366" s="370"/>
      <c r="AZN366" s="365"/>
      <c r="AZO366" s="370"/>
      <c r="AZP366" s="365"/>
      <c r="AZQ366" s="370"/>
      <c r="AZR366" s="365"/>
      <c r="AZS366" s="370"/>
      <c r="AZT366" s="365"/>
      <c r="AZU366" s="370"/>
      <c r="AZV366" s="365"/>
      <c r="AZW366" s="370"/>
      <c r="AZX366" s="365"/>
      <c r="AZY366" s="370"/>
      <c r="AZZ366" s="365"/>
      <c r="BAA366" s="370"/>
      <c r="BAB366" s="365"/>
      <c r="BAC366" s="370"/>
      <c r="BAD366" s="365"/>
      <c r="BAE366" s="370"/>
      <c r="BAF366" s="365"/>
      <c r="BAG366" s="370"/>
      <c r="BAH366" s="365"/>
      <c r="BAI366" s="370"/>
      <c r="BAJ366" s="365"/>
      <c r="BAK366" s="370"/>
      <c r="BAL366" s="365"/>
      <c r="BAM366" s="370"/>
      <c r="BAN366" s="365"/>
      <c r="BAO366" s="370"/>
      <c r="BAP366" s="365"/>
      <c r="BAQ366" s="370"/>
      <c r="BAR366" s="365"/>
      <c r="BAS366" s="370"/>
      <c r="BAT366" s="365"/>
      <c r="BAU366" s="370"/>
      <c r="BAV366" s="365"/>
      <c r="BAW366" s="370"/>
      <c r="BAX366" s="365"/>
      <c r="BAY366" s="370"/>
      <c r="BAZ366" s="365"/>
      <c r="BBA366" s="370"/>
      <c r="BBB366" s="365"/>
      <c r="BBC366" s="370"/>
      <c r="BBD366" s="365"/>
      <c r="BBE366" s="370"/>
      <c r="BBF366" s="365"/>
      <c r="BBG366" s="370"/>
      <c r="BBH366" s="365"/>
      <c r="BBI366" s="370"/>
      <c r="BBJ366" s="365"/>
      <c r="BBK366" s="370"/>
      <c r="BBL366" s="365"/>
      <c r="BBM366" s="370"/>
      <c r="BBN366" s="365"/>
      <c r="BBO366" s="370"/>
      <c r="BBP366" s="365"/>
      <c r="BBQ366" s="370"/>
      <c r="BBR366" s="365"/>
      <c r="BBS366" s="370"/>
      <c r="BBT366" s="365"/>
      <c r="BBU366" s="370"/>
      <c r="BBV366" s="365"/>
      <c r="BBW366" s="370"/>
      <c r="BBX366" s="365"/>
      <c r="BBY366" s="370"/>
      <c r="BBZ366" s="365"/>
      <c r="BCA366" s="370"/>
      <c r="BCB366" s="365"/>
      <c r="BCC366" s="370"/>
      <c r="BCD366" s="365"/>
      <c r="BCE366" s="370"/>
      <c r="BCF366" s="365"/>
      <c r="BCG366" s="370"/>
      <c r="BCH366" s="365"/>
      <c r="BCI366" s="370"/>
      <c r="BCJ366" s="365"/>
      <c r="BCK366" s="370"/>
      <c r="BCL366" s="365"/>
      <c r="BCM366" s="370"/>
      <c r="BCN366" s="365"/>
      <c r="BCO366" s="370"/>
      <c r="BCP366" s="365"/>
      <c r="BCQ366" s="370"/>
      <c r="BCR366" s="365"/>
      <c r="BCS366" s="370"/>
      <c r="BCT366" s="365"/>
      <c r="BCU366" s="370"/>
      <c r="BCV366" s="365"/>
      <c r="BCW366" s="370"/>
      <c r="BCX366" s="365"/>
      <c r="BCY366" s="370"/>
      <c r="BCZ366" s="365"/>
      <c r="BDA366" s="370"/>
      <c r="BDB366" s="365"/>
      <c r="BDC366" s="370"/>
      <c r="BDD366" s="365"/>
      <c r="BDE366" s="370"/>
      <c r="BDF366" s="365"/>
      <c r="BDG366" s="370"/>
      <c r="BDH366" s="365"/>
      <c r="BDI366" s="370"/>
      <c r="BDJ366" s="365"/>
      <c r="BDK366" s="370"/>
      <c r="BDL366" s="365"/>
      <c r="BDM366" s="370"/>
      <c r="BDN366" s="365"/>
      <c r="BDO366" s="370"/>
      <c r="BDP366" s="365"/>
      <c r="BDQ366" s="370"/>
      <c r="BDR366" s="365"/>
      <c r="BDS366" s="370"/>
      <c r="BDT366" s="365"/>
      <c r="BDU366" s="370"/>
      <c r="BDV366" s="365"/>
      <c r="BDW366" s="370"/>
      <c r="BDX366" s="365"/>
      <c r="BDY366" s="370"/>
      <c r="BDZ366" s="365"/>
      <c r="BEA366" s="370"/>
      <c r="BEB366" s="365"/>
      <c r="BEC366" s="370"/>
      <c r="BED366" s="365"/>
      <c r="BEE366" s="370"/>
      <c r="BEF366" s="365"/>
      <c r="BEG366" s="370"/>
      <c r="BEH366" s="365"/>
      <c r="BEI366" s="370"/>
      <c r="BEJ366" s="365"/>
      <c r="BEK366" s="370"/>
      <c r="BEL366" s="365"/>
      <c r="BEM366" s="370"/>
      <c r="BEN366" s="365"/>
      <c r="BEO366" s="370"/>
      <c r="BEP366" s="365"/>
      <c r="BEQ366" s="370"/>
      <c r="BER366" s="365"/>
      <c r="BES366" s="370"/>
      <c r="BET366" s="365"/>
      <c r="BEU366" s="370"/>
      <c r="BEV366" s="365"/>
      <c r="BEW366" s="370"/>
      <c r="BEX366" s="365"/>
      <c r="BEY366" s="370"/>
      <c r="BEZ366" s="365"/>
      <c r="BFA366" s="370"/>
      <c r="BFB366" s="365"/>
      <c r="BFC366" s="370"/>
      <c r="BFD366" s="365"/>
      <c r="BFE366" s="370"/>
      <c r="BFF366" s="365"/>
      <c r="BFG366" s="370"/>
      <c r="BFH366" s="365"/>
      <c r="BFI366" s="370"/>
      <c r="BFJ366" s="365"/>
      <c r="BFK366" s="370"/>
      <c r="BFL366" s="365"/>
      <c r="BFM366" s="370"/>
      <c r="BFN366" s="365"/>
      <c r="BFO366" s="370"/>
      <c r="BFP366" s="365"/>
      <c r="BFQ366" s="370"/>
      <c r="BFR366" s="365"/>
      <c r="BFS366" s="370"/>
      <c r="BFT366" s="365"/>
      <c r="BFU366" s="370"/>
      <c r="BFV366" s="365"/>
      <c r="BFW366" s="370"/>
      <c r="BFX366" s="365"/>
      <c r="BFY366" s="370"/>
      <c r="BFZ366" s="365"/>
      <c r="BGA366" s="370"/>
      <c r="BGB366" s="365"/>
      <c r="BGC366" s="370"/>
      <c r="BGD366" s="365"/>
      <c r="BGE366" s="370"/>
      <c r="BGF366" s="365"/>
      <c r="BGG366" s="370"/>
      <c r="BGH366" s="365"/>
      <c r="BGI366" s="370"/>
      <c r="BGJ366" s="365"/>
      <c r="BGK366" s="370"/>
      <c r="BGL366" s="365"/>
      <c r="BGM366" s="370"/>
      <c r="BGN366" s="365"/>
      <c r="BGO366" s="370"/>
      <c r="BGP366" s="365"/>
      <c r="BGQ366" s="370"/>
      <c r="BGR366" s="365"/>
      <c r="BGS366" s="370"/>
      <c r="BGT366" s="365"/>
      <c r="BGU366" s="370"/>
      <c r="BGV366" s="365"/>
      <c r="BGW366" s="370"/>
      <c r="BGX366" s="365"/>
      <c r="BGY366" s="370"/>
      <c r="BGZ366" s="365"/>
      <c r="BHA366" s="370"/>
      <c r="BHB366" s="365"/>
      <c r="BHC366" s="370"/>
      <c r="BHD366" s="365"/>
      <c r="BHE366" s="370"/>
      <c r="BHF366" s="365"/>
      <c r="BHG366" s="370"/>
      <c r="BHH366" s="365"/>
      <c r="BHI366" s="370"/>
      <c r="BHJ366" s="365"/>
      <c r="BHK366" s="370"/>
      <c r="BHL366" s="365"/>
      <c r="BHM366" s="370"/>
      <c r="BHN366" s="365"/>
      <c r="BHO366" s="370"/>
      <c r="BHP366" s="365"/>
      <c r="BHQ366" s="370"/>
      <c r="BHR366" s="365"/>
      <c r="BHS366" s="370"/>
      <c r="BHT366" s="365"/>
      <c r="BHU366" s="370"/>
      <c r="BHV366" s="365"/>
      <c r="BHW366" s="370"/>
      <c r="BHX366" s="365"/>
      <c r="BHY366" s="370"/>
      <c r="BHZ366" s="365"/>
      <c r="BIA366" s="370"/>
      <c r="BIB366" s="365"/>
      <c r="BIC366" s="370"/>
      <c r="BID366" s="365"/>
      <c r="BIE366" s="370"/>
      <c r="BIF366" s="365"/>
      <c r="BIG366" s="370"/>
      <c r="BIH366" s="365"/>
      <c r="BII366" s="370"/>
      <c r="BIJ366" s="365"/>
      <c r="BIK366" s="370"/>
      <c r="BIL366" s="365"/>
      <c r="BIM366" s="370"/>
      <c r="BIN366" s="365"/>
      <c r="BIO366" s="370"/>
      <c r="BIP366" s="365"/>
      <c r="BIQ366" s="370"/>
      <c r="BIR366" s="365"/>
      <c r="BIS366" s="370"/>
      <c r="BIT366" s="365"/>
      <c r="BIU366" s="370"/>
      <c r="BIV366" s="365"/>
      <c r="BIW366" s="370"/>
      <c r="BIX366" s="365"/>
      <c r="BIY366" s="370"/>
      <c r="BIZ366" s="365"/>
      <c r="BJA366" s="370"/>
      <c r="BJB366" s="365"/>
      <c r="BJC366" s="370"/>
      <c r="BJD366" s="365"/>
      <c r="BJE366" s="370"/>
      <c r="BJF366" s="365"/>
      <c r="BJG366" s="370"/>
      <c r="BJH366" s="365"/>
      <c r="BJI366" s="370"/>
      <c r="BJJ366" s="365"/>
      <c r="BJK366" s="370"/>
      <c r="BJL366" s="365"/>
      <c r="BJM366" s="370"/>
      <c r="BJN366" s="365"/>
      <c r="BJO366" s="370"/>
      <c r="BJP366" s="365"/>
      <c r="BJQ366" s="370"/>
      <c r="BJR366" s="365"/>
      <c r="BJS366" s="370"/>
      <c r="BJT366" s="365"/>
      <c r="BJU366" s="370"/>
      <c r="BJV366" s="365"/>
      <c r="BJW366" s="370"/>
      <c r="BJX366" s="365"/>
      <c r="BJY366" s="370"/>
      <c r="BJZ366" s="365"/>
      <c r="BKA366" s="370"/>
      <c r="BKB366" s="365"/>
      <c r="BKC366" s="370"/>
      <c r="BKD366" s="365"/>
      <c r="BKE366" s="370"/>
      <c r="BKF366" s="365"/>
      <c r="BKG366" s="370"/>
      <c r="BKH366" s="365"/>
      <c r="BKI366" s="370"/>
      <c r="BKJ366" s="365"/>
      <c r="BKK366" s="370"/>
      <c r="BKL366" s="365"/>
      <c r="BKM366" s="370"/>
      <c r="BKN366" s="365"/>
      <c r="BKO366" s="370"/>
      <c r="BKP366" s="365"/>
      <c r="BKQ366" s="370"/>
      <c r="BKR366" s="365"/>
      <c r="BKS366" s="370"/>
      <c r="BKT366" s="365"/>
      <c r="BKU366" s="370"/>
      <c r="BKV366" s="365"/>
      <c r="BKW366" s="370"/>
      <c r="BKX366" s="365"/>
      <c r="BKY366" s="370"/>
      <c r="BKZ366" s="365"/>
      <c r="BLA366" s="370"/>
      <c r="BLB366" s="365"/>
      <c r="BLC366" s="370"/>
      <c r="BLD366" s="365"/>
      <c r="BLE366" s="370"/>
      <c r="BLF366" s="365"/>
      <c r="BLG366" s="370"/>
      <c r="BLH366" s="365"/>
      <c r="BLI366" s="370"/>
      <c r="BLJ366" s="365"/>
      <c r="BLK366" s="370"/>
      <c r="BLL366" s="365"/>
      <c r="BLM366" s="370"/>
      <c r="BLN366" s="365"/>
      <c r="BLO366" s="370"/>
      <c r="BLP366" s="365"/>
      <c r="BLQ366" s="370"/>
      <c r="BLR366" s="365"/>
      <c r="BLS366" s="370"/>
      <c r="BLT366" s="365"/>
      <c r="BLU366" s="370"/>
      <c r="BLV366" s="365"/>
      <c r="BLW366" s="370"/>
      <c r="BLX366" s="365"/>
      <c r="BLY366" s="370"/>
      <c r="BLZ366" s="365"/>
      <c r="BMA366" s="370"/>
      <c r="BMB366" s="365"/>
      <c r="BMC366" s="370"/>
      <c r="BMD366" s="365"/>
      <c r="BME366" s="370"/>
      <c r="BMF366" s="365"/>
      <c r="BMG366" s="370"/>
      <c r="BMH366" s="365"/>
      <c r="BMI366" s="370"/>
      <c r="BMJ366" s="365"/>
      <c r="BMK366" s="370"/>
      <c r="BML366" s="365"/>
      <c r="BMM366" s="370"/>
      <c r="BMN366" s="365"/>
      <c r="BMO366" s="370"/>
      <c r="BMP366" s="365"/>
      <c r="BMQ366" s="370"/>
      <c r="BMR366" s="365"/>
      <c r="BMS366" s="370"/>
      <c r="BMT366" s="365"/>
      <c r="BMU366" s="370"/>
      <c r="BMV366" s="365"/>
      <c r="BMW366" s="370"/>
      <c r="BMX366" s="365"/>
      <c r="BMY366" s="370"/>
      <c r="BMZ366" s="365"/>
      <c r="BNA366" s="370"/>
      <c r="BNB366" s="365"/>
      <c r="BNC366" s="370"/>
      <c r="BND366" s="365"/>
      <c r="BNE366" s="370"/>
      <c r="BNF366" s="365"/>
      <c r="BNG366" s="370"/>
      <c r="BNH366" s="365"/>
      <c r="BNI366" s="370"/>
      <c r="BNJ366" s="365"/>
      <c r="BNK366" s="370"/>
      <c r="BNL366" s="365"/>
      <c r="BNM366" s="370"/>
      <c r="BNN366" s="365"/>
      <c r="BNO366" s="370"/>
      <c r="BNP366" s="365"/>
      <c r="BNQ366" s="370"/>
      <c r="BNR366" s="365"/>
      <c r="BNS366" s="370"/>
      <c r="BNT366" s="365"/>
      <c r="BNU366" s="370"/>
      <c r="BNV366" s="365"/>
      <c r="BNW366" s="370"/>
      <c r="BNX366" s="365"/>
      <c r="BNY366" s="370"/>
      <c r="BNZ366" s="365"/>
      <c r="BOA366" s="370"/>
      <c r="BOB366" s="365"/>
      <c r="BOC366" s="370"/>
      <c r="BOD366" s="365"/>
      <c r="BOE366" s="370"/>
      <c r="BOF366" s="365"/>
      <c r="BOG366" s="370"/>
      <c r="BOH366" s="365"/>
      <c r="BOI366" s="370"/>
      <c r="BOJ366" s="365"/>
      <c r="BOK366" s="370"/>
      <c r="BOL366" s="365"/>
      <c r="BOM366" s="370"/>
      <c r="BON366" s="365"/>
      <c r="BOO366" s="370"/>
      <c r="BOP366" s="365"/>
      <c r="BOQ366" s="370"/>
      <c r="BOR366" s="365"/>
      <c r="BOS366" s="370"/>
      <c r="BOT366" s="365"/>
      <c r="BOU366" s="370"/>
      <c r="BOV366" s="365"/>
      <c r="BOW366" s="370"/>
      <c r="BOX366" s="365"/>
      <c r="BOY366" s="370"/>
      <c r="BOZ366" s="365"/>
      <c r="BPA366" s="370"/>
      <c r="BPB366" s="365"/>
      <c r="BPC366" s="370"/>
      <c r="BPD366" s="365"/>
      <c r="BPE366" s="370"/>
      <c r="BPF366" s="365"/>
      <c r="BPG366" s="370"/>
      <c r="BPH366" s="365"/>
      <c r="BPI366" s="370"/>
      <c r="BPJ366" s="365"/>
      <c r="BPK366" s="370"/>
      <c r="BPL366" s="365"/>
      <c r="BPM366" s="370"/>
      <c r="BPN366" s="365"/>
      <c r="BPO366" s="370"/>
      <c r="BPP366" s="365"/>
      <c r="BPQ366" s="370"/>
      <c r="BPR366" s="365"/>
      <c r="BPS366" s="370"/>
      <c r="BPT366" s="365"/>
      <c r="BPU366" s="370"/>
      <c r="BPV366" s="365"/>
      <c r="BPW366" s="370"/>
      <c r="BPX366" s="365"/>
      <c r="BPY366" s="370"/>
      <c r="BPZ366" s="365"/>
      <c r="BQA366" s="370"/>
      <c r="BQB366" s="365"/>
      <c r="BQC366" s="370"/>
      <c r="BQD366" s="365"/>
      <c r="BQE366" s="370"/>
      <c r="BQF366" s="365"/>
      <c r="BQG366" s="370"/>
      <c r="BQH366" s="365"/>
      <c r="BQI366" s="370"/>
      <c r="BQJ366" s="365"/>
      <c r="BQK366" s="370"/>
      <c r="BQL366" s="365"/>
      <c r="BQM366" s="370"/>
      <c r="BQN366" s="365"/>
      <c r="BQO366" s="370"/>
      <c r="BQP366" s="365"/>
      <c r="BQQ366" s="370"/>
      <c r="BQR366" s="365"/>
      <c r="BQS366" s="370"/>
      <c r="BQT366" s="365"/>
      <c r="BQU366" s="370"/>
      <c r="BQV366" s="365"/>
      <c r="BQW366" s="370"/>
      <c r="BQX366" s="365"/>
      <c r="BQY366" s="370"/>
      <c r="BQZ366" s="365"/>
      <c r="BRA366" s="370"/>
      <c r="BRB366" s="365"/>
      <c r="BRC366" s="370"/>
      <c r="BRD366" s="365"/>
      <c r="BRE366" s="370"/>
      <c r="BRF366" s="365"/>
      <c r="BRG366" s="370"/>
      <c r="BRH366" s="365"/>
      <c r="BRI366" s="370"/>
      <c r="BRJ366" s="365"/>
      <c r="BRK366" s="370"/>
      <c r="BRL366" s="365"/>
      <c r="BRM366" s="370"/>
      <c r="BRN366" s="365"/>
      <c r="BRO366" s="370"/>
      <c r="BRP366" s="365"/>
      <c r="BRQ366" s="370"/>
      <c r="BRR366" s="365"/>
      <c r="BRS366" s="370"/>
      <c r="BRT366" s="365"/>
      <c r="BRU366" s="370"/>
      <c r="BRV366" s="365"/>
      <c r="BRW366" s="370"/>
      <c r="BRX366" s="365"/>
      <c r="BRY366" s="370"/>
      <c r="BRZ366" s="365"/>
      <c r="BSA366" s="370"/>
      <c r="BSB366" s="365"/>
      <c r="BSC366" s="370"/>
      <c r="BSD366" s="365"/>
      <c r="BSE366" s="370"/>
      <c r="BSF366" s="365"/>
      <c r="BSG366" s="370"/>
      <c r="BSH366" s="365"/>
      <c r="BSI366" s="370"/>
      <c r="BSJ366" s="365"/>
      <c r="BSK366" s="370"/>
      <c r="BSL366" s="365"/>
      <c r="BSM366" s="370"/>
      <c r="BSN366" s="365"/>
      <c r="BSO366" s="370"/>
      <c r="BSP366" s="365"/>
      <c r="BSQ366" s="370"/>
      <c r="BSR366" s="365"/>
      <c r="BSS366" s="370"/>
      <c r="BST366" s="365"/>
      <c r="BSU366" s="370"/>
      <c r="BSV366" s="365"/>
      <c r="BSW366" s="370"/>
      <c r="BSX366" s="365"/>
      <c r="BSY366" s="370"/>
      <c r="BSZ366" s="365"/>
      <c r="BTA366" s="370"/>
      <c r="BTB366" s="365"/>
      <c r="BTC366" s="370"/>
      <c r="BTD366" s="365"/>
      <c r="BTE366" s="370"/>
      <c r="BTF366" s="365"/>
      <c r="BTG366" s="370"/>
      <c r="BTH366" s="365"/>
      <c r="BTI366" s="370"/>
      <c r="BTJ366" s="365"/>
      <c r="BTK366" s="370"/>
      <c r="BTL366" s="365"/>
      <c r="BTM366" s="370"/>
      <c r="BTN366" s="365"/>
      <c r="BTO366" s="370"/>
      <c r="BTP366" s="365"/>
      <c r="BTQ366" s="370"/>
      <c r="BTR366" s="365"/>
      <c r="BTS366" s="370"/>
      <c r="BTT366" s="365"/>
      <c r="BTU366" s="370"/>
      <c r="BTV366" s="365"/>
      <c r="BTW366" s="370"/>
      <c r="BTX366" s="365"/>
      <c r="BTY366" s="370"/>
      <c r="BTZ366" s="365"/>
      <c r="BUA366" s="370"/>
      <c r="BUB366" s="365"/>
      <c r="BUC366" s="370"/>
      <c r="BUD366" s="365"/>
      <c r="BUE366" s="370"/>
      <c r="BUF366" s="365"/>
      <c r="BUG366" s="370"/>
      <c r="BUH366" s="365"/>
      <c r="BUI366" s="370"/>
      <c r="BUJ366" s="365"/>
      <c r="BUK366" s="370"/>
      <c r="BUL366" s="365"/>
      <c r="BUM366" s="370"/>
      <c r="BUN366" s="365"/>
      <c r="BUO366" s="370"/>
      <c r="BUP366" s="365"/>
      <c r="BUQ366" s="370"/>
      <c r="BUR366" s="365"/>
      <c r="BUS366" s="370"/>
      <c r="BUT366" s="365"/>
      <c r="BUU366" s="370"/>
      <c r="BUV366" s="365"/>
      <c r="BUW366" s="370"/>
      <c r="BUX366" s="365"/>
      <c r="BUY366" s="370"/>
      <c r="BUZ366" s="365"/>
      <c r="BVA366" s="370"/>
      <c r="BVB366" s="365"/>
      <c r="BVC366" s="370"/>
      <c r="BVD366" s="365"/>
      <c r="BVE366" s="370"/>
      <c r="BVF366" s="365"/>
      <c r="BVG366" s="370"/>
      <c r="BVH366" s="365"/>
      <c r="BVI366" s="370"/>
      <c r="BVJ366" s="365"/>
      <c r="BVK366" s="370"/>
      <c r="BVL366" s="365"/>
      <c r="BVM366" s="370"/>
      <c r="BVN366" s="365"/>
      <c r="BVO366" s="370"/>
      <c r="BVP366" s="365"/>
      <c r="BVQ366" s="370"/>
      <c r="BVR366" s="365"/>
      <c r="BVS366" s="370"/>
      <c r="BVT366" s="365"/>
      <c r="BVU366" s="370"/>
      <c r="BVV366" s="365"/>
      <c r="BVW366" s="370"/>
      <c r="BVX366" s="365"/>
      <c r="BVY366" s="370"/>
      <c r="BVZ366" s="365"/>
      <c r="BWA366" s="370"/>
      <c r="BWB366" s="365"/>
      <c r="BWC366" s="370"/>
      <c r="BWD366" s="365"/>
      <c r="BWE366" s="370"/>
      <c r="BWF366" s="365"/>
      <c r="BWG366" s="370"/>
      <c r="BWH366" s="365"/>
      <c r="BWI366" s="370"/>
      <c r="BWJ366" s="365"/>
      <c r="BWK366" s="370"/>
      <c r="BWL366" s="365"/>
      <c r="BWM366" s="370"/>
      <c r="BWN366" s="365"/>
      <c r="BWO366" s="370"/>
      <c r="BWP366" s="365"/>
      <c r="BWQ366" s="370"/>
      <c r="BWR366" s="365"/>
      <c r="BWS366" s="370"/>
      <c r="BWT366" s="365"/>
      <c r="BWU366" s="370"/>
      <c r="BWV366" s="365"/>
      <c r="BWW366" s="370"/>
      <c r="BWX366" s="365"/>
      <c r="BWY366" s="370"/>
      <c r="BWZ366" s="365"/>
      <c r="BXA366" s="370"/>
      <c r="BXB366" s="365"/>
      <c r="BXC366" s="370"/>
      <c r="BXD366" s="365"/>
      <c r="BXE366" s="370"/>
      <c r="BXF366" s="365"/>
      <c r="BXG366" s="370"/>
      <c r="BXH366" s="365"/>
      <c r="BXI366" s="370"/>
      <c r="BXJ366" s="365"/>
      <c r="BXK366" s="370"/>
      <c r="BXL366" s="365"/>
      <c r="BXM366" s="370"/>
      <c r="BXN366" s="365"/>
      <c r="BXO366" s="370"/>
      <c r="BXP366" s="365"/>
      <c r="BXQ366" s="370"/>
      <c r="BXR366" s="365"/>
      <c r="BXS366" s="370"/>
      <c r="BXT366" s="365"/>
      <c r="BXU366" s="370"/>
      <c r="BXV366" s="365"/>
      <c r="BXW366" s="370"/>
      <c r="BXX366" s="365"/>
      <c r="BXY366" s="370"/>
      <c r="BXZ366" s="365"/>
      <c r="BYA366" s="370"/>
      <c r="BYB366" s="365"/>
      <c r="BYC366" s="370"/>
      <c r="BYD366" s="365"/>
      <c r="BYE366" s="370"/>
      <c r="BYF366" s="365"/>
      <c r="BYG366" s="370"/>
      <c r="BYH366" s="365"/>
      <c r="BYI366" s="370"/>
      <c r="BYJ366" s="365"/>
      <c r="BYK366" s="370"/>
      <c r="BYL366" s="365"/>
      <c r="BYM366" s="370"/>
      <c r="BYN366" s="365"/>
      <c r="BYO366" s="370"/>
      <c r="BYP366" s="365"/>
      <c r="BYQ366" s="370"/>
      <c r="BYR366" s="365"/>
      <c r="BYS366" s="370"/>
      <c r="BYT366" s="365"/>
      <c r="BYU366" s="370"/>
      <c r="BYV366" s="365"/>
      <c r="BYW366" s="370"/>
      <c r="BYX366" s="365"/>
      <c r="BYY366" s="370"/>
      <c r="BYZ366" s="365"/>
      <c r="BZA366" s="370"/>
      <c r="BZB366" s="365"/>
      <c r="BZC366" s="370"/>
      <c r="BZD366" s="365"/>
      <c r="BZE366" s="370"/>
      <c r="BZF366" s="365"/>
      <c r="BZG366" s="370"/>
      <c r="BZH366" s="365"/>
      <c r="BZI366" s="370"/>
      <c r="BZJ366" s="365"/>
      <c r="BZK366" s="370"/>
      <c r="BZL366" s="365"/>
      <c r="BZM366" s="370"/>
      <c r="BZN366" s="365"/>
      <c r="BZO366" s="370"/>
      <c r="BZP366" s="365"/>
      <c r="BZQ366" s="370"/>
      <c r="BZR366" s="365"/>
      <c r="BZS366" s="370"/>
      <c r="BZT366" s="365"/>
      <c r="BZU366" s="370"/>
      <c r="BZV366" s="365"/>
      <c r="BZW366" s="370"/>
      <c r="BZX366" s="365"/>
      <c r="BZY366" s="370"/>
      <c r="BZZ366" s="365"/>
      <c r="CAA366" s="370"/>
      <c r="CAB366" s="365"/>
      <c r="CAC366" s="370"/>
      <c r="CAD366" s="365"/>
      <c r="CAE366" s="370"/>
      <c r="CAF366" s="365"/>
      <c r="CAG366" s="370"/>
      <c r="CAH366" s="365"/>
      <c r="CAI366" s="370"/>
      <c r="CAJ366" s="365"/>
      <c r="CAK366" s="370"/>
      <c r="CAL366" s="365"/>
      <c r="CAM366" s="370"/>
      <c r="CAN366" s="365"/>
      <c r="CAO366" s="370"/>
      <c r="CAP366" s="365"/>
      <c r="CAQ366" s="370"/>
      <c r="CAR366" s="365"/>
      <c r="CAS366" s="370"/>
      <c r="CAT366" s="365"/>
      <c r="CAU366" s="370"/>
      <c r="CAV366" s="365"/>
      <c r="CAW366" s="370"/>
      <c r="CAX366" s="365"/>
      <c r="CAY366" s="370"/>
      <c r="CAZ366" s="365"/>
      <c r="CBA366" s="370"/>
      <c r="CBB366" s="365"/>
      <c r="CBC366" s="370"/>
      <c r="CBD366" s="365"/>
      <c r="CBE366" s="370"/>
      <c r="CBF366" s="365"/>
      <c r="CBG366" s="370"/>
      <c r="CBH366" s="365"/>
      <c r="CBI366" s="370"/>
      <c r="CBJ366" s="365"/>
      <c r="CBK366" s="370"/>
      <c r="CBL366" s="365"/>
      <c r="CBM366" s="370"/>
      <c r="CBN366" s="365"/>
      <c r="CBO366" s="370"/>
      <c r="CBP366" s="365"/>
      <c r="CBQ366" s="370"/>
      <c r="CBR366" s="365"/>
      <c r="CBS366" s="370"/>
      <c r="CBT366" s="365"/>
      <c r="CBU366" s="370"/>
      <c r="CBV366" s="365"/>
      <c r="CBW366" s="370"/>
      <c r="CBX366" s="365"/>
      <c r="CBY366" s="370"/>
      <c r="CBZ366" s="365"/>
      <c r="CCA366" s="370"/>
      <c r="CCB366" s="365"/>
      <c r="CCC366" s="370"/>
      <c r="CCD366" s="365"/>
      <c r="CCE366" s="370"/>
      <c r="CCF366" s="365"/>
      <c r="CCG366" s="370"/>
      <c r="CCH366" s="365"/>
      <c r="CCI366" s="370"/>
      <c r="CCJ366" s="365"/>
      <c r="CCK366" s="370"/>
      <c r="CCL366" s="365"/>
      <c r="CCM366" s="370"/>
      <c r="CCN366" s="365"/>
      <c r="CCO366" s="370"/>
      <c r="CCP366" s="365"/>
      <c r="CCQ366" s="370"/>
      <c r="CCR366" s="365"/>
      <c r="CCS366" s="370"/>
      <c r="CCT366" s="365"/>
      <c r="CCU366" s="370"/>
      <c r="CCV366" s="365"/>
      <c r="CCW366" s="370"/>
      <c r="CCX366" s="365"/>
      <c r="CCY366" s="370"/>
      <c r="CCZ366" s="365"/>
      <c r="CDA366" s="370"/>
      <c r="CDB366" s="365"/>
      <c r="CDC366" s="370"/>
      <c r="CDD366" s="365"/>
      <c r="CDE366" s="370"/>
      <c r="CDF366" s="365"/>
      <c r="CDG366" s="370"/>
      <c r="CDH366" s="365"/>
      <c r="CDI366" s="370"/>
      <c r="CDJ366" s="365"/>
      <c r="CDK366" s="370"/>
      <c r="CDL366" s="365"/>
      <c r="CDM366" s="370"/>
      <c r="CDN366" s="365"/>
      <c r="CDO366" s="370"/>
      <c r="CDP366" s="365"/>
      <c r="CDQ366" s="370"/>
      <c r="CDR366" s="365"/>
      <c r="CDS366" s="370"/>
      <c r="CDT366" s="365"/>
      <c r="CDU366" s="370"/>
      <c r="CDV366" s="365"/>
      <c r="CDW366" s="370"/>
      <c r="CDX366" s="365"/>
      <c r="CDY366" s="370"/>
      <c r="CDZ366" s="365"/>
      <c r="CEA366" s="370"/>
      <c r="CEB366" s="365"/>
      <c r="CEC366" s="370"/>
      <c r="CED366" s="365"/>
      <c r="CEE366" s="370"/>
      <c r="CEF366" s="365"/>
      <c r="CEG366" s="370"/>
      <c r="CEH366" s="365"/>
      <c r="CEI366" s="370"/>
      <c r="CEJ366" s="365"/>
      <c r="CEK366" s="370"/>
      <c r="CEL366" s="365"/>
      <c r="CEM366" s="370"/>
      <c r="CEN366" s="365"/>
      <c r="CEO366" s="370"/>
      <c r="CEP366" s="365"/>
      <c r="CEQ366" s="370"/>
      <c r="CER366" s="365"/>
      <c r="CES366" s="370"/>
      <c r="CET366" s="365"/>
      <c r="CEU366" s="370"/>
      <c r="CEV366" s="365"/>
      <c r="CEW366" s="370"/>
      <c r="CEX366" s="365"/>
      <c r="CEY366" s="370"/>
      <c r="CEZ366" s="365"/>
      <c r="CFA366" s="370"/>
      <c r="CFB366" s="365"/>
      <c r="CFC366" s="370"/>
      <c r="CFD366" s="365"/>
      <c r="CFE366" s="370"/>
      <c r="CFF366" s="365"/>
      <c r="CFG366" s="370"/>
      <c r="CFH366" s="365"/>
      <c r="CFI366" s="370"/>
      <c r="CFJ366" s="365"/>
      <c r="CFK366" s="370"/>
      <c r="CFL366" s="365"/>
      <c r="CFM366" s="370"/>
      <c r="CFN366" s="365"/>
      <c r="CFO366" s="370"/>
      <c r="CFP366" s="365"/>
      <c r="CFQ366" s="370"/>
      <c r="CFR366" s="365"/>
      <c r="CFS366" s="370"/>
      <c r="CFT366" s="365"/>
      <c r="CFU366" s="370"/>
      <c r="CFV366" s="365"/>
      <c r="CFW366" s="370"/>
      <c r="CFX366" s="365"/>
      <c r="CFY366" s="370"/>
      <c r="CFZ366" s="365"/>
      <c r="CGA366" s="370"/>
      <c r="CGB366" s="365"/>
      <c r="CGC366" s="370"/>
      <c r="CGD366" s="365"/>
      <c r="CGE366" s="370"/>
      <c r="CGF366" s="365"/>
      <c r="CGG366" s="370"/>
      <c r="CGH366" s="365"/>
      <c r="CGI366" s="370"/>
      <c r="CGJ366" s="365"/>
      <c r="CGK366" s="370"/>
      <c r="CGL366" s="365"/>
      <c r="CGM366" s="370"/>
      <c r="CGN366" s="365"/>
      <c r="CGO366" s="370"/>
      <c r="CGP366" s="365"/>
      <c r="CGQ366" s="370"/>
      <c r="CGR366" s="365"/>
      <c r="CGS366" s="370"/>
      <c r="CGT366" s="365"/>
      <c r="CGU366" s="370"/>
      <c r="CGV366" s="365"/>
      <c r="CGW366" s="370"/>
      <c r="CGX366" s="365"/>
      <c r="CGY366" s="370"/>
      <c r="CGZ366" s="365"/>
      <c r="CHA366" s="370"/>
      <c r="CHB366" s="365"/>
      <c r="CHC366" s="370"/>
      <c r="CHD366" s="365"/>
      <c r="CHE366" s="370"/>
      <c r="CHF366" s="365"/>
      <c r="CHG366" s="370"/>
      <c r="CHH366" s="365"/>
      <c r="CHI366" s="370"/>
      <c r="CHJ366" s="365"/>
      <c r="CHK366" s="370"/>
      <c r="CHL366" s="365"/>
      <c r="CHM366" s="370"/>
      <c r="CHN366" s="365"/>
      <c r="CHO366" s="370"/>
      <c r="CHP366" s="365"/>
      <c r="CHQ366" s="370"/>
      <c r="CHR366" s="365"/>
      <c r="CHS366" s="370"/>
      <c r="CHT366" s="365"/>
      <c r="CHU366" s="370"/>
      <c r="CHV366" s="365"/>
      <c r="CHW366" s="370"/>
      <c r="CHX366" s="365"/>
      <c r="CHY366" s="370"/>
      <c r="CHZ366" s="365"/>
      <c r="CIA366" s="370"/>
      <c r="CIB366" s="365"/>
      <c r="CIC366" s="370"/>
      <c r="CID366" s="365"/>
      <c r="CIE366" s="370"/>
      <c r="CIF366" s="365"/>
      <c r="CIG366" s="370"/>
      <c r="CIH366" s="365"/>
      <c r="CII366" s="370"/>
      <c r="CIJ366" s="365"/>
      <c r="CIK366" s="370"/>
      <c r="CIL366" s="365"/>
      <c r="CIM366" s="370"/>
      <c r="CIN366" s="365"/>
      <c r="CIO366" s="370"/>
      <c r="CIP366" s="365"/>
      <c r="CIQ366" s="370"/>
      <c r="CIR366" s="365"/>
      <c r="CIS366" s="370"/>
      <c r="CIT366" s="365"/>
      <c r="CIU366" s="370"/>
      <c r="CIV366" s="365"/>
      <c r="CIW366" s="370"/>
      <c r="CIX366" s="365"/>
      <c r="CIY366" s="370"/>
      <c r="CIZ366" s="365"/>
      <c r="CJA366" s="370"/>
      <c r="CJB366" s="365"/>
      <c r="CJC366" s="370"/>
      <c r="CJD366" s="365"/>
      <c r="CJE366" s="370"/>
      <c r="CJF366" s="365"/>
      <c r="CJG366" s="370"/>
      <c r="CJH366" s="365"/>
      <c r="CJI366" s="370"/>
      <c r="CJJ366" s="365"/>
      <c r="CJK366" s="370"/>
      <c r="CJL366" s="365"/>
      <c r="CJM366" s="370"/>
      <c r="CJN366" s="365"/>
      <c r="CJO366" s="370"/>
      <c r="CJP366" s="365"/>
      <c r="CJQ366" s="370"/>
      <c r="CJR366" s="365"/>
      <c r="CJS366" s="370"/>
      <c r="CJT366" s="365"/>
      <c r="CJU366" s="370"/>
      <c r="CJV366" s="365"/>
      <c r="CJW366" s="370"/>
      <c r="CJX366" s="365"/>
      <c r="CJY366" s="370"/>
      <c r="CJZ366" s="365"/>
      <c r="CKA366" s="370"/>
      <c r="CKB366" s="365"/>
      <c r="CKC366" s="370"/>
      <c r="CKD366" s="365"/>
      <c r="CKE366" s="370"/>
      <c r="CKF366" s="365"/>
      <c r="CKG366" s="370"/>
      <c r="CKH366" s="365"/>
      <c r="CKI366" s="370"/>
      <c r="CKJ366" s="365"/>
      <c r="CKK366" s="370"/>
      <c r="CKL366" s="365"/>
      <c r="CKM366" s="370"/>
      <c r="CKN366" s="365"/>
      <c r="CKO366" s="370"/>
      <c r="CKP366" s="365"/>
      <c r="CKQ366" s="370"/>
      <c r="CKR366" s="365"/>
      <c r="CKS366" s="370"/>
      <c r="CKT366" s="365"/>
      <c r="CKU366" s="370"/>
      <c r="CKV366" s="365"/>
      <c r="CKW366" s="370"/>
      <c r="CKX366" s="365"/>
      <c r="CKY366" s="370"/>
      <c r="CKZ366" s="365"/>
      <c r="CLA366" s="370"/>
      <c r="CLB366" s="365"/>
      <c r="CLC366" s="370"/>
      <c r="CLD366" s="365"/>
      <c r="CLE366" s="370"/>
      <c r="CLF366" s="365"/>
      <c r="CLG366" s="370"/>
      <c r="CLH366" s="365"/>
      <c r="CLI366" s="370"/>
      <c r="CLJ366" s="365"/>
      <c r="CLK366" s="370"/>
      <c r="CLL366" s="365"/>
      <c r="CLM366" s="370"/>
      <c r="CLN366" s="365"/>
      <c r="CLO366" s="370"/>
      <c r="CLP366" s="365"/>
      <c r="CLQ366" s="370"/>
      <c r="CLR366" s="365"/>
      <c r="CLS366" s="370"/>
      <c r="CLT366" s="365"/>
      <c r="CLU366" s="370"/>
      <c r="CLV366" s="365"/>
      <c r="CLW366" s="370"/>
      <c r="CLX366" s="365"/>
      <c r="CLY366" s="370"/>
      <c r="CLZ366" s="365"/>
      <c r="CMA366" s="370"/>
      <c r="CMB366" s="365"/>
      <c r="CMC366" s="370"/>
      <c r="CMD366" s="365"/>
      <c r="CME366" s="370"/>
      <c r="CMF366" s="365"/>
      <c r="CMG366" s="370"/>
      <c r="CMH366" s="365"/>
      <c r="CMI366" s="370"/>
      <c r="CMJ366" s="365"/>
      <c r="CMK366" s="370"/>
      <c r="CML366" s="365"/>
      <c r="CMM366" s="370"/>
      <c r="CMN366" s="365"/>
      <c r="CMO366" s="370"/>
      <c r="CMP366" s="365"/>
      <c r="CMQ366" s="370"/>
      <c r="CMR366" s="365"/>
      <c r="CMS366" s="370"/>
      <c r="CMT366" s="365"/>
      <c r="CMU366" s="370"/>
      <c r="CMV366" s="365"/>
      <c r="CMW366" s="370"/>
      <c r="CMX366" s="365"/>
      <c r="CMY366" s="370"/>
      <c r="CMZ366" s="365"/>
      <c r="CNA366" s="370"/>
      <c r="CNB366" s="365"/>
      <c r="CNC366" s="370"/>
      <c r="CND366" s="365"/>
      <c r="CNE366" s="370"/>
      <c r="CNF366" s="365"/>
      <c r="CNG366" s="370"/>
      <c r="CNH366" s="365"/>
      <c r="CNI366" s="370"/>
      <c r="CNJ366" s="365"/>
      <c r="CNK366" s="370"/>
      <c r="CNL366" s="365"/>
      <c r="CNM366" s="370"/>
      <c r="CNN366" s="365"/>
      <c r="CNO366" s="370"/>
      <c r="CNP366" s="365"/>
      <c r="CNQ366" s="370"/>
      <c r="CNR366" s="365"/>
      <c r="CNS366" s="370"/>
      <c r="CNT366" s="365"/>
      <c r="CNU366" s="370"/>
      <c r="CNV366" s="365"/>
      <c r="CNW366" s="370"/>
      <c r="CNX366" s="365"/>
      <c r="CNY366" s="370"/>
      <c r="CNZ366" s="365"/>
      <c r="COA366" s="370"/>
      <c r="COB366" s="365"/>
      <c r="COC366" s="370"/>
      <c r="COD366" s="365"/>
      <c r="COE366" s="370"/>
      <c r="COF366" s="365"/>
      <c r="COG366" s="370"/>
      <c r="COH366" s="365"/>
      <c r="COI366" s="370"/>
      <c r="COJ366" s="365"/>
      <c r="COK366" s="370"/>
      <c r="COL366" s="365"/>
      <c r="COM366" s="370"/>
      <c r="CON366" s="365"/>
      <c r="COO366" s="370"/>
      <c r="COP366" s="365"/>
      <c r="COQ366" s="370"/>
      <c r="COR366" s="365"/>
      <c r="COS366" s="370"/>
      <c r="COT366" s="365"/>
      <c r="COU366" s="370"/>
      <c r="COV366" s="365"/>
      <c r="COW366" s="370"/>
      <c r="COX366" s="365"/>
      <c r="COY366" s="370"/>
      <c r="COZ366" s="365"/>
      <c r="CPA366" s="370"/>
      <c r="CPB366" s="365"/>
      <c r="CPC366" s="370"/>
      <c r="CPD366" s="365"/>
      <c r="CPE366" s="370"/>
      <c r="CPF366" s="365"/>
      <c r="CPG366" s="370"/>
      <c r="CPH366" s="365"/>
      <c r="CPI366" s="370"/>
      <c r="CPJ366" s="365"/>
      <c r="CPK366" s="370"/>
      <c r="CPL366" s="365"/>
      <c r="CPM366" s="370"/>
      <c r="CPN366" s="365"/>
      <c r="CPO366" s="370"/>
      <c r="CPP366" s="365"/>
      <c r="CPQ366" s="370"/>
      <c r="CPR366" s="365"/>
      <c r="CPS366" s="370"/>
      <c r="CPT366" s="365"/>
      <c r="CPU366" s="370"/>
      <c r="CPV366" s="365"/>
      <c r="CPW366" s="370"/>
      <c r="CPX366" s="365"/>
      <c r="CPY366" s="370"/>
      <c r="CPZ366" s="365"/>
      <c r="CQA366" s="370"/>
      <c r="CQB366" s="365"/>
      <c r="CQC366" s="370"/>
      <c r="CQD366" s="365"/>
      <c r="CQE366" s="370"/>
      <c r="CQF366" s="365"/>
      <c r="CQG366" s="370"/>
      <c r="CQH366" s="365"/>
      <c r="CQI366" s="370"/>
      <c r="CQJ366" s="365"/>
      <c r="CQK366" s="370"/>
      <c r="CQL366" s="365"/>
      <c r="CQM366" s="370"/>
      <c r="CQN366" s="365"/>
      <c r="CQO366" s="370"/>
      <c r="CQP366" s="365"/>
      <c r="CQQ366" s="370"/>
      <c r="CQR366" s="365"/>
      <c r="CQS366" s="370"/>
      <c r="CQT366" s="365"/>
      <c r="CQU366" s="370"/>
      <c r="CQV366" s="365"/>
      <c r="CQW366" s="370"/>
      <c r="CQX366" s="365"/>
      <c r="CQY366" s="370"/>
      <c r="CQZ366" s="365"/>
      <c r="CRA366" s="370"/>
      <c r="CRB366" s="365"/>
      <c r="CRC366" s="370"/>
      <c r="CRD366" s="365"/>
      <c r="CRE366" s="370"/>
      <c r="CRF366" s="365"/>
      <c r="CRG366" s="370"/>
      <c r="CRH366" s="365"/>
      <c r="CRI366" s="370"/>
      <c r="CRJ366" s="365"/>
      <c r="CRK366" s="370"/>
      <c r="CRL366" s="365"/>
      <c r="CRM366" s="370"/>
      <c r="CRN366" s="365"/>
      <c r="CRO366" s="370"/>
      <c r="CRP366" s="365"/>
      <c r="CRQ366" s="370"/>
      <c r="CRR366" s="365"/>
      <c r="CRS366" s="370"/>
      <c r="CRT366" s="365"/>
      <c r="CRU366" s="370"/>
      <c r="CRV366" s="365"/>
      <c r="CRW366" s="370"/>
      <c r="CRX366" s="365"/>
      <c r="CRY366" s="370"/>
      <c r="CRZ366" s="365"/>
      <c r="CSA366" s="370"/>
      <c r="CSB366" s="365"/>
      <c r="CSC366" s="370"/>
      <c r="CSD366" s="365"/>
      <c r="CSE366" s="370"/>
      <c r="CSF366" s="365"/>
      <c r="CSG366" s="370"/>
      <c r="CSH366" s="365"/>
      <c r="CSI366" s="370"/>
      <c r="CSJ366" s="365"/>
      <c r="CSK366" s="370"/>
      <c r="CSL366" s="365"/>
      <c r="CSM366" s="370"/>
      <c r="CSN366" s="365"/>
      <c r="CSO366" s="370"/>
      <c r="CSP366" s="365"/>
      <c r="CSQ366" s="370"/>
      <c r="CSR366" s="365"/>
      <c r="CSS366" s="370"/>
      <c r="CST366" s="365"/>
      <c r="CSU366" s="370"/>
      <c r="CSV366" s="365"/>
      <c r="CSW366" s="370"/>
      <c r="CSX366" s="365"/>
      <c r="CSY366" s="370"/>
      <c r="CSZ366" s="365"/>
      <c r="CTA366" s="370"/>
      <c r="CTB366" s="365"/>
      <c r="CTC366" s="370"/>
      <c r="CTD366" s="365"/>
      <c r="CTE366" s="370"/>
      <c r="CTF366" s="365"/>
      <c r="CTG366" s="370"/>
      <c r="CTH366" s="365"/>
      <c r="CTI366" s="370"/>
      <c r="CTJ366" s="365"/>
      <c r="CTK366" s="370"/>
      <c r="CTL366" s="365"/>
      <c r="CTM366" s="370"/>
      <c r="CTN366" s="365"/>
      <c r="CTO366" s="370"/>
      <c r="CTP366" s="365"/>
      <c r="CTQ366" s="370"/>
      <c r="CTR366" s="365"/>
      <c r="CTS366" s="370"/>
      <c r="CTT366" s="365"/>
      <c r="CTU366" s="370"/>
      <c r="CTV366" s="365"/>
      <c r="CTW366" s="370"/>
      <c r="CTX366" s="365"/>
      <c r="CTY366" s="370"/>
      <c r="CTZ366" s="365"/>
      <c r="CUA366" s="370"/>
      <c r="CUB366" s="365"/>
      <c r="CUC366" s="370"/>
      <c r="CUD366" s="365"/>
      <c r="CUE366" s="370"/>
      <c r="CUF366" s="365"/>
      <c r="CUG366" s="370"/>
      <c r="CUH366" s="365"/>
      <c r="CUI366" s="370"/>
      <c r="CUJ366" s="365"/>
      <c r="CUK366" s="370"/>
      <c r="CUL366" s="365"/>
      <c r="CUM366" s="370"/>
      <c r="CUN366" s="365"/>
      <c r="CUO366" s="370"/>
      <c r="CUP366" s="365"/>
      <c r="CUQ366" s="370"/>
      <c r="CUR366" s="365"/>
      <c r="CUS366" s="370"/>
      <c r="CUT366" s="365"/>
      <c r="CUU366" s="370"/>
      <c r="CUV366" s="365"/>
      <c r="CUW366" s="370"/>
      <c r="CUX366" s="365"/>
      <c r="CUY366" s="370"/>
      <c r="CUZ366" s="365"/>
      <c r="CVA366" s="370"/>
      <c r="CVB366" s="365"/>
      <c r="CVC366" s="370"/>
      <c r="CVD366" s="365"/>
      <c r="CVE366" s="370"/>
      <c r="CVF366" s="365"/>
      <c r="CVG366" s="370"/>
      <c r="CVH366" s="365"/>
      <c r="CVI366" s="370"/>
      <c r="CVJ366" s="365"/>
      <c r="CVK366" s="370"/>
      <c r="CVL366" s="365"/>
      <c r="CVM366" s="370"/>
      <c r="CVN366" s="365"/>
      <c r="CVO366" s="370"/>
      <c r="CVP366" s="365"/>
      <c r="CVQ366" s="370"/>
      <c r="CVR366" s="365"/>
      <c r="CVS366" s="370"/>
      <c r="CVT366" s="365"/>
      <c r="CVU366" s="370"/>
      <c r="CVV366" s="365"/>
      <c r="CVW366" s="370"/>
      <c r="CVX366" s="365"/>
      <c r="CVY366" s="370"/>
      <c r="CVZ366" s="365"/>
      <c r="CWA366" s="370"/>
      <c r="CWB366" s="365"/>
      <c r="CWC366" s="370"/>
      <c r="CWD366" s="365"/>
      <c r="CWE366" s="370"/>
      <c r="CWF366" s="365"/>
      <c r="CWG366" s="370"/>
      <c r="CWH366" s="365"/>
      <c r="CWI366" s="370"/>
      <c r="CWJ366" s="365"/>
      <c r="CWK366" s="370"/>
      <c r="CWL366" s="365"/>
      <c r="CWM366" s="370"/>
      <c r="CWN366" s="365"/>
      <c r="CWO366" s="370"/>
      <c r="CWP366" s="365"/>
      <c r="CWQ366" s="370"/>
      <c r="CWR366" s="365"/>
      <c r="CWS366" s="370"/>
      <c r="CWT366" s="365"/>
      <c r="CWU366" s="370"/>
      <c r="CWV366" s="365"/>
      <c r="CWW366" s="370"/>
      <c r="CWX366" s="365"/>
      <c r="CWY366" s="370"/>
      <c r="CWZ366" s="365"/>
      <c r="CXA366" s="370"/>
      <c r="CXB366" s="365"/>
      <c r="CXC366" s="370"/>
      <c r="CXD366" s="365"/>
      <c r="CXE366" s="370"/>
      <c r="CXF366" s="365"/>
      <c r="CXG366" s="370"/>
      <c r="CXH366" s="365"/>
      <c r="CXI366" s="370"/>
      <c r="CXJ366" s="365"/>
      <c r="CXK366" s="370"/>
      <c r="CXL366" s="365"/>
      <c r="CXM366" s="370"/>
      <c r="CXN366" s="365"/>
      <c r="CXO366" s="370"/>
      <c r="CXP366" s="365"/>
      <c r="CXQ366" s="370"/>
      <c r="CXR366" s="365"/>
      <c r="CXS366" s="370"/>
      <c r="CXT366" s="365"/>
      <c r="CXU366" s="370"/>
      <c r="CXV366" s="365"/>
      <c r="CXW366" s="370"/>
      <c r="CXX366" s="365"/>
      <c r="CXY366" s="370"/>
      <c r="CXZ366" s="365"/>
      <c r="CYA366" s="370"/>
      <c r="CYB366" s="365"/>
      <c r="CYC366" s="370"/>
      <c r="CYD366" s="365"/>
      <c r="CYE366" s="370"/>
      <c r="CYF366" s="365"/>
      <c r="CYG366" s="370"/>
      <c r="CYH366" s="365"/>
      <c r="CYI366" s="370"/>
      <c r="CYJ366" s="365"/>
      <c r="CYK366" s="370"/>
      <c r="CYL366" s="365"/>
      <c r="CYM366" s="370"/>
      <c r="CYN366" s="365"/>
      <c r="CYO366" s="370"/>
      <c r="CYP366" s="365"/>
      <c r="CYQ366" s="370"/>
      <c r="CYR366" s="365"/>
      <c r="CYS366" s="370"/>
      <c r="CYT366" s="365"/>
      <c r="CYU366" s="370"/>
      <c r="CYV366" s="365"/>
      <c r="CYW366" s="370"/>
      <c r="CYX366" s="365"/>
      <c r="CYY366" s="370"/>
      <c r="CYZ366" s="365"/>
      <c r="CZA366" s="370"/>
      <c r="CZB366" s="365"/>
      <c r="CZC366" s="370"/>
      <c r="CZD366" s="365"/>
      <c r="CZE366" s="370"/>
      <c r="CZF366" s="365"/>
      <c r="CZG366" s="370"/>
      <c r="CZH366" s="365"/>
      <c r="CZI366" s="370"/>
      <c r="CZJ366" s="365"/>
      <c r="CZK366" s="370"/>
      <c r="CZL366" s="365"/>
      <c r="CZM366" s="370"/>
      <c r="CZN366" s="365"/>
      <c r="CZO366" s="370"/>
      <c r="CZP366" s="365"/>
      <c r="CZQ366" s="370"/>
      <c r="CZR366" s="365"/>
      <c r="CZS366" s="370"/>
      <c r="CZT366" s="365"/>
      <c r="CZU366" s="370"/>
      <c r="CZV366" s="365"/>
      <c r="CZW366" s="370"/>
      <c r="CZX366" s="365"/>
      <c r="CZY366" s="370"/>
      <c r="CZZ366" s="365"/>
      <c r="DAA366" s="370"/>
      <c r="DAB366" s="365"/>
      <c r="DAC366" s="370"/>
      <c r="DAD366" s="365"/>
      <c r="DAE366" s="370"/>
      <c r="DAF366" s="365"/>
      <c r="DAG366" s="370"/>
      <c r="DAH366" s="365"/>
      <c r="DAI366" s="370"/>
      <c r="DAJ366" s="365"/>
      <c r="DAK366" s="370"/>
      <c r="DAL366" s="365"/>
      <c r="DAM366" s="370"/>
      <c r="DAN366" s="365"/>
      <c r="DAO366" s="370"/>
      <c r="DAP366" s="365"/>
      <c r="DAQ366" s="370"/>
      <c r="DAR366" s="365"/>
      <c r="DAS366" s="370"/>
      <c r="DAT366" s="365"/>
      <c r="DAU366" s="370"/>
      <c r="DAV366" s="365"/>
      <c r="DAW366" s="370"/>
      <c r="DAX366" s="365"/>
      <c r="DAY366" s="370"/>
      <c r="DAZ366" s="365"/>
      <c r="DBA366" s="370"/>
      <c r="DBB366" s="365"/>
      <c r="DBC366" s="370"/>
      <c r="DBD366" s="365"/>
      <c r="DBE366" s="370"/>
      <c r="DBF366" s="365"/>
      <c r="DBG366" s="370"/>
      <c r="DBH366" s="365"/>
      <c r="DBI366" s="370"/>
      <c r="DBJ366" s="365"/>
      <c r="DBK366" s="370"/>
      <c r="DBL366" s="365"/>
      <c r="DBM366" s="370"/>
      <c r="DBN366" s="365"/>
      <c r="DBO366" s="370"/>
      <c r="DBP366" s="365"/>
      <c r="DBQ366" s="370"/>
      <c r="DBR366" s="365"/>
      <c r="DBS366" s="370"/>
      <c r="DBT366" s="365"/>
      <c r="DBU366" s="370"/>
      <c r="DBV366" s="365"/>
      <c r="DBW366" s="370"/>
      <c r="DBX366" s="365"/>
      <c r="DBY366" s="370"/>
      <c r="DBZ366" s="365"/>
      <c r="DCA366" s="370"/>
      <c r="DCB366" s="365"/>
      <c r="DCC366" s="370"/>
      <c r="DCD366" s="365"/>
      <c r="DCE366" s="370"/>
      <c r="DCF366" s="365"/>
      <c r="DCG366" s="370"/>
      <c r="DCH366" s="365"/>
      <c r="DCI366" s="370"/>
      <c r="DCJ366" s="365"/>
      <c r="DCK366" s="370"/>
      <c r="DCL366" s="365"/>
      <c r="DCM366" s="370"/>
      <c r="DCN366" s="365"/>
      <c r="DCO366" s="370"/>
      <c r="DCP366" s="365"/>
      <c r="DCQ366" s="370"/>
      <c r="DCR366" s="365"/>
      <c r="DCS366" s="370"/>
      <c r="DCT366" s="365"/>
      <c r="DCU366" s="370"/>
      <c r="DCV366" s="365"/>
      <c r="DCW366" s="370"/>
      <c r="DCX366" s="365"/>
      <c r="DCY366" s="370"/>
      <c r="DCZ366" s="365"/>
      <c r="DDA366" s="370"/>
      <c r="DDB366" s="365"/>
      <c r="DDC366" s="370"/>
      <c r="DDD366" s="365"/>
      <c r="DDE366" s="370"/>
      <c r="DDF366" s="365"/>
      <c r="DDG366" s="370"/>
      <c r="DDH366" s="365"/>
      <c r="DDI366" s="370"/>
      <c r="DDJ366" s="365"/>
      <c r="DDK366" s="370"/>
      <c r="DDL366" s="365"/>
      <c r="DDM366" s="370"/>
      <c r="DDN366" s="365"/>
      <c r="DDO366" s="370"/>
      <c r="DDP366" s="365"/>
      <c r="DDQ366" s="370"/>
      <c r="DDR366" s="365"/>
      <c r="DDS366" s="370"/>
      <c r="DDT366" s="365"/>
      <c r="DDU366" s="370"/>
      <c r="DDV366" s="365"/>
      <c r="DDW366" s="370"/>
      <c r="DDX366" s="365"/>
      <c r="DDY366" s="370"/>
      <c r="DDZ366" s="365"/>
      <c r="DEA366" s="370"/>
      <c r="DEB366" s="365"/>
      <c r="DEC366" s="370"/>
      <c r="DED366" s="365"/>
      <c r="DEE366" s="370"/>
      <c r="DEF366" s="365"/>
      <c r="DEG366" s="370"/>
      <c r="DEH366" s="365"/>
      <c r="DEI366" s="370"/>
      <c r="DEJ366" s="365"/>
      <c r="DEK366" s="370"/>
      <c r="DEL366" s="365"/>
      <c r="DEM366" s="370"/>
      <c r="DEN366" s="365"/>
      <c r="DEO366" s="370"/>
      <c r="DEP366" s="365"/>
      <c r="DEQ366" s="370"/>
      <c r="DER366" s="365"/>
      <c r="DES366" s="370"/>
      <c r="DET366" s="365"/>
      <c r="DEU366" s="370"/>
      <c r="DEV366" s="365"/>
      <c r="DEW366" s="370"/>
      <c r="DEX366" s="365"/>
      <c r="DEY366" s="370"/>
      <c r="DEZ366" s="365"/>
      <c r="DFA366" s="370"/>
      <c r="DFB366" s="365"/>
      <c r="DFC366" s="370"/>
      <c r="DFD366" s="365"/>
      <c r="DFE366" s="370"/>
      <c r="DFF366" s="365"/>
      <c r="DFG366" s="370"/>
      <c r="DFH366" s="365"/>
      <c r="DFI366" s="370"/>
      <c r="DFJ366" s="365"/>
      <c r="DFK366" s="370"/>
      <c r="DFL366" s="365"/>
      <c r="DFM366" s="370"/>
      <c r="DFN366" s="365"/>
      <c r="DFO366" s="370"/>
      <c r="DFP366" s="365"/>
      <c r="DFQ366" s="370"/>
      <c r="DFR366" s="365"/>
      <c r="DFS366" s="370"/>
      <c r="DFT366" s="365"/>
      <c r="DFU366" s="370"/>
      <c r="DFV366" s="365"/>
      <c r="DFW366" s="370"/>
      <c r="DFX366" s="365"/>
      <c r="DFY366" s="370"/>
      <c r="DFZ366" s="365"/>
      <c r="DGA366" s="370"/>
      <c r="DGB366" s="365"/>
      <c r="DGC366" s="370"/>
      <c r="DGD366" s="365"/>
      <c r="DGE366" s="370"/>
      <c r="DGF366" s="365"/>
      <c r="DGG366" s="370"/>
      <c r="DGH366" s="365"/>
      <c r="DGI366" s="370"/>
      <c r="DGJ366" s="365"/>
      <c r="DGK366" s="370"/>
      <c r="DGL366" s="365"/>
      <c r="DGM366" s="370"/>
      <c r="DGN366" s="365"/>
      <c r="DGO366" s="370"/>
      <c r="DGP366" s="365"/>
      <c r="DGQ366" s="370"/>
      <c r="DGR366" s="365"/>
      <c r="DGS366" s="370"/>
      <c r="DGT366" s="365"/>
      <c r="DGU366" s="370"/>
      <c r="DGV366" s="365"/>
      <c r="DGW366" s="370"/>
      <c r="DGX366" s="365"/>
      <c r="DGY366" s="370"/>
      <c r="DGZ366" s="365"/>
      <c r="DHA366" s="370"/>
      <c r="DHB366" s="365"/>
      <c r="DHC366" s="370"/>
      <c r="DHD366" s="365"/>
      <c r="DHE366" s="370"/>
      <c r="DHF366" s="365"/>
      <c r="DHG366" s="370"/>
      <c r="DHH366" s="365"/>
      <c r="DHI366" s="370"/>
      <c r="DHJ366" s="365"/>
      <c r="DHK366" s="370"/>
      <c r="DHL366" s="365"/>
      <c r="DHM366" s="370"/>
      <c r="DHN366" s="365"/>
      <c r="DHO366" s="370"/>
      <c r="DHP366" s="365"/>
      <c r="DHQ366" s="370"/>
      <c r="DHR366" s="365"/>
      <c r="DHS366" s="370"/>
      <c r="DHT366" s="365"/>
      <c r="DHU366" s="370"/>
      <c r="DHV366" s="365"/>
      <c r="DHW366" s="370"/>
      <c r="DHX366" s="365"/>
      <c r="DHY366" s="370"/>
      <c r="DHZ366" s="365"/>
      <c r="DIA366" s="370"/>
      <c r="DIB366" s="365"/>
      <c r="DIC366" s="370"/>
      <c r="DID366" s="365"/>
      <c r="DIE366" s="370"/>
      <c r="DIF366" s="365"/>
      <c r="DIG366" s="370"/>
      <c r="DIH366" s="365"/>
      <c r="DII366" s="370"/>
      <c r="DIJ366" s="365"/>
      <c r="DIK366" s="370"/>
      <c r="DIL366" s="365"/>
      <c r="DIM366" s="370"/>
      <c r="DIN366" s="365"/>
      <c r="DIO366" s="370"/>
      <c r="DIP366" s="365"/>
      <c r="DIQ366" s="370"/>
      <c r="DIR366" s="365"/>
      <c r="DIS366" s="370"/>
      <c r="DIT366" s="365"/>
      <c r="DIU366" s="370"/>
      <c r="DIV366" s="365"/>
      <c r="DIW366" s="370"/>
      <c r="DIX366" s="365"/>
      <c r="DIY366" s="370"/>
      <c r="DIZ366" s="365"/>
      <c r="DJA366" s="370"/>
      <c r="DJB366" s="365"/>
      <c r="DJC366" s="370"/>
      <c r="DJD366" s="365"/>
      <c r="DJE366" s="370"/>
      <c r="DJF366" s="365"/>
      <c r="DJG366" s="370"/>
      <c r="DJH366" s="365"/>
      <c r="DJI366" s="370"/>
      <c r="DJJ366" s="365"/>
      <c r="DJK366" s="370"/>
      <c r="DJL366" s="365"/>
      <c r="DJM366" s="370"/>
      <c r="DJN366" s="365"/>
      <c r="DJO366" s="370"/>
      <c r="DJP366" s="365"/>
      <c r="DJQ366" s="370"/>
      <c r="DJR366" s="365"/>
      <c r="DJS366" s="370"/>
      <c r="DJT366" s="365"/>
      <c r="DJU366" s="370"/>
      <c r="DJV366" s="365"/>
      <c r="DJW366" s="370"/>
      <c r="DJX366" s="365"/>
      <c r="DJY366" s="370"/>
      <c r="DJZ366" s="365"/>
      <c r="DKA366" s="370"/>
      <c r="DKB366" s="365"/>
      <c r="DKC366" s="370"/>
      <c r="DKD366" s="365"/>
      <c r="DKE366" s="370"/>
      <c r="DKF366" s="365"/>
      <c r="DKG366" s="370"/>
      <c r="DKH366" s="365"/>
      <c r="DKI366" s="370"/>
      <c r="DKJ366" s="365"/>
      <c r="DKK366" s="370"/>
      <c r="DKL366" s="365"/>
      <c r="DKM366" s="370"/>
      <c r="DKN366" s="365"/>
      <c r="DKO366" s="370"/>
      <c r="DKP366" s="365"/>
      <c r="DKQ366" s="370"/>
      <c r="DKR366" s="365"/>
      <c r="DKS366" s="370"/>
      <c r="DKT366" s="365"/>
      <c r="DKU366" s="370"/>
      <c r="DKV366" s="365"/>
      <c r="DKW366" s="370"/>
      <c r="DKX366" s="365"/>
      <c r="DKY366" s="370"/>
      <c r="DKZ366" s="365"/>
      <c r="DLA366" s="370"/>
      <c r="DLB366" s="365"/>
      <c r="DLC366" s="370"/>
      <c r="DLD366" s="365"/>
      <c r="DLE366" s="370"/>
      <c r="DLF366" s="365"/>
      <c r="DLG366" s="370"/>
      <c r="DLH366" s="365"/>
      <c r="DLI366" s="370"/>
      <c r="DLJ366" s="365"/>
      <c r="DLK366" s="370"/>
      <c r="DLL366" s="365"/>
      <c r="DLM366" s="370"/>
      <c r="DLN366" s="365"/>
      <c r="DLO366" s="370"/>
      <c r="DLP366" s="365"/>
      <c r="DLQ366" s="370"/>
      <c r="DLR366" s="365"/>
      <c r="DLS366" s="370"/>
      <c r="DLT366" s="365"/>
      <c r="DLU366" s="370"/>
      <c r="DLV366" s="365"/>
      <c r="DLW366" s="370"/>
      <c r="DLX366" s="365"/>
      <c r="DLY366" s="370"/>
      <c r="DLZ366" s="365"/>
      <c r="DMA366" s="370"/>
      <c r="DMB366" s="365"/>
      <c r="DMC366" s="370"/>
      <c r="DMD366" s="365"/>
      <c r="DME366" s="370"/>
      <c r="DMF366" s="365"/>
      <c r="DMG366" s="370"/>
      <c r="DMH366" s="365"/>
      <c r="DMI366" s="370"/>
      <c r="DMJ366" s="365"/>
      <c r="DMK366" s="370"/>
      <c r="DML366" s="365"/>
      <c r="DMM366" s="370"/>
      <c r="DMN366" s="365"/>
      <c r="DMO366" s="370"/>
      <c r="DMP366" s="365"/>
      <c r="DMQ366" s="370"/>
      <c r="DMR366" s="365"/>
      <c r="DMS366" s="370"/>
      <c r="DMT366" s="365"/>
      <c r="DMU366" s="370"/>
      <c r="DMV366" s="365"/>
      <c r="DMW366" s="370"/>
      <c r="DMX366" s="365"/>
      <c r="DMY366" s="370"/>
      <c r="DMZ366" s="365"/>
      <c r="DNA366" s="370"/>
      <c r="DNB366" s="365"/>
      <c r="DNC366" s="370"/>
      <c r="DND366" s="365"/>
      <c r="DNE366" s="370"/>
      <c r="DNF366" s="365"/>
      <c r="DNG366" s="370"/>
      <c r="DNH366" s="365"/>
      <c r="DNI366" s="370"/>
      <c r="DNJ366" s="365"/>
      <c r="DNK366" s="370"/>
      <c r="DNL366" s="365"/>
      <c r="DNM366" s="370"/>
      <c r="DNN366" s="365"/>
      <c r="DNO366" s="370"/>
      <c r="DNP366" s="365"/>
      <c r="DNQ366" s="370"/>
      <c r="DNR366" s="365"/>
      <c r="DNS366" s="370"/>
      <c r="DNT366" s="365"/>
      <c r="DNU366" s="370"/>
      <c r="DNV366" s="365"/>
      <c r="DNW366" s="370"/>
      <c r="DNX366" s="365"/>
      <c r="DNY366" s="370"/>
      <c r="DNZ366" s="365"/>
      <c r="DOA366" s="370"/>
      <c r="DOB366" s="365"/>
      <c r="DOC366" s="370"/>
      <c r="DOD366" s="365"/>
      <c r="DOE366" s="370"/>
      <c r="DOF366" s="365"/>
      <c r="DOG366" s="370"/>
      <c r="DOH366" s="365"/>
      <c r="DOI366" s="370"/>
      <c r="DOJ366" s="365"/>
      <c r="DOK366" s="370"/>
      <c r="DOL366" s="365"/>
      <c r="DOM366" s="370"/>
      <c r="DON366" s="365"/>
      <c r="DOO366" s="370"/>
      <c r="DOP366" s="365"/>
      <c r="DOQ366" s="370"/>
      <c r="DOR366" s="365"/>
      <c r="DOS366" s="370"/>
      <c r="DOT366" s="365"/>
      <c r="DOU366" s="370"/>
      <c r="DOV366" s="365"/>
      <c r="DOW366" s="370"/>
      <c r="DOX366" s="365"/>
      <c r="DOY366" s="370"/>
      <c r="DOZ366" s="365"/>
      <c r="DPA366" s="370"/>
      <c r="DPB366" s="365"/>
      <c r="DPC366" s="370"/>
      <c r="DPD366" s="365"/>
      <c r="DPE366" s="370"/>
      <c r="DPF366" s="365"/>
      <c r="DPG366" s="370"/>
      <c r="DPH366" s="365"/>
      <c r="DPI366" s="370"/>
      <c r="DPJ366" s="365"/>
      <c r="DPK366" s="370"/>
      <c r="DPL366" s="365"/>
      <c r="DPM366" s="370"/>
      <c r="DPN366" s="365"/>
      <c r="DPO366" s="370"/>
      <c r="DPP366" s="365"/>
      <c r="DPQ366" s="370"/>
      <c r="DPR366" s="365"/>
      <c r="DPS366" s="370"/>
      <c r="DPT366" s="365"/>
      <c r="DPU366" s="370"/>
      <c r="DPV366" s="365"/>
      <c r="DPW366" s="370"/>
      <c r="DPX366" s="365"/>
      <c r="DPY366" s="370"/>
      <c r="DPZ366" s="365"/>
      <c r="DQA366" s="370"/>
      <c r="DQB366" s="365"/>
      <c r="DQC366" s="370"/>
      <c r="DQD366" s="365"/>
      <c r="DQE366" s="370"/>
      <c r="DQF366" s="365"/>
      <c r="DQG366" s="370"/>
      <c r="DQH366" s="365"/>
      <c r="DQI366" s="370"/>
      <c r="DQJ366" s="365"/>
      <c r="DQK366" s="370"/>
      <c r="DQL366" s="365"/>
      <c r="DQM366" s="370"/>
      <c r="DQN366" s="365"/>
      <c r="DQO366" s="370"/>
      <c r="DQP366" s="365"/>
      <c r="DQQ366" s="370"/>
      <c r="DQR366" s="365"/>
      <c r="DQS366" s="370"/>
      <c r="DQT366" s="365"/>
      <c r="DQU366" s="370"/>
      <c r="DQV366" s="365"/>
      <c r="DQW366" s="370"/>
      <c r="DQX366" s="365"/>
      <c r="DQY366" s="370"/>
      <c r="DQZ366" s="365"/>
      <c r="DRA366" s="370"/>
      <c r="DRB366" s="365"/>
      <c r="DRC366" s="370"/>
      <c r="DRD366" s="365"/>
      <c r="DRE366" s="370"/>
      <c r="DRF366" s="365"/>
      <c r="DRG366" s="370"/>
      <c r="DRH366" s="365"/>
      <c r="DRI366" s="370"/>
      <c r="DRJ366" s="365"/>
      <c r="DRK366" s="370"/>
      <c r="DRL366" s="365"/>
      <c r="DRM366" s="370"/>
      <c r="DRN366" s="365"/>
      <c r="DRO366" s="370"/>
      <c r="DRP366" s="365"/>
      <c r="DRQ366" s="370"/>
      <c r="DRR366" s="365"/>
      <c r="DRS366" s="370"/>
      <c r="DRT366" s="365"/>
      <c r="DRU366" s="370"/>
      <c r="DRV366" s="365"/>
      <c r="DRW366" s="370"/>
      <c r="DRX366" s="365"/>
      <c r="DRY366" s="370"/>
      <c r="DRZ366" s="365"/>
      <c r="DSA366" s="370"/>
      <c r="DSB366" s="365"/>
      <c r="DSC366" s="370"/>
      <c r="DSD366" s="365"/>
      <c r="DSE366" s="370"/>
      <c r="DSF366" s="365"/>
      <c r="DSG366" s="370"/>
      <c r="DSH366" s="365"/>
      <c r="DSI366" s="370"/>
      <c r="DSJ366" s="365"/>
      <c r="DSK366" s="370"/>
      <c r="DSL366" s="365"/>
      <c r="DSM366" s="370"/>
      <c r="DSN366" s="365"/>
      <c r="DSO366" s="370"/>
      <c r="DSP366" s="365"/>
      <c r="DSQ366" s="370"/>
      <c r="DSR366" s="365"/>
      <c r="DSS366" s="370"/>
      <c r="DST366" s="365"/>
      <c r="DSU366" s="370"/>
      <c r="DSV366" s="365"/>
      <c r="DSW366" s="370"/>
      <c r="DSX366" s="365"/>
      <c r="DSY366" s="370"/>
      <c r="DSZ366" s="365"/>
      <c r="DTA366" s="370"/>
      <c r="DTB366" s="365"/>
      <c r="DTC366" s="370"/>
      <c r="DTD366" s="365"/>
      <c r="DTE366" s="370"/>
      <c r="DTF366" s="365"/>
      <c r="DTG366" s="370"/>
      <c r="DTH366" s="365"/>
      <c r="DTI366" s="370"/>
      <c r="DTJ366" s="365"/>
      <c r="DTK366" s="370"/>
      <c r="DTL366" s="365"/>
      <c r="DTM366" s="370"/>
      <c r="DTN366" s="365"/>
      <c r="DTO366" s="370"/>
      <c r="DTP366" s="365"/>
      <c r="DTQ366" s="370"/>
      <c r="DTR366" s="365"/>
      <c r="DTS366" s="370"/>
      <c r="DTT366" s="365"/>
      <c r="DTU366" s="370"/>
      <c r="DTV366" s="365"/>
      <c r="DTW366" s="370"/>
      <c r="DTX366" s="365"/>
      <c r="DTY366" s="370"/>
      <c r="DTZ366" s="365"/>
      <c r="DUA366" s="370"/>
      <c r="DUB366" s="365"/>
      <c r="DUC366" s="370"/>
      <c r="DUD366" s="365"/>
      <c r="DUE366" s="370"/>
      <c r="DUF366" s="365"/>
      <c r="DUG366" s="370"/>
      <c r="DUH366" s="365"/>
      <c r="DUI366" s="370"/>
      <c r="DUJ366" s="365"/>
      <c r="DUK366" s="370"/>
      <c r="DUL366" s="365"/>
      <c r="DUM366" s="370"/>
      <c r="DUN366" s="365"/>
      <c r="DUO366" s="370"/>
      <c r="DUP366" s="365"/>
      <c r="DUQ366" s="370"/>
      <c r="DUR366" s="365"/>
      <c r="DUS366" s="370"/>
      <c r="DUT366" s="365"/>
      <c r="DUU366" s="370"/>
      <c r="DUV366" s="365"/>
      <c r="DUW366" s="370"/>
      <c r="DUX366" s="365"/>
      <c r="DUY366" s="370"/>
      <c r="DUZ366" s="365"/>
      <c r="DVA366" s="370"/>
      <c r="DVB366" s="365"/>
      <c r="DVC366" s="370"/>
      <c r="DVD366" s="365"/>
      <c r="DVE366" s="370"/>
      <c r="DVF366" s="365"/>
      <c r="DVG366" s="370"/>
      <c r="DVH366" s="365"/>
      <c r="DVI366" s="370"/>
      <c r="DVJ366" s="365"/>
      <c r="DVK366" s="370"/>
      <c r="DVL366" s="365"/>
      <c r="DVM366" s="370"/>
      <c r="DVN366" s="365"/>
      <c r="DVO366" s="370"/>
      <c r="DVP366" s="365"/>
      <c r="DVQ366" s="370"/>
      <c r="DVR366" s="365"/>
      <c r="DVS366" s="370"/>
      <c r="DVT366" s="365"/>
      <c r="DVU366" s="370"/>
      <c r="DVV366" s="365"/>
      <c r="DVW366" s="370"/>
      <c r="DVX366" s="365"/>
      <c r="DVY366" s="370"/>
      <c r="DVZ366" s="365"/>
      <c r="DWA366" s="370"/>
      <c r="DWB366" s="365"/>
      <c r="DWC366" s="370"/>
      <c r="DWD366" s="365"/>
      <c r="DWE366" s="370"/>
      <c r="DWF366" s="365"/>
      <c r="DWG366" s="370"/>
      <c r="DWH366" s="365"/>
      <c r="DWI366" s="370"/>
      <c r="DWJ366" s="365"/>
      <c r="DWK366" s="370"/>
      <c r="DWL366" s="365"/>
      <c r="DWM366" s="370"/>
      <c r="DWN366" s="365"/>
      <c r="DWO366" s="370"/>
      <c r="DWP366" s="365"/>
      <c r="DWQ366" s="370"/>
      <c r="DWR366" s="365"/>
      <c r="DWS366" s="370"/>
      <c r="DWT366" s="365"/>
      <c r="DWU366" s="370"/>
      <c r="DWV366" s="365"/>
      <c r="DWW366" s="370"/>
      <c r="DWX366" s="365"/>
      <c r="DWY366" s="370"/>
      <c r="DWZ366" s="365"/>
      <c r="DXA366" s="370"/>
      <c r="DXB366" s="365"/>
      <c r="DXC366" s="370"/>
      <c r="DXD366" s="365"/>
      <c r="DXE366" s="370"/>
      <c r="DXF366" s="365"/>
      <c r="DXG366" s="370"/>
      <c r="DXH366" s="365"/>
      <c r="DXI366" s="370"/>
      <c r="DXJ366" s="365"/>
      <c r="DXK366" s="370"/>
      <c r="DXL366" s="365"/>
      <c r="DXM366" s="370"/>
      <c r="DXN366" s="365"/>
      <c r="DXO366" s="370"/>
      <c r="DXP366" s="365"/>
      <c r="DXQ366" s="370"/>
      <c r="DXR366" s="365"/>
      <c r="DXS366" s="370"/>
      <c r="DXT366" s="365"/>
      <c r="DXU366" s="370"/>
      <c r="DXV366" s="365"/>
      <c r="DXW366" s="370"/>
      <c r="DXX366" s="365"/>
      <c r="DXY366" s="370"/>
      <c r="DXZ366" s="365"/>
      <c r="DYA366" s="370"/>
      <c r="DYB366" s="365"/>
      <c r="DYC366" s="370"/>
      <c r="DYD366" s="365"/>
      <c r="DYE366" s="370"/>
      <c r="DYF366" s="365"/>
      <c r="DYG366" s="370"/>
      <c r="DYH366" s="365"/>
      <c r="DYI366" s="370"/>
      <c r="DYJ366" s="365"/>
      <c r="DYK366" s="370"/>
      <c r="DYL366" s="365"/>
      <c r="DYM366" s="370"/>
      <c r="DYN366" s="365"/>
      <c r="DYO366" s="370"/>
      <c r="DYP366" s="365"/>
      <c r="DYQ366" s="370"/>
      <c r="DYR366" s="365"/>
      <c r="DYS366" s="370"/>
      <c r="DYT366" s="365"/>
      <c r="DYU366" s="370"/>
      <c r="DYV366" s="365"/>
      <c r="DYW366" s="370"/>
      <c r="DYX366" s="365"/>
      <c r="DYY366" s="370"/>
      <c r="DYZ366" s="365"/>
      <c r="DZA366" s="370"/>
      <c r="DZB366" s="365"/>
      <c r="DZC366" s="370"/>
      <c r="DZD366" s="365"/>
      <c r="DZE366" s="370"/>
      <c r="DZF366" s="365"/>
      <c r="DZG366" s="370"/>
      <c r="DZH366" s="365"/>
      <c r="DZI366" s="370"/>
      <c r="DZJ366" s="365"/>
      <c r="DZK366" s="370"/>
      <c r="DZL366" s="365"/>
      <c r="DZM366" s="370"/>
      <c r="DZN366" s="365"/>
      <c r="DZO366" s="370"/>
      <c r="DZP366" s="365"/>
      <c r="DZQ366" s="370"/>
      <c r="DZR366" s="365"/>
      <c r="DZS366" s="370"/>
      <c r="DZT366" s="365"/>
      <c r="DZU366" s="370"/>
      <c r="DZV366" s="365"/>
      <c r="DZW366" s="370"/>
      <c r="DZX366" s="365"/>
      <c r="DZY366" s="370"/>
      <c r="DZZ366" s="365"/>
      <c r="EAA366" s="370"/>
      <c r="EAB366" s="365"/>
      <c r="EAC366" s="370"/>
      <c r="EAD366" s="365"/>
      <c r="EAE366" s="370"/>
      <c r="EAF366" s="365"/>
      <c r="EAG366" s="370"/>
      <c r="EAH366" s="365"/>
      <c r="EAI366" s="370"/>
      <c r="EAJ366" s="365"/>
      <c r="EAK366" s="370"/>
      <c r="EAL366" s="365"/>
      <c r="EAM366" s="370"/>
      <c r="EAN366" s="365"/>
      <c r="EAO366" s="370"/>
      <c r="EAP366" s="365"/>
      <c r="EAQ366" s="370"/>
      <c r="EAR366" s="365"/>
      <c r="EAS366" s="370"/>
      <c r="EAT366" s="365"/>
      <c r="EAU366" s="370"/>
      <c r="EAV366" s="365"/>
      <c r="EAW366" s="370"/>
      <c r="EAX366" s="365"/>
      <c r="EAY366" s="370"/>
      <c r="EAZ366" s="365"/>
      <c r="EBA366" s="370"/>
      <c r="EBB366" s="365"/>
      <c r="EBC366" s="370"/>
      <c r="EBD366" s="365"/>
      <c r="EBE366" s="370"/>
      <c r="EBF366" s="365"/>
      <c r="EBG366" s="370"/>
      <c r="EBH366" s="365"/>
      <c r="EBI366" s="370"/>
      <c r="EBJ366" s="365"/>
      <c r="EBK366" s="370"/>
      <c r="EBL366" s="365"/>
      <c r="EBM366" s="370"/>
      <c r="EBN366" s="365"/>
      <c r="EBO366" s="370"/>
      <c r="EBP366" s="365"/>
      <c r="EBQ366" s="370"/>
      <c r="EBR366" s="365"/>
      <c r="EBS366" s="370"/>
      <c r="EBT366" s="365"/>
      <c r="EBU366" s="370"/>
      <c r="EBV366" s="365"/>
      <c r="EBW366" s="370"/>
      <c r="EBX366" s="365"/>
      <c r="EBY366" s="370"/>
      <c r="EBZ366" s="365"/>
      <c r="ECA366" s="370"/>
      <c r="ECB366" s="365"/>
      <c r="ECC366" s="370"/>
      <c r="ECD366" s="365"/>
      <c r="ECE366" s="370"/>
      <c r="ECF366" s="365"/>
      <c r="ECG366" s="370"/>
      <c r="ECH366" s="365"/>
      <c r="ECI366" s="370"/>
      <c r="ECJ366" s="365"/>
      <c r="ECK366" s="370"/>
      <c r="ECL366" s="365"/>
      <c r="ECM366" s="370"/>
      <c r="ECN366" s="365"/>
      <c r="ECO366" s="370"/>
      <c r="ECP366" s="365"/>
      <c r="ECQ366" s="370"/>
      <c r="ECR366" s="365"/>
      <c r="ECS366" s="370"/>
      <c r="ECT366" s="365"/>
      <c r="ECU366" s="370"/>
      <c r="ECV366" s="365"/>
      <c r="ECW366" s="370"/>
      <c r="ECX366" s="365"/>
      <c r="ECY366" s="370"/>
      <c r="ECZ366" s="365"/>
      <c r="EDA366" s="370"/>
      <c r="EDB366" s="365"/>
      <c r="EDC366" s="370"/>
      <c r="EDD366" s="365"/>
      <c r="EDE366" s="370"/>
      <c r="EDF366" s="365"/>
      <c r="EDG366" s="370"/>
      <c r="EDH366" s="365"/>
      <c r="EDI366" s="370"/>
      <c r="EDJ366" s="365"/>
      <c r="EDK366" s="370"/>
      <c r="EDL366" s="365"/>
      <c r="EDM366" s="370"/>
      <c r="EDN366" s="365"/>
      <c r="EDO366" s="370"/>
      <c r="EDP366" s="365"/>
      <c r="EDQ366" s="370"/>
      <c r="EDR366" s="365"/>
      <c r="EDS366" s="370"/>
      <c r="EDT366" s="365"/>
      <c r="EDU366" s="370"/>
      <c r="EDV366" s="365"/>
      <c r="EDW366" s="370"/>
      <c r="EDX366" s="365"/>
      <c r="EDY366" s="370"/>
      <c r="EDZ366" s="365"/>
      <c r="EEA366" s="370"/>
      <c r="EEB366" s="365"/>
      <c r="EEC366" s="370"/>
      <c r="EED366" s="365"/>
      <c r="EEE366" s="370"/>
      <c r="EEF366" s="365"/>
      <c r="EEG366" s="370"/>
      <c r="EEH366" s="365"/>
      <c r="EEI366" s="370"/>
      <c r="EEJ366" s="365"/>
      <c r="EEK366" s="370"/>
      <c r="EEL366" s="365"/>
      <c r="EEM366" s="370"/>
      <c r="EEN366" s="365"/>
      <c r="EEO366" s="370"/>
      <c r="EEP366" s="365"/>
      <c r="EEQ366" s="370"/>
      <c r="EER366" s="365"/>
      <c r="EES366" s="370"/>
      <c r="EET366" s="365"/>
      <c r="EEU366" s="370"/>
      <c r="EEV366" s="365"/>
      <c r="EEW366" s="370"/>
      <c r="EEX366" s="365"/>
      <c r="EEY366" s="370"/>
      <c r="EEZ366" s="365"/>
      <c r="EFA366" s="370"/>
      <c r="EFB366" s="365"/>
      <c r="EFC366" s="370"/>
      <c r="EFD366" s="365"/>
      <c r="EFE366" s="370"/>
      <c r="EFF366" s="365"/>
      <c r="EFG366" s="370"/>
      <c r="EFH366" s="365"/>
      <c r="EFI366" s="370"/>
      <c r="EFJ366" s="365"/>
      <c r="EFK366" s="370"/>
      <c r="EFL366" s="365"/>
      <c r="EFM366" s="370"/>
      <c r="EFN366" s="365"/>
      <c r="EFO366" s="370"/>
      <c r="EFP366" s="365"/>
      <c r="EFQ366" s="370"/>
      <c r="EFR366" s="365"/>
      <c r="EFS366" s="370"/>
      <c r="EFT366" s="365"/>
      <c r="EFU366" s="370"/>
      <c r="EFV366" s="365"/>
      <c r="EFW366" s="370"/>
      <c r="EFX366" s="365"/>
      <c r="EFY366" s="370"/>
      <c r="EFZ366" s="365"/>
      <c r="EGA366" s="370"/>
      <c r="EGB366" s="365"/>
      <c r="EGC366" s="370"/>
      <c r="EGD366" s="365"/>
      <c r="EGE366" s="370"/>
      <c r="EGF366" s="365"/>
      <c r="EGG366" s="370"/>
      <c r="EGH366" s="365"/>
      <c r="EGI366" s="370"/>
      <c r="EGJ366" s="365"/>
      <c r="EGK366" s="370"/>
      <c r="EGL366" s="365"/>
      <c r="EGM366" s="370"/>
      <c r="EGN366" s="365"/>
      <c r="EGO366" s="370"/>
      <c r="EGP366" s="365"/>
      <c r="EGQ366" s="370"/>
      <c r="EGR366" s="365"/>
      <c r="EGS366" s="370"/>
      <c r="EGT366" s="365"/>
      <c r="EGU366" s="370"/>
      <c r="EGV366" s="365"/>
      <c r="EGW366" s="370"/>
      <c r="EGX366" s="365"/>
      <c r="EGY366" s="370"/>
      <c r="EGZ366" s="365"/>
      <c r="EHA366" s="370"/>
      <c r="EHB366" s="365"/>
      <c r="EHC366" s="370"/>
      <c r="EHD366" s="365"/>
      <c r="EHE366" s="370"/>
      <c r="EHF366" s="365"/>
      <c r="EHG366" s="370"/>
      <c r="EHH366" s="365"/>
      <c r="EHI366" s="370"/>
      <c r="EHJ366" s="365"/>
      <c r="EHK366" s="370"/>
      <c r="EHL366" s="365"/>
      <c r="EHM366" s="370"/>
      <c r="EHN366" s="365"/>
      <c r="EHO366" s="370"/>
      <c r="EHP366" s="365"/>
      <c r="EHQ366" s="370"/>
      <c r="EHR366" s="365"/>
      <c r="EHS366" s="370"/>
      <c r="EHT366" s="365"/>
      <c r="EHU366" s="370"/>
      <c r="EHV366" s="365"/>
      <c r="EHW366" s="370"/>
      <c r="EHX366" s="365"/>
      <c r="EHY366" s="370"/>
      <c r="EHZ366" s="365"/>
      <c r="EIA366" s="370"/>
      <c r="EIB366" s="365"/>
      <c r="EIC366" s="370"/>
      <c r="EID366" s="365"/>
      <c r="EIE366" s="370"/>
      <c r="EIF366" s="365"/>
      <c r="EIG366" s="370"/>
      <c r="EIH366" s="365"/>
      <c r="EII366" s="370"/>
      <c r="EIJ366" s="365"/>
      <c r="EIK366" s="370"/>
      <c r="EIL366" s="365"/>
      <c r="EIM366" s="370"/>
      <c r="EIN366" s="365"/>
      <c r="EIO366" s="370"/>
      <c r="EIP366" s="365"/>
      <c r="EIQ366" s="370"/>
      <c r="EIR366" s="365"/>
      <c r="EIS366" s="370"/>
      <c r="EIT366" s="365"/>
      <c r="EIU366" s="370"/>
      <c r="EIV366" s="365"/>
      <c r="EIW366" s="370"/>
      <c r="EIX366" s="365"/>
      <c r="EIY366" s="370"/>
      <c r="EIZ366" s="365"/>
      <c r="EJA366" s="370"/>
      <c r="EJB366" s="365"/>
      <c r="EJC366" s="370"/>
      <c r="EJD366" s="365"/>
      <c r="EJE366" s="370"/>
      <c r="EJF366" s="365"/>
      <c r="EJG366" s="370"/>
      <c r="EJH366" s="365"/>
      <c r="EJI366" s="370"/>
      <c r="EJJ366" s="365"/>
      <c r="EJK366" s="370"/>
      <c r="EJL366" s="365"/>
      <c r="EJM366" s="370"/>
      <c r="EJN366" s="365"/>
      <c r="EJO366" s="370"/>
      <c r="EJP366" s="365"/>
      <c r="EJQ366" s="370"/>
      <c r="EJR366" s="365"/>
      <c r="EJS366" s="370"/>
      <c r="EJT366" s="365"/>
      <c r="EJU366" s="370"/>
      <c r="EJV366" s="365"/>
      <c r="EJW366" s="370"/>
      <c r="EJX366" s="365"/>
      <c r="EJY366" s="370"/>
      <c r="EJZ366" s="365"/>
      <c r="EKA366" s="370"/>
      <c r="EKB366" s="365"/>
      <c r="EKC366" s="370"/>
      <c r="EKD366" s="365"/>
      <c r="EKE366" s="370"/>
      <c r="EKF366" s="365"/>
      <c r="EKG366" s="370"/>
      <c r="EKH366" s="365"/>
      <c r="EKI366" s="370"/>
      <c r="EKJ366" s="365"/>
      <c r="EKK366" s="370"/>
      <c r="EKL366" s="365"/>
      <c r="EKM366" s="370"/>
      <c r="EKN366" s="365"/>
      <c r="EKO366" s="370"/>
      <c r="EKP366" s="365"/>
      <c r="EKQ366" s="370"/>
      <c r="EKR366" s="365"/>
      <c r="EKS366" s="370"/>
      <c r="EKT366" s="365"/>
      <c r="EKU366" s="370"/>
      <c r="EKV366" s="365"/>
      <c r="EKW366" s="370"/>
      <c r="EKX366" s="365"/>
      <c r="EKY366" s="370"/>
      <c r="EKZ366" s="365"/>
      <c r="ELA366" s="370"/>
      <c r="ELB366" s="365"/>
      <c r="ELC366" s="370"/>
      <c r="ELD366" s="365"/>
      <c r="ELE366" s="370"/>
      <c r="ELF366" s="365"/>
      <c r="ELG366" s="370"/>
      <c r="ELH366" s="365"/>
      <c r="ELI366" s="370"/>
      <c r="ELJ366" s="365"/>
      <c r="ELK366" s="370"/>
      <c r="ELL366" s="365"/>
      <c r="ELM366" s="370"/>
      <c r="ELN366" s="365"/>
      <c r="ELO366" s="370"/>
      <c r="ELP366" s="365"/>
      <c r="ELQ366" s="370"/>
      <c r="ELR366" s="365"/>
      <c r="ELS366" s="370"/>
      <c r="ELT366" s="365"/>
      <c r="ELU366" s="370"/>
      <c r="ELV366" s="365"/>
      <c r="ELW366" s="370"/>
      <c r="ELX366" s="365"/>
      <c r="ELY366" s="370"/>
      <c r="ELZ366" s="365"/>
      <c r="EMA366" s="370"/>
      <c r="EMB366" s="365"/>
      <c r="EMC366" s="370"/>
      <c r="EMD366" s="365"/>
      <c r="EME366" s="370"/>
      <c r="EMF366" s="365"/>
      <c r="EMG366" s="370"/>
      <c r="EMH366" s="365"/>
      <c r="EMI366" s="370"/>
      <c r="EMJ366" s="365"/>
      <c r="EMK366" s="370"/>
      <c r="EML366" s="365"/>
      <c r="EMM366" s="370"/>
      <c r="EMN366" s="365"/>
      <c r="EMO366" s="370"/>
      <c r="EMP366" s="365"/>
      <c r="EMQ366" s="370"/>
      <c r="EMR366" s="365"/>
      <c r="EMS366" s="370"/>
      <c r="EMT366" s="365"/>
      <c r="EMU366" s="370"/>
      <c r="EMV366" s="365"/>
      <c r="EMW366" s="370"/>
      <c r="EMX366" s="365"/>
      <c r="EMY366" s="370"/>
      <c r="EMZ366" s="365"/>
      <c r="ENA366" s="370"/>
      <c r="ENB366" s="365"/>
      <c r="ENC366" s="370"/>
      <c r="END366" s="365"/>
      <c r="ENE366" s="370"/>
      <c r="ENF366" s="365"/>
      <c r="ENG366" s="370"/>
      <c r="ENH366" s="365"/>
      <c r="ENI366" s="370"/>
      <c r="ENJ366" s="365"/>
      <c r="ENK366" s="370"/>
      <c r="ENL366" s="365"/>
      <c r="ENM366" s="370"/>
      <c r="ENN366" s="365"/>
      <c r="ENO366" s="370"/>
      <c r="ENP366" s="365"/>
      <c r="ENQ366" s="370"/>
      <c r="ENR366" s="365"/>
      <c r="ENS366" s="370"/>
      <c r="ENT366" s="365"/>
      <c r="ENU366" s="370"/>
      <c r="ENV366" s="365"/>
      <c r="ENW366" s="370"/>
      <c r="ENX366" s="365"/>
      <c r="ENY366" s="370"/>
      <c r="ENZ366" s="365"/>
      <c r="EOA366" s="370"/>
      <c r="EOB366" s="365"/>
      <c r="EOC366" s="370"/>
      <c r="EOD366" s="365"/>
      <c r="EOE366" s="370"/>
      <c r="EOF366" s="365"/>
      <c r="EOG366" s="370"/>
      <c r="EOH366" s="365"/>
      <c r="EOI366" s="370"/>
      <c r="EOJ366" s="365"/>
      <c r="EOK366" s="370"/>
      <c r="EOL366" s="365"/>
      <c r="EOM366" s="370"/>
      <c r="EON366" s="365"/>
      <c r="EOO366" s="370"/>
      <c r="EOP366" s="365"/>
      <c r="EOQ366" s="370"/>
      <c r="EOR366" s="365"/>
      <c r="EOS366" s="370"/>
      <c r="EOT366" s="365"/>
      <c r="EOU366" s="370"/>
      <c r="EOV366" s="365"/>
      <c r="EOW366" s="370"/>
      <c r="EOX366" s="365"/>
      <c r="EOY366" s="370"/>
      <c r="EOZ366" s="365"/>
      <c r="EPA366" s="370"/>
      <c r="EPB366" s="365"/>
      <c r="EPC366" s="370"/>
      <c r="EPD366" s="365"/>
      <c r="EPE366" s="370"/>
      <c r="EPF366" s="365"/>
      <c r="EPG366" s="370"/>
      <c r="EPH366" s="365"/>
      <c r="EPI366" s="370"/>
      <c r="EPJ366" s="365"/>
      <c r="EPK366" s="370"/>
      <c r="EPL366" s="365"/>
      <c r="EPM366" s="370"/>
      <c r="EPN366" s="365"/>
      <c r="EPO366" s="370"/>
      <c r="EPP366" s="365"/>
      <c r="EPQ366" s="370"/>
      <c r="EPR366" s="365"/>
      <c r="EPS366" s="370"/>
      <c r="EPT366" s="365"/>
      <c r="EPU366" s="370"/>
      <c r="EPV366" s="365"/>
      <c r="EPW366" s="370"/>
      <c r="EPX366" s="365"/>
      <c r="EPY366" s="370"/>
      <c r="EPZ366" s="365"/>
      <c r="EQA366" s="370"/>
      <c r="EQB366" s="365"/>
      <c r="EQC366" s="370"/>
      <c r="EQD366" s="365"/>
      <c r="EQE366" s="370"/>
      <c r="EQF366" s="365"/>
      <c r="EQG366" s="370"/>
      <c r="EQH366" s="365"/>
      <c r="EQI366" s="370"/>
      <c r="EQJ366" s="365"/>
      <c r="EQK366" s="370"/>
      <c r="EQL366" s="365"/>
      <c r="EQM366" s="370"/>
      <c r="EQN366" s="365"/>
      <c r="EQO366" s="370"/>
      <c r="EQP366" s="365"/>
      <c r="EQQ366" s="370"/>
      <c r="EQR366" s="365"/>
      <c r="EQS366" s="370"/>
      <c r="EQT366" s="365"/>
      <c r="EQU366" s="370"/>
      <c r="EQV366" s="365"/>
      <c r="EQW366" s="370"/>
      <c r="EQX366" s="365"/>
      <c r="EQY366" s="370"/>
      <c r="EQZ366" s="365"/>
      <c r="ERA366" s="370"/>
      <c r="ERB366" s="365"/>
      <c r="ERC366" s="370"/>
      <c r="ERD366" s="365"/>
      <c r="ERE366" s="370"/>
      <c r="ERF366" s="365"/>
      <c r="ERG366" s="370"/>
      <c r="ERH366" s="365"/>
      <c r="ERI366" s="370"/>
      <c r="ERJ366" s="365"/>
      <c r="ERK366" s="370"/>
      <c r="ERL366" s="365"/>
      <c r="ERM366" s="370"/>
      <c r="ERN366" s="365"/>
      <c r="ERO366" s="370"/>
      <c r="ERP366" s="365"/>
      <c r="ERQ366" s="370"/>
      <c r="ERR366" s="365"/>
      <c r="ERS366" s="370"/>
      <c r="ERT366" s="365"/>
      <c r="ERU366" s="370"/>
      <c r="ERV366" s="365"/>
      <c r="ERW366" s="370"/>
      <c r="ERX366" s="365"/>
      <c r="ERY366" s="370"/>
      <c r="ERZ366" s="365"/>
      <c r="ESA366" s="370"/>
      <c r="ESB366" s="365"/>
      <c r="ESC366" s="370"/>
      <c r="ESD366" s="365"/>
      <c r="ESE366" s="370"/>
      <c r="ESF366" s="365"/>
      <c r="ESG366" s="370"/>
      <c r="ESH366" s="365"/>
      <c r="ESI366" s="370"/>
      <c r="ESJ366" s="365"/>
      <c r="ESK366" s="370"/>
      <c r="ESL366" s="365"/>
      <c r="ESM366" s="370"/>
      <c r="ESN366" s="365"/>
      <c r="ESO366" s="370"/>
      <c r="ESP366" s="365"/>
      <c r="ESQ366" s="370"/>
      <c r="ESR366" s="365"/>
      <c r="ESS366" s="370"/>
      <c r="EST366" s="365"/>
      <c r="ESU366" s="370"/>
      <c r="ESV366" s="365"/>
      <c r="ESW366" s="370"/>
      <c r="ESX366" s="365"/>
      <c r="ESY366" s="370"/>
      <c r="ESZ366" s="365"/>
      <c r="ETA366" s="370"/>
      <c r="ETB366" s="365"/>
      <c r="ETC366" s="370"/>
      <c r="ETD366" s="365"/>
      <c r="ETE366" s="370"/>
      <c r="ETF366" s="365"/>
      <c r="ETG366" s="370"/>
      <c r="ETH366" s="365"/>
      <c r="ETI366" s="370"/>
      <c r="ETJ366" s="365"/>
      <c r="ETK366" s="370"/>
      <c r="ETL366" s="365"/>
      <c r="ETM366" s="370"/>
      <c r="ETN366" s="365"/>
      <c r="ETO366" s="370"/>
      <c r="ETP366" s="365"/>
      <c r="ETQ366" s="370"/>
      <c r="ETR366" s="365"/>
      <c r="ETS366" s="370"/>
      <c r="ETT366" s="365"/>
      <c r="ETU366" s="370"/>
      <c r="ETV366" s="365"/>
      <c r="ETW366" s="370"/>
      <c r="ETX366" s="365"/>
      <c r="ETY366" s="370"/>
      <c r="ETZ366" s="365"/>
      <c r="EUA366" s="370"/>
      <c r="EUB366" s="365"/>
      <c r="EUC366" s="370"/>
      <c r="EUD366" s="365"/>
      <c r="EUE366" s="370"/>
      <c r="EUF366" s="365"/>
      <c r="EUG366" s="370"/>
      <c r="EUH366" s="365"/>
      <c r="EUI366" s="370"/>
      <c r="EUJ366" s="365"/>
      <c r="EUK366" s="370"/>
      <c r="EUL366" s="365"/>
      <c r="EUM366" s="370"/>
      <c r="EUN366" s="365"/>
      <c r="EUO366" s="370"/>
      <c r="EUP366" s="365"/>
      <c r="EUQ366" s="370"/>
      <c r="EUR366" s="365"/>
      <c r="EUS366" s="370"/>
      <c r="EUT366" s="365"/>
      <c r="EUU366" s="370"/>
      <c r="EUV366" s="365"/>
      <c r="EUW366" s="370"/>
      <c r="EUX366" s="365"/>
      <c r="EUY366" s="370"/>
      <c r="EUZ366" s="365"/>
      <c r="EVA366" s="370"/>
      <c r="EVB366" s="365"/>
      <c r="EVC366" s="370"/>
      <c r="EVD366" s="365"/>
      <c r="EVE366" s="370"/>
      <c r="EVF366" s="365"/>
      <c r="EVG366" s="370"/>
      <c r="EVH366" s="365"/>
      <c r="EVI366" s="370"/>
      <c r="EVJ366" s="365"/>
      <c r="EVK366" s="370"/>
      <c r="EVL366" s="365"/>
      <c r="EVM366" s="370"/>
      <c r="EVN366" s="365"/>
      <c r="EVO366" s="370"/>
      <c r="EVP366" s="365"/>
      <c r="EVQ366" s="370"/>
      <c r="EVR366" s="365"/>
      <c r="EVS366" s="370"/>
      <c r="EVT366" s="365"/>
      <c r="EVU366" s="370"/>
      <c r="EVV366" s="365"/>
      <c r="EVW366" s="370"/>
      <c r="EVX366" s="365"/>
      <c r="EVY366" s="370"/>
      <c r="EVZ366" s="365"/>
      <c r="EWA366" s="370"/>
      <c r="EWB366" s="365"/>
      <c r="EWC366" s="370"/>
      <c r="EWD366" s="365"/>
      <c r="EWE366" s="370"/>
      <c r="EWF366" s="365"/>
      <c r="EWG366" s="370"/>
      <c r="EWH366" s="365"/>
      <c r="EWI366" s="370"/>
      <c r="EWJ366" s="365"/>
      <c r="EWK366" s="370"/>
      <c r="EWL366" s="365"/>
      <c r="EWM366" s="370"/>
      <c r="EWN366" s="365"/>
      <c r="EWO366" s="370"/>
      <c r="EWP366" s="365"/>
      <c r="EWQ366" s="370"/>
      <c r="EWR366" s="365"/>
      <c r="EWS366" s="370"/>
      <c r="EWT366" s="365"/>
      <c r="EWU366" s="370"/>
      <c r="EWV366" s="365"/>
      <c r="EWW366" s="370"/>
      <c r="EWX366" s="365"/>
      <c r="EWY366" s="370"/>
      <c r="EWZ366" s="365"/>
      <c r="EXA366" s="370"/>
      <c r="EXB366" s="365"/>
      <c r="EXC366" s="370"/>
      <c r="EXD366" s="365"/>
      <c r="EXE366" s="370"/>
      <c r="EXF366" s="365"/>
      <c r="EXG366" s="370"/>
      <c r="EXH366" s="365"/>
      <c r="EXI366" s="370"/>
      <c r="EXJ366" s="365"/>
      <c r="EXK366" s="370"/>
      <c r="EXL366" s="365"/>
      <c r="EXM366" s="370"/>
      <c r="EXN366" s="365"/>
      <c r="EXO366" s="370"/>
      <c r="EXP366" s="365"/>
      <c r="EXQ366" s="370"/>
      <c r="EXR366" s="365"/>
      <c r="EXS366" s="370"/>
      <c r="EXT366" s="365"/>
      <c r="EXU366" s="370"/>
      <c r="EXV366" s="365"/>
      <c r="EXW366" s="370"/>
      <c r="EXX366" s="365"/>
      <c r="EXY366" s="370"/>
      <c r="EXZ366" s="365"/>
      <c r="EYA366" s="370"/>
      <c r="EYB366" s="365"/>
      <c r="EYC366" s="370"/>
      <c r="EYD366" s="365"/>
      <c r="EYE366" s="370"/>
      <c r="EYF366" s="365"/>
      <c r="EYG366" s="370"/>
      <c r="EYH366" s="365"/>
      <c r="EYI366" s="370"/>
      <c r="EYJ366" s="365"/>
      <c r="EYK366" s="370"/>
      <c r="EYL366" s="365"/>
      <c r="EYM366" s="370"/>
      <c r="EYN366" s="365"/>
      <c r="EYO366" s="370"/>
      <c r="EYP366" s="365"/>
      <c r="EYQ366" s="370"/>
      <c r="EYR366" s="365"/>
      <c r="EYS366" s="370"/>
      <c r="EYT366" s="365"/>
      <c r="EYU366" s="370"/>
      <c r="EYV366" s="365"/>
      <c r="EYW366" s="370"/>
      <c r="EYX366" s="365"/>
      <c r="EYY366" s="370"/>
      <c r="EYZ366" s="365"/>
      <c r="EZA366" s="370"/>
      <c r="EZB366" s="365"/>
      <c r="EZC366" s="370"/>
      <c r="EZD366" s="365"/>
      <c r="EZE366" s="370"/>
      <c r="EZF366" s="365"/>
      <c r="EZG366" s="370"/>
      <c r="EZH366" s="365"/>
      <c r="EZI366" s="370"/>
      <c r="EZJ366" s="365"/>
      <c r="EZK366" s="370"/>
      <c r="EZL366" s="365"/>
      <c r="EZM366" s="370"/>
      <c r="EZN366" s="365"/>
      <c r="EZO366" s="370"/>
      <c r="EZP366" s="365"/>
      <c r="EZQ366" s="370"/>
      <c r="EZR366" s="365"/>
      <c r="EZS366" s="370"/>
      <c r="EZT366" s="365"/>
      <c r="EZU366" s="370"/>
      <c r="EZV366" s="365"/>
      <c r="EZW366" s="370"/>
      <c r="EZX366" s="365"/>
      <c r="EZY366" s="370"/>
      <c r="EZZ366" s="365"/>
      <c r="FAA366" s="370"/>
      <c r="FAB366" s="365"/>
      <c r="FAC366" s="370"/>
      <c r="FAD366" s="365"/>
      <c r="FAE366" s="370"/>
      <c r="FAF366" s="365"/>
      <c r="FAG366" s="370"/>
      <c r="FAH366" s="365"/>
      <c r="FAI366" s="370"/>
      <c r="FAJ366" s="365"/>
      <c r="FAK366" s="370"/>
      <c r="FAL366" s="365"/>
      <c r="FAM366" s="370"/>
      <c r="FAN366" s="365"/>
      <c r="FAO366" s="370"/>
      <c r="FAP366" s="365"/>
      <c r="FAQ366" s="370"/>
      <c r="FAR366" s="365"/>
      <c r="FAS366" s="370"/>
      <c r="FAT366" s="365"/>
      <c r="FAU366" s="370"/>
      <c r="FAV366" s="365"/>
      <c r="FAW366" s="370"/>
      <c r="FAX366" s="365"/>
      <c r="FAY366" s="370"/>
      <c r="FAZ366" s="365"/>
      <c r="FBA366" s="370"/>
      <c r="FBB366" s="365"/>
      <c r="FBC366" s="370"/>
      <c r="FBD366" s="365"/>
      <c r="FBE366" s="370"/>
      <c r="FBF366" s="365"/>
      <c r="FBG366" s="370"/>
      <c r="FBH366" s="365"/>
      <c r="FBI366" s="370"/>
      <c r="FBJ366" s="365"/>
      <c r="FBK366" s="370"/>
      <c r="FBL366" s="365"/>
      <c r="FBM366" s="370"/>
      <c r="FBN366" s="365"/>
      <c r="FBO366" s="370"/>
      <c r="FBP366" s="365"/>
      <c r="FBQ366" s="370"/>
      <c r="FBR366" s="365"/>
      <c r="FBS366" s="370"/>
      <c r="FBT366" s="365"/>
      <c r="FBU366" s="370"/>
      <c r="FBV366" s="365"/>
      <c r="FBW366" s="370"/>
      <c r="FBX366" s="365"/>
      <c r="FBY366" s="370"/>
      <c r="FBZ366" s="365"/>
      <c r="FCA366" s="370"/>
      <c r="FCB366" s="365"/>
      <c r="FCC366" s="370"/>
      <c r="FCD366" s="365"/>
      <c r="FCE366" s="370"/>
      <c r="FCF366" s="365"/>
      <c r="FCG366" s="370"/>
      <c r="FCH366" s="365"/>
      <c r="FCI366" s="370"/>
      <c r="FCJ366" s="365"/>
      <c r="FCK366" s="370"/>
      <c r="FCL366" s="365"/>
      <c r="FCM366" s="370"/>
      <c r="FCN366" s="365"/>
      <c r="FCO366" s="370"/>
      <c r="FCP366" s="365"/>
      <c r="FCQ366" s="370"/>
      <c r="FCR366" s="365"/>
      <c r="FCS366" s="370"/>
      <c r="FCT366" s="365"/>
      <c r="FCU366" s="370"/>
      <c r="FCV366" s="365"/>
      <c r="FCW366" s="370"/>
      <c r="FCX366" s="365"/>
      <c r="FCY366" s="370"/>
      <c r="FCZ366" s="365"/>
      <c r="FDA366" s="370"/>
      <c r="FDB366" s="365"/>
      <c r="FDC366" s="370"/>
      <c r="FDD366" s="365"/>
      <c r="FDE366" s="370"/>
      <c r="FDF366" s="365"/>
      <c r="FDG366" s="370"/>
      <c r="FDH366" s="365"/>
      <c r="FDI366" s="370"/>
      <c r="FDJ366" s="365"/>
      <c r="FDK366" s="370"/>
      <c r="FDL366" s="365"/>
      <c r="FDM366" s="370"/>
      <c r="FDN366" s="365"/>
      <c r="FDO366" s="370"/>
      <c r="FDP366" s="365"/>
      <c r="FDQ366" s="370"/>
      <c r="FDR366" s="365"/>
      <c r="FDS366" s="370"/>
      <c r="FDT366" s="365"/>
      <c r="FDU366" s="370"/>
      <c r="FDV366" s="365"/>
      <c r="FDW366" s="370"/>
      <c r="FDX366" s="365"/>
      <c r="FDY366" s="370"/>
      <c r="FDZ366" s="365"/>
      <c r="FEA366" s="370"/>
      <c r="FEB366" s="365"/>
      <c r="FEC366" s="370"/>
      <c r="FED366" s="365"/>
      <c r="FEE366" s="370"/>
      <c r="FEF366" s="365"/>
      <c r="FEG366" s="370"/>
      <c r="FEH366" s="365"/>
      <c r="FEI366" s="370"/>
      <c r="FEJ366" s="365"/>
      <c r="FEK366" s="370"/>
      <c r="FEL366" s="365"/>
      <c r="FEM366" s="370"/>
      <c r="FEN366" s="365"/>
      <c r="FEO366" s="370"/>
      <c r="FEP366" s="365"/>
      <c r="FEQ366" s="370"/>
      <c r="FER366" s="365"/>
      <c r="FES366" s="370"/>
      <c r="FET366" s="365"/>
      <c r="FEU366" s="370"/>
      <c r="FEV366" s="365"/>
      <c r="FEW366" s="370"/>
      <c r="FEX366" s="365"/>
      <c r="FEY366" s="370"/>
      <c r="FEZ366" s="365"/>
      <c r="FFA366" s="370"/>
      <c r="FFB366" s="365"/>
      <c r="FFC366" s="370"/>
      <c r="FFD366" s="365"/>
      <c r="FFE366" s="370"/>
      <c r="FFF366" s="365"/>
      <c r="FFG366" s="370"/>
      <c r="FFH366" s="365"/>
      <c r="FFI366" s="370"/>
      <c r="FFJ366" s="365"/>
      <c r="FFK366" s="370"/>
      <c r="FFL366" s="365"/>
      <c r="FFM366" s="370"/>
      <c r="FFN366" s="365"/>
      <c r="FFO366" s="370"/>
      <c r="FFP366" s="365"/>
      <c r="FFQ366" s="370"/>
      <c r="FFR366" s="365"/>
      <c r="FFS366" s="370"/>
      <c r="FFT366" s="365"/>
      <c r="FFU366" s="370"/>
      <c r="FFV366" s="365"/>
      <c r="FFW366" s="370"/>
      <c r="FFX366" s="365"/>
      <c r="FFY366" s="370"/>
      <c r="FFZ366" s="365"/>
      <c r="FGA366" s="370"/>
      <c r="FGB366" s="365"/>
      <c r="FGC366" s="370"/>
      <c r="FGD366" s="365"/>
      <c r="FGE366" s="370"/>
      <c r="FGF366" s="365"/>
      <c r="FGG366" s="370"/>
      <c r="FGH366" s="365"/>
      <c r="FGI366" s="370"/>
      <c r="FGJ366" s="365"/>
      <c r="FGK366" s="370"/>
      <c r="FGL366" s="365"/>
      <c r="FGM366" s="370"/>
      <c r="FGN366" s="365"/>
      <c r="FGO366" s="370"/>
      <c r="FGP366" s="365"/>
      <c r="FGQ366" s="370"/>
      <c r="FGR366" s="365"/>
      <c r="FGS366" s="370"/>
      <c r="FGT366" s="365"/>
      <c r="FGU366" s="370"/>
      <c r="FGV366" s="365"/>
      <c r="FGW366" s="370"/>
      <c r="FGX366" s="365"/>
      <c r="FGY366" s="370"/>
      <c r="FGZ366" s="365"/>
      <c r="FHA366" s="370"/>
      <c r="FHB366" s="365"/>
      <c r="FHC366" s="370"/>
      <c r="FHD366" s="365"/>
      <c r="FHE366" s="370"/>
      <c r="FHF366" s="365"/>
      <c r="FHG366" s="370"/>
      <c r="FHH366" s="365"/>
      <c r="FHI366" s="370"/>
      <c r="FHJ366" s="365"/>
      <c r="FHK366" s="370"/>
      <c r="FHL366" s="365"/>
      <c r="FHM366" s="370"/>
      <c r="FHN366" s="365"/>
      <c r="FHO366" s="370"/>
      <c r="FHP366" s="365"/>
      <c r="FHQ366" s="370"/>
      <c r="FHR366" s="365"/>
      <c r="FHS366" s="370"/>
      <c r="FHT366" s="365"/>
      <c r="FHU366" s="370"/>
      <c r="FHV366" s="365"/>
      <c r="FHW366" s="370"/>
      <c r="FHX366" s="365"/>
      <c r="FHY366" s="370"/>
      <c r="FHZ366" s="365"/>
      <c r="FIA366" s="370"/>
      <c r="FIB366" s="365"/>
      <c r="FIC366" s="370"/>
      <c r="FID366" s="365"/>
      <c r="FIE366" s="370"/>
      <c r="FIF366" s="365"/>
      <c r="FIG366" s="370"/>
      <c r="FIH366" s="365"/>
      <c r="FII366" s="370"/>
      <c r="FIJ366" s="365"/>
      <c r="FIK366" s="370"/>
      <c r="FIL366" s="365"/>
      <c r="FIM366" s="370"/>
      <c r="FIN366" s="365"/>
      <c r="FIO366" s="370"/>
      <c r="FIP366" s="365"/>
      <c r="FIQ366" s="370"/>
      <c r="FIR366" s="365"/>
      <c r="FIS366" s="370"/>
      <c r="FIT366" s="365"/>
      <c r="FIU366" s="370"/>
      <c r="FIV366" s="365"/>
      <c r="FIW366" s="370"/>
      <c r="FIX366" s="365"/>
      <c r="FIY366" s="370"/>
      <c r="FIZ366" s="365"/>
      <c r="FJA366" s="370"/>
      <c r="FJB366" s="365"/>
      <c r="FJC366" s="370"/>
      <c r="FJD366" s="365"/>
      <c r="FJE366" s="370"/>
      <c r="FJF366" s="365"/>
      <c r="FJG366" s="370"/>
      <c r="FJH366" s="365"/>
      <c r="FJI366" s="370"/>
      <c r="FJJ366" s="365"/>
      <c r="FJK366" s="370"/>
      <c r="FJL366" s="365"/>
      <c r="FJM366" s="370"/>
      <c r="FJN366" s="365"/>
      <c r="FJO366" s="370"/>
      <c r="FJP366" s="365"/>
      <c r="FJQ366" s="370"/>
      <c r="FJR366" s="365"/>
      <c r="FJS366" s="370"/>
      <c r="FJT366" s="365"/>
      <c r="FJU366" s="370"/>
      <c r="FJV366" s="365"/>
      <c r="FJW366" s="370"/>
      <c r="FJX366" s="365"/>
      <c r="FJY366" s="370"/>
      <c r="FJZ366" s="365"/>
      <c r="FKA366" s="370"/>
      <c r="FKB366" s="365"/>
      <c r="FKC366" s="370"/>
      <c r="FKD366" s="365"/>
      <c r="FKE366" s="370"/>
      <c r="FKF366" s="365"/>
      <c r="FKG366" s="370"/>
      <c r="FKH366" s="365"/>
      <c r="FKI366" s="370"/>
      <c r="FKJ366" s="365"/>
      <c r="FKK366" s="370"/>
      <c r="FKL366" s="365"/>
      <c r="FKM366" s="370"/>
      <c r="FKN366" s="365"/>
      <c r="FKO366" s="370"/>
      <c r="FKP366" s="365"/>
      <c r="FKQ366" s="370"/>
      <c r="FKR366" s="365"/>
      <c r="FKS366" s="370"/>
      <c r="FKT366" s="365"/>
      <c r="FKU366" s="370"/>
      <c r="FKV366" s="365"/>
      <c r="FKW366" s="370"/>
      <c r="FKX366" s="365"/>
      <c r="FKY366" s="370"/>
      <c r="FKZ366" s="365"/>
      <c r="FLA366" s="370"/>
      <c r="FLB366" s="365"/>
      <c r="FLC366" s="370"/>
      <c r="FLD366" s="365"/>
      <c r="FLE366" s="370"/>
      <c r="FLF366" s="365"/>
      <c r="FLG366" s="370"/>
      <c r="FLH366" s="365"/>
      <c r="FLI366" s="370"/>
      <c r="FLJ366" s="365"/>
      <c r="FLK366" s="370"/>
      <c r="FLL366" s="365"/>
      <c r="FLM366" s="370"/>
      <c r="FLN366" s="365"/>
      <c r="FLO366" s="370"/>
      <c r="FLP366" s="365"/>
      <c r="FLQ366" s="370"/>
      <c r="FLR366" s="365"/>
      <c r="FLS366" s="370"/>
      <c r="FLT366" s="365"/>
      <c r="FLU366" s="370"/>
      <c r="FLV366" s="365"/>
      <c r="FLW366" s="370"/>
      <c r="FLX366" s="365"/>
      <c r="FLY366" s="370"/>
      <c r="FLZ366" s="365"/>
      <c r="FMA366" s="370"/>
      <c r="FMB366" s="365"/>
      <c r="FMC366" s="370"/>
      <c r="FMD366" s="365"/>
      <c r="FME366" s="370"/>
      <c r="FMF366" s="365"/>
      <c r="FMG366" s="370"/>
      <c r="FMH366" s="365"/>
      <c r="FMI366" s="370"/>
      <c r="FMJ366" s="365"/>
      <c r="FMK366" s="370"/>
      <c r="FML366" s="365"/>
      <c r="FMM366" s="370"/>
      <c r="FMN366" s="365"/>
      <c r="FMO366" s="370"/>
      <c r="FMP366" s="365"/>
      <c r="FMQ366" s="370"/>
      <c r="FMR366" s="365"/>
      <c r="FMS366" s="370"/>
      <c r="FMT366" s="365"/>
      <c r="FMU366" s="370"/>
      <c r="FMV366" s="365"/>
      <c r="FMW366" s="370"/>
      <c r="FMX366" s="365"/>
      <c r="FMY366" s="370"/>
      <c r="FMZ366" s="365"/>
      <c r="FNA366" s="370"/>
      <c r="FNB366" s="365"/>
      <c r="FNC366" s="370"/>
      <c r="FND366" s="365"/>
      <c r="FNE366" s="370"/>
      <c r="FNF366" s="365"/>
      <c r="FNG366" s="370"/>
      <c r="FNH366" s="365"/>
      <c r="FNI366" s="370"/>
      <c r="FNJ366" s="365"/>
      <c r="FNK366" s="370"/>
      <c r="FNL366" s="365"/>
      <c r="FNM366" s="370"/>
      <c r="FNN366" s="365"/>
      <c r="FNO366" s="370"/>
      <c r="FNP366" s="365"/>
      <c r="FNQ366" s="370"/>
      <c r="FNR366" s="365"/>
      <c r="FNS366" s="370"/>
      <c r="FNT366" s="365"/>
      <c r="FNU366" s="370"/>
      <c r="FNV366" s="365"/>
      <c r="FNW366" s="370"/>
      <c r="FNX366" s="365"/>
      <c r="FNY366" s="370"/>
      <c r="FNZ366" s="365"/>
      <c r="FOA366" s="370"/>
      <c r="FOB366" s="365"/>
      <c r="FOC366" s="370"/>
      <c r="FOD366" s="365"/>
      <c r="FOE366" s="370"/>
      <c r="FOF366" s="365"/>
      <c r="FOG366" s="370"/>
      <c r="FOH366" s="365"/>
      <c r="FOI366" s="370"/>
      <c r="FOJ366" s="365"/>
      <c r="FOK366" s="370"/>
      <c r="FOL366" s="365"/>
      <c r="FOM366" s="370"/>
      <c r="FON366" s="365"/>
      <c r="FOO366" s="370"/>
      <c r="FOP366" s="365"/>
      <c r="FOQ366" s="370"/>
      <c r="FOR366" s="365"/>
      <c r="FOS366" s="370"/>
      <c r="FOT366" s="365"/>
      <c r="FOU366" s="370"/>
      <c r="FOV366" s="365"/>
      <c r="FOW366" s="370"/>
      <c r="FOX366" s="365"/>
      <c r="FOY366" s="370"/>
      <c r="FOZ366" s="365"/>
      <c r="FPA366" s="370"/>
      <c r="FPB366" s="365"/>
      <c r="FPC366" s="370"/>
      <c r="FPD366" s="365"/>
      <c r="FPE366" s="370"/>
      <c r="FPF366" s="365"/>
      <c r="FPG366" s="370"/>
      <c r="FPH366" s="365"/>
      <c r="FPI366" s="370"/>
      <c r="FPJ366" s="365"/>
      <c r="FPK366" s="370"/>
      <c r="FPL366" s="365"/>
      <c r="FPM366" s="370"/>
      <c r="FPN366" s="365"/>
      <c r="FPO366" s="370"/>
      <c r="FPP366" s="365"/>
      <c r="FPQ366" s="370"/>
      <c r="FPR366" s="365"/>
      <c r="FPS366" s="370"/>
      <c r="FPT366" s="365"/>
      <c r="FPU366" s="370"/>
      <c r="FPV366" s="365"/>
      <c r="FPW366" s="370"/>
      <c r="FPX366" s="365"/>
      <c r="FPY366" s="370"/>
      <c r="FPZ366" s="365"/>
      <c r="FQA366" s="370"/>
      <c r="FQB366" s="365"/>
      <c r="FQC366" s="370"/>
      <c r="FQD366" s="365"/>
      <c r="FQE366" s="370"/>
      <c r="FQF366" s="365"/>
      <c r="FQG366" s="370"/>
      <c r="FQH366" s="365"/>
      <c r="FQI366" s="370"/>
      <c r="FQJ366" s="365"/>
      <c r="FQK366" s="370"/>
      <c r="FQL366" s="365"/>
      <c r="FQM366" s="370"/>
      <c r="FQN366" s="365"/>
      <c r="FQO366" s="370"/>
      <c r="FQP366" s="365"/>
      <c r="FQQ366" s="370"/>
      <c r="FQR366" s="365"/>
      <c r="FQS366" s="370"/>
      <c r="FQT366" s="365"/>
      <c r="FQU366" s="370"/>
      <c r="FQV366" s="365"/>
      <c r="FQW366" s="370"/>
      <c r="FQX366" s="365"/>
      <c r="FQY366" s="370"/>
      <c r="FQZ366" s="365"/>
      <c r="FRA366" s="370"/>
      <c r="FRB366" s="365"/>
      <c r="FRC366" s="370"/>
      <c r="FRD366" s="365"/>
      <c r="FRE366" s="370"/>
      <c r="FRF366" s="365"/>
      <c r="FRG366" s="370"/>
      <c r="FRH366" s="365"/>
      <c r="FRI366" s="370"/>
      <c r="FRJ366" s="365"/>
      <c r="FRK366" s="370"/>
      <c r="FRL366" s="365"/>
      <c r="FRM366" s="370"/>
      <c r="FRN366" s="365"/>
      <c r="FRO366" s="370"/>
      <c r="FRP366" s="365"/>
      <c r="FRQ366" s="370"/>
      <c r="FRR366" s="365"/>
      <c r="FRS366" s="370"/>
      <c r="FRT366" s="365"/>
      <c r="FRU366" s="370"/>
      <c r="FRV366" s="365"/>
      <c r="FRW366" s="370"/>
      <c r="FRX366" s="365"/>
      <c r="FRY366" s="370"/>
      <c r="FRZ366" s="365"/>
      <c r="FSA366" s="370"/>
      <c r="FSB366" s="365"/>
      <c r="FSC366" s="370"/>
      <c r="FSD366" s="365"/>
      <c r="FSE366" s="370"/>
      <c r="FSF366" s="365"/>
      <c r="FSG366" s="370"/>
      <c r="FSH366" s="365"/>
      <c r="FSI366" s="370"/>
      <c r="FSJ366" s="365"/>
      <c r="FSK366" s="370"/>
      <c r="FSL366" s="365"/>
      <c r="FSM366" s="370"/>
      <c r="FSN366" s="365"/>
      <c r="FSO366" s="370"/>
      <c r="FSP366" s="365"/>
      <c r="FSQ366" s="370"/>
      <c r="FSR366" s="365"/>
      <c r="FSS366" s="370"/>
      <c r="FST366" s="365"/>
      <c r="FSU366" s="370"/>
      <c r="FSV366" s="365"/>
      <c r="FSW366" s="370"/>
      <c r="FSX366" s="365"/>
      <c r="FSY366" s="370"/>
      <c r="FSZ366" s="365"/>
      <c r="FTA366" s="370"/>
      <c r="FTB366" s="365"/>
      <c r="FTC366" s="370"/>
      <c r="FTD366" s="365"/>
      <c r="FTE366" s="370"/>
      <c r="FTF366" s="365"/>
      <c r="FTG366" s="370"/>
      <c r="FTH366" s="365"/>
      <c r="FTI366" s="370"/>
      <c r="FTJ366" s="365"/>
      <c r="FTK366" s="370"/>
      <c r="FTL366" s="365"/>
      <c r="FTM366" s="370"/>
      <c r="FTN366" s="365"/>
      <c r="FTO366" s="370"/>
      <c r="FTP366" s="365"/>
      <c r="FTQ366" s="370"/>
      <c r="FTR366" s="365"/>
      <c r="FTS366" s="370"/>
      <c r="FTT366" s="365"/>
      <c r="FTU366" s="370"/>
      <c r="FTV366" s="365"/>
      <c r="FTW366" s="370"/>
      <c r="FTX366" s="365"/>
      <c r="FTY366" s="370"/>
      <c r="FTZ366" s="365"/>
      <c r="FUA366" s="370"/>
      <c r="FUB366" s="365"/>
      <c r="FUC366" s="370"/>
      <c r="FUD366" s="365"/>
      <c r="FUE366" s="370"/>
      <c r="FUF366" s="365"/>
      <c r="FUG366" s="370"/>
      <c r="FUH366" s="365"/>
      <c r="FUI366" s="370"/>
      <c r="FUJ366" s="365"/>
      <c r="FUK366" s="370"/>
      <c r="FUL366" s="365"/>
      <c r="FUM366" s="370"/>
      <c r="FUN366" s="365"/>
      <c r="FUO366" s="370"/>
      <c r="FUP366" s="365"/>
      <c r="FUQ366" s="370"/>
      <c r="FUR366" s="365"/>
      <c r="FUS366" s="370"/>
      <c r="FUT366" s="365"/>
      <c r="FUU366" s="370"/>
      <c r="FUV366" s="365"/>
      <c r="FUW366" s="370"/>
      <c r="FUX366" s="365"/>
      <c r="FUY366" s="370"/>
      <c r="FUZ366" s="365"/>
      <c r="FVA366" s="370"/>
      <c r="FVB366" s="365"/>
      <c r="FVC366" s="370"/>
      <c r="FVD366" s="365"/>
      <c r="FVE366" s="370"/>
      <c r="FVF366" s="365"/>
      <c r="FVG366" s="370"/>
      <c r="FVH366" s="365"/>
      <c r="FVI366" s="370"/>
      <c r="FVJ366" s="365"/>
      <c r="FVK366" s="370"/>
      <c r="FVL366" s="365"/>
      <c r="FVM366" s="370"/>
      <c r="FVN366" s="365"/>
      <c r="FVO366" s="370"/>
      <c r="FVP366" s="365"/>
      <c r="FVQ366" s="370"/>
      <c r="FVR366" s="365"/>
      <c r="FVS366" s="370"/>
      <c r="FVT366" s="365"/>
      <c r="FVU366" s="370"/>
      <c r="FVV366" s="365"/>
      <c r="FVW366" s="370"/>
      <c r="FVX366" s="365"/>
      <c r="FVY366" s="370"/>
      <c r="FVZ366" s="365"/>
      <c r="FWA366" s="370"/>
      <c r="FWB366" s="365"/>
      <c r="FWC366" s="370"/>
      <c r="FWD366" s="365"/>
      <c r="FWE366" s="370"/>
      <c r="FWF366" s="365"/>
      <c r="FWG366" s="370"/>
      <c r="FWH366" s="365"/>
      <c r="FWI366" s="370"/>
      <c r="FWJ366" s="365"/>
      <c r="FWK366" s="370"/>
      <c r="FWL366" s="365"/>
      <c r="FWM366" s="370"/>
      <c r="FWN366" s="365"/>
      <c r="FWO366" s="370"/>
      <c r="FWP366" s="365"/>
      <c r="FWQ366" s="370"/>
      <c r="FWR366" s="365"/>
      <c r="FWS366" s="370"/>
      <c r="FWT366" s="365"/>
      <c r="FWU366" s="370"/>
      <c r="FWV366" s="365"/>
      <c r="FWW366" s="370"/>
      <c r="FWX366" s="365"/>
      <c r="FWY366" s="370"/>
      <c r="FWZ366" s="365"/>
      <c r="FXA366" s="370"/>
      <c r="FXB366" s="365"/>
      <c r="FXC366" s="370"/>
      <c r="FXD366" s="365"/>
      <c r="FXE366" s="370"/>
      <c r="FXF366" s="365"/>
      <c r="FXG366" s="370"/>
      <c r="FXH366" s="365"/>
      <c r="FXI366" s="370"/>
      <c r="FXJ366" s="365"/>
      <c r="FXK366" s="370"/>
      <c r="FXL366" s="365"/>
      <c r="FXM366" s="370"/>
      <c r="FXN366" s="365"/>
      <c r="FXO366" s="370"/>
      <c r="FXP366" s="365"/>
      <c r="FXQ366" s="370"/>
      <c r="FXR366" s="365"/>
      <c r="FXS366" s="370"/>
      <c r="FXT366" s="365"/>
      <c r="FXU366" s="370"/>
      <c r="FXV366" s="365"/>
      <c r="FXW366" s="370"/>
      <c r="FXX366" s="365"/>
      <c r="FXY366" s="370"/>
      <c r="FXZ366" s="365"/>
      <c r="FYA366" s="370"/>
      <c r="FYB366" s="365"/>
      <c r="FYC366" s="370"/>
      <c r="FYD366" s="365"/>
      <c r="FYE366" s="370"/>
      <c r="FYF366" s="365"/>
      <c r="FYG366" s="370"/>
      <c r="FYH366" s="365"/>
      <c r="FYI366" s="370"/>
      <c r="FYJ366" s="365"/>
      <c r="FYK366" s="370"/>
      <c r="FYL366" s="365"/>
      <c r="FYM366" s="370"/>
      <c r="FYN366" s="365"/>
      <c r="FYO366" s="370"/>
      <c r="FYP366" s="365"/>
      <c r="FYQ366" s="370"/>
      <c r="FYR366" s="365"/>
      <c r="FYS366" s="370"/>
      <c r="FYT366" s="365"/>
      <c r="FYU366" s="370"/>
      <c r="FYV366" s="365"/>
      <c r="FYW366" s="370"/>
      <c r="FYX366" s="365"/>
      <c r="FYY366" s="370"/>
      <c r="FYZ366" s="365"/>
      <c r="FZA366" s="370"/>
      <c r="FZB366" s="365"/>
      <c r="FZC366" s="370"/>
      <c r="FZD366" s="365"/>
      <c r="FZE366" s="370"/>
      <c r="FZF366" s="365"/>
      <c r="FZG366" s="370"/>
      <c r="FZH366" s="365"/>
      <c r="FZI366" s="370"/>
      <c r="FZJ366" s="365"/>
      <c r="FZK366" s="370"/>
      <c r="FZL366" s="365"/>
      <c r="FZM366" s="370"/>
      <c r="FZN366" s="365"/>
      <c r="FZO366" s="370"/>
      <c r="FZP366" s="365"/>
      <c r="FZQ366" s="370"/>
      <c r="FZR366" s="365"/>
      <c r="FZS366" s="370"/>
      <c r="FZT366" s="365"/>
      <c r="FZU366" s="370"/>
      <c r="FZV366" s="365"/>
      <c r="FZW366" s="370"/>
      <c r="FZX366" s="365"/>
      <c r="FZY366" s="370"/>
      <c r="FZZ366" s="365"/>
      <c r="GAA366" s="370"/>
      <c r="GAB366" s="365"/>
      <c r="GAC366" s="370"/>
      <c r="GAD366" s="365"/>
      <c r="GAE366" s="370"/>
      <c r="GAF366" s="365"/>
      <c r="GAG366" s="370"/>
      <c r="GAH366" s="365"/>
      <c r="GAI366" s="370"/>
      <c r="GAJ366" s="365"/>
      <c r="GAK366" s="370"/>
      <c r="GAL366" s="365"/>
      <c r="GAM366" s="370"/>
      <c r="GAN366" s="365"/>
      <c r="GAO366" s="370"/>
      <c r="GAP366" s="365"/>
      <c r="GAQ366" s="370"/>
      <c r="GAR366" s="365"/>
      <c r="GAS366" s="370"/>
      <c r="GAT366" s="365"/>
      <c r="GAU366" s="370"/>
      <c r="GAV366" s="365"/>
      <c r="GAW366" s="370"/>
      <c r="GAX366" s="365"/>
      <c r="GAY366" s="370"/>
      <c r="GAZ366" s="365"/>
      <c r="GBA366" s="370"/>
      <c r="GBB366" s="365"/>
      <c r="GBC366" s="370"/>
      <c r="GBD366" s="365"/>
      <c r="GBE366" s="370"/>
      <c r="GBF366" s="365"/>
      <c r="GBG366" s="370"/>
      <c r="GBH366" s="365"/>
      <c r="GBI366" s="370"/>
      <c r="GBJ366" s="365"/>
      <c r="GBK366" s="370"/>
      <c r="GBL366" s="365"/>
      <c r="GBM366" s="370"/>
      <c r="GBN366" s="365"/>
      <c r="GBO366" s="370"/>
      <c r="GBP366" s="365"/>
      <c r="GBQ366" s="370"/>
      <c r="GBR366" s="365"/>
      <c r="GBS366" s="370"/>
      <c r="GBT366" s="365"/>
      <c r="GBU366" s="370"/>
      <c r="GBV366" s="365"/>
      <c r="GBW366" s="370"/>
      <c r="GBX366" s="365"/>
      <c r="GBY366" s="370"/>
      <c r="GBZ366" s="365"/>
      <c r="GCA366" s="370"/>
      <c r="GCB366" s="365"/>
      <c r="GCC366" s="370"/>
      <c r="GCD366" s="365"/>
      <c r="GCE366" s="370"/>
      <c r="GCF366" s="365"/>
      <c r="GCG366" s="370"/>
      <c r="GCH366" s="365"/>
      <c r="GCI366" s="370"/>
      <c r="GCJ366" s="365"/>
      <c r="GCK366" s="370"/>
      <c r="GCL366" s="365"/>
      <c r="GCM366" s="370"/>
      <c r="GCN366" s="365"/>
      <c r="GCO366" s="370"/>
      <c r="GCP366" s="365"/>
      <c r="GCQ366" s="370"/>
      <c r="GCR366" s="365"/>
      <c r="GCS366" s="370"/>
      <c r="GCT366" s="365"/>
      <c r="GCU366" s="370"/>
      <c r="GCV366" s="365"/>
      <c r="GCW366" s="370"/>
      <c r="GCX366" s="365"/>
      <c r="GCY366" s="370"/>
      <c r="GCZ366" s="365"/>
      <c r="GDA366" s="370"/>
      <c r="GDB366" s="365"/>
      <c r="GDC366" s="370"/>
      <c r="GDD366" s="365"/>
      <c r="GDE366" s="370"/>
      <c r="GDF366" s="365"/>
      <c r="GDG366" s="370"/>
      <c r="GDH366" s="365"/>
      <c r="GDI366" s="370"/>
      <c r="GDJ366" s="365"/>
      <c r="GDK366" s="370"/>
      <c r="GDL366" s="365"/>
      <c r="GDM366" s="370"/>
      <c r="GDN366" s="365"/>
      <c r="GDO366" s="370"/>
      <c r="GDP366" s="365"/>
      <c r="GDQ366" s="370"/>
      <c r="GDR366" s="365"/>
      <c r="GDS366" s="370"/>
      <c r="GDT366" s="365"/>
      <c r="GDU366" s="370"/>
      <c r="GDV366" s="365"/>
      <c r="GDW366" s="370"/>
      <c r="GDX366" s="365"/>
      <c r="GDY366" s="370"/>
      <c r="GDZ366" s="365"/>
      <c r="GEA366" s="370"/>
      <c r="GEB366" s="365"/>
      <c r="GEC366" s="370"/>
      <c r="GED366" s="365"/>
      <c r="GEE366" s="370"/>
      <c r="GEF366" s="365"/>
      <c r="GEG366" s="370"/>
      <c r="GEH366" s="365"/>
      <c r="GEI366" s="370"/>
      <c r="GEJ366" s="365"/>
      <c r="GEK366" s="370"/>
      <c r="GEL366" s="365"/>
      <c r="GEM366" s="370"/>
      <c r="GEN366" s="365"/>
      <c r="GEO366" s="370"/>
      <c r="GEP366" s="365"/>
      <c r="GEQ366" s="370"/>
      <c r="GER366" s="365"/>
      <c r="GES366" s="370"/>
      <c r="GET366" s="365"/>
      <c r="GEU366" s="370"/>
      <c r="GEV366" s="365"/>
      <c r="GEW366" s="370"/>
      <c r="GEX366" s="365"/>
      <c r="GEY366" s="370"/>
      <c r="GEZ366" s="365"/>
      <c r="GFA366" s="370"/>
      <c r="GFB366" s="365"/>
      <c r="GFC366" s="370"/>
      <c r="GFD366" s="365"/>
      <c r="GFE366" s="370"/>
      <c r="GFF366" s="365"/>
      <c r="GFG366" s="370"/>
      <c r="GFH366" s="365"/>
      <c r="GFI366" s="370"/>
      <c r="GFJ366" s="365"/>
      <c r="GFK366" s="370"/>
      <c r="GFL366" s="365"/>
      <c r="GFM366" s="370"/>
      <c r="GFN366" s="365"/>
      <c r="GFO366" s="370"/>
      <c r="GFP366" s="365"/>
      <c r="GFQ366" s="370"/>
      <c r="GFR366" s="365"/>
      <c r="GFS366" s="370"/>
      <c r="GFT366" s="365"/>
      <c r="GFU366" s="370"/>
      <c r="GFV366" s="365"/>
      <c r="GFW366" s="370"/>
      <c r="GFX366" s="365"/>
      <c r="GFY366" s="370"/>
      <c r="GFZ366" s="365"/>
      <c r="GGA366" s="370"/>
      <c r="GGB366" s="365"/>
      <c r="GGC366" s="370"/>
      <c r="GGD366" s="365"/>
      <c r="GGE366" s="370"/>
      <c r="GGF366" s="365"/>
      <c r="GGG366" s="370"/>
      <c r="GGH366" s="365"/>
      <c r="GGI366" s="370"/>
      <c r="GGJ366" s="365"/>
      <c r="GGK366" s="370"/>
      <c r="GGL366" s="365"/>
      <c r="GGM366" s="370"/>
      <c r="GGN366" s="365"/>
      <c r="GGO366" s="370"/>
      <c r="GGP366" s="365"/>
      <c r="GGQ366" s="370"/>
      <c r="GGR366" s="365"/>
      <c r="GGS366" s="370"/>
      <c r="GGT366" s="365"/>
      <c r="GGU366" s="370"/>
      <c r="GGV366" s="365"/>
      <c r="GGW366" s="370"/>
      <c r="GGX366" s="365"/>
      <c r="GGY366" s="370"/>
      <c r="GGZ366" s="365"/>
      <c r="GHA366" s="370"/>
      <c r="GHB366" s="365"/>
      <c r="GHC366" s="370"/>
      <c r="GHD366" s="365"/>
      <c r="GHE366" s="370"/>
      <c r="GHF366" s="365"/>
      <c r="GHG366" s="370"/>
      <c r="GHH366" s="365"/>
      <c r="GHI366" s="370"/>
      <c r="GHJ366" s="365"/>
      <c r="GHK366" s="370"/>
      <c r="GHL366" s="365"/>
      <c r="GHM366" s="370"/>
      <c r="GHN366" s="365"/>
      <c r="GHO366" s="370"/>
      <c r="GHP366" s="365"/>
      <c r="GHQ366" s="370"/>
      <c r="GHR366" s="365"/>
      <c r="GHS366" s="370"/>
      <c r="GHT366" s="365"/>
      <c r="GHU366" s="370"/>
      <c r="GHV366" s="365"/>
      <c r="GHW366" s="370"/>
      <c r="GHX366" s="365"/>
      <c r="GHY366" s="370"/>
      <c r="GHZ366" s="365"/>
      <c r="GIA366" s="370"/>
      <c r="GIB366" s="365"/>
      <c r="GIC366" s="370"/>
      <c r="GID366" s="365"/>
      <c r="GIE366" s="370"/>
      <c r="GIF366" s="365"/>
      <c r="GIG366" s="370"/>
      <c r="GIH366" s="365"/>
      <c r="GII366" s="370"/>
      <c r="GIJ366" s="365"/>
      <c r="GIK366" s="370"/>
      <c r="GIL366" s="365"/>
      <c r="GIM366" s="370"/>
      <c r="GIN366" s="365"/>
      <c r="GIO366" s="370"/>
      <c r="GIP366" s="365"/>
      <c r="GIQ366" s="370"/>
      <c r="GIR366" s="365"/>
      <c r="GIS366" s="370"/>
      <c r="GIT366" s="365"/>
      <c r="GIU366" s="370"/>
      <c r="GIV366" s="365"/>
      <c r="GIW366" s="370"/>
      <c r="GIX366" s="365"/>
      <c r="GIY366" s="370"/>
      <c r="GIZ366" s="365"/>
      <c r="GJA366" s="370"/>
      <c r="GJB366" s="365"/>
      <c r="GJC366" s="370"/>
      <c r="GJD366" s="365"/>
      <c r="GJE366" s="370"/>
      <c r="GJF366" s="365"/>
      <c r="GJG366" s="370"/>
      <c r="GJH366" s="365"/>
      <c r="GJI366" s="370"/>
      <c r="GJJ366" s="365"/>
      <c r="GJK366" s="370"/>
      <c r="GJL366" s="365"/>
      <c r="GJM366" s="370"/>
      <c r="GJN366" s="365"/>
      <c r="GJO366" s="370"/>
      <c r="GJP366" s="365"/>
      <c r="GJQ366" s="370"/>
      <c r="GJR366" s="365"/>
      <c r="GJS366" s="370"/>
      <c r="GJT366" s="365"/>
      <c r="GJU366" s="370"/>
      <c r="GJV366" s="365"/>
      <c r="GJW366" s="370"/>
      <c r="GJX366" s="365"/>
      <c r="GJY366" s="370"/>
      <c r="GJZ366" s="365"/>
      <c r="GKA366" s="370"/>
      <c r="GKB366" s="365"/>
      <c r="GKC366" s="370"/>
      <c r="GKD366" s="365"/>
      <c r="GKE366" s="370"/>
      <c r="GKF366" s="365"/>
      <c r="GKG366" s="370"/>
      <c r="GKH366" s="365"/>
      <c r="GKI366" s="370"/>
      <c r="GKJ366" s="365"/>
      <c r="GKK366" s="370"/>
      <c r="GKL366" s="365"/>
      <c r="GKM366" s="370"/>
      <c r="GKN366" s="365"/>
      <c r="GKO366" s="370"/>
      <c r="GKP366" s="365"/>
      <c r="GKQ366" s="370"/>
      <c r="GKR366" s="365"/>
      <c r="GKS366" s="370"/>
      <c r="GKT366" s="365"/>
      <c r="GKU366" s="370"/>
      <c r="GKV366" s="365"/>
      <c r="GKW366" s="370"/>
      <c r="GKX366" s="365"/>
      <c r="GKY366" s="370"/>
      <c r="GKZ366" s="365"/>
      <c r="GLA366" s="370"/>
      <c r="GLB366" s="365"/>
      <c r="GLC366" s="370"/>
      <c r="GLD366" s="365"/>
      <c r="GLE366" s="370"/>
      <c r="GLF366" s="365"/>
      <c r="GLG366" s="370"/>
      <c r="GLH366" s="365"/>
      <c r="GLI366" s="370"/>
      <c r="GLJ366" s="365"/>
      <c r="GLK366" s="370"/>
      <c r="GLL366" s="365"/>
      <c r="GLM366" s="370"/>
      <c r="GLN366" s="365"/>
      <c r="GLO366" s="370"/>
      <c r="GLP366" s="365"/>
      <c r="GLQ366" s="370"/>
      <c r="GLR366" s="365"/>
      <c r="GLS366" s="370"/>
      <c r="GLT366" s="365"/>
      <c r="GLU366" s="370"/>
      <c r="GLV366" s="365"/>
      <c r="GLW366" s="370"/>
      <c r="GLX366" s="365"/>
      <c r="GLY366" s="370"/>
      <c r="GLZ366" s="365"/>
      <c r="GMA366" s="370"/>
      <c r="GMB366" s="365"/>
      <c r="GMC366" s="370"/>
      <c r="GMD366" s="365"/>
      <c r="GME366" s="370"/>
      <c r="GMF366" s="365"/>
      <c r="GMG366" s="370"/>
      <c r="GMH366" s="365"/>
      <c r="GMI366" s="370"/>
      <c r="GMJ366" s="365"/>
      <c r="GMK366" s="370"/>
      <c r="GML366" s="365"/>
      <c r="GMM366" s="370"/>
      <c r="GMN366" s="365"/>
      <c r="GMO366" s="370"/>
      <c r="GMP366" s="365"/>
      <c r="GMQ366" s="370"/>
      <c r="GMR366" s="365"/>
      <c r="GMS366" s="370"/>
      <c r="GMT366" s="365"/>
      <c r="GMU366" s="370"/>
      <c r="GMV366" s="365"/>
      <c r="GMW366" s="370"/>
      <c r="GMX366" s="365"/>
      <c r="GMY366" s="370"/>
      <c r="GMZ366" s="365"/>
      <c r="GNA366" s="370"/>
      <c r="GNB366" s="365"/>
      <c r="GNC366" s="370"/>
      <c r="GND366" s="365"/>
      <c r="GNE366" s="370"/>
      <c r="GNF366" s="365"/>
      <c r="GNG366" s="370"/>
      <c r="GNH366" s="365"/>
      <c r="GNI366" s="370"/>
      <c r="GNJ366" s="365"/>
      <c r="GNK366" s="370"/>
      <c r="GNL366" s="365"/>
      <c r="GNM366" s="370"/>
      <c r="GNN366" s="365"/>
      <c r="GNO366" s="370"/>
      <c r="GNP366" s="365"/>
      <c r="GNQ366" s="370"/>
      <c r="GNR366" s="365"/>
      <c r="GNS366" s="370"/>
      <c r="GNT366" s="365"/>
      <c r="GNU366" s="370"/>
      <c r="GNV366" s="365"/>
      <c r="GNW366" s="370"/>
      <c r="GNX366" s="365"/>
      <c r="GNY366" s="370"/>
      <c r="GNZ366" s="365"/>
      <c r="GOA366" s="370"/>
      <c r="GOB366" s="365"/>
      <c r="GOC366" s="370"/>
      <c r="GOD366" s="365"/>
      <c r="GOE366" s="370"/>
      <c r="GOF366" s="365"/>
      <c r="GOG366" s="370"/>
      <c r="GOH366" s="365"/>
      <c r="GOI366" s="370"/>
      <c r="GOJ366" s="365"/>
      <c r="GOK366" s="370"/>
      <c r="GOL366" s="365"/>
      <c r="GOM366" s="370"/>
      <c r="GON366" s="365"/>
      <c r="GOO366" s="370"/>
      <c r="GOP366" s="365"/>
      <c r="GOQ366" s="370"/>
      <c r="GOR366" s="365"/>
      <c r="GOS366" s="370"/>
      <c r="GOT366" s="365"/>
      <c r="GOU366" s="370"/>
      <c r="GOV366" s="365"/>
      <c r="GOW366" s="370"/>
      <c r="GOX366" s="365"/>
      <c r="GOY366" s="370"/>
      <c r="GOZ366" s="365"/>
      <c r="GPA366" s="370"/>
      <c r="GPB366" s="365"/>
      <c r="GPC366" s="370"/>
      <c r="GPD366" s="365"/>
      <c r="GPE366" s="370"/>
      <c r="GPF366" s="365"/>
      <c r="GPG366" s="370"/>
      <c r="GPH366" s="365"/>
      <c r="GPI366" s="370"/>
      <c r="GPJ366" s="365"/>
      <c r="GPK366" s="370"/>
      <c r="GPL366" s="365"/>
      <c r="GPM366" s="370"/>
      <c r="GPN366" s="365"/>
      <c r="GPO366" s="370"/>
      <c r="GPP366" s="365"/>
      <c r="GPQ366" s="370"/>
      <c r="GPR366" s="365"/>
      <c r="GPS366" s="370"/>
      <c r="GPT366" s="365"/>
      <c r="GPU366" s="370"/>
      <c r="GPV366" s="365"/>
      <c r="GPW366" s="370"/>
      <c r="GPX366" s="365"/>
      <c r="GPY366" s="370"/>
      <c r="GPZ366" s="365"/>
      <c r="GQA366" s="370"/>
      <c r="GQB366" s="365"/>
      <c r="GQC366" s="370"/>
      <c r="GQD366" s="365"/>
      <c r="GQE366" s="370"/>
      <c r="GQF366" s="365"/>
      <c r="GQG366" s="370"/>
      <c r="GQH366" s="365"/>
      <c r="GQI366" s="370"/>
      <c r="GQJ366" s="365"/>
      <c r="GQK366" s="370"/>
      <c r="GQL366" s="365"/>
      <c r="GQM366" s="370"/>
      <c r="GQN366" s="365"/>
      <c r="GQO366" s="370"/>
      <c r="GQP366" s="365"/>
      <c r="GQQ366" s="370"/>
      <c r="GQR366" s="365"/>
      <c r="GQS366" s="370"/>
      <c r="GQT366" s="365"/>
      <c r="GQU366" s="370"/>
      <c r="GQV366" s="365"/>
      <c r="GQW366" s="370"/>
      <c r="GQX366" s="365"/>
      <c r="GQY366" s="370"/>
      <c r="GQZ366" s="365"/>
      <c r="GRA366" s="370"/>
      <c r="GRB366" s="365"/>
      <c r="GRC366" s="370"/>
      <c r="GRD366" s="365"/>
      <c r="GRE366" s="370"/>
      <c r="GRF366" s="365"/>
      <c r="GRG366" s="370"/>
      <c r="GRH366" s="365"/>
      <c r="GRI366" s="370"/>
      <c r="GRJ366" s="365"/>
      <c r="GRK366" s="370"/>
      <c r="GRL366" s="365"/>
      <c r="GRM366" s="370"/>
      <c r="GRN366" s="365"/>
      <c r="GRO366" s="370"/>
      <c r="GRP366" s="365"/>
      <c r="GRQ366" s="370"/>
      <c r="GRR366" s="365"/>
      <c r="GRS366" s="370"/>
      <c r="GRT366" s="365"/>
      <c r="GRU366" s="370"/>
      <c r="GRV366" s="365"/>
      <c r="GRW366" s="370"/>
      <c r="GRX366" s="365"/>
      <c r="GRY366" s="370"/>
      <c r="GRZ366" s="365"/>
      <c r="GSA366" s="370"/>
      <c r="GSB366" s="365"/>
      <c r="GSC366" s="370"/>
      <c r="GSD366" s="365"/>
      <c r="GSE366" s="370"/>
      <c r="GSF366" s="365"/>
      <c r="GSG366" s="370"/>
      <c r="GSH366" s="365"/>
      <c r="GSI366" s="370"/>
      <c r="GSJ366" s="365"/>
      <c r="GSK366" s="370"/>
      <c r="GSL366" s="365"/>
      <c r="GSM366" s="370"/>
      <c r="GSN366" s="365"/>
      <c r="GSO366" s="370"/>
      <c r="GSP366" s="365"/>
      <c r="GSQ366" s="370"/>
      <c r="GSR366" s="365"/>
      <c r="GSS366" s="370"/>
      <c r="GST366" s="365"/>
      <c r="GSU366" s="370"/>
      <c r="GSV366" s="365"/>
      <c r="GSW366" s="370"/>
      <c r="GSX366" s="365"/>
      <c r="GSY366" s="370"/>
      <c r="GSZ366" s="365"/>
      <c r="GTA366" s="370"/>
      <c r="GTB366" s="365"/>
      <c r="GTC366" s="370"/>
      <c r="GTD366" s="365"/>
      <c r="GTE366" s="370"/>
      <c r="GTF366" s="365"/>
      <c r="GTG366" s="370"/>
      <c r="GTH366" s="365"/>
      <c r="GTI366" s="370"/>
      <c r="GTJ366" s="365"/>
      <c r="GTK366" s="370"/>
      <c r="GTL366" s="365"/>
      <c r="GTM366" s="370"/>
      <c r="GTN366" s="365"/>
      <c r="GTO366" s="370"/>
      <c r="GTP366" s="365"/>
      <c r="GTQ366" s="370"/>
      <c r="GTR366" s="365"/>
      <c r="GTS366" s="370"/>
      <c r="GTT366" s="365"/>
      <c r="GTU366" s="370"/>
      <c r="GTV366" s="365"/>
      <c r="GTW366" s="370"/>
      <c r="GTX366" s="365"/>
      <c r="GTY366" s="370"/>
      <c r="GTZ366" s="365"/>
      <c r="GUA366" s="370"/>
      <c r="GUB366" s="365"/>
      <c r="GUC366" s="370"/>
      <c r="GUD366" s="365"/>
      <c r="GUE366" s="370"/>
      <c r="GUF366" s="365"/>
      <c r="GUG366" s="370"/>
      <c r="GUH366" s="365"/>
      <c r="GUI366" s="370"/>
      <c r="GUJ366" s="365"/>
      <c r="GUK366" s="370"/>
      <c r="GUL366" s="365"/>
      <c r="GUM366" s="370"/>
      <c r="GUN366" s="365"/>
      <c r="GUO366" s="370"/>
      <c r="GUP366" s="365"/>
      <c r="GUQ366" s="370"/>
      <c r="GUR366" s="365"/>
      <c r="GUS366" s="370"/>
      <c r="GUT366" s="365"/>
      <c r="GUU366" s="370"/>
      <c r="GUV366" s="365"/>
      <c r="GUW366" s="370"/>
      <c r="GUX366" s="365"/>
      <c r="GUY366" s="370"/>
      <c r="GUZ366" s="365"/>
      <c r="GVA366" s="370"/>
      <c r="GVB366" s="365"/>
      <c r="GVC366" s="370"/>
      <c r="GVD366" s="365"/>
      <c r="GVE366" s="370"/>
      <c r="GVF366" s="365"/>
      <c r="GVG366" s="370"/>
      <c r="GVH366" s="365"/>
      <c r="GVI366" s="370"/>
      <c r="GVJ366" s="365"/>
      <c r="GVK366" s="370"/>
      <c r="GVL366" s="365"/>
      <c r="GVM366" s="370"/>
      <c r="GVN366" s="365"/>
      <c r="GVO366" s="370"/>
      <c r="GVP366" s="365"/>
      <c r="GVQ366" s="370"/>
      <c r="GVR366" s="365"/>
      <c r="GVS366" s="370"/>
      <c r="GVT366" s="365"/>
      <c r="GVU366" s="370"/>
      <c r="GVV366" s="365"/>
      <c r="GVW366" s="370"/>
      <c r="GVX366" s="365"/>
      <c r="GVY366" s="370"/>
      <c r="GVZ366" s="365"/>
      <c r="GWA366" s="370"/>
      <c r="GWB366" s="365"/>
      <c r="GWC366" s="370"/>
      <c r="GWD366" s="365"/>
      <c r="GWE366" s="370"/>
      <c r="GWF366" s="365"/>
      <c r="GWG366" s="370"/>
      <c r="GWH366" s="365"/>
      <c r="GWI366" s="370"/>
      <c r="GWJ366" s="365"/>
      <c r="GWK366" s="370"/>
      <c r="GWL366" s="365"/>
      <c r="GWM366" s="370"/>
      <c r="GWN366" s="365"/>
      <c r="GWO366" s="370"/>
      <c r="GWP366" s="365"/>
      <c r="GWQ366" s="370"/>
      <c r="GWR366" s="365"/>
      <c r="GWS366" s="370"/>
      <c r="GWT366" s="365"/>
      <c r="GWU366" s="370"/>
      <c r="GWV366" s="365"/>
      <c r="GWW366" s="370"/>
      <c r="GWX366" s="365"/>
      <c r="GWY366" s="370"/>
      <c r="GWZ366" s="365"/>
      <c r="GXA366" s="370"/>
      <c r="GXB366" s="365"/>
      <c r="GXC366" s="370"/>
      <c r="GXD366" s="365"/>
      <c r="GXE366" s="370"/>
      <c r="GXF366" s="365"/>
      <c r="GXG366" s="370"/>
      <c r="GXH366" s="365"/>
      <c r="GXI366" s="370"/>
      <c r="GXJ366" s="365"/>
      <c r="GXK366" s="370"/>
      <c r="GXL366" s="365"/>
      <c r="GXM366" s="370"/>
      <c r="GXN366" s="365"/>
      <c r="GXO366" s="370"/>
      <c r="GXP366" s="365"/>
      <c r="GXQ366" s="370"/>
      <c r="GXR366" s="365"/>
      <c r="GXS366" s="370"/>
      <c r="GXT366" s="365"/>
      <c r="GXU366" s="370"/>
      <c r="GXV366" s="365"/>
      <c r="GXW366" s="370"/>
      <c r="GXX366" s="365"/>
      <c r="GXY366" s="370"/>
      <c r="GXZ366" s="365"/>
      <c r="GYA366" s="370"/>
      <c r="GYB366" s="365"/>
      <c r="GYC366" s="370"/>
      <c r="GYD366" s="365"/>
      <c r="GYE366" s="370"/>
      <c r="GYF366" s="365"/>
      <c r="GYG366" s="370"/>
      <c r="GYH366" s="365"/>
      <c r="GYI366" s="370"/>
      <c r="GYJ366" s="365"/>
      <c r="GYK366" s="370"/>
      <c r="GYL366" s="365"/>
      <c r="GYM366" s="370"/>
      <c r="GYN366" s="365"/>
      <c r="GYO366" s="370"/>
      <c r="GYP366" s="365"/>
      <c r="GYQ366" s="370"/>
      <c r="GYR366" s="365"/>
      <c r="GYS366" s="370"/>
      <c r="GYT366" s="365"/>
      <c r="GYU366" s="370"/>
      <c r="GYV366" s="365"/>
      <c r="GYW366" s="370"/>
      <c r="GYX366" s="365"/>
      <c r="GYY366" s="370"/>
      <c r="GYZ366" s="365"/>
      <c r="GZA366" s="370"/>
      <c r="GZB366" s="365"/>
      <c r="GZC366" s="370"/>
      <c r="GZD366" s="365"/>
      <c r="GZE366" s="370"/>
      <c r="GZF366" s="365"/>
      <c r="GZG366" s="370"/>
      <c r="GZH366" s="365"/>
      <c r="GZI366" s="370"/>
      <c r="GZJ366" s="365"/>
      <c r="GZK366" s="370"/>
      <c r="GZL366" s="365"/>
      <c r="GZM366" s="370"/>
      <c r="GZN366" s="365"/>
      <c r="GZO366" s="370"/>
      <c r="GZP366" s="365"/>
      <c r="GZQ366" s="370"/>
      <c r="GZR366" s="365"/>
      <c r="GZS366" s="370"/>
      <c r="GZT366" s="365"/>
      <c r="GZU366" s="370"/>
      <c r="GZV366" s="365"/>
      <c r="GZW366" s="370"/>
      <c r="GZX366" s="365"/>
      <c r="GZY366" s="370"/>
      <c r="GZZ366" s="365"/>
      <c r="HAA366" s="370"/>
      <c r="HAB366" s="365"/>
      <c r="HAC366" s="370"/>
      <c r="HAD366" s="365"/>
      <c r="HAE366" s="370"/>
      <c r="HAF366" s="365"/>
      <c r="HAG366" s="370"/>
      <c r="HAH366" s="365"/>
      <c r="HAI366" s="370"/>
      <c r="HAJ366" s="365"/>
      <c r="HAK366" s="370"/>
      <c r="HAL366" s="365"/>
      <c r="HAM366" s="370"/>
      <c r="HAN366" s="365"/>
      <c r="HAO366" s="370"/>
      <c r="HAP366" s="365"/>
      <c r="HAQ366" s="370"/>
      <c r="HAR366" s="365"/>
      <c r="HAS366" s="370"/>
      <c r="HAT366" s="365"/>
      <c r="HAU366" s="370"/>
      <c r="HAV366" s="365"/>
      <c r="HAW366" s="370"/>
      <c r="HAX366" s="365"/>
      <c r="HAY366" s="370"/>
      <c r="HAZ366" s="365"/>
      <c r="HBA366" s="370"/>
      <c r="HBB366" s="365"/>
      <c r="HBC366" s="370"/>
      <c r="HBD366" s="365"/>
      <c r="HBE366" s="370"/>
      <c r="HBF366" s="365"/>
      <c r="HBG366" s="370"/>
      <c r="HBH366" s="365"/>
      <c r="HBI366" s="370"/>
      <c r="HBJ366" s="365"/>
      <c r="HBK366" s="370"/>
      <c r="HBL366" s="365"/>
      <c r="HBM366" s="370"/>
      <c r="HBN366" s="365"/>
      <c r="HBO366" s="370"/>
      <c r="HBP366" s="365"/>
      <c r="HBQ366" s="370"/>
      <c r="HBR366" s="365"/>
      <c r="HBS366" s="370"/>
      <c r="HBT366" s="365"/>
      <c r="HBU366" s="370"/>
      <c r="HBV366" s="365"/>
      <c r="HBW366" s="370"/>
      <c r="HBX366" s="365"/>
      <c r="HBY366" s="370"/>
      <c r="HBZ366" s="365"/>
      <c r="HCA366" s="370"/>
      <c r="HCB366" s="365"/>
      <c r="HCC366" s="370"/>
      <c r="HCD366" s="365"/>
      <c r="HCE366" s="370"/>
      <c r="HCF366" s="365"/>
      <c r="HCG366" s="370"/>
      <c r="HCH366" s="365"/>
      <c r="HCI366" s="370"/>
      <c r="HCJ366" s="365"/>
      <c r="HCK366" s="370"/>
      <c r="HCL366" s="365"/>
      <c r="HCM366" s="370"/>
      <c r="HCN366" s="365"/>
      <c r="HCO366" s="370"/>
      <c r="HCP366" s="365"/>
      <c r="HCQ366" s="370"/>
      <c r="HCR366" s="365"/>
      <c r="HCS366" s="370"/>
      <c r="HCT366" s="365"/>
      <c r="HCU366" s="370"/>
      <c r="HCV366" s="365"/>
      <c r="HCW366" s="370"/>
      <c r="HCX366" s="365"/>
      <c r="HCY366" s="370"/>
      <c r="HCZ366" s="365"/>
      <c r="HDA366" s="370"/>
      <c r="HDB366" s="365"/>
      <c r="HDC366" s="370"/>
      <c r="HDD366" s="365"/>
      <c r="HDE366" s="370"/>
      <c r="HDF366" s="365"/>
      <c r="HDG366" s="370"/>
      <c r="HDH366" s="365"/>
      <c r="HDI366" s="370"/>
      <c r="HDJ366" s="365"/>
      <c r="HDK366" s="370"/>
      <c r="HDL366" s="365"/>
      <c r="HDM366" s="370"/>
      <c r="HDN366" s="365"/>
      <c r="HDO366" s="370"/>
      <c r="HDP366" s="365"/>
      <c r="HDQ366" s="370"/>
      <c r="HDR366" s="365"/>
      <c r="HDS366" s="370"/>
      <c r="HDT366" s="365"/>
      <c r="HDU366" s="370"/>
      <c r="HDV366" s="365"/>
      <c r="HDW366" s="370"/>
      <c r="HDX366" s="365"/>
      <c r="HDY366" s="370"/>
      <c r="HDZ366" s="365"/>
      <c r="HEA366" s="370"/>
      <c r="HEB366" s="365"/>
      <c r="HEC366" s="370"/>
      <c r="HED366" s="365"/>
      <c r="HEE366" s="370"/>
      <c r="HEF366" s="365"/>
      <c r="HEG366" s="370"/>
      <c r="HEH366" s="365"/>
      <c r="HEI366" s="370"/>
      <c r="HEJ366" s="365"/>
      <c r="HEK366" s="370"/>
      <c r="HEL366" s="365"/>
      <c r="HEM366" s="370"/>
      <c r="HEN366" s="365"/>
      <c r="HEO366" s="370"/>
      <c r="HEP366" s="365"/>
      <c r="HEQ366" s="370"/>
      <c r="HER366" s="365"/>
      <c r="HES366" s="370"/>
      <c r="HET366" s="365"/>
      <c r="HEU366" s="370"/>
      <c r="HEV366" s="365"/>
      <c r="HEW366" s="370"/>
      <c r="HEX366" s="365"/>
      <c r="HEY366" s="370"/>
      <c r="HEZ366" s="365"/>
      <c r="HFA366" s="370"/>
      <c r="HFB366" s="365"/>
      <c r="HFC366" s="370"/>
      <c r="HFD366" s="365"/>
      <c r="HFE366" s="370"/>
      <c r="HFF366" s="365"/>
      <c r="HFG366" s="370"/>
      <c r="HFH366" s="365"/>
      <c r="HFI366" s="370"/>
      <c r="HFJ366" s="365"/>
      <c r="HFK366" s="370"/>
      <c r="HFL366" s="365"/>
      <c r="HFM366" s="370"/>
      <c r="HFN366" s="365"/>
      <c r="HFO366" s="370"/>
      <c r="HFP366" s="365"/>
      <c r="HFQ366" s="370"/>
      <c r="HFR366" s="365"/>
      <c r="HFS366" s="370"/>
      <c r="HFT366" s="365"/>
      <c r="HFU366" s="370"/>
      <c r="HFV366" s="365"/>
      <c r="HFW366" s="370"/>
      <c r="HFX366" s="365"/>
      <c r="HFY366" s="370"/>
      <c r="HFZ366" s="365"/>
      <c r="HGA366" s="370"/>
      <c r="HGB366" s="365"/>
      <c r="HGC366" s="370"/>
      <c r="HGD366" s="365"/>
      <c r="HGE366" s="370"/>
      <c r="HGF366" s="365"/>
      <c r="HGG366" s="370"/>
      <c r="HGH366" s="365"/>
      <c r="HGI366" s="370"/>
      <c r="HGJ366" s="365"/>
      <c r="HGK366" s="370"/>
      <c r="HGL366" s="365"/>
      <c r="HGM366" s="370"/>
      <c r="HGN366" s="365"/>
      <c r="HGO366" s="370"/>
      <c r="HGP366" s="365"/>
      <c r="HGQ366" s="370"/>
      <c r="HGR366" s="365"/>
      <c r="HGS366" s="370"/>
      <c r="HGT366" s="365"/>
      <c r="HGU366" s="370"/>
      <c r="HGV366" s="365"/>
      <c r="HGW366" s="370"/>
      <c r="HGX366" s="365"/>
      <c r="HGY366" s="370"/>
      <c r="HGZ366" s="365"/>
      <c r="HHA366" s="370"/>
      <c r="HHB366" s="365"/>
      <c r="HHC366" s="370"/>
      <c r="HHD366" s="365"/>
      <c r="HHE366" s="370"/>
      <c r="HHF366" s="365"/>
      <c r="HHG366" s="370"/>
      <c r="HHH366" s="365"/>
      <c r="HHI366" s="370"/>
      <c r="HHJ366" s="365"/>
      <c r="HHK366" s="370"/>
      <c r="HHL366" s="365"/>
      <c r="HHM366" s="370"/>
      <c r="HHN366" s="365"/>
      <c r="HHO366" s="370"/>
      <c r="HHP366" s="365"/>
      <c r="HHQ366" s="370"/>
      <c r="HHR366" s="365"/>
      <c r="HHS366" s="370"/>
      <c r="HHT366" s="365"/>
      <c r="HHU366" s="370"/>
      <c r="HHV366" s="365"/>
      <c r="HHW366" s="370"/>
      <c r="HHX366" s="365"/>
      <c r="HHY366" s="370"/>
      <c r="HHZ366" s="365"/>
      <c r="HIA366" s="370"/>
      <c r="HIB366" s="365"/>
      <c r="HIC366" s="370"/>
      <c r="HID366" s="365"/>
      <c r="HIE366" s="370"/>
      <c r="HIF366" s="365"/>
      <c r="HIG366" s="370"/>
      <c r="HIH366" s="365"/>
      <c r="HII366" s="370"/>
      <c r="HIJ366" s="365"/>
      <c r="HIK366" s="370"/>
      <c r="HIL366" s="365"/>
      <c r="HIM366" s="370"/>
      <c r="HIN366" s="365"/>
      <c r="HIO366" s="370"/>
      <c r="HIP366" s="365"/>
      <c r="HIQ366" s="370"/>
      <c r="HIR366" s="365"/>
      <c r="HIS366" s="370"/>
      <c r="HIT366" s="365"/>
      <c r="HIU366" s="370"/>
      <c r="HIV366" s="365"/>
      <c r="HIW366" s="370"/>
      <c r="HIX366" s="365"/>
      <c r="HIY366" s="370"/>
      <c r="HIZ366" s="365"/>
      <c r="HJA366" s="370"/>
      <c r="HJB366" s="365"/>
      <c r="HJC366" s="370"/>
      <c r="HJD366" s="365"/>
      <c r="HJE366" s="370"/>
      <c r="HJF366" s="365"/>
      <c r="HJG366" s="370"/>
      <c r="HJH366" s="365"/>
      <c r="HJI366" s="370"/>
      <c r="HJJ366" s="365"/>
      <c r="HJK366" s="370"/>
      <c r="HJL366" s="365"/>
      <c r="HJM366" s="370"/>
      <c r="HJN366" s="365"/>
      <c r="HJO366" s="370"/>
      <c r="HJP366" s="365"/>
      <c r="HJQ366" s="370"/>
      <c r="HJR366" s="365"/>
      <c r="HJS366" s="370"/>
      <c r="HJT366" s="365"/>
      <c r="HJU366" s="370"/>
      <c r="HJV366" s="365"/>
      <c r="HJW366" s="370"/>
      <c r="HJX366" s="365"/>
      <c r="HJY366" s="370"/>
      <c r="HJZ366" s="365"/>
      <c r="HKA366" s="370"/>
      <c r="HKB366" s="365"/>
      <c r="HKC366" s="370"/>
      <c r="HKD366" s="365"/>
      <c r="HKE366" s="370"/>
      <c r="HKF366" s="365"/>
      <c r="HKG366" s="370"/>
      <c r="HKH366" s="365"/>
      <c r="HKI366" s="370"/>
      <c r="HKJ366" s="365"/>
      <c r="HKK366" s="370"/>
      <c r="HKL366" s="365"/>
      <c r="HKM366" s="370"/>
      <c r="HKN366" s="365"/>
      <c r="HKO366" s="370"/>
      <c r="HKP366" s="365"/>
      <c r="HKQ366" s="370"/>
      <c r="HKR366" s="365"/>
      <c r="HKS366" s="370"/>
      <c r="HKT366" s="365"/>
      <c r="HKU366" s="370"/>
      <c r="HKV366" s="365"/>
      <c r="HKW366" s="370"/>
      <c r="HKX366" s="365"/>
      <c r="HKY366" s="370"/>
      <c r="HKZ366" s="365"/>
      <c r="HLA366" s="370"/>
      <c r="HLB366" s="365"/>
      <c r="HLC366" s="370"/>
      <c r="HLD366" s="365"/>
      <c r="HLE366" s="370"/>
      <c r="HLF366" s="365"/>
      <c r="HLG366" s="370"/>
      <c r="HLH366" s="365"/>
      <c r="HLI366" s="370"/>
      <c r="HLJ366" s="365"/>
      <c r="HLK366" s="370"/>
      <c r="HLL366" s="365"/>
      <c r="HLM366" s="370"/>
      <c r="HLN366" s="365"/>
      <c r="HLO366" s="370"/>
      <c r="HLP366" s="365"/>
      <c r="HLQ366" s="370"/>
      <c r="HLR366" s="365"/>
      <c r="HLS366" s="370"/>
      <c r="HLT366" s="365"/>
      <c r="HLU366" s="370"/>
      <c r="HLV366" s="365"/>
      <c r="HLW366" s="370"/>
      <c r="HLX366" s="365"/>
      <c r="HLY366" s="370"/>
      <c r="HLZ366" s="365"/>
      <c r="HMA366" s="370"/>
      <c r="HMB366" s="365"/>
      <c r="HMC366" s="370"/>
      <c r="HMD366" s="365"/>
      <c r="HME366" s="370"/>
      <c r="HMF366" s="365"/>
      <c r="HMG366" s="370"/>
      <c r="HMH366" s="365"/>
      <c r="HMI366" s="370"/>
      <c r="HMJ366" s="365"/>
      <c r="HMK366" s="370"/>
      <c r="HML366" s="365"/>
      <c r="HMM366" s="370"/>
      <c r="HMN366" s="365"/>
      <c r="HMO366" s="370"/>
      <c r="HMP366" s="365"/>
      <c r="HMQ366" s="370"/>
      <c r="HMR366" s="365"/>
      <c r="HMS366" s="370"/>
      <c r="HMT366" s="365"/>
      <c r="HMU366" s="370"/>
      <c r="HMV366" s="365"/>
      <c r="HMW366" s="370"/>
      <c r="HMX366" s="365"/>
      <c r="HMY366" s="370"/>
      <c r="HMZ366" s="365"/>
      <c r="HNA366" s="370"/>
      <c r="HNB366" s="365"/>
      <c r="HNC366" s="370"/>
      <c r="HND366" s="365"/>
      <c r="HNE366" s="370"/>
      <c r="HNF366" s="365"/>
      <c r="HNG366" s="370"/>
      <c r="HNH366" s="365"/>
      <c r="HNI366" s="370"/>
      <c r="HNJ366" s="365"/>
      <c r="HNK366" s="370"/>
      <c r="HNL366" s="365"/>
      <c r="HNM366" s="370"/>
      <c r="HNN366" s="365"/>
      <c r="HNO366" s="370"/>
      <c r="HNP366" s="365"/>
      <c r="HNQ366" s="370"/>
      <c r="HNR366" s="365"/>
      <c r="HNS366" s="370"/>
      <c r="HNT366" s="365"/>
      <c r="HNU366" s="370"/>
      <c r="HNV366" s="365"/>
      <c r="HNW366" s="370"/>
      <c r="HNX366" s="365"/>
      <c r="HNY366" s="370"/>
      <c r="HNZ366" s="365"/>
      <c r="HOA366" s="370"/>
      <c r="HOB366" s="365"/>
      <c r="HOC366" s="370"/>
      <c r="HOD366" s="365"/>
      <c r="HOE366" s="370"/>
      <c r="HOF366" s="365"/>
      <c r="HOG366" s="370"/>
      <c r="HOH366" s="365"/>
      <c r="HOI366" s="370"/>
      <c r="HOJ366" s="365"/>
      <c r="HOK366" s="370"/>
      <c r="HOL366" s="365"/>
      <c r="HOM366" s="370"/>
      <c r="HON366" s="365"/>
      <c r="HOO366" s="370"/>
      <c r="HOP366" s="365"/>
      <c r="HOQ366" s="370"/>
      <c r="HOR366" s="365"/>
      <c r="HOS366" s="370"/>
      <c r="HOT366" s="365"/>
      <c r="HOU366" s="370"/>
      <c r="HOV366" s="365"/>
      <c r="HOW366" s="370"/>
      <c r="HOX366" s="365"/>
      <c r="HOY366" s="370"/>
      <c r="HOZ366" s="365"/>
      <c r="HPA366" s="370"/>
      <c r="HPB366" s="365"/>
      <c r="HPC366" s="370"/>
      <c r="HPD366" s="365"/>
      <c r="HPE366" s="370"/>
      <c r="HPF366" s="365"/>
      <c r="HPG366" s="370"/>
      <c r="HPH366" s="365"/>
      <c r="HPI366" s="370"/>
      <c r="HPJ366" s="365"/>
      <c r="HPK366" s="370"/>
      <c r="HPL366" s="365"/>
      <c r="HPM366" s="370"/>
      <c r="HPN366" s="365"/>
      <c r="HPO366" s="370"/>
      <c r="HPP366" s="365"/>
      <c r="HPQ366" s="370"/>
      <c r="HPR366" s="365"/>
      <c r="HPS366" s="370"/>
      <c r="HPT366" s="365"/>
      <c r="HPU366" s="370"/>
      <c r="HPV366" s="365"/>
      <c r="HPW366" s="370"/>
      <c r="HPX366" s="365"/>
      <c r="HPY366" s="370"/>
      <c r="HPZ366" s="365"/>
      <c r="HQA366" s="370"/>
      <c r="HQB366" s="365"/>
      <c r="HQC366" s="370"/>
      <c r="HQD366" s="365"/>
      <c r="HQE366" s="370"/>
      <c r="HQF366" s="365"/>
      <c r="HQG366" s="370"/>
      <c r="HQH366" s="365"/>
      <c r="HQI366" s="370"/>
      <c r="HQJ366" s="365"/>
      <c r="HQK366" s="370"/>
      <c r="HQL366" s="365"/>
      <c r="HQM366" s="370"/>
      <c r="HQN366" s="365"/>
      <c r="HQO366" s="370"/>
      <c r="HQP366" s="365"/>
      <c r="HQQ366" s="370"/>
      <c r="HQR366" s="365"/>
      <c r="HQS366" s="370"/>
      <c r="HQT366" s="365"/>
      <c r="HQU366" s="370"/>
      <c r="HQV366" s="365"/>
      <c r="HQW366" s="370"/>
      <c r="HQX366" s="365"/>
      <c r="HQY366" s="370"/>
      <c r="HQZ366" s="365"/>
      <c r="HRA366" s="370"/>
      <c r="HRB366" s="365"/>
      <c r="HRC366" s="370"/>
      <c r="HRD366" s="365"/>
      <c r="HRE366" s="370"/>
      <c r="HRF366" s="365"/>
      <c r="HRG366" s="370"/>
      <c r="HRH366" s="365"/>
      <c r="HRI366" s="370"/>
      <c r="HRJ366" s="365"/>
      <c r="HRK366" s="370"/>
      <c r="HRL366" s="365"/>
      <c r="HRM366" s="370"/>
      <c r="HRN366" s="365"/>
      <c r="HRO366" s="370"/>
      <c r="HRP366" s="365"/>
      <c r="HRQ366" s="370"/>
      <c r="HRR366" s="365"/>
      <c r="HRS366" s="370"/>
      <c r="HRT366" s="365"/>
      <c r="HRU366" s="370"/>
      <c r="HRV366" s="365"/>
      <c r="HRW366" s="370"/>
      <c r="HRX366" s="365"/>
      <c r="HRY366" s="370"/>
      <c r="HRZ366" s="365"/>
      <c r="HSA366" s="370"/>
      <c r="HSB366" s="365"/>
      <c r="HSC366" s="370"/>
      <c r="HSD366" s="365"/>
      <c r="HSE366" s="370"/>
      <c r="HSF366" s="365"/>
      <c r="HSG366" s="370"/>
      <c r="HSH366" s="365"/>
      <c r="HSI366" s="370"/>
      <c r="HSJ366" s="365"/>
      <c r="HSK366" s="370"/>
      <c r="HSL366" s="365"/>
      <c r="HSM366" s="370"/>
      <c r="HSN366" s="365"/>
      <c r="HSO366" s="370"/>
      <c r="HSP366" s="365"/>
      <c r="HSQ366" s="370"/>
      <c r="HSR366" s="365"/>
      <c r="HSS366" s="370"/>
      <c r="HST366" s="365"/>
      <c r="HSU366" s="370"/>
      <c r="HSV366" s="365"/>
      <c r="HSW366" s="370"/>
      <c r="HSX366" s="365"/>
      <c r="HSY366" s="370"/>
      <c r="HSZ366" s="365"/>
      <c r="HTA366" s="370"/>
      <c r="HTB366" s="365"/>
      <c r="HTC366" s="370"/>
      <c r="HTD366" s="365"/>
      <c r="HTE366" s="370"/>
      <c r="HTF366" s="365"/>
      <c r="HTG366" s="370"/>
      <c r="HTH366" s="365"/>
      <c r="HTI366" s="370"/>
      <c r="HTJ366" s="365"/>
      <c r="HTK366" s="370"/>
      <c r="HTL366" s="365"/>
      <c r="HTM366" s="370"/>
      <c r="HTN366" s="365"/>
      <c r="HTO366" s="370"/>
      <c r="HTP366" s="365"/>
      <c r="HTQ366" s="370"/>
      <c r="HTR366" s="365"/>
      <c r="HTS366" s="370"/>
      <c r="HTT366" s="365"/>
      <c r="HTU366" s="370"/>
      <c r="HTV366" s="365"/>
      <c r="HTW366" s="370"/>
      <c r="HTX366" s="365"/>
      <c r="HTY366" s="370"/>
      <c r="HTZ366" s="365"/>
      <c r="HUA366" s="370"/>
      <c r="HUB366" s="365"/>
      <c r="HUC366" s="370"/>
      <c r="HUD366" s="365"/>
      <c r="HUE366" s="370"/>
      <c r="HUF366" s="365"/>
      <c r="HUG366" s="370"/>
      <c r="HUH366" s="365"/>
      <c r="HUI366" s="370"/>
      <c r="HUJ366" s="365"/>
      <c r="HUK366" s="370"/>
      <c r="HUL366" s="365"/>
      <c r="HUM366" s="370"/>
      <c r="HUN366" s="365"/>
      <c r="HUO366" s="370"/>
      <c r="HUP366" s="365"/>
      <c r="HUQ366" s="370"/>
      <c r="HUR366" s="365"/>
      <c r="HUS366" s="370"/>
      <c r="HUT366" s="365"/>
      <c r="HUU366" s="370"/>
      <c r="HUV366" s="365"/>
      <c r="HUW366" s="370"/>
      <c r="HUX366" s="365"/>
      <c r="HUY366" s="370"/>
      <c r="HUZ366" s="365"/>
      <c r="HVA366" s="370"/>
      <c r="HVB366" s="365"/>
      <c r="HVC366" s="370"/>
      <c r="HVD366" s="365"/>
      <c r="HVE366" s="370"/>
      <c r="HVF366" s="365"/>
      <c r="HVG366" s="370"/>
      <c r="HVH366" s="365"/>
      <c r="HVI366" s="370"/>
      <c r="HVJ366" s="365"/>
      <c r="HVK366" s="370"/>
      <c r="HVL366" s="365"/>
      <c r="HVM366" s="370"/>
      <c r="HVN366" s="365"/>
      <c r="HVO366" s="370"/>
      <c r="HVP366" s="365"/>
      <c r="HVQ366" s="370"/>
      <c r="HVR366" s="365"/>
      <c r="HVS366" s="370"/>
      <c r="HVT366" s="365"/>
      <c r="HVU366" s="370"/>
      <c r="HVV366" s="365"/>
      <c r="HVW366" s="370"/>
      <c r="HVX366" s="365"/>
      <c r="HVY366" s="370"/>
      <c r="HVZ366" s="365"/>
      <c r="HWA366" s="370"/>
      <c r="HWB366" s="365"/>
      <c r="HWC366" s="370"/>
      <c r="HWD366" s="365"/>
      <c r="HWE366" s="370"/>
      <c r="HWF366" s="365"/>
      <c r="HWG366" s="370"/>
      <c r="HWH366" s="365"/>
      <c r="HWI366" s="370"/>
      <c r="HWJ366" s="365"/>
      <c r="HWK366" s="370"/>
      <c r="HWL366" s="365"/>
      <c r="HWM366" s="370"/>
      <c r="HWN366" s="365"/>
      <c r="HWO366" s="370"/>
      <c r="HWP366" s="365"/>
      <c r="HWQ366" s="370"/>
      <c r="HWR366" s="365"/>
      <c r="HWS366" s="370"/>
      <c r="HWT366" s="365"/>
      <c r="HWU366" s="370"/>
      <c r="HWV366" s="365"/>
      <c r="HWW366" s="370"/>
      <c r="HWX366" s="365"/>
      <c r="HWY366" s="370"/>
      <c r="HWZ366" s="365"/>
      <c r="HXA366" s="370"/>
      <c r="HXB366" s="365"/>
      <c r="HXC366" s="370"/>
      <c r="HXD366" s="365"/>
      <c r="HXE366" s="370"/>
      <c r="HXF366" s="365"/>
      <c r="HXG366" s="370"/>
      <c r="HXH366" s="365"/>
      <c r="HXI366" s="370"/>
      <c r="HXJ366" s="365"/>
      <c r="HXK366" s="370"/>
      <c r="HXL366" s="365"/>
      <c r="HXM366" s="370"/>
      <c r="HXN366" s="365"/>
      <c r="HXO366" s="370"/>
      <c r="HXP366" s="365"/>
      <c r="HXQ366" s="370"/>
      <c r="HXR366" s="365"/>
      <c r="HXS366" s="370"/>
      <c r="HXT366" s="365"/>
      <c r="HXU366" s="370"/>
      <c r="HXV366" s="365"/>
      <c r="HXW366" s="370"/>
      <c r="HXX366" s="365"/>
      <c r="HXY366" s="370"/>
      <c r="HXZ366" s="365"/>
      <c r="HYA366" s="370"/>
      <c r="HYB366" s="365"/>
      <c r="HYC366" s="370"/>
      <c r="HYD366" s="365"/>
      <c r="HYE366" s="370"/>
      <c r="HYF366" s="365"/>
      <c r="HYG366" s="370"/>
      <c r="HYH366" s="365"/>
      <c r="HYI366" s="370"/>
      <c r="HYJ366" s="365"/>
      <c r="HYK366" s="370"/>
      <c r="HYL366" s="365"/>
      <c r="HYM366" s="370"/>
      <c r="HYN366" s="365"/>
      <c r="HYO366" s="370"/>
      <c r="HYP366" s="365"/>
      <c r="HYQ366" s="370"/>
      <c r="HYR366" s="365"/>
      <c r="HYS366" s="370"/>
      <c r="HYT366" s="365"/>
      <c r="HYU366" s="370"/>
      <c r="HYV366" s="365"/>
      <c r="HYW366" s="370"/>
      <c r="HYX366" s="365"/>
      <c r="HYY366" s="370"/>
      <c r="HYZ366" s="365"/>
      <c r="HZA366" s="370"/>
      <c r="HZB366" s="365"/>
      <c r="HZC366" s="370"/>
      <c r="HZD366" s="365"/>
      <c r="HZE366" s="370"/>
      <c r="HZF366" s="365"/>
      <c r="HZG366" s="370"/>
      <c r="HZH366" s="365"/>
      <c r="HZI366" s="370"/>
      <c r="HZJ366" s="365"/>
      <c r="HZK366" s="370"/>
      <c r="HZL366" s="365"/>
      <c r="HZM366" s="370"/>
      <c r="HZN366" s="365"/>
      <c r="HZO366" s="370"/>
      <c r="HZP366" s="365"/>
      <c r="HZQ366" s="370"/>
      <c r="HZR366" s="365"/>
      <c r="HZS366" s="370"/>
      <c r="HZT366" s="365"/>
      <c r="HZU366" s="370"/>
      <c r="HZV366" s="365"/>
      <c r="HZW366" s="370"/>
      <c r="HZX366" s="365"/>
      <c r="HZY366" s="370"/>
      <c r="HZZ366" s="365"/>
      <c r="IAA366" s="370"/>
      <c r="IAB366" s="365"/>
      <c r="IAC366" s="370"/>
      <c r="IAD366" s="365"/>
      <c r="IAE366" s="370"/>
      <c r="IAF366" s="365"/>
      <c r="IAG366" s="370"/>
      <c r="IAH366" s="365"/>
      <c r="IAI366" s="370"/>
      <c r="IAJ366" s="365"/>
      <c r="IAK366" s="370"/>
      <c r="IAL366" s="365"/>
      <c r="IAM366" s="370"/>
      <c r="IAN366" s="365"/>
      <c r="IAO366" s="370"/>
      <c r="IAP366" s="365"/>
      <c r="IAQ366" s="370"/>
      <c r="IAR366" s="365"/>
      <c r="IAS366" s="370"/>
      <c r="IAT366" s="365"/>
      <c r="IAU366" s="370"/>
      <c r="IAV366" s="365"/>
      <c r="IAW366" s="370"/>
      <c r="IAX366" s="365"/>
      <c r="IAY366" s="370"/>
      <c r="IAZ366" s="365"/>
      <c r="IBA366" s="370"/>
      <c r="IBB366" s="365"/>
      <c r="IBC366" s="370"/>
      <c r="IBD366" s="365"/>
      <c r="IBE366" s="370"/>
      <c r="IBF366" s="365"/>
      <c r="IBG366" s="370"/>
      <c r="IBH366" s="365"/>
      <c r="IBI366" s="370"/>
      <c r="IBJ366" s="365"/>
      <c r="IBK366" s="370"/>
      <c r="IBL366" s="365"/>
      <c r="IBM366" s="370"/>
      <c r="IBN366" s="365"/>
      <c r="IBO366" s="370"/>
      <c r="IBP366" s="365"/>
      <c r="IBQ366" s="370"/>
      <c r="IBR366" s="365"/>
      <c r="IBS366" s="370"/>
      <c r="IBT366" s="365"/>
      <c r="IBU366" s="370"/>
      <c r="IBV366" s="365"/>
      <c r="IBW366" s="370"/>
      <c r="IBX366" s="365"/>
      <c r="IBY366" s="370"/>
      <c r="IBZ366" s="365"/>
      <c r="ICA366" s="370"/>
      <c r="ICB366" s="365"/>
      <c r="ICC366" s="370"/>
      <c r="ICD366" s="365"/>
      <c r="ICE366" s="370"/>
      <c r="ICF366" s="365"/>
      <c r="ICG366" s="370"/>
      <c r="ICH366" s="365"/>
      <c r="ICI366" s="370"/>
      <c r="ICJ366" s="365"/>
      <c r="ICK366" s="370"/>
      <c r="ICL366" s="365"/>
      <c r="ICM366" s="370"/>
      <c r="ICN366" s="365"/>
      <c r="ICO366" s="370"/>
      <c r="ICP366" s="365"/>
      <c r="ICQ366" s="370"/>
      <c r="ICR366" s="365"/>
      <c r="ICS366" s="370"/>
      <c r="ICT366" s="365"/>
      <c r="ICU366" s="370"/>
      <c r="ICV366" s="365"/>
      <c r="ICW366" s="370"/>
      <c r="ICX366" s="365"/>
      <c r="ICY366" s="370"/>
      <c r="ICZ366" s="365"/>
      <c r="IDA366" s="370"/>
      <c r="IDB366" s="365"/>
      <c r="IDC366" s="370"/>
      <c r="IDD366" s="365"/>
      <c r="IDE366" s="370"/>
      <c r="IDF366" s="365"/>
      <c r="IDG366" s="370"/>
      <c r="IDH366" s="365"/>
      <c r="IDI366" s="370"/>
      <c r="IDJ366" s="365"/>
      <c r="IDK366" s="370"/>
      <c r="IDL366" s="365"/>
      <c r="IDM366" s="370"/>
      <c r="IDN366" s="365"/>
      <c r="IDO366" s="370"/>
      <c r="IDP366" s="365"/>
      <c r="IDQ366" s="370"/>
      <c r="IDR366" s="365"/>
      <c r="IDS366" s="370"/>
      <c r="IDT366" s="365"/>
      <c r="IDU366" s="370"/>
      <c r="IDV366" s="365"/>
      <c r="IDW366" s="370"/>
      <c r="IDX366" s="365"/>
      <c r="IDY366" s="370"/>
      <c r="IDZ366" s="365"/>
      <c r="IEA366" s="370"/>
      <c r="IEB366" s="365"/>
      <c r="IEC366" s="370"/>
      <c r="IED366" s="365"/>
      <c r="IEE366" s="370"/>
      <c r="IEF366" s="365"/>
      <c r="IEG366" s="370"/>
      <c r="IEH366" s="365"/>
      <c r="IEI366" s="370"/>
      <c r="IEJ366" s="365"/>
      <c r="IEK366" s="370"/>
      <c r="IEL366" s="365"/>
      <c r="IEM366" s="370"/>
      <c r="IEN366" s="365"/>
      <c r="IEO366" s="370"/>
      <c r="IEP366" s="365"/>
      <c r="IEQ366" s="370"/>
      <c r="IER366" s="365"/>
      <c r="IES366" s="370"/>
      <c r="IET366" s="365"/>
      <c r="IEU366" s="370"/>
      <c r="IEV366" s="365"/>
      <c r="IEW366" s="370"/>
      <c r="IEX366" s="365"/>
      <c r="IEY366" s="370"/>
      <c r="IEZ366" s="365"/>
      <c r="IFA366" s="370"/>
      <c r="IFB366" s="365"/>
      <c r="IFC366" s="370"/>
      <c r="IFD366" s="365"/>
      <c r="IFE366" s="370"/>
      <c r="IFF366" s="365"/>
      <c r="IFG366" s="370"/>
      <c r="IFH366" s="365"/>
      <c r="IFI366" s="370"/>
      <c r="IFJ366" s="365"/>
      <c r="IFK366" s="370"/>
      <c r="IFL366" s="365"/>
      <c r="IFM366" s="370"/>
      <c r="IFN366" s="365"/>
      <c r="IFO366" s="370"/>
      <c r="IFP366" s="365"/>
      <c r="IFQ366" s="370"/>
      <c r="IFR366" s="365"/>
      <c r="IFS366" s="370"/>
      <c r="IFT366" s="365"/>
      <c r="IFU366" s="370"/>
      <c r="IFV366" s="365"/>
      <c r="IFW366" s="370"/>
      <c r="IFX366" s="365"/>
      <c r="IFY366" s="370"/>
      <c r="IFZ366" s="365"/>
      <c r="IGA366" s="370"/>
      <c r="IGB366" s="365"/>
      <c r="IGC366" s="370"/>
      <c r="IGD366" s="365"/>
      <c r="IGE366" s="370"/>
      <c r="IGF366" s="365"/>
      <c r="IGG366" s="370"/>
      <c r="IGH366" s="365"/>
      <c r="IGI366" s="370"/>
      <c r="IGJ366" s="365"/>
      <c r="IGK366" s="370"/>
      <c r="IGL366" s="365"/>
      <c r="IGM366" s="370"/>
      <c r="IGN366" s="365"/>
      <c r="IGO366" s="370"/>
      <c r="IGP366" s="365"/>
      <c r="IGQ366" s="370"/>
      <c r="IGR366" s="365"/>
      <c r="IGS366" s="370"/>
      <c r="IGT366" s="365"/>
      <c r="IGU366" s="370"/>
      <c r="IGV366" s="365"/>
      <c r="IGW366" s="370"/>
      <c r="IGX366" s="365"/>
      <c r="IGY366" s="370"/>
      <c r="IGZ366" s="365"/>
      <c r="IHA366" s="370"/>
      <c r="IHB366" s="365"/>
      <c r="IHC366" s="370"/>
      <c r="IHD366" s="365"/>
      <c r="IHE366" s="370"/>
      <c r="IHF366" s="365"/>
      <c r="IHG366" s="370"/>
      <c r="IHH366" s="365"/>
      <c r="IHI366" s="370"/>
      <c r="IHJ366" s="365"/>
      <c r="IHK366" s="370"/>
      <c r="IHL366" s="365"/>
      <c r="IHM366" s="370"/>
      <c r="IHN366" s="365"/>
      <c r="IHO366" s="370"/>
      <c r="IHP366" s="365"/>
      <c r="IHQ366" s="370"/>
      <c r="IHR366" s="365"/>
      <c r="IHS366" s="370"/>
      <c r="IHT366" s="365"/>
      <c r="IHU366" s="370"/>
      <c r="IHV366" s="365"/>
      <c r="IHW366" s="370"/>
      <c r="IHX366" s="365"/>
      <c r="IHY366" s="370"/>
      <c r="IHZ366" s="365"/>
      <c r="IIA366" s="370"/>
      <c r="IIB366" s="365"/>
      <c r="IIC366" s="370"/>
      <c r="IID366" s="365"/>
      <c r="IIE366" s="370"/>
      <c r="IIF366" s="365"/>
      <c r="IIG366" s="370"/>
      <c r="IIH366" s="365"/>
      <c r="III366" s="370"/>
      <c r="IIJ366" s="365"/>
      <c r="IIK366" s="370"/>
      <c r="IIL366" s="365"/>
      <c r="IIM366" s="370"/>
      <c r="IIN366" s="365"/>
      <c r="IIO366" s="370"/>
      <c r="IIP366" s="365"/>
      <c r="IIQ366" s="370"/>
      <c r="IIR366" s="365"/>
      <c r="IIS366" s="370"/>
      <c r="IIT366" s="365"/>
      <c r="IIU366" s="370"/>
      <c r="IIV366" s="365"/>
      <c r="IIW366" s="370"/>
      <c r="IIX366" s="365"/>
      <c r="IIY366" s="370"/>
      <c r="IIZ366" s="365"/>
      <c r="IJA366" s="370"/>
      <c r="IJB366" s="365"/>
      <c r="IJC366" s="370"/>
      <c r="IJD366" s="365"/>
      <c r="IJE366" s="370"/>
      <c r="IJF366" s="365"/>
      <c r="IJG366" s="370"/>
      <c r="IJH366" s="365"/>
      <c r="IJI366" s="370"/>
      <c r="IJJ366" s="365"/>
      <c r="IJK366" s="370"/>
      <c r="IJL366" s="365"/>
      <c r="IJM366" s="370"/>
      <c r="IJN366" s="365"/>
      <c r="IJO366" s="370"/>
      <c r="IJP366" s="365"/>
      <c r="IJQ366" s="370"/>
      <c r="IJR366" s="365"/>
      <c r="IJS366" s="370"/>
      <c r="IJT366" s="365"/>
      <c r="IJU366" s="370"/>
      <c r="IJV366" s="365"/>
      <c r="IJW366" s="370"/>
      <c r="IJX366" s="365"/>
      <c r="IJY366" s="370"/>
      <c r="IJZ366" s="365"/>
      <c r="IKA366" s="370"/>
      <c r="IKB366" s="365"/>
      <c r="IKC366" s="370"/>
      <c r="IKD366" s="365"/>
      <c r="IKE366" s="370"/>
      <c r="IKF366" s="365"/>
      <c r="IKG366" s="370"/>
      <c r="IKH366" s="365"/>
      <c r="IKI366" s="370"/>
      <c r="IKJ366" s="365"/>
      <c r="IKK366" s="370"/>
      <c r="IKL366" s="365"/>
      <c r="IKM366" s="370"/>
      <c r="IKN366" s="365"/>
      <c r="IKO366" s="370"/>
      <c r="IKP366" s="365"/>
      <c r="IKQ366" s="370"/>
      <c r="IKR366" s="365"/>
      <c r="IKS366" s="370"/>
      <c r="IKT366" s="365"/>
      <c r="IKU366" s="370"/>
      <c r="IKV366" s="365"/>
      <c r="IKW366" s="370"/>
      <c r="IKX366" s="365"/>
      <c r="IKY366" s="370"/>
      <c r="IKZ366" s="365"/>
      <c r="ILA366" s="370"/>
      <c r="ILB366" s="365"/>
      <c r="ILC366" s="370"/>
      <c r="ILD366" s="365"/>
      <c r="ILE366" s="370"/>
      <c r="ILF366" s="365"/>
      <c r="ILG366" s="370"/>
      <c r="ILH366" s="365"/>
      <c r="ILI366" s="370"/>
      <c r="ILJ366" s="365"/>
      <c r="ILK366" s="370"/>
      <c r="ILL366" s="365"/>
      <c r="ILM366" s="370"/>
      <c r="ILN366" s="365"/>
      <c r="ILO366" s="370"/>
      <c r="ILP366" s="365"/>
      <c r="ILQ366" s="370"/>
      <c r="ILR366" s="365"/>
      <c r="ILS366" s="370"/>
      <c r="ILT366" s="365"/>
      <c r="ILU366" s="370"/>
      <c r="ILV366" s="365"/>
      <c r="ILW366" s="370"/>
      <c r="ILX366" s="365"/>
      <c r="ILY366" s="370"/>
      <c r="ILZ366" s="365"/>
      <c r="IMA366" s="370"/>
      <c r="IMB366" s="365"/>
      <c r="IMC366" s="370"/>
      <c r="IMD366" s="365"/>
      <c r="IME366" s="370"/>
      <c r="IMF366" s="365"/>
      <c r="IMG366" s="370"/>
      <c r="IMH366" s="365"/>
      <c r="IMI366" s="370"/>
      <c r="IMJ366" s="365"/>
      <c r="IMK366" s="370"/>
      <c r="IML366" s="365"/>
      <c r="IMM366" s="370"/>
      <c r="IMN366" s="365"/>
      <c r="IMO366" s="370"/>
      <c r="IMP366" s="365"/>
      <c r="IMQ366" s="370"/>
      <c r="IMR366" s="365"/>
      <c r="IMS366" s="370"/>
      <c r="IMT366" s="365"/>
      <c r="IMU366" s="370"/>
      <c r="IMV366" s="365"/>
      <c r="IMW366" s="370"/>
      <c r="IMX366" s="365"/>
      <c r="IMY366" s="370"/>
      <c r="IMZ366" s="365"/>
      <c r="INA366" s="370"/>
      <c r="INB366" s="365"/>
      <c r="INC366" s="370"/>
      <c r="IND366" s="365"/>
      <c r="INE366" s="370"/>
      <c r="INF366" s="365"/>
      <c r="ING366" s="370"/>
      <c r="INH366" s="365"/>
      <c r="INI366" s="370"/>
      <c r="INJ366" s="365"/>
      <c r="INK366" s="370"/>
      <c r="INL366" s="365"/>
      <c r="INM366" s="370"/>
      <c r="INN366" s="365"/>
      <c r="INO366" s="370"/>
      <c r="INP366" s="365"/>
      <c r="INQ366" s="370"/>
      <c r="INR366" s="365"/>
      <c r="INS366" s="370"/>
      <c r="INT366" s="365"/>
      <c r="INU366" s="370"/>
      <c r="INV366" s="365"/>
      <c r="INW366" s="370"/>
      <c r="INX366" s="365"/>
      <c r="INY366" s="370"/>
      <c r="INZ366" s="365"/>
      <c r="IOA366" s="370"/>
      <c r="IOB366" s="365"/>
      <c r="IOC366" s="370"/>
      <c r="IOD366" s="365"/>
      <c r="IOE366" s="370"/>
      <c r="IOF366" s="365"/>
      <c r="IOG366" s="370"/>
      <c r="IOH366" s="365"/>
      <c r="IOI366" s="370"/>
      <c r="IOJ366" s="365"/>
      <c r="IOK366" s="370"/>
      <c r="IOL366" s="365"/>
      <c r="IOM366" s="370"/>
      <c r="ION366" s="365"/>
      <c r="IOO366" s="370"/>
      <c r="IOP366" s="365"/>
      <c r="IOQ366" s="370"/>
      <c r="IOR366" s="365"/>
      <c r="IOS366" s="370"/>
      <c r="IOT366" s="365"/>
      <c r="IOU366" s="370"/>
      <c r="IOV366" s="365"/>
      <c r="IOW366" s="370"/>
      <c r="IOX366" s="365"/>
      <c r="IOY366" s="370"/>
      <c r="IOZ366" s="365"/>
      <c r="IPA366" s="370"/>
      <c r="IPB366" s="365"/>
      <c r="IPC366" s="370"/>
      <c r="IPD366" s="365"/>
      <c r="IPE366" s="370"/>
      <c r="IPF366" s="365"/>
      <c r="IPG366" s="370"/>
      <c r="IPH366" s="365"/>
      <c r="IPI366" s="370"/>
      <c r="IPJ366" s="365"/>
      <c r="IPK366" s="370"/>
      <c r="IPL366" s="365"/>
      <c r="IPM366" s="370"/>
      <c r="IPN366" s="365"/>
      <c r="IPO366" s="370"/>
      <c r="IPP366" s="365"/>
      <c r="IPQ366" s="370"/>
      <c r="IPR366" s="365"/>
      <c r="IPS366" s="370"/>
      <c r="IPT366" s="365"/>
      <c r="IPU366" s="370"/>
      <c r="IPV366" s="365"/>
      <c r="IPW366" s="370"/>
      <c r="IPX366" s="365"/>
      <c r="IPY366" s="370"/>
      <c r="IPZ366" s="365"/>
      <c r="IQA366" s="370"/>
      <c r="IQB366" s="365"/>
      <c r="IQC366" s="370"/>
      <c r="IQD366" s="365"/>
      <c r="IQE366" s="370"/>
      <c r="IQF366" s="365"/>
      <c r="IQG366" s="370"/>
      <c r="IQH366" s="365"/>
      <c r="IQI366" s="370"/>
      <c r="IQJ366" s="365"/>
      <c r="IQK366" s="370"/>
      <c r="IQL366" s="365"/>
      <c r="IQM366" s="370"/>
      <c r="IQN366" s="365"/>
      <c r="IQO366" s="370"/>
      <c r="IQP366" s="365"/>
      <c r="IQQ366" s="370"/>
      <c r="IQR366" s="365"/>
      <c r="IQS366" s="370"/>
      <c r="IQT366" s="365"/>
      <c r="IQU366" s="370"/>
      <c r="IQV366" s="365"/>
      <c r="IQW366" s="370"/>
      <c r="IQX366" s="365"/>
      <c r="IQY366" s="370"/>
      <c r="IQZ366" s="365"/>
      <c r="IRA366" s="370"/>
      <c r="IRB366" s="365"/>
      <c r="IRC366" s="370"/>
      <c r="IRD366" s="365"/>
      <c r="IRE366" s="370"/>
      <c r="IRF366" s="365"/>
      <c r="IRG366" s="370"/>
      <c r="IRH366" s="365"/>
      <c r="IRI366" s="370"/>
      <c r="IRJ366" s="365"/>
      <c r="IRK366" s="370"/>
      <c r="IRL366" s="365"/>
      <c r="IRM366" s="370"/>
      <c r="IRN366" s="365"/>
      <c r="IRO366" s="370"/>
      <c r="IRP366" s="365"/>
      <c r="IRQ366" s="370"/>
      <c r="IRR366" s="365"/>
      <c r="IRS366" s="370"/>
      <c r="IRT366" s="365"/>
      <c r="IRU366" s="370"/>
      <c r="IRV366" s="365"/>
      <c r="IRW366" s="370"/>
      <c r="IRX366" s="365"/>
      <c r="IRY366" s="370"/>
      <c r="IRZ366" s="365"/>
      <c r="ISA366" s="370"/>
      <c r="ISB366" s="365"/>
      <c r="ISC366" s="370"/>
      <c r="ISD366" s="365"/>
      <c r="ISE366" s="370"/>
      <c r="ISF366" s="365"/>
      <c r="ISG366" s="370"/>
      <c r="ISH366" s="365"/>
      <c r="ISI366" s="370"/>
      <c r="ISJ366" s="365"/>
      <c r="ISK366" s="370"/>
      <c r="ISL366" s="365"/>
      <c r="ISM366" s="370"/>
      <c r="ISN366" s="365"/>
      <c r="ISO366" s="370"/>
      <c r="ISP366" s="365"/>
      <c r="ISQ366" s="370"/>
      <c r="ISR366" s="365"/>
      <c r="ISS366" s="370"/>
      <c r="IST366" s="365"/>
      <c r="ISU366" s="370"/>
      <c r="ISV366" s="365"/>
      <c r="ISW366" s="370"/>
      <c r="ISX366" s="365"/>
      <c r="ISY366" s="370"/>
      <c r="ISZ366" s="365"/>
      <c r="ITA366" s="370"/>
      <c r="ITB366" s="365"/>
      <c r="ITC366" s="370"/>
      <c r="ITD366" s="365"/>
      <c r="ITE366" s="370"/>
      <c r="ITF366" s="365"/>
      <c r="ITG366" s="370"/>
      <c r="ITH366" s="365"/>
      <c r="ITI366" s="370"/>
      <c r="ITJ366" s="365"/>
      <c r="ITK366" s="370"/>
      <c r="ITL366" s="365"/>
      <c r="ITM366" s="370"/>
      <c r="ITN366" s="365"/>
      <c r="ITO366" s="370"/>
      <c r="ITP366" s="365"/>
      <c r="ITQ366" s="370"/>
      <c r="ITR366" s="365"/>
      <c r="ITS366" s="370"/>
      <c r="ITT366" s="365"/>
      <c r="ITU366" s="370"/>
      <c r="ITV366" s="365"/>
      <c r="ITW366" s="370"/>
      <c r="ITX366" s="365"/>
      <c r="ITY366" s="370"/>
      <c r="ITZ366" s="365"/>
      <c r="IUA366" s="370"/>
      <c r="IUB366" s="365"/>
      <c r="IUC366" s="370"/>
      <c r="IUD366" s="365"/>
      <c r="IUE366" s="370"/>
      <c r="IUF366" s="365"/>
      <c r="IUG366" s="370"/>
      <c r="IUH366" s="365"/>
      <c r="IUI366" s="370"/>
      <c r="IUJ366" s="365"/>
      <c r="IUK366" s="370"/>
      <c r="IUL366" s="365"/>
      <c r="IUM366" s="370"/>
      <c r="IUN366" s="365"/>
      <c r="IUO366" s="370"/>
      <c r="IUP366" s="365"/>
      <c r="IUQ366" s="370"/>
      <c r="IUR366" s="365"/>
      <c r="IUS366" s="370"/>
      <c r="IUT366" s="365"/>
      <c r="IUU366" s="370"/>
      <c r="IUV366" s="365"/>
      <c r="IUW366" s="370"/>
      <c r="IUX366" s="365"/>
      <c r="IUY366" s="370"/>
      <c r="IUZ366" s="365"/>
      <c r="IVA366" s="370"/>
      <c r="IVB366" s="365"/>
      <c r="IVC366" s="370"/>
      <c r="IVD366" s="365"/>
      <c r="IVE366" s="370"/>
      <c r="IVF366" s="365"/>
      <c r="IVG366" s="370"/>
      <c r="IVH366" s="365"/>
      <c r="IVI366" s="370"/>
      <c r="IVJ366" s="365"/>
      <c r="IVK366" s="370"/>
      <c r="IVL366" s="365"/>
      <c r="IVM366" s="370"/>
      <c r="IVN366" s="365"/>
      <c r="IVO366" s="370"/>
      <c r="IVP366" s="365"/>
      <c r="IVQ366" s="370"/>
      <c r="IVR366" s="365"/>
      <c r="IVS366" s="370"/>
      <c r="IVT366" s="365"/>
      <c r="IVU366" s="370"/>
      <c r="IVV366" s="365"/>
      <c r="IVW366" s="370"/>
      <c r="IVX366" s="365"/>
      <c r="IVY366" s="370"/>
      <c r="IVZ366" s="365"/>
      <c r="IWA366" s="370"/>
      <c r="IWB366" s="365"/>
      <c r="IWC366" s="370"/>
      <c r="IWD366" s="365"/>
      <c r="IWE366" s="370"/>
      <c r="IWF366" s="365"/>
      <c r="IWG366" s="370"/>
      <c r="IWH366" s="365"/>
      <c r="IWI366" s="370"/>
      <c r="IWJ366" s="365"/>
      <c r="IWK366" s="370"/>
      <c r="IWL366" s="365"/>
      <c r="IWM366" s="370"/>
      <c r="IWN366" s="365"/>
      <c r="IWO366" s="370"/>
      <c r="IWP366" s="365"/>
      <c r="IWQ366" s="370"/>
      <c r="IWR366" s="365"/>
      <c r="IWS366" s="370"/>
      <c r="IWT366" s="365"/>
      <c r="IWU366" s="370"/>
      <c r="IWV366" s="365"/>
      <c r="IWW366" s="370"/>
      <c r="IWX366" s="365"/>
      <c r="IWY366" s="370"/>
      <c r="IWZ366" s="365"/>
      <c r="IXA366" s="370"/>
      <c r="IXB366" s="365"/>
      <c r="IXC366" s="370"/>
      <c r="IXD366" s="365"/>
      <c r="IXE366" s="370"/>
      <c r="IXF366" s="365"/>
      <c r="IXG366" s="370"/>
      <c r="IXH366" s="365"/>
      <c r="IXI366" s="370"/>
      <c r="IXJ366" s="365"/>
      <c r="IXK366" s="370"/>
      <c r="IXL366" s="365"/>
      <c r="IXM366" s="370"/>
      <c r="IXN366" s="365"/>
      <c r="IXO366" s="370"/>
      <c r="IXP366" s="365"/>
      <c r="IXQ366" s="370"/>
      <c r="IXR366" s="365"/>
      <c r="IXS366" s="370"/>
      <c r="IXT366" s="365"/>
      <c r="IXU366" s="370"/>
      <c r="IXV366" s="365"/>
      <c r="IXW366" s="370"/>
      <c r="IXX366" s="365"/>
      <c r="IXY366" s="370"/>
      <c r="IXZ366" s="365"/>
      <c r="IYA366" s="370"/>
      <c r="IYB366" s="365"/>
      <c r="IYC366" s="370"/>
      <c r="IYD366" s="365"/>
      <c r="IYE366" s="370"/>
      <c r="IYF366" s="365"/>
      <c r="IYG366" s="370"/>
      <c r="IYH366" s="365"/>
      <c r="IYI366" s="370"/>
      <c r="IYJ366" s="365"/>
      <c r="IYK366" s="370"/>
      <c r="IYL366" s="365"/>
      <c r="IYM366" s="370"/>
      <c r="IYN366" s="365"/>
      <c r="IYO366" s="370"/>
      <c r="IYP366" s="365"/>
      <c r="IYQ366" s="370"/>
      <c r="IYR366" s="365"/>
      <c r="IYS366" s="370"/>
      <c r="IYT366" s="365"/>
      <c r="IYU366" s="370"/>
      <c r="IYV366" s="365"/>
      <c r="IYW366" s="370"/>
      <c r="IYX366" s="365"/>
      <c r="IYY366" s="370"/>
      <c r="IYZ366" s="365"/>
      <c r="IZA366" s="370"/>
      <c r="IZB366" s="365"/>
      <c r="IZC366" s="370"/>
      <c r="IZD366" s="365"/>
      <c r="IZE366" s="370"/>
      <c r="IZF366" s="365"/>
      <c r="IZG366" s="370"/>
      <c r="IZH366" s="365"/>
      <c r="IZI366" s="370"/>
      <c r="IZJ366" s="365"/>
      <c r="IZK366" s="370"/>
      <c r="IZL366" s="365"/>
      <c r="IZM366" s="370"/>
      <c r="IZN366" s="365"/>
      <c r="IZO366" s="370"/>
      <c r="IZP366" s="365"/>
      <c r="IZQ366" s="370"/>
      <c r="IZR366" s="365"/>
      <c r="IZS366" s="370"/>
      <c r="IZT366" s="365"/>
      <c r="IZU366" s="370"/>
      <c r="IZV366" s="365"/>
      <c r="IZW366" s="370"/>
      <c r="IZX366" s="365"/>
      <c r="IZY366" s="370"/>
      <c r="IZZ366" s="365"/>
      <c r="JAA366" s="370"/>
      <c r="JAB366" s="365"/>
      <c r="JAC366" s="370"/>
      <c r="JAD366" s="365"/>
      <c r="JAE366" s="370"/>
      <c r="JAF366" s="365"/>
      <c r="JAG366" s="370"/>
      <c r="JAH366" s="365"/>
      <c r="JAI366" s="370"/>
      <c r="JAJ366" s="365"/>
      <c r="JAK366" s="370"/>
      <c r="JAL366" s="365"/>
      <c r="JAM366" s="370"/>
      <c r="JAN366" s="365"/>
      <c r="JAO366" s="370"/>
      <c r="JAP366" s="365"/>
      <c r="JAQ366" s="370"/>
      <c r="JAR366" s="365"/>
      <c r="JAS366" s="370"/>
      <c r="JAT366" s="365"/>
      <c r="JAU366" s="370"/>
      <c r="JAV366" s="365"/>
      <c r="JAW366" s="370"/>
      <c r="JAX366" s="365"/>
      <c r="JAY366" s="370"/>
      <c r="JAZ366" s="365"/>
      <c r="JBA366" s="370"/>
      <c r="JBB366" s="365"/>
      <c r="JBC366" s="370"/>
      <c r="JBD366" s="365"/>
      <c r="JBE366" s="370"/>
      <c r="JBF366" s="365"/>
      <c r="JBG366" s="370"/>
      <c r="JBH366" s="365"/>
      <c r="JBI366" s="370"/>
      <c r="JBJ366" s="365"/>
      <c r="JBK366" s="370"/>
      <c r="JBL366" s="365"/>
      <c r="JBM366" s="370"/>
      <c r="JBN366" s="365"/>
      <c r="JBO366" s="370"/>
      <c r="JBP366" s="365"/>
      <c r="JBQ366" s="370"/>
      <c r="JBR366" s="365"/>
      <c r="JBS366" s="370"/>
      <c r="JBT366" s="365"/>
      <c r="JBU366" s="370"/>
      <c r="JBV366" s="365"/>
      <c r="JBW366" s="370"/>
      <c r="JBX366" s="365"/>
      <c r="JBY366" s="370"/>
      <c r="JBZ366" s="365"/>
      <c r="JCA366" s="370"/>
      <c r="JCB366" s="365"/>
      <c r="JCC366" s="370"/>
      <c r="JCD366" s="365"/>
      <c r="JCE366" s="370"/>
      <c r="JCF366" s="365"/>
      <c r="JCG366" s="370"/>
      <c r="JCH366" s="365"/>
      <c r="JCI366" s="370"/>
      <c r="JCJ366" s="365"/>
      <c r="JCK366" s="370"/>
      <c r="JCL366" s="365"/>
      <c r="JCM366" s="370"/>
      <c r="JCN366" s="365"/>
      <c r="JCO366" s="370"/>
      <c r="JCP366" s="365"/>
      <c r="JCQ366" s="370"/>
      <c r="JCR366" s="365"/>
      <c r="JCS366" s="370"/>
      <c r="JCT366" s="365"/>
      <c r="JCU366" s="370"/>
      <c r="JCV366" s="365"/>
      <c r="JCW366" s="370"/>
      <c r="JCX366" s="365"/>
      <c r="JCY366" s="370"/>
      <c r="JCZ366" s="365"/>
      <c r="JDA366" s="370"/>
      <c r="JDB366" s="365"/>
      <c r="JDC366" s="370"/>
      <c r="JDD366" s="365"/>
      <c r="JDE366" s="370"/>
      <c r="JDF366" s="365"/>
      <c r="JDG366" s="370"/>
      <c r="JDH366" s="365"/>
      <c r="JDI366" s="370"/>
      <c r="JDJ366" s="365"/>
      <c r="JDK366" s="370"/>
      <c r="JDL366" s="365"/>
      <c r="JDM366" s="370"/>
      <c r="JDN366" s="365"/>
      <c r="JDO366" s="370"/>
      <c r="JDP366" s="365"/>
      <c r="JDQ366" s="370"/>
      <c r="JDR366" s="365"/>
      <c r="JDS366" s="370"/>
      <c r="JDT366" s="365"/>
      <c r="JDU366" s="370"/>
      <c r="JDV366" s="365"/>
      <c r="JDW366" s="370"/>
      <c r="JDX366" s="365"/>
      <c r="JDY366" s="370"/>
      <c r="JDZ366" s="365"/>
      <c r="JEA366" s="370"/>
      <c r="JEB366" s="365"/>
      <c r="JEC366" s="370"/>
      <c r="JED366" s="365"/>
      <c r="JEE366" s="370"/>
      <c r="JEF366" s="365"/>
      <c r="JEG366" s="370"/>
      <c r="JEH366" s="365"/>
      <c r="JEI366" s="370"/>
      <c r="JEJ366" s="365"/>
      <c r="JEK366" s="370"/>
      <c r="JEL366" s="365"/>
      <c r="JEM366" s="370"/>
      <c r="JEN366" s="365"/>
      <c r="JEO366" s="370"/>
      <c r="JEP366" s="365"/>
      <c r="JEQ366" s="370"/>
      <c r="JER366" s="365"/>
      <c r="JES366" s="370"/>
      <c r="JET366" s="365"/>
      <c r="JEU366" s="370"/>
      <c r="JEV366" s="365"/>
      <c r="JEW366" s="370"/>
      <c r="JEX366" s="365"/>
      <c r="JEY366" s="370"/>
      <c r="JEZ366" s="365"/>
      <c r="JFA366" s="370"/>
      <c r="JFB366" s="365"/>
      <c r="JFC366" s="370"/>
      <c r="JFD366" s="365"/>
      <c r="JFE366" s="370"/>
      <c r="JFF366" s="365"/>
      <c r="JFG366" s="370"/>
      <c r="JFH366" s="365"/>
      <c r="JFI366" s="370"/>
      <c r="JFJ366" s="365"/>
      <c r="JFK366" s="370"/>
      <c r="JFL366" s="365"/>
      <c r="JFM366" s="370"/>
      <c r="JFN366" s="365"/>
      <c r="JFO366" s="370"/>
      <c r="JFP366" s="365"/>
      <c r="JFQ366" s="370"/>
      <c r="JFR366" s="365"/>
      <c r="JFS366" s="370"/>
      <c r="JFT366" s="365"/>
      <c r="JFU366" s="370"/>
      <c r="JFV366" s="365"/>
      <c r="JFW366" s="370"/>
      <c r="JFX366" s="365"/>
      <c r="JFY366" s="370"/>
      <c r="JFZ366" s="365"/>
      <c r="JGA366" s="370"/>
      <c r="JGB366" s="365"/>
      <c r="JGC366" s="370"/>
      <c r="JGD366" s="365"/>
      <c r="JGE366" s="370"/>
      <c r="JGF366" s="365"/>
      <c r="JGG366" s="370"/>
      <c r="JGH366" s="365"/>
      <c r="JGI366" s="370"/>
      <c r="JGJ366" s="365"/>
      <c r="JGK366" s="370"/>
      <c r="JGL366" s="365"/>
      <c r="JGM366" s="370"/>
      <c r="JGN366" s="365"/>
      <c r="JGO366" s="370"/>
      <c r="JGP366" s="365"/>
      <c r="JGQ366" s="370"/>
      <c r="JGR366" s="365"/>
      <c r="JGS366" s="370"/>
      <c r="JGT366" s="365"/>
      <c r="JGU366" s="370"/>
      <c r="JGV366" s="365"/>
      <c r="JGW366" s="370"/>
      <c r="JGX366" s="365"/>
      <c r="JGY366" s="370"/>
      <c r="JGZ366" s="365"/>
      <c r="JHA366" s="370"/>
      <c r="JHB366" s="365"/>
      <c r="JHC366" s="370"/>
      <c r="JHD366" s="365"/>
      <c r="JHE366" s="370"/>
      <c r="JHF366" s="365"/>
      <c r="JHG366" s="370"/>
      <c r="JHH366" s="365"/>
      <c r="JHI366" s="370"/>
      <c r="JHJ366" s="365"/>
      <c r="JHK366" s="370"/>
      <c r="JHL366" s="365"/>
      <c r="JHM366" s="370"/>
      <c r="JHN366" s="365"/>
      <c r="JHO366" s="370"/>
      <c r="JHP366" s="365"/>
      <c r="JHQ366" s="370"/>
      <c r="JHR366" s="365"/>
      <c r="JHS366" s="370"/>
      <c r="JHT366" s="365"/>
      <c r="JHU366" s="370"/>
      <c r="JHV366" s="365"/>
      <c r="JHW366" s="370"/>
      <c r="JHX366" s="365"/>
      <c r="JHY366" s="370"/>
      <c r="JHZ366" s="365"/>
      <c r="JIA366" s="370"/>
      <c r="JIB366" s="365"/>
      <c r="JIC366" s="370"/>
      <c r="JID366" s="365"/>
      <c r="JIE366" s="370"/>
      <c r="JIF366" s="365"/>
      <c r="JIG366" s="370"/>
      <c r="JIH366" s="365"/>
      <c r="JII366" s="370"/>
      <c r="JIJ366" s="365"/>
      <c r="JIK366" s="370"/>
      <c r="JIL366" s="365"/>
      <c r="JIM366" s="370"/>
      <c r="JIN366" s="365"/>
      <c r="JIO366" s="370"/>
      <c r="JIP366" s="365"/>
      <c r="JIQ366" s="370"/>
      <c r="JIR366" s="365"/>
      <c r="JIS366" s="370"/>
      <c r="JIT366" s="365"/>
      <c r="JIU366" s="370"/>
      <c r="JIV366" s="365"/>
      <c r="JIW366" s="370"/>
      <c r="JIX366" s="365"/>
      <c r="JIY366" s="370"/>
      <c r="JIZ366" s="365"/>
      <c r="JJA366" s="370"/>
      <c r="JJB366" s="365"/>
      <c r="JJC366" s="370"/>
      <c r="JJD366" s="365"/>
      <c r="JJE366" s="370"/>
      <c r="JJF366" s="365"/>
      <c r="JJG366" s="370"/>
      <c r="JJH366" s="365"/>
      <c r="JJI366" s="370"/>
      <c r="JJJ366" s="365"/>
      <c r="JJK366" s="370"/>
      <c r="JJL366" s="365"/>
      <c r="JJM366" s="370"/>
      <c r="JJN366" s="365"/>
      <c r="JJO366" s="370"/>
      <c r="JJP366" s="365"/>
      <c r="JJQ366" s="370"/>
      <c r="JJR366" s="365"/>
      <c r="JJS366" s="370"/>
      <c r="JJT366" s="365"/>
      <c r="JJU366" s="370"/>
      <c r="JJV366" s="365"/>
      <c r="JJW366" s="370"/>
      <c r="JJX366" s="365"/>
      <c r="JJY366" s="370"/>
      <c r="JJZ366" s="365"/>
      <c r="JKA366" s="370"/>
      <c r="JKB366" s="365"/>
      <c r="JKC366" s="370"/>
      <c r="JKD366" s="365"/>
      <c r="JKE366" s="370"/>
      <c r="JKF366" s="365"/>
      <c r="JKG366" s="370"/>
      <c r="JKH366" s="365"/>
      <c r="JKI366" s="370"/>
      <c r="JKJ366" s="365"/>
      <c r="JKK366" s="370"/>
      <c r="JKL366" s="365"/>
      <c r="JKM366" s="370"/>
      <c r="JKN366" s="365"/>
      <c r="JKO366" s="370"/>
      <c r="JKP366" s="365"/>
      <c r="JKQ366" s="370"/>
      <c r="JKR366" s="365"/>
      <c r="JKS366" s="370"/>
      <c r="JKT366" s="365"/>
      <c r="JKU366" s="370"/>
      <c r="JKV366" s="365"/>
      <c r="JKW366" s="370"/>
      <c r="JKX366" s="365"/>
      <c r="JKY366" s="370"/>
      <c r="JKZ366" s="365"/>
      <c r="JLA366" s="370"/>
      <c r="JLB366" s="365"/>
      <c r="JLC366" s="370"/>
      <c r="JLD366" s="365"/>
      <c r="JLE366" s="370"/>
      <c r="JLF366" s="365"/>
      <c r="JLG366" s="370"/>
      <c r="JLH366" s="365"/>
      <c r="JLI366" s="370"/>
      <c r="JLJ366" s="365"/>
      <c r="JLK366" s="370"/>
      <c r="JLL366" s="365"/>
      <c r="JLM366" s="370"/>
      <c r="JLN366" s="365"/>
      <c r="JLO366" s="370"/>
      <c r="JLP366" s="365"/>
      <c r="JLQ366" s="370"/>
      <c r="JLR366" s="365"/>
      <c r="JLS366" s="370"/>
      <c r="JLT366" s="365"/>
      <c r="JLU366" s="370"/>
      <c r="JLV366" s="365"/>
      <c r="JLW366" s="370"/>
      <c r="JLX366" s="365"/>
      <c r="JLY366" s="370"/>
      <c r="JLZ366" s="365"/>
      <c r="JMA366" s="370"/>
      <c r="JMB366" s="365"/>
      <c r="JMC366" s="370"/>
      <c r="JMD366" s="365"/>
      <c r="JME366" s="370"/>
      <c r="JMF366" s="365"/>
      <c r="JMG366" s="370"/>
      <c r="JMH366" s="365"/>
      <c r="JMI366" s="370"/>
      <c r="JMJ366" s="365"/>
      <c r="JMK366" s="370"/>
      <c r="JML366" s="365"/>
      <c r="JMM366" s="370"/>
      <c r="JMN366" s="365"/>
      <c r="JMO366" s="370"/>
      <c r="JMP366" s="365"/>
      <c r="JMQ366" s="370"/>
      <c r="JMR366" s="365"/>
      <c r="JMS366" s="370"/>
      <c r="JMT366" s="365"/>
      <c r="JMU366" s="370"/>
      <c r="JMV366" s="365"/>
      <c r="JMW366" s="370"/>
      <c r="JMX366" s="365"/>
      <c r="JMY366" s="370"/>
      <c r="JMZ366" s="365"/>
      <c r="JNA366" s="370"/>
      <c r="JNB366" s="365"/>
      <c r="JNC366" s="370"/>
      <c r="JND366" s="365"/>
      <c r="JNE366" s="370"/>
      <c r="JNF366" s="365"/>
      <c r="JNG366" s="370"/>
      <c r="JNH366" s="365"/>
      <c r="JNI366" s="370"/>
      <c r="JNJ366" s="365"/>
      <c r="JNK366" s="370"/>
      <c r="JNL366" s="365"/>
      <c r="JNM366" s="370"/>
      <c r="JNN366" s="365"/>
      <c r="JNO366" s="370"/>
      <c r="JNP366" s="365"/>
      <c r="JNQ366" s="370"/>
      <c r="JNR366" s="365"/>
      <c r="JNS366" s="370"/>
      <c r="JNT366" s="365"/>
      <c r="JNU366" s="370"/>
      <c r="JNV366" s="365"/>
      <c r="JNW366" s="370"/>
      <c r="JNX366" s="365"/>
      <c r="JNY366" s="370"/>
      <c r="JNZ366" s="365"/>
      <c r="JOA366" s="370"/>
      <c r="JOB366" s="365"/>
      <c r="JOC366" s="370"/>
      <c r="JOD366" s="365"/>
      <c r="JOE366" s="370"/>
      <c r="JOF366" s="365"/>
      <c r="JOG366" s="370"/>
      <c r="JOH366" s="365"/>
      <c r="JOI366" s="370"/>
      <c r="JOJ366" s="365"/>
      <c r="JOK366" s="370"/>
      <c r="JOL366" s="365"/>
      <c r="JOM366" s="370"/>
      <c r="JON366" s="365"/>
      <c r="JOO366" s="370"/>
      <c r="JOP366" s="365"/>
      <c r="JOQ366" s="370"/>
      <c r="JOR366" s="365"/>
      <c r="JOS366" s="370"/>
      <c r="JOT366" s="365"/>
      <c r="JOU366" s="370"/>
      <c r="JOV366" s="365"/>
      <c r="JOW366" s="370"/>
      <c r="JOX366" s="365"/>
      <c r="JOY366" s="370"/>
      <c r="JOZ366" s="365"/>
      <c r="JPA366" s="370"/>
      <c r="JPB366" s="365"/>
      <c r="JPC366" s="370"/>
      <c r="JPD366" s="365"/>
      <c r="JPE366" s="370"/>
      <c r="JPF366" s="365"/>
      <c r="JPG366" s="370"/>
      <c r="JPH366" s="365"/>
      <c r="JPI366" s="370"/>
      <c r="JPJ366" s="365"/>
      <c r="JPK366" s="370"/>
      <c r="JPL366" s="365"/>
      <c r="JPM366" s="370"/>
      <c r="JPN366" s="365"/>
      <c r="JPO366" s="370"/>
      <c r="JPP366" s="365"/>
      <c r="JPQ366" s="370"/>
      <c r="JPR366" s="365"/>
      <c r="JPS366" s="370"/>
      <c r="JPT366" s="365"/>
      <c r="JPU366" s="370"/>
      <c r="JPV366" s="365"/>
      <c r="JPW366" s="370"/>
      <c r="JPX366" s="365"/>
      <c r="JPY366" s="370"/>
      <c r="JPZ366" s="365"/>
      <c r="JQA366" s="370"/>
      <c r="JQB366" s="365"/>
      <c r="JQC366" s="370"/>
      <c r="JQD366" s="365"/>
      <c r="JQE366" s="370"/>
      <c r="JQF366" s="365"/>
      <c r="JQG366" s="370"/>
      <c r="JQH366" s="365"/>
      <c r="JQI366" s="370"/>
      <c r="JQJ366" s="365"/>
      <c r="JQK366" s="370"/>
      <c r="JQL366" s="365"/>
      <c r="JQM366" s="370"/>
      <c r="JQN366" s="365"/>
      <c r="JQO366" s="370"/>
      <c r="JQP366" s="365"/>
      <c r="JQQ366" s="370"/>
      <c r="JQR366" s="365"/>
      <c r="JQS366" s="370"/>
      <c r="JQT366" s="365"/>
      <c r="JQU366" s="370"/>
      <c r="JQV366" s="365"/>
      <c r="JQW366" s="370"/>
      <c r="JQX366" s="365"/>
      <c r="JQY366" s="370"/>
      <c r="JQZ366" s="365"/>
      <c r="JRA366" s="370"/>
      <c r="JRB366" s="365"/>
      <c r="JRC366" s="370"/>
      <c r="JRD366" s="365"/>
      <c r="JRE366" s="370"/>
      <c r="JRF366" s="365"/>
      <c r="JRG366" s="370"/>
      <c r="JRH366" s="365"/>
      <c r="JRI366" s="370"/>
      <c r="JRJ366" s="365"/>
      <c r="JRK366" s="370"/>
      <c r="JRL366" s="365"/>
      <c r="JRM366" s="370"/>
      <c r="JRN366" s="365"/>
      <c r="JRO366" s="370"/>
      <c r="JRP366" s="365"/>
      <c r="JRQ366" s="370"/>
      <c r="JRR366" s="365"/>
      <c r="JRS366" s="370"/>
      <c r="JRT366" s="365"/>
      <c r="JRU366" s="370"/>
      <c r="JRV366" s="365"/>
      <c r="JRW366" s="370"/>
      <c r="JRX366" s="365"/>
      <c r="JRY366" s="370"/>
      <c r="JRZ366" s="365"/>
      <c r="JSA366" s="370"/>
      <c r="JSB366" s="365"/>
      <c r="JSC366" s="370"/>
      <c r="JSD366" s="365"/>
      <c r="JSE366" s="370"/>
      <c r="JSF366" s="365"/>
      <c r="JSG366" s="370"/>
      <c r="JSH366" s="365"/>
      <c r="JSI366" s="370"/>
      <c r="JSJ366" s="365"/>
      <c r="JSK366" s="370"/>
      <c r="JSL366" s="365"/>
      <c r="JSM366" s="370"/>
      <c r="JSN366" s="365"/>
      <c r="JSO366" s="370"/>
      <c r="JSP366" s="365"/>
      <c r="JSQ366" s="370"/>
      <c r="JSR366" s="365"/>
      <c r="JSS366" s="370"/>
      <c r="JST366" s="365"/>
      <c r="JSU366" s="370"/>
      <c r="JSV366" s="365"/>
      <c r="JSW366" s="370"/>
      <c r="JSX366" s="365"/>
      <c r="JSY366" s="370"/>
      <c r="JSZ366" s="365"/>
      <c r="JTA366" s="370"/>
      <c r="JTB366" s="365"/>
      <c r="JTC366" s="370"/>
      <c r="JTD366" s="365"/>
      <c r="JTE366" s="370"/>
      <c r="JTF366" s="365"/>
      <c r="JTG366" s="370"/>
      <c r="JTH366" s="365"/>
      <c r="JTI366" s="370"/>
      <c r="JTJ366" s="365"/>
      <c r="JTK366" s="370"/>
      <c r="JTL366" s="365"/>
      <c r="JTM366" s="370"/>
      <c r="JTN366" s="365"/>
      <c r="JTO366" s="370"/>
      <c r="JTP366" s="365"/>
      <c r="JTQ366" s="370"/>
      <c r="JTR366" s="365"/>
      <c r="JTS366" s="370"/>
      <c r="JTT366" s="365"/>
      <c r="JTU366" s="370"/>
      <c r="JTV366" s="365"/>
      <c r="JTW366" s="370"/>
      <c r="JTX366" s="365"/>
      <c r="JTY366" s="370"/>
      <c r="JTZ366" s="365"/>
      <c r="JUA366" s="370"/>
      <c r="JUB366" s="365"/>
      <c r="JUC366" s="370"/>
      <c r="JUD366" s="365"/>
      <c r="JUE366" s="370"/>
      <c r="JUF366" s="365"/>
      <c r="JUG366" s="370"/>
      <c r="JUH366" s="365"/>
      <c r="JUI366" s="370"/>
      <c r="JUJ366" s="365"/>
      <c r="JUK366" s="370"/>
      <c r="JUL366" s="365"/>
      <c r="JUM366" s="370"/>
      <c r="JUN366" s="365"/>
      <c r="JUO366" s="370"/>
      <c r="JUP366" s="365"/>
      <c r="JUQ366" s="370"/>
      <c r="JUR366" s="365"/>
      <c r="JUS366" s="370"/>
      <c r="JUT366" s="365"/>
      <c r="JUU366" s="370"/>
      <c r="JUV366" s="365"/>
      <c r="JUW366" s="370"/>
      <c r="JUX366" s="365"/>
      <c r="JUY366" s="370"/>
      <c r="JUZ366" s="365"/>
      <c r="JVA366" s="370"/>
      <c r="JVB366" s="365"/>
      <c r="JVC366" s="370"/>
      <c r="JVD366" s="365"/>
      <c r="JVE366" s="370"/>
      <c r="JVF366" s="365"/>
      <c r="JVG366" s="370"/>
      <c r="JVH366" s="365"/>
      <c r="JVI366" s="370"/>
      <c r="JVJ366" s="365"/>
      <c r="JVK366" s="370"/>
      <c r="JVL366" s="365"/>
      <c r="JVM366" s="370"/>
      <c r="JVN366" s="365"/>
      <c r="JVO366" s="370"/>
      <c r="JVP366" s="365"/>
      <c r="JVQ366" s="370"/>
      <c r="JVR366" s="365"/>
      <c r="JVS366" s="370"/>
      <c r="JVT366" s="365"/>
      <c r="JVU366" s="370"/>
      <c r="JVV366" s="365"/>
      <c r="JVW366" s="370"/>
      <c r="JVX366" s="365"/>
      <c r="JVY366" s="370"/>
      <c r="JVZ366" s="365"/>
      <c r="JWA366" s="370"/>
      <c r="JWB366" s="365"/>
      <c r="JWC366" s="370"/>
      <c r="JWD366" s="365"/>
      <c r="JWE366" s="370"/>
      <c r="JWF366" s="365"/>
      <c r="JWG366" s="370"/>
      <c r="JWH366" s="365"/>
      <c r="JWI366" s="370"/>
      <c r="JWJ366" s="365"/>
      <c r="JWK366" s="370"/>
      <c r="JWL366" s="365"/>
      <c r="JWM366" s="370"/>
      <c r="JWN366" s="365"/>
      <c r="JWO366" s="370"/>
      <c r="JWP366" s="365"/>
      <c r="JWQ366" s="370"/>
      <c r="JWR366" s="365"/>
      <c r="JWS366" s="370"/>
      <c r="JWT366" s="365"/>
      <c r="JWU366" s="370"/>
      <c r="JWV366" s="365"/>
      <c r="JWW366" s="370"/>
      <c r="JWX366" s="365"/>
      <c r="JWY366" s="370"/>
      <c r="JWZ366" s="365"/>
      <c r="JXA366" s="370"/>
      <c r="JXB366" s="365"/>
      <c r="JXC366" s="370"/>
      <c r="JXD366" s="365"/>
      <c r="JXE366" s="370"/>
      <c r="JXF366" s="365"/>
      <c r="JXG366" s="370"/>
      <c r="JXH366" s="365"/>
      <c r="JXI366" s="370"/>
      <c r="JXJ366" s="365"/>
      <c r="JXK366" s="370"/>
      <c r="JXL366" s="365"/>
      <c r="JXM366" s="370"/>
      <c r="JXN366" s="365"/>
      <c r="JXO366" s="370"/>
      <c r="JXP366" s="365"/>
      <c r="JXQ366" s="370"/>
      <c r="JXR366" s="365"/>
      <c r="JXS366" s="370"/>
      <c r="JXT366" s="365"/>
      <c r="JXU366" s="370"/>
      <c r="JXV366" s="365"/>
      <c r="JXW366" s="370"/>
      <c r="JXX366" s="365"/>
      <c r="JXY366" s="370"/>
      <c r="JXZ366" s="365"/>
      <c r="JYA366" s="370"/>
      <c r="JYB366" s="365"/>
      <c r="JYC366" s="370"/>
      <c r="JYD366" s="365"/>
      <c r="JYE366" s="370"/>
      <c r="JYF366" s="365"/>
      <c r="JYG366" s="370"/>
      <c r="JYH366" s="365"/>
      <c r="JYI366" s="370"/>
      <c r="JYJ366" s="365"/>
      <c r="JYK366" s="370"/>
      <c r="JYL366" s="365"/>
      <c r="JYM366" s="370"/>
      <c r="JYN366" s="365"/>
      <c r="JYO366" s="370"/>
      <c r="JYP366" s="365"/>
      <c r="JYQ366" s="370"/>
      <c r="JYR366" s="365"/>
      <c r="JYS366" s="370"/>
      <c r="JYT366" s="365"/>
      <c r="JYU366" s="370"/>
      <c r="JYV366" s="365"/>
      <c r="JYW366" s="370"/>
      <c r="JYX366" s="365"/>
      <c r="JYY366" s="370"/>
      <c r="JYZ366" s="365"/>
      <c r="JZA366" s="370"/>
      <c r="JZB366" s="365"/>
      <c r="JZC366" s="370"/>
      <c r="JZD366" s="365"/>
      <c r="JZE366" s="370"/>
      <c r="JZF366" s="365"/>
      <c r="JZG366" s="370"/>
      <c r="JZH366" s="365"/>
      <c r="JZI366" s="370"/>
      <c r="JZJ366" s="365"/>
      <c r="JZK366" s="370"/>
      <c r="JZL366" s="365"/>
      <c r="JZM366" s="370"/>
      <c r="JZN366" s="365"/>
      <c r="JZO366" s="370"/>
      <c r="JZP366" s="365"/>
      <c r="JZQ366" s="370"/>
      <c r="JZR366" s="365"/>
      <c r="JZS366" s="370"/>
      <c r="JZT366" s="365"/>
      <c r="JZU366" s="370"/>
      <c r="JZV366" s="365"/>
      <c r="JZW366" s="370"/>
      <c r="JZX366" s="365"/>
      <c r="JZY366" s="370"/>
      <c r="JZZ366" s="365"/>
      <c r="KAA366" s="370"/>
      <c r="KAB366" s="365"/>
      <c r="KAC366" s="370"/>
      <c r="KAD366" s="365"/>
      <c r="KAE366" s="370"/>
      <c r="KAF366" s="365"/>
      <c r="KAG366" s="370"/>
      <c r="KAH366" s="365"/>
      <c r="KAI366" s="370"/>
      <c r="KAJ366" s="365"/>
      <c r="KAK366" s="370"/>
      <c r="KAL366" s="365"/>
      <c r="KAM366" s="370"/>
      <c r="KAN366" s="365"/>
      <c r="KAO366" s="370"/>
      <c r="KAP366" s="365"/>
      <c r="KAQ366" s="370"/>
      <c r="KAR366" s="365"/>
      <c r="KAS366" s="370"/>
      <c r="KAT366" s="365"/>
      <c r="KAU366" s="370"/>
      <c r="KAV366" s="365"/>
      <c r="KAW366" s="370"/>
      <c r="KAX366" s="365"/>
      <c r="KAY366" s="370"/>
      <c r="KAZ366" s="365"/>
      <c r="KBA366" s="370"/>
      <c r="KBB366" s="365"/>
      <c r="KBC366" s="370"/>
      <c r="KBD366" s="365"/>
      <c r="KBE366" s="370"/>
      <c r="KBF366" s="365"/>
      <c r="KBG366" s="370"/>
      <c r="KBH366" s="365"/>
      <c r="KBI366" s="370"/>
      <c r="KBJ366" s="365"/>
      <c r="KBK366" s="370"/>
      <c r="KBL366" s="365"/>
      <c r="KBM366" s="370"/>
      <c r="KBN366" s="365"/>
      <c r="KBO366" s="370"/>
      <c r="KBP366" s="365"/>
      <c r="KBQ366" s="370"/>
      <c r="KBR366" s="365"/>
      <c r="KBS366" s="370"/>
      <c r="KBT366" s="365"/>
      <c r="KBU366" s="370"/>
      <c r="KBV366" s="365"/>
      <c r="KBW366" s="370"/>
      <c r="KBX366" s="365"/>
      <c r="KBY366" s="370"/>
      <c r="KBZ366" s="365"/>
      <c r="KCA366" s="370"/>
      <c r="KCB366" s="365"/>
      <c r="KCC366" s="370"/>
      <c r="KCD366" s="365"/>
      <c r="KCE366" s="370"/>
      <c r="KCF366" s="365"/>
      <c r="KCG366" s="370"/>
      <c r="KCH366" s="365"/>
      <c r="KCI366" s="370"/>
      <c r="KCJ366" s="365"/>
      <c r="KCK366" s="370"/>
      <c r="KCL366" s="365"/>
      <c r="KCM366" s="370"/>
      <c r="KCN366" s="365"/>
      <c r="KCO366" s="370"/>
      <c r="KCP366" s="365"/>
      <c r="KCQ366" s="370"/>
      <c r="KCR366" s="365"/>
      <c r="KCS366" s="370"/>
      <c r="KCT366" s="365"/>
      <c r="KCU366" s="370"/>
      <c r="KCV366" s="365"/>
      <c r="KCW366" s="370"/>
      <c r="KCX366" s="365"/>
      <c r="KCY366" s="370"/>
      <c r="KCZ366" s="365"/>
      <c r="KDA366" s="370"/>
      <c r="KDB366" s="365"/>
      <c r="KDC366" s="370"/>
      <c r="KDD366" s="365"/>
      <c r="KDE366" s="370"/>
      <c r="KDF366" s="365"/>
      <c r="KDG366" s="370"/>
      <c r="KDH366" s="365"/>
      <c r="KDI366" s="370"/>
      <c r="KDJ366" s="365"/>
      <c r="KDK366" s="370"/>
      <c r="KDL366" s="365"/>
      <c r="KDM366" s="370"/>
      <c r="KDN366" s="365"/>
      <c r="KDO366" s="370"/>
      <c r="KDP366" s="365"/>
      <c r="KDQ366" s="370"/>
      <c r="KDR366" s="365"/>
      <c r="KDS366" s="370"/>
      <c r="KDT366" s="365"/>
      <c r="KDU366" s="370"/>
      <c r="KDV366" s="365"/>
      <c r="KDW366" s="370"/>
      <c r="KDX366" s="365"/>
      <c r="KDY366" s="370"/>
      <c r="KDZ366" s="365"/>
      <c r="KEA366" s="370"/>
      <c r="KEB366" s="365"/>
      <c r="KEC366" s="370"/>
      <c r="KED366" s="365"/>
      <c r="KEE366" s="370"/>
      <c r="KEF366" s="365"/>
      <c r="KEG366" s="370"/>
      <c r="KEH366" s="365"/>
      <c r="KEI366" s="370"/>
      <c r="KEJ366" s="365"/>
      <c r="KEK366" s="370"/>
      <c r="KEL366" s="365"/>
      <c r="KEM366" s="370"/>
      <c r="KEN366" s="365"/>
      <c r="KEO366" s="370"/>
      <c r="KEP366" s="365"/>
      <c r="KEQ366" s="370"/>
      <c r="KER366" s="365"/>
      <c r="KES366" s="370"/>
      <c r="KET366" s="365"/>
      <c r="KEU366" s="370"/>
      <c r="KEV366" s="365"/>
      <c r="KEW366" s="370"/>
      <c r="KEX366" s="365"/>
      <c r="KEY366" s="370"/>
      <c r="KEZ366" s="365"/>
      <c r="KFA366" s="370"/>
      <c r="KFB366" s="365"/>
      <c r="KFC366" s="370"/>
      <c r="KFD366" s="365"/>
      <c r="KFE366" s="370"/>
      <c r="KFF366" s="365"/>
      <c r="KFG366" s="370"/>
      <c r="KFH366" s="365"/>
      <c r="KFI366" s="370"/>
      <c r="KFJ366" s="365"/>
      <c r="KFK366" s="370"/>
      <c r="KFL366" s="365"/>
      <c r="KFM366" s="370"/>
      <c r="KFN366" s="365"/>
      <c r="KFO366" s="370"/>
      <c r="KFP366" s="365"/>
      <c r="KFQ366" s="370"/>
      <c r="KFR366" s="365"/>
      <c r="KFS366" s="370"/>
      <c r="KFT366" s="365"/>
      <c r="KFU366" s="370"/>
      <c r="KFV366" s="365"/>
      <c r="KFW366" s="370"/>
      <c r="KFX366" s="365"/>
      <c r="KFY366" s="370"/>
      <c r="KFZ366" s="365"/>
      <c r="KGA366" s="370"/>
      <c r="KGB366" s="365"/>
      <c r="KGC366" s="370"/>
      <c r="KGD366" s="365"/>
      <c r="KGE366" s="370"/>
      <c r="KGF366" s="365"/>
      <c r="KGG366" s="370"/>
      <c r="KGH366" s="365"/>
      <c r="KGI366" s="370"/>
      <c r="KGJ366" s="365"/>
      <c r="KGK366" s="370"/>
      <c r="KGL366" s="365"/>
      <c r="KGM366" s="370"/>
      <c r="KGN366" s="365"/>
      <c r="KGO366" s="370"/>
      <c r="KGP366" s="365"/>
      <c r="KGQ366" s="370"/>
      <c r="KGR366" s="365"/>
      <c r="KGS366" s="370"/>
      <c r="KGT366" s="365"/>
      <c r="KGU366" s="370"/>
      <c r="KGV366" s="365"/>
      <c r="KGW366" s="370"/>
      <c r="KGX366" s="365"/>
      <c r="KGY366" s="370"/>
      <c r="KGZ366" s="365"/>
      <c r="KHA366" s="370"/>
      <c r="KHB366" s="365"/>
      <c r="KHC366" s="370"/>
      <c r="KHD366" s="365"/>
      <c r="KHE366" s="370"/>
      <c r="KHF366" s="365"/>
      <c r="KHG366" s="370"/>
      <c r="KHH366" s="365"/>
      <c r="KHI366" s="370"/>
      <c r="KHJ366" s="365"/>
      <c r="KHK366" s="370"/>
      <c r="KHL366" s="365"/>
      <c r="KHM366" s="370"/>
      <c r="KHN366" s="365"/>
      <c r="KHO366" s="370"/>
      <c r="KHP366" s="365"/>
      <c r="KHQ366" s="370"/>
      <c r="KHR366" s="365"/>
      <c r="KHS366" s="370"/>
      <c r="KHT366" s="365"/>
      <c r="KHU366" s="370"/>
      <c r="KHV366" s="365"/>
      <c r="KHW366" s="370"/>
      <c r="KHX366" s="365"/>
      <c r="KHY366" s="370"/>
      <c r="KHZ366" s="365"/>
      <c r="KIA366" s="370"/>
      <c r="KIB366" s="365"/>
      <c r="KIC366" s="370"/>
      <c r="KID366" s="365"/>
      <c r="KIE366" s="370"/>
      <c r="KIF366" s="365"/>
      <c r="KIG366" s="370"/>
      <c r="KIH366" s="365"/>
      <c r="KII366" s="370"/>
      <c r="KIJ366" s="365"/>
      <c r="KIK366" s="370"/>
      <c r="KIL366" s="365"/>
      <c r="KIM366" s="370"/>
      <c r="KIN366" s="365"/>
      <c r="KIO366" s="370"/>
      <c r="KIP366" s="365"/>
      <c r="KIQ366" s="370"/>
      <c r="KIR366" s="365"/>
      <c r="KIS366" s="370"/>
      <c r="KIT366" s="365"/>
      <c r="KIU366" s="370"/>
      <c r="KIV366" s="365"/>
      <c r="KIW366" s="370"/>
      <c r="KIX366" s="365"/>
      <c r="KIY366" s="370"/>
      <c r="KIZ366" s="365"/>
      <c r="KJA366" s="370"/>
      <c r="KJB366" s="365"/>
      <c r="KJC366" s="370"/>
      <c r="KJD366" s="365"/>
      <c r="KJE366" s="370"/>
      <c r="KJF366" s="365"/>
      <c r="KJG366" s="370"/>
      <c r="KJH366" s="365"/>
      <c r="KJI366" s="370"/>
      <c r="KJJ366" s="365"/>
      <c r="KJK366" s="370"/>
      <c r="KJL366" s="365"/>
      <c r="KJM366" s="370"/>
      <c r="KJN366" s="365"/>
      <c r="KJO366" s="370"/>
      <c r="KJP366" s="365"/>
      <c r="KJQ366" s="370"/>
      <c r="KJR366" s="365"/>
      <c r="KJS366" s="370"/>
      <c r="KJT366" s="365"/>
      <c r="KJU366" s="370"/>
      <c r="KJV366" s="365"/>
      <c r="KJW366" s="370"/>
      <c r="KJX366" s="365"/>
      <c r="KJY366" s="370"/>
      <c r="KJZ366" s="365"/>
      <c r="KKA366" s="370"/>
      <c r="KKB366" s="365"/>
      <c r="KKC366" s="370"/>
      <c r="KKD366" s="365"/>
      <c r="KKE366" s="370"/>
      <c r="KKF366" s="365"/>
      <c r="KKG366" s="370"/>
      <c r="KKH366" s="365"/>
      <c r="KKI366" s="370"/>
      <c r="KKJ366" s="365"/>
      <c r="KKK366" s="370"/>
      <c r="KKL366" s="365"/>
      <c r="KKM366" s="370"/>
      <c r="KKN366" s="365"/>
      <c r="KKO366" s="370"/>
      <c r="KKP366" s="365"/>
      <c r="KKQ366" s="370"/>
      <c r="KKR366" s="365"/>
      <c r="KKS366" s="370"/>
      <c r="KKT366" s="365"/>
      <c r="KKU366" s="370"/>
      <c r="KKV366" s="365"/>
      <c r="KKW366" s="370"/>
      <c r="KKX366" s="365"/>
      <c r="KKY366" s="370"/>
      <c r="KKZ366" s="365"/>
      <c r="KLA366" s="370"/>
      <c r="KLB366" s="365"/>
      <c r="KLC366" s="370"/>
      <c r="KLD366" s="365"/>
      <c r="KLE366" s="370"/>
      <c r="KLF366" s="365"/>
      <c r="KLG366" s="370"/>
      <c r="KLH366" s="365"/>
      <c r="KLI366" s="370"/>
      <c r="KLJ366" s="365"/>
      <c r="KLK366" s="370"/>
      <c r="KLL366" s="365"/>
      <c r="KLM366" s="370"/>
      <c r="KLN366" s="365"/>
      <c r="KLO366" s="370"/>
      <c r="KLP366" s="365"/>
      <c r="KLQ366" s="370"/>
      <c r="KLR366" s="365"/>
      <c r="KLS366" s="370"/>
      <c r="KLT366" s="365"/>
      <c r="KLU366" s="370"/>
      <c r="KLV366" s="365"/>
      <c r="KLW366" s="370"/>
      <c r="KLX366" s="365"/>
      <c r="KLY366" s="370"/>
      <c r="KLZ366" s="365"/>
      <c r="KMA366" s="370"/>
      <c r="KMB366" s="365"/>
      <c r="KMC366" s="370"/>
      <c r="KMD366" s="365"/>
      <c r="KME366" s="370"/>
      <c r="KMF366" s="365"/>
      <c r="KMG366" s="370"/>
      <c r="KMH366" s="365"/>
      <c r="KMI366" s="370"/>
      <c r="KMJ366" s="365"/>
      <c r="KMK366" s="370"/>
      <c r="KML366" s="365"/>
      <c r="KMM366" s="370"/>
      <c r="KMN366" s="365"/>
      <c r="KMO366" s="370"/>
      <c r="KMP366" s="365"/>
      <c r="KMQ366" s="370"/>
      <c r="KMR366" s="365"/>
      <c r="KMS366" s="370"/>
      <c r="KMT366" s="365"/>
      <c r="KMU366" s="370"/>
      <c r="KMV366" s="365"/>
      <c r="KMW366" s="370"/>
      <c r="KMX366" s="365"/>
      <c r="KMY366" s="370"/>
      <c r="KMZ366" s="365"/>
      <c r="KNA366" s="370"/>
      <c r="KNB366" s="365"/>
      <c r="KNC366" s="370"/>
      <c r="KND366" s="365"/>
      <c r="KNE366" s="370"/>
      <c r="KNF366" s="365"/>
      <c r="KNG366" s="370"/>
      <c r="KNH366" s="365"/>
      <c r="KNI366" s="370"/>
      <c r="KNJ366" s="365"/>
      <c r="KNK366" s="370"/>
      <c r="KNL366" s="365"/>
      <c r="KNM366" s="370"/>
      <c r="KNN366" s="365"/>
      <c r="KNO366" s="370"/>
      <c r="KNP366" s="365"/>
      <c r="KNQ366" s="370"/>
      <c r="KNR366" s="365"/>
      <c r="KNS366" s="370"/>
      <c r="KNT366" s="365"/>
      <c r="KNU366" s="370"/>
      <c r="KNV366" s="365"/>
      <c r="KNW366" s="370"/>
      <c r="KNX366" s="365"/>
      <c r="KNY366" s="370"/>
      <c r="KNZ366" s="365"/>
      <c r="KOA366" s="370"/>
      <c r="KOB366" s="365"/>
      <c r="KOC366" s="370"/>
      <c r="KOD366" s="365"/>
      <c r="KOE366" s="370"/>
      <c r="KOF366" s="365"/>
      <c r="KOG366" s="370"/>
      <c r="KOH366" s="365"/>
      <c r="KOI366" s="370"/>
      <c r="KOJ366" s="365"/>
      <c r="KOK366" s="370"/>
      <c r="KOL366" s="365"/>
      <c r="KOM366" s="370"/>
      <c r="KON366" s="365"/>
      <c r="KOO366" s="370"/>
      <c r="KOP366" s="365"/>
      <c r="KOQ366" s="370"/>
      <c r="KOR366" s="365"/>
      <c r="KOS366" s="370"/>
      <c r="KOT366" s="365"/>
      <c r="KOU366" s="370"/>
      <c r="KOV366" s="365"/>
      <c r="KOW366" s="370"/>
      <c r="KOX366" s="365"/>
      <c r="KOY366" s="370"/>
      <c r="KOZ366" s="365"/>
      <c r="KPA366" s="370"/>
      <c r="KPB366" s="365"/>
      <c r="KPC366" s="370"/>
      <c r="KPD366" s="365"/>
      <c r="KPE366" s="370"/>
      <c r="KPF366" s="365"/>
      <c r="KPG366" s="370"/>
      <c r="KPH366" s="365"/>
      <c r="KPI366" s="370"/>
      <c r="KPJ366" s="365"/>
      <c r="KPK366" s="370"/>
      <c r="KPL366" s="365"/>
      <c r="KPM366" s="370"/>
      <c r="KPN366" s="365"/>
      <c r="KPO366" s="370"/>
      <c r="KPP366" s="365"/>
      <c r="KPQ366" s="370"/>
      <c r="KPR366" s="365"/>
      <c r="KPS366" s="370"/>
      <c r="KPT366" s="365"/>
      <c r="KPU366" s="370"/>
      <c r="KPV366" s="365"/>
      <c r="KPW366" s="370"/>
      <c r="KPX366" s="365"/>
      <c r="KPY366" s="370"/>
      <c r="KPZ366" s="365"/>
      <c r="KQA366" s="370"/>
      <c r="KQB366" s="365"/>
      <c r="KQC366" s="370"/>
      <c r="KQD366" s="365"/>
      <c r="KQE366" s="370"/>
      <c r="KQF366" s="365"/>
      <c r="KQG366" s="370"/>
      <c r="KQH366" s="365"/>
      <c r="KQI366" s="370"/>
      <c r="KQJ366" s="365"/>
      <c r="KQK366" s="370"/>
      <c r="KQL366" s="365"/>
      <c r="KQM366" s="370"/>
      <c r="KQN366" s="365"/>
      <c r="KQO366" s="370"/>
      <c r="KQP366" s="365"/>
      <c r="KQQ366" s="370"/>
      <c r="KQR366" s="365"/>
      <c r="KQS366" s="370"/>
      <c r="KQT366" s="365"/>
      <c r="KQU366" s="370"/>
      <c r="KQV366" s="365"/>
      <c r="KQW366" s="370"/>
      <c r="KQX366" s="365"/>
      <c r="KQY366" s="370"/>
      <c r="KQZ366" s="365"/>
      <c r="KRA366" s="370"/>
      <c r="KRB366" s="365"/>
      <c r="KRC366" s="370"/>
      <c r="KRD366" s="365"/>
      <c r="KRE366" s="370"/>
      <c r="KRF366" s="365"/>
      <c r="KRG366" s="370"/>
      <c r="KRH366" s="365"/>
      <c r="KRI366" s="370"/>
      <c r="KRJ366" s="365"/>
      <c r="KRK366" s="370"/>
      <c r="KRL366" s="365"/>
      <c r="KRM366" s="370"/>
      <c r="KRN366" s="365"/>
      <c r="KRO366" s="370"/>
      <c r="KRP366" s="365"/>
      <c r="KRQ366" s="370"/>
      <c r="KRR366" s="365"/>
      <c r="KRS366" s="370"/>
      <c r="KRT366" s="365"/>
      <c r="KRU366" s="370"/>
      <c r="KRV366" s="365"/>
      <c r="KRW366" s="370"/>
      <c r="KRX366" s="365"/>
      <c r="KRY366" s="370"/>
      <c r="KRZ366" s="365"/>
      <c r="KSA366" s="370"/>
      <c r="KSB366" s="365"/>
      <c r="KSC366" s="370"/>
      <c r="KSD366" s="365"/>
      <c r="KSE366" s="370"/>
      <c r="KSF366" s="365"/>
      <c r="KSG366" s="370"/>
      <c r="KSH366" s="365"/>
      <c r="KSI366" s="370"/>
      <c r="KSJ366" s="365"/>
      <c r="KSK366" s="370"/>
      <c r="KSL366" s="365"/>
      <c r="KSM366" s="370"/>
      <c r="KSN366" s="365"/>
      <c r="KSO366" s="370"/>
      <c r="KSP366" s="365"/>
      <c r="KSQ366" s="370"/>
      <c r="KSR366" s="365"/>
      <c r="KSS366" s="370"/>
      <c r="KST366" s="365"/>
      <c r="KSU366" s="370"/>
      <c r="KSV366" s="365"/>
      <c r="KSW366" s="370"/>
      <c r="KSX366" s="365"/>
      <c r="KSY366" s="370"/>
      <c r="KSZ366" s="365"/>
      <c r="KTA366" s="370"/>
      <c r="KTB366" s="365"/>
      <c r="KTC366" s="370"/>
      <c r="KTD366" s="365"/>
      <c r="KTE366" s="370"/>
      <c r="KTF366" s="365"/>
      <c r="KTG366" s="370"/>
      <c r="KTH366" s="365"/>
      <c r="KTI366" s="370"/>
      <c r="KTJ366" s="365"/>
      <c r="KTK366" s="370"/>
      <c r="KTL366" s="365"/>
      <c r="KTM366" s="370"/>
      <c r="KTN366" s="365"/>
      <c r="KTO366" s="370"/>
      <c r="KTP366" s="365"/>
      <c r="KTQ366" s="370"/>
      <c r="KTR366" s="365"/>
      <c r="KTS366" s="370"/>
      <c r="KTT366" s="365"/>
      <c r="KTU366" s="370"/>
      <c r="KTV366" s="365"/>
      <c r="KTW366" s="370"/>
      <c r="KTX366" s="365"/>
      <c r="KTY366" s="370"/>
      <c r="KTZ366" s="365"/>
      <c r="KUA366" s="370"/>
      <c r="KUB366" s="365"/>
      <c r="KUC366" s="370"/>
      <c r="KUD366" s="365"/>
      <c r="KUE366" s="370"/>
      <c r="KUF366" s="365"/>
      <c r="KUG366" s="370"/>
      <c r="KUH366" s="365"/>
      <c r="KUI366" s="370"/>
      <c r="KUJ366" s="365"/>
      <c r="KUK366" s="370"/>
      <c r="KUL366" s="365"/>
      <c r="KUM366" s="370"/>
      <c r="KUN366" s="365"/>
      <c r="KUO366" s="370"/>
      <c r="KUP366" s="365"/>
      <c r="KUQ366" s="370"/>
      <c r="KUR366" s="365"/>
      <c r="KUS366" s="370"/>
      <c r="KUT366" s="365"/>
      <c r="KUU366" s="370"/>
      <c r="KUV366" s="365"/>
      <c r="KUW366" s="370"/>
      <c r="KUX366" s="365"/>
      <c r="KUY366" s="370"/>
      <c r="KUZ366" s="365"/>
      <c r="KVA366" s="370"/>
      <c r="KVB366" s="365"/>
      <c r="KVC366" s="370"/>
      <c r="KVD366" s="365"/>
      <c r="KVE366" s="370"/>
      <c r="KVF366" s="365"/>
      <c r="KVG366" s="370"/>
      <c r="KVH366" s="365"/>
      <c r="KVI366" s="370"/>
      <c r="KVJ366" s="365"/>
      <c r="KVK366" s="370"/>
      <c r="KVL366" s="365"/>
      <c r="KVM366" s="370"/>
      <c r="KVN366" s="365"/>
      <c r="KVO366" s="370"/>
      <c r="KVP366" s="365"/>
      <c r="KVQ366" s="370"/>
      <c r="KVR366" s="365"/>
      <c r="KVS366" s="370"/>
      <c r="KVT366" s="365"/>
      <c r="KVU366" s="370"/>
      <c r="KVV366" s="365"/>
      <c r="KVW366" s="370"/>
      <c r="KVX366" s="365"/>
      <c r="KVY366" s="370"/>
      <c r="KVZ366" s="365"/>
      <c r="KWA366" s="370"/>
      <c r="KWB366" s="365"/>
      <c r="KWC366" s="370"/>
      <c r="KWD366" s="365"/>
      <c r="KWE366" s="370"/>
      <c r="KWF366" s="365"/>
      <c r="KWG366" s="370"/>
      <c r="KWH366" s="365"/>
      <c r="KWI366" s="370"/>
      <c r="KWJ366" s="365"/>
      <c r="KWK366" s="370"/>
      <c r="KWL366" s="365"/>
      <c r="KWM366" s="370"/>
      <c r="KWN366" s="365"/>
      <c r="KWO366" s="370"/>
      <c r="KWP366" s="365"/>
      <c r="KWQ366" s="370"/>
      <c r="KWR366" s="365"/>
      <c r="KWS366" s="370"/>
      <c r="KWT366" s="365"/>
      <c r="KWU366" s="370"/>
      <c r="KWV366" s="365"/>
      <c r="KWW366" s="370"/>
      <c r="KWX366" s="365"/>
      <c r="KWY366" s="370"/>
      <c r="KWZ366" s="365"/>
      <c r="KXA366" s="370"/>
      <c r="KXB366" s="365"/>
      <c r="KXC366" s="370"/>
      <c r="KXD366" s="365"/>
      <c r="KXE366" s="370"/>
      <c r="KXF366" s="365"/>
      <c r="KXG366" s="370"/>
      <c r="KXH366" s="365"/>
      <c r="KXI366" s="370"/>
      <c r="KXJ366" s="365"/>
      <c r="KXK366" s="370"/>
      <c r="KXL366" s="365"/>
      <c r="KXM366" s="370"/>
      <c r="KXN366" s="365"/>
      <c r="KXO366" s="370"/>
      <c r="KXP366" s="365"/>
      <c r="KXQ366" s="370"/>
      <c r="KXR366" s="365"/>
      <c r="KXS366" s="370"/>
      <c r="KXT366" s="365"/>
      <c r="KXU366" s="370"/>
      <c r="KXV366" s="365"/>
      <c r="KXW366" s="370"/>
      <c r="KXX366" s="365"/>
      <c r="KXY366" s="370"/>
      <c r="KXZ366" s="365"/>
      <c r="KYA366" s="370"/>
      <c r="KYB366" s="365"/>
      <c r="KYC366" s="370"/>
      <c r="KYD366" s="365"/>
      <c r="KYE366" s="370"/>
      <c r="KYF366" s="365"/>
      <c r="KYG366" s="370"/>
      <c r="KYH366" s="365"/>
      <c r="KYI366" s="370"/>
      <c r="KYJ366" s="365"/>
      <c r="KYK366" s="370"/>
      <c r="KYL366" s="365"/>
      <c r="KYM366" s="370"/>
      <c r="KYN366" s="365"/>
      <c r="KYO366" s="370"/>
      <c r="KYP366" s="365"/>
      <c r="KYQ366" s="370"/>
      <c r="KYR366" s="365"/>
      <c r="KYS366" s="370"/>
      <c r="KYT366" s="365"/>
      <c r="KYU366" s="370"/>
      <c r="KYV366" s="365"/>
      <c r="KYW366" s="370"/>
      <c r="KYX366" s="365"/>
      <c r="KYY366" s="370"/>
      <c r="KYZ366" s="365"/>
      <c r="KZA366" s="370"/>
      <c r="KZB366" s="365"/>
      <c r="KZC366" s="370"/>
      <c r="KZD366" s="365"/>
      <c r="KZE366" s="370"/>
      <c r="KZF366" s="365"/>
      <c r="KZG366" s="370"/>
      <c r="KZH366" s="365"/>
      <c r="KZI366" s="370"/>
      <c r="KZJ366" s="365"/>
      <c r="KZK366" s="370"/>
      <c r="KZL366" s="365"/>
      <c r="KZM366" s="370"/>
      <c r="KZN366" s="365"/>
      <c r="KZO366" s="370"/>
      <c r="KZP366" s="365"/>
      <c r="KZQ366" s="370"/>
      <c r="KZR366" s="365"/>
      <c r="KZS366" s="370"/>
      <c r="KZT366" s="365"/>
      <c r="KZU366" s="370"/>
      <c r="KZV366" s="365"/>
      <c r="KZW366" s="370"/>
      <c r="KZX366" s="365"/>
      <c r="KZY366" s="370"/>
      <c r="KZZ366" s="365"/>
      <c r="LAA366" s="370"/>
      <c r="LAB366" s="365"/>
      <c r="LAC366" s="370"/>
      <c r="LAD366" s="365"/>
      <c r="LAE366" s="370"/>
      <c r="LAF366" s="365"/>
      <c r="LAG366" s="370"/>
      <c r="LAH366" s="365"/>
      <c r="LAI366" s="370"/>
      <c r="LAJ366" s="365"/>
      <c r="LAK366" s="370"/>
      <c r="LAL366" s="365"/>
      <c r="LAM366" s="370"/>
      <c r="LAN366" s="365"/>
      <c r="LAO366" s="370"/>
      <c r="LAP366" s="365"/>
      <c r="LAQ366" s="370"/>
      <c r="LAR366" s="365"/>
      <c r="LAS366" s="370"/>
      <c r="LAT366" s="365"/>
      <c r="LAU366" s="370"/>
      <c r="LAV366" s="365"/>
      <c r="LAW366" s="370"/>
      <c r="LAX366" s="365"/>
      <c r="LAY366" s="370"/>
      <c r="LAZ366" s="365"/>
      <c r="LBA366" s="370"/>
      <c r="LBB366" s="365"/>
      <c r="LBC366" s="370"/>
      <c r="LBD366" s="365"/>
      <c r="LBE366" s="370"/>
      <c r="LBF366" s="365"/>
      <c r="LBG366" s="370"/>
      <c r="LBH366" s="365"/>
      <c r="LBI366" s="370"/>
      <c r="LBJ366" s="365"/>
      <c r="LBK366" s="370"/>
      <c r="LBL366" s="365"/>
      <c r="LBM366" s="370"/>
      <c r="LBN366" s="365"/>
      <c r="LBO366" s="370"/>
      <c r="LBP366" s="365"/>
      <c r="LBQ366" s="370"/>
      <c r="LBR366" s="365"/>
      <c r="LBS366" s="370"/>
      <c r="LBT366" s="365"/>
      <c r="LBU366" s="370"/>
      <c r="LBV366" s="365"/>
      <c r="LBW366" s="370"/>
      <c r="LBX366" s="365"/>
      <c r="LBY366" s="370"/>
      <c r="LBZ366" s="365"/>
      <c r="LCA366" s="370"/>
      <c r="LCB366" s="365"/>
      <c r="LCC366" s="370"/>
      <c r="LCD366" s="365"/>
      <c r="LCE366" s="370"/>
      <c r="LCF366" s="365"/>
      <c r="LCG366" s="370"/>
      <c r="LCH366" s="365"/>
      <c r="LCI366" s="370"/>
      <c r="LCJ366" s="365"/>
      <c r="LCK366" s="370"/>
      <c r="LCL366" s="365"/>
      <c r="LCM366" s="370"/>
      <c r="LCN366" s="365"/>
      <c r="LCO366" s="370"/>
      <c r="LCP366" s="365"/>
      <c r="LCQ366" s="370"/>
      <c r="LCR366" s="365"/>
      <c r="LCS366" s="370"/>
      <c r="LCT366" s="365"/>
      <c r="LCU366" s="370"/>
      <c r="LCV366" s="365"/>
      <c r="LCW366" s="370"/>
      <c r="LCX366" s="365"/>
      <c r="LCY366" s="370"/>
      <c r="LCZ366" s="365"/>
      <c r="LDA366" s="370"/>
      <c r="LDB366" s="365"/>
      <c r="LDC366" s="370"/>
      <c r="LDD366" s="365"/>
      <c r="LDE366" s="370"/>
      <c r="LDF366" s="365"/>
      <c r="LDG366" s="370"/>
      <c r="LDH366" s="365"/>
      <c r="LDI366" s="370"/>
      <c r="LDJ366" s="365"/>
      <c r="LDK366" s="370"/>
      <c r="LDL366" s="365"/>
      <c r="LDM366" s="370"/>
      <c r="LDN366" s="365"/>
      <c r="LDO366" s="370"/>
      <c r="LDP366" s="365"/>
      <c r="LDQ366" s="370"/>
      <c r="LDR366" s="365"/>
      <c r="LDS366" s="370"/>
      <c r="LDT366" s="365"/>
      <c r="LDU366" s="370"/>
      <c r="LDV366" s="365"/>
      <c r="LDW366" s="370"/>
      <c r="LDX366" s="365"/>
      <c r="LDY366" s="370"/>
      <c r="LDZ366" s="365"/>
      <c r="LEA366" s="370"/>
      <c r="LEB366" s="365"/>
      <c r="LEC366" s="370"/>
      <c r="LED366" s="365"/>
      <c r="LEE366" s="370"/>
      <c r="LEF366" s="365"/>
      <c r="LEG366" s="370"/>
      <c r="LEH366" s="365"/>
      <c r="LEI366" s="370"/>
      <c r="LEJ366" s="365"/>
      <c r="LEK366" s="370"/>
      <c r="LEL366" s="365"/>
      <c r="LEM366" s="370"/>
      <c r="LEN366" s="365"/>
      <c r="LEO366" s="370"/>
      <c r="LEP366" s="365"/>
      <c r="LEQ366" s="370"/>
      <c r="LER366" s="365"/>
      <c r="LES366" s="370"/>
      <c r="LET366" s="365"/>
      <c r="LEU366" s="370"/>
      <c r="LEV366" s="365"/>
      <c r="LEW366" s="370"/>
      <c r="LEX366" s="365"/>
      <c r="LEY366" s="370"/>
      <c r="LEZ366" s="365"/>
      <c r="LFA366" s="370"/>
      <c r="LFB366" s="365"/>
      <c r="LFC366" s="370"/>
      <c r="LFD366" s="365"/>
      <c r="LFE366" s="370"/>
      <c r="LFF366" s="365"/>
      <c r="LFG366" s="370"/>
      <c r="LFH366" s="365"/>
      <c r="LFI366" s="370"/>
      <c r="LFJ366" s="365"/>
      <c r="LFK366" s="370"/>
      <c r="LFL366" s="365"/>
      <c r="LFM366" s="370"/>
      <c r="LFN366" s="365"/>
      <c r="LFO366" s="370"/>
      <c r="LFP366" s="365"/>
      <c r="LFQ366" s="370"/>
      <c r="LFR366" s="365"/>
      <c r="LFS366" s="370"/>
      <c r="LFT366" s="365"/>
      <c r="LFU366" s="370"/>
      <c r="LFV366" s="365"/>
      <c r="LFW366" s="370"/>
      <c r="LFX366" s="365"/>
      <c r="LFY366" s="370"/>
      <c r="LFZ366" s="365"/>
      <c r="LGA366" s="370"/>
      <c r="LGB366" s="365"/>
      <c r="LGC366" s="370"/>
      <c r="LGD366" s="365"/>
      <c r="LGE366" s="370"/>
      <c r="LGF366" s="365"/>
      <c r="LGG366" s="370"/>
      <c r="LGH366" s="365"/>
      <c r="LGI366" s="370"/>
      <c r="LGJ366" s="365"/>
      <c r="LGK366" s="370"/>
      <c r="LGL366" s="365"/>
      <c r="LGM366" s="370"/>
      <c r="LGN366" s="365"/>
      <c r="LGO366" s="370"/>
      <c r="LGP366" s="365"/>
      <c r="LGQ366" s="370"/>
      <c r="LGR366" s="365"/>
      <c r="LGS366" s="370"/>
      <c r="LGT366" s="365"/>
      <c r="LGU366" s="370"/>
      <c r="LGV366" s="365"/>
      <c r="LGW366" s="370"/>
      <c r="LGX366" s="365"/>
      <c r="LGY366" s="370"/>
      <c r="LGZ366" s="365"/>
      <c r="LHA366" s="370"/>
      <c r="LHB366" s="365"/>
      <c r="LHC366" s="370"/>
      <c r="LHD366" s="365"/>
      <c r="LHE366" s="370"/>
      <c r="LHF366" s="365"/>
      <c r="LHG366" s="370"/>
      <c r="LHH366" s="365"/>
      <c r="LHI366" s="370"/>
      <c r="LHJ366" s="365"/>
      <c r="LHK366" s="370"/>
      <c r="LHL366" s="365"/>
      <c r="LHM366" s="370"/>
      <c r="LHN366" s="365"/>
      <c r="LHO366" s="370"/>
      <c r="LHP366" s="365"/>
      <c r="LHQ366" s="370"/>
      <c r="LHR366" s="365"/>
      <c r="LHS366" s="370"/>
      <c r="LHT366" s="365"/>
      <c r="LHU366" s="370"/>
      <c r="LHV366" s="365"/>
      <c r="LHW366" s="370"/>
      <c r="LHX366" s="365"/>
      <c r="LHY366" s="370"/>
      <c r="LHZ366" s="365"/>
      <c r="LIA366" s="370"/>
      <c r="LIB366" s="365"/>
      <c r="LIC366" s="370"/>
      <c r="LID366" s="365"/>
      <c r="LIE366" s="370"/>
      <c r="LIF366" s="365"/>
      <c r="LIG366" s="370"/>
      <c r="LIH366" s="365"/>
      <c r="LII366" s="370"/>
      <c r="LIJ366" s="365"/>
      <c r="LIK366" s="370"/>
      <c r="LIL366" s="365"/>
      <c r="LIM366" s="370"/>
      <c r="LIN366" s="365"/>
      <c r="LIO366" s="370"/>
      <c r="LIP366" s="365"/>
      <c r="LIQ366" s="370"/>
      <c r="LIR366" s="365"/>
      <c r="LIS366" s="370"/>
      <c r="LIT366" s="365"/>
      <c r="LIU366" s="370"/>
      <c r="LIV366" s="365"/>
      <c r="LIW366" s="370"/>
      <c r="LIX366" s="365"/>
      <c r="LIY366" s="370"/>
      <c r="LIZ366" s="365"/>
      <c r="LJA366" s="370"/>
      <c r="LJB366" s="365"/>
      <c r="LJC366" s="370"/>
      <c r="LJD366" s="365"/>
      <c r="LJE366" s="370"/>
      <c r="LJF366" s="365"/>
      <c r="LJG366" s="370"/>
      <c r="LJH366" s="365"/>
      <c r="LJI366" s="370"/>
      <c r="LJJ366" s="365"/>
      <c r="LJK366" s="370"/>
      <c r="LJL366" s="365"/>
      <c r="LJM366" s="370"/>
      <c r="LJN366" s="365"/>
      <c r="LJO366" s="370"/>
      <c r="LJP366" s="365"/>
      <c r="LJQ366" s="370"/>
      <c r="LJR366" s="365"/>
      <c r="LJS366" s="370"/>
      <c r="LJT366" s="365"/>
      <c r="LJU366" s="370"/>
      <c r="LJV366" s="365"/>
      <c r="LJW366" s="370"/>
      <c r="LJX366" s="365"/>
      <c r="LJY366" s="370"/>
      <c r="LJZ366" s="365"/>
      <c r="LKA366" s="370"/>
      <c r="LKB366" s="365"/>
      <c r="LKC366" s="370"/>
      <c r="LKD366" s="365"/>
      <c r="LKE366" s="370"/>
      <c r="LKF366" s="365"/>
      <c r="LKG366" s="370"/>
      <c r="LKH366" s="365"/>
      <c r="LKI366" s="370"/>
      <c r="LKJ366" s="365"/>
      <c r="LKK366" s="370"/>
      <c r="LKL366" s="365"/>
      <c r="LKM366" s="370"/>
      <c r="LKN366" s="365"/>
      <c r="LKO366" s="370"/>
      <c r="LKP366" s="365"/>
      <c r="LKQ366" s="370"/>
      <c r="LKR366" s="365"/>
      <c r="LKS366" s="370"/>
      <c r="LKT366" s="365"/>
      <c r="LKU366" s="370"/>
      <c r="LKV366" s="365"/>
      <c r="LKW366" s="370"/>
      <c r="LKX366" s="365"/>
      <c r="LKY366" s="370"/>
      <c r="LKZ366" s="365"/>
      <c r="LLA366" s="370"/>
      <c r="LLB366" s="365"/>
      <c r="LLC366" s="370"/>
      <c r="LLD366" s="365"/>
      <c r="LLE366" s="370"/>
      <c r="LLF366" s="365"/>
      <c r="LLG366" s="370"/>
      <c r="LLH366" s="365"/>
      <c r="LLI366" s="370"/>
      <c r="LLJ366" s="365"/>
      <c r="LLK366" s="370"/>
      <c r="LLL366" s="365"/>
      <c r="LLM366" s="370"/>
      <c r="LLN366" s="365"/>
      <c r="LLO366" s="370"/>
      <c r="LLP366" s="365"/>
      <c r="LLQ366" s="370"/>
      <c r="LLR366" s="365"/>
      <c r="LLS366" s="370"/>
      <c r="LLT366" s="365"/>
      <c r="LLU366" s="370"/>
      <c r="LLV366" s="365"/>
      <c r="LLW366" s="370"/>
      <c r="LLX366" s="365"/>
      <c r="LLY366" s="370"/>
      <c r="LLZ366" s="365"/>
      <c r="LMA366" s="370"/>
      <c r="LMB366" s="365"/>
      <c r="LMC366" s="370"/>
      <c r="LMD366" s="365"/>
      <c r="LME366" s="370"/>
      <c r="LMF366" s="365"/>
      <c r="LMG366" s="370"/>
      <c r="LMH366" s="365"/>
      <c r="LMI366" s="370"/>
      <c r="LMJ366" s="365"/>
      <c r="LMK366" s="370"/>
      <c r="LML366" s="365"/>
      <c r="LMM366" s="370"/>
      <c r="LMN366" s="365"/>
      <c r="LMO366" s="370"/>
      <c r="LMP366" s="365"/>
      <c r="LMQ366" s="370"/>
      <c r="LMR366" s="365"/>
      <c r="LMS366" s="370"/>
      <c r="LMT366" s="365"/>
      <c r="LMU366" s="370"/>
      <c r="LMV366" s="365"/>
      <c r="LMW366" s="370"/>
      <c r="LMX366" s="365"/>
      <c r="LMY366" s="370"/>
      <c r="LMZ366" s="365"/>
      <c r="LNA366" s="370"/>
      <c r="LNB366" s="365"/>
      <c r="LNC366" s="370"/>
      <c r="LND366" s="365"/>
      <c r="LNE366" s="370"/>
      <c r="LNF366" s="365"/>
      <c r="LNG366" s="370"/>
      <c r="LNH366" s="365"/>
      <c r="LNI366" s="370"/>
      <c r="LNJ366" s="365"/>
      <c r="LNK366" s="370"/>
      <c r="LNL366" s="365"/>
      <c r="LNM366" s="370"/>
      <c r="LNN366" s="365"/>
      <c r="LNO366" s="370"/>
      <c r="LNP366" s="365"/>
      <c r="LNQ366" s="370"/>
      <c r="LNR366" s="365"/>
      <c r="LNS366" s="370"/>
      <c r="LNT366" s="365"/>
      <c r="LNU366" s="370"/>
      <c r="LNV366" s="365"/>
      <c r="LNW366" s="370"/>
      <c r="LNX366" s="365"/>
      <c r="LNY366" s="370"/>
      <c r="LNZ366" s="365"/>
      <c r="LOA366" s="370"/>
      <c r="LOB366" s="365"/>
      <c r="LOC366" s="370"/>
      <c r="LOD366" s="365"/>
      <c r="LOE366" s="370"/>
      <c r="LOF366" s="365"/>
      <c r="LOG366" s="370"/>
      <c r="LOH366" s="365"/>
      <c r="LOI366" s="370"/>
      <c r="LOJ366" s="365"/>
      <c r="LOK366" s="370"/>
      <c r="LOL366" s="365"/>
      <c r="LOM366" s="370"/>
      <c r="LON366" s="365"/>
      <c r="LOO366" s="370"/>
      <c r="LOP366" s="365"/>
      <c r="LOQ366" s="370"/>
      <c r="LOR366" s="365"/>
      <c r="LOS366" s="370"/>
      <c r="LOT366" s="365"/>
      <c r="LOU366" s="370"/>
      <c r="LOV366" s="365"/>
      <c r="LOW366" s="370"/>
      <c r="LOX366" s="365"/>
      <c r="LOY366" s="370"/>
      <c r="LOZ366" s="365"/>
      <c r="LPA366" s="370"/>
      <c r="LPB366" s="365"/>
      <c r="LPC366" s="370"/>
      <c r="LPD366" s="365"/>
      <c r="LPE366" s="370"/>
      <c r="LPF366" s="365"/>
      <c r="LPG366" s="370"/>
      <c r="LPH366" s="365"/>
      <c r="LPI366" s="370"/>
      <c r="LPJ366" s="365"/>
      <c r="LPK366" s="370"/>
      <c r="LPL366" s="365"/>
      <c r="LPM366" s="370"/>
      <c r="LPN366" s="365"/>
      <c r="LPO366" s="370"/>
      <c r="LPP366" s="365"/>
      <c r="LPQ366" s="370"/>
      <c r="LPR366" s="365"/>
      <c r="LPS366" s="370"/>
      <c r="LPT366" s="365"/>
      <c r="LPU366" s="370"/>
      <c r="LPV366" s="365"/>
      <c r="LPW366" s="370"/>
      <c r="LPX366" s="365"/>
      <c r="LPY366" s="370"/>
      <c r="LPZ366" s="365"/>
      <c r="LQA366" s="370"/>
      <c r="LQB366" s="365"/>
      <c r="LQC366" s="370"/>
      <c r="LQD366" s="365"/>
      <c r="LQE366" s="370"/>
      <c r="LQF366" s="365"/>
      <c r="LQG366" s="370"/>
      <c r="LQH366" s="365"/>
      <c r="LQI366" s="370"/>
      <c r="LQJ366" s="365"/>
      <c r="LQK366" s="370"/>
      <c r="LQL366" s="365"/>
      <c r="LQM366" s="370"/>
      <c r="LQN366" s="365"/>
      <c r="LQO366" s="370"/>
      <c r="LQP366" s="365"/>
      <c r="LQQ366" s="370"/>
      <c r="LQR366" s="365"/>
      <c r="LQS366" s="370"/>
      <c r="LQT366" s="365"/>
      <c r="LQU366" s="370"/>
      <c r="LQV366" s="365"/>
      <c r="LQW366" s="370"/>
      <c r="LQX366" s="365"/>
      <c r="LQY366" s="370"/>
      <c r="LQZ366" s="365"/>
      <c r="LRA366" s="370"/>
      <c r="LRB366" s="365"/>
      <c r="LRC366" s="370"/>
      <c r="LRD366" s="365"/>
      <c r="LRE366" s="370"/>
      <c r="LRF366" s="365"/>
      <c r="LRG366" s="370"/>
      <c r="LRH366" s="365"/>
      <c r="LRI366" s="370"/>
      <c r="LRJ366" s="365"/>
      <c r="LRK366" s="370"/>
      <c r="LRL366" s="365"/>
      <c r="LRM366" s="370"/>
      <c r="LRN366" s="365"/>
      <c r="LRO366" s="370"/>
      <c r="LRP366" s="365"/>
      <c r="LRQ366" s="370"/>
      <c r="LRR366" s="365"/>
      <c r="LRS366" s="370"/>
      <c r="LRT366" s="365"/>
      <c r="LRU366" s="370"/>
      <c r="LRV366" s="365"/>
      <c r="LRW366" s="370"/>
      <c r="LRX366" s="365"/>
      <c r="LRY366" s="370"/>
      <c r="LRZ366" s="365"/>
      <c r="LSA366" s="370"/>
      <c r="LSB366" s="365"/>
      <c r="LSC366" s="370"/>
      <c r="LSD366" s="365"/>
      <c r="LSE366" s="370"/>
      <c r="LSF366" s="365"/>
      <c r="LSG366" s="370"/>
      <c r="LSH366" s="365"/>
      <c r="LSI366" s="370"/>
      <c r="LSJ366" s="365"/>
      <c r="LSK366" s="370"/>
      <c r="LSL366" s="365"/>
      <c r="LSM366" s="370"/>
      <c r="LSN366" s="365"/>
      <c r="LSO366" s="370"/>
      <c r="LSP366" s="365"/>
      <c r="LSQ366" s="370"/>
      <c r="LSR366" s="365"/>
      <c r="LSS366" s="370"/>
      <c r="LST366" s="365"/>
      <c r="LSU366" s="370"/>
      <c r="LSV366" s="365"/>
      <c r="LSW366" s="370"/>
      <c r="LSX366" s="365"/>
      <c r="LSY366" s="370"/>
      <c r="LSZ366" s="365"/>
      <c r="LTA366" s="370"/>
      <c r="LTB366" s="365"/>
      <c r="LTC366" s="370"/>
      <c r="LTD366" s="365"/>
      <c r="LTE366" s="370"/>
      <c r="LTF366" s="365"/>
      <c r="LTG366" s="370"/>
      <c r="LTH366" s="365"/>
      <c r="LTI366" s="370"/>
      <c r="LTJ366" s="365"/>
      <c r="LTK366" s="370"/>
      <c r="LTL366" s="365"/>
      <c r="LTM366" s="370"/>
      <c r="LTN366" s="365"/>
      <c r="LTO366" s="370"/>
      <c r="LTP366" s="365"/>
      <c r="LTQ366" s="370"/>
      <c r="LTR366" s="365"/>
      <c r="LTS366" s="370"/>
      <c r="LTT366" s="365"/>
      <c r="LTU366" s="370"/>
      <c r="LTV366" s="365"/>
      <c r="LTW366" s="370"/>
      <c r="LTX366" s="365"/>
      <c r="LTY366" s="370"/>
      <c r="LTZ366" s="365"/>
      <c r="LUA366" s="370"/>
      <c r="LUB366" s="365"/>
      <c r="LUC366" s="370"/>
      <c r="LUD366" s="365"/>
      <c r="LUE366" s="370"/>
      <c r="LUF366" s="365"/>
      <c r="LUG366" s="370"/>
      <c r="LUH366" s="365"/>
      <c r="LUI366" s="370"/>
      <c r="LUJ366" s="365"/>
      <c r="LUK366" s="370"/>
      <c r="LUL366" s="365"/>
      <c r="LUM366" s="370"/>
      <c r="LUN366" s="365"/>
      <c r="LUO366" s="370"/>
      <c r="LUP366" s="365"/>
      <c r="LUQ366" s="370"/>
      <c r="LUR366" s="365"/>
      <c r="LUS366" s="370"/>
      <c r="LUT366" s="365"/>
      <c r="LUU366" s="370"/>
      <c r="LUV366" s="365"/>
      <c r="LUW366" s="370"/>
      <c r="LUX366" s="365"/>
      <c r="LUY366" s="370"/>
      <c r="LUZ366" s="365"/>
      <c r="LVA366" s="370"/>
      <c r="LVB366" s="365"/>
      <c r="LVC366" s="370"/>
      <c r="LVD366" s="365"/>
      <c r="LVE366" s="370"/>
      <c r="LVF366" s="365"/>
      <c r="LVG366" s="370"/>
      <c r="LVH366" s="365"/>
      <c r="LVI366" s="370"/>
      <c r="LVJ366" s="365"/>
      <c r="LVK366" s="370"/>
      <c r="LVL366" s="365"/>
      <c r="LVM366" s="370"/>
      <c r="LVN366" s="365"/>
      <c r="LVO366" s="370"/>
      <c r="LVP366" s="365"/>
      <c r="LVQ366" s="370"/>
      <c r="LVR366" s="365"/>
      <c r="LVS366" s="370"/>
      <c r="LVT366" s="365"/>
      <c r="LVU366" s="370"/>
      <c r="LVV366" s="365"/>
      <c r="LVW366" s="370"/>
      <c r="LVX366" s="365"/>
      <c r="LVY366" s="370"/>
      <c r="LVZ366" s="365"/>
      <c r="LWA366" s="370"/>
      <c r="LWB366" s="365"/>
      <c r="LWC366" s="370"/>
      <c r="LWD366" s="365"/>
      <c r="LWE366" s="370"/>
      <c r="LWF366" s="365"/>
      <c r="LWG366" s="370"/>
      <c r="LWH366" s="365"/>
      <c r="LWI366" s="370"/>
      <c r="LWJ366" s="365"/>
      <c r="LWK366" s="370"/>
      <c r="LWL366" s="365"/>
      <c r="LWM366" s="370"/>
      <c r="LWN366" s="365"/>
      <c r="LWO366" s="370"/>
      <c r="LWP366" s="365"/>
      <c r="LWQ366" s="370"/>
      <c r="LWR366" s="365"/>
      <c r="LWS366" s="370"/>
      <c r="LWT366" s="365"/>
      <c r="LWU366" s="370"/>
      <c r="LWV366" s="365"/>
      <c r="LWW366" s="370"/>
      <c r="LWX366" s="365"/>
      <c r="LWY366" s="370"/>
      <c r="LWZ366" s="365"/>
      <c r="LXA366" s="370"/>
      <c r="LXB366" s="365"/>
      <c r="LXC366" s="370"/>
      <c r="LXD366" s="365"/>
      <c r="LXE366" s="370"/>
      <c r="LXF366" s="365"/>
      <c r="LXG366" s="370"/>
      <c r="LXH366" s="365"/>
      <c r="LXI366" s="370"/>
      <c r="LXJ366" s="365"/>
      <c r="LXK366" s="370"/>
      <c r="LXL366" s="365"/>
      <c r="LXM366" s="370"/>
      <c r="LXN366" s="365"/>
      <c r="LXO366" s="370"/>
      <c r="LXP366" s="365"/>
      <c r="LXQ366" s="370"/>
      <c r="LXR366" s="365"/>
      <c r="LXS366" s="370"/>
      <c r="LXT366" s="365"/>
      <c r="LXU366" s="370"/>
      <c r="LXV366" s="365"/>
      <c r="LXW366" s="370"/>
      <c r="LXX366" s="365"/>
      <c r="LXY366" s="370"/>
      <c r="LXZ366" s="365"/>
      <c r="LYA366" s="370"/>
      <c r="LYB366" s="365"/>
      <c r="LYC366" s="370"/>
      <c r="LYD366" s="365"/>
      <c r="LYE366" s="370"/>
      <c r="LYF366" s="365"/>
      <c r="LYG366" s="370"/>
      <c r="LYH366" s="365"/>
      <c r="LYI366" s="370"/>
      <c r="LYJ366" s="365"/>
      <c r="LYK366" s="370"/>
      <c r="LYL366" s="365"/>
      <c r="LYM366" s="370"/>
      <c r="LYN366" s="365"/>
      <c r="LYO366" s="370"/>
      <c r="LYP366" s="365"/>
      <c r="LYQ366" s="370"/>
      <c r="LYR366" s="365"/>
      <c r="LYS366" s="370"/>
      <c r="LYT366" s="365"/>
      <c r="LYU366" s="370"/>
      <c r="LYV366" s="365"/>
      <c r="LYW366" s="370"/>
      <c r="LYX366" s="365"/>
      <c r="LYY366" s="370"/>
      <c r="LYZ366" s="365"/>
      <c r="LZA366" s="370"/>
      <c r="LZB366" s="365"/>
      <c r="LZC366" s="370"/>
      <c r="LZD366" s="365"/>
      <c r="LZE366" s="370"/>
      <c r="LZF366" s="365"/>
      <c r="LZG366" s="370"/>
      <c r="LZH366" s="365"/>
      <c r="LZI366" s="370"/>
      <c r="LZJ366" s="365"/>
      <c r="LZK366" s="370"/>
      <c r="LZL366" s="365"/>
      <c r="LZM366" s="370"/>
      <c r="LZN366" s="365"/>
      <c r="LZO366" s="370"/>
      <c r="LZP366" s="365"/>
      <c r="LZQ366" s="370"/>
      <c r="LZR366" s="365"/>
      <c r="LZS366" s="370"/>
      <c r="LZT366" s="365"/>
      <c r="LZU366" s="370"/>
      <c r="LZV366" s="365"/>
      <c r="LZW366" s="370"/>
      <c r="LZX366" s="365"/>
      <c r="LZY366" s="370"/>
      <c r="LZZ366" s="365"/>
      <c r="MAA366" s="370"/>
      <c r="MAB366" s="365"/>
      <c r="MAC366" s="370"/>
      <c r="MAD366" s="365"/>
      <c r="MAE366" s="370"/>
      <c r="MAF366" s="365"/>
      <c r="MAG366" s="370"/>
      <c r="MAH366" s="365"/>
      <c r="MAI366" s="370"/>
      <c r="MAJ366" s="365"/>
      <c r="MAK366" s="370"/>
      <c r="MAL366" s="365"/>
      <c r="MAM366" s="370"/>
      <c r="MAN366" s="365"/>
      <c r="MAO366" s="370"/>
      <c r="MAP366" s="365"/>
      <c r="MAQ366" s="370"/>
      <c r="MAR366" s="365"/>
      <c r="MAS366" s="370"/>
      <c r="MAT366" s="365"/>
      <c r="MAU366" s="370"/>
      <c r="MAV366" s="365"/>
      <c r="MAW366" s="370"/>
      <c r="MAX366" s="365"/>
      <c r="MAY366" s="370"/>
      <c r="MAZ366" s="365"/>
      <c r="MBA366" s="370"/>
      <c r="MBB366" s="365"/>
      <c r="MBC366" s="370"/>
      <c r="MBD366" s="365"/>
      <c r="MBE366" s="370"/>
      <c r="MBF366" s="365"/>
      <c r="MBG366" s="370"/>
      <c r="MBH366" s="365"/>
      <c r="MBI366" s="370"/>
      <c r="MBJ366" s="365"/>
      <c r="MBK366" s="370"/>
      <c r="MBL366" s="365"/>
      <c r="MBM366" s="370"/>
      <c r="MBN366" s="365"/>
      <c r="MBO366" s="370"/>
      <c r="MBP366" s="365"/>
      <c r="MBQ366" s="370"/>
      <c r="MBR366" s="365"/>
      <c r="MBS366" s="370"/>
      <c r="MBT366" s="365"/>
      <c r="MBU366" s="370"/>
      <c r="MBV366" s="365"/>
      <c r="MBW366" s="370"/>
      <c r="MBX366" s="365"/>
      <c r="MBY366" s="370"/>
      <c r="MBZ366" s="365"/>
      <c r="MCA366" s="370"/>
      <c r="MCB366" s="365"/>
      <c r="MCC366" s="370"/>
      <c r="MCD366" s="365"/>
      <c r="MCE366" s="370"/>
      <c r="MCF366" s="365"/>
      <c r="MCG366" s="370"/>
      <c r="MCH366" s="365"/>
      <c r="MCI366" s="370"/>
      <c r="MCJ366" s="365"/>
      <c r="MCK366" s="370"/>
      <c r="MCL366" s="365"/>
      <c r="MCM366" s="370"/>
      <c r="MCN366" s="365"/>
      <c r="MCO366" s="370"/>
      <c r="MCP366" s="365"/>
      <c r="MCQ366" s="370"/>
      <c r="MCR366" s="365"/>
      <c r="MCS366" s="370"/>
      <c r="MCT366" s="365"/>
      <c r="MCU366" s="370"/>
      <c r="MCV366" s="365"/>
      <c r="MCW366" s="370"/>
      <c r="MCX366" s="365"/>
      <c r="MCY366" s="370"/>
      <c r="MCZ366" s="365"/>
      <c r="MDA366" s="370"/>
      <c r="MDB366" s="365"/>
      <c r="MDC366" s="370"/>
      <c r="MDD366" s="365"/>
      <c r="MDE366" s="370"/>
      <c r="MDF366" s="365"/>
      <c r="MDG366" s="370"/>
      <c r="MDH366" s="365"/>
      <c r="MDI366" s="370"/>
      <c r="MDJ366" s="365"/>
      <c r="MDK366" s="370"/>
      <c r="MDL366" s="365"/>
      <c r="MDM366" s="370"/>
      <c r="MDN366" s="365"/>
      <c r="MDO366" s="370"/>
      <c r="MDP366" s="365"/>
      <c r="MDQ366" s="370"/>
      <c r="MDR366" s="365"/>
      <c r="MDS366" s="370"/>
      <c r="MDT366" s="365"/>
      <c r="MDU366" s="370"/>
      <c r="MDV366" s="365"/>
      <c r="MDW366" s="370"/>
      <c r="MDX366" s="365"/>
      <c r="MDY366" s="370"/>
      <c r="MDZ366" s="365"/>
      <c r="MEA366" s="370"/>
      <c r="MEB366" s="365"/>
      <c r="MEC366" s="370"/>
      <c r="MED366" s="365"/>
      <c r="MEE366" s="370"/>
      <c r="MEF366" s="365"/>
      <c r="MEG366" s="370"/>
      <c r="MEH366" s="365"/>
      <c r="MEI366" s="370"/>
      <c r="MEJ366" s="365"/>
      <c r="MEK366" s="370"/>
      <c r="MEL366" s="365"/>
      <c r="MEM366" s="370"/>
      <c r="MEN366" s="365"/>
      <c r="MEO366" s="370"/>
      <c r="MEP366" s="365"/>
      <c r="MEQ366" s="370"/>
      <c r="MER366" s="365"/>
      <c r="MES366" s="370"/>
      <c r="MET366" s="365"/>
      <c r="MEU366" s="370"/>
      <c r="MEV366" s="365"/>
      <c r="MEW366" s="370"/>
      <c r="MEX366" s="365"/>
      <c r="MEY366" s="370"/>
      <c r="MEZ366" s="365"/>
      <c r="MFA366" s="370"/>
      <c r="MFB366" s="365"/>
      <c r="MFC366" s="370"/>
      <c r="MFD366" s="365"/>
      <c r="MFE366" s="370"/>
      <c r="MFF366" s="365"/>
      <c r="MFG366" s="370"/>
      <c r="MFH366" s="365"/>
      <c r="MFI366" s="370"/>
      <c r="MFJ366" s="365"/>
      <c r="MFK366" s="370"/>
      <c r="MFL366" s="365"/>
      <c r="MFM366" s="370"/>
      <c r="MFN366" s="365"/>
      <c r="MFO366" s="370"/>
      <c r="MFP366" s="365"/>
      <c r="MFQ366" s="370"/>
      <c r="MFR366" s="365"/>
      <c r="MFS366" s="370"/>
      <c r="MFT366" s="365"/>
      <c r="MFU366" s="370"/>
      <c r="MFV366" s="365"/>
      <c r="MFW366" s="370"/>
      <c r="MFX366" s="365"/>
      <c r="MFY366" s="370"/>
      <c r="MFZ366" s="365"/>
      <c r="MGA366" s="370"/>
      <c r="MGB366" s="365"/>
      <c r="MGC366" s="370"/>
      <c r="MGD366" s="365"/>
      <c r="MGE366" s="370"/>
      <c r="MGF366" s="365"/>
      <c r="MGG366" s="370"/>
      <c r="MGH366" s="365"/>
      <c r="MGI366" s="370"/>
      <c r="MGJ366" s="365"/>
      <c r="MGK366" s="370"/>
      <c r="MGL366" s="365"/>
      <c r="MGM366" s="370"/>
      <c r="MGN366" s="365"/>
      <c r="MGO366" s="370"/>
      <c r="MGP366" s="365"/>
      <c r="MGQ366" s="370"/>
      <c r="MGR366" s="365"/>
      <c r="MGS366" s="370"/>
      <c r="MGT366" s="365"/>
      <c r="MGU366" s="370"/>
      <c r="MGV366" s="365"/>
      <c r="MGW366" s="370"/>
      <c r="MGX366" s="365"/>
      <c r="MGY366" s="370"/>
      <c r="MGZ366" s="365"/>
      <c r="MHA366" s="370"/>
      <c r="MHB366" s="365"/>
      <c r="MHC366" s="370"/>
      <c r="MHD366" s="365"/>
      <c r="MHE366" s="370"/>
      <c r="MHF366" s="365"/>
      <c r="MHG366" s="370"/>
      <c r="MHH366" s="365"/>
      <c r="MHI366" s="370"/>
      <c r="MHJ366" s="365"/>
      <c r="MHK366" s="370"/>
      <c r="MHL366" s="365"/>
      <c r="MHM366" s="370"/>
      <c r="MHN366" s="365"/>
      <c r="MHO366" s="370"/>
      <c r="MHP366" s="365"/>
      <c r="MHQ366" s="370"/>
      <c r="MHR366" s="365"/>
      <c r="MHS366" s="370"/>
      <c r="MHT366" s="365"/>
      <c r="MHU366" s="370"/>
      <c r="MHV366" s="365"/>
      <c r="MHW366" s="370"/>
      <c r="MHX366" s="365"/>
      <c r="MHY366" s="370"/>
      <c r="MHZ366" s="365"/>
      <c r="MIA366" s="370"/>
      <c r="MIB366" s="365"/>
      <c r="MIC366" s="370"/>
      <c r="MID366" s="365"/>
      <c r="MIE366" s="370"/>
      <c r="MIF366" s="365"/>
      <c r="MIG366" s="370"/>
      <c r="MIH366" s="365"/>
      <c r="MII366" s="370"/>
      <c r="MIJ366" s="365"/>
      <c r="MIK366" s="370"/>
      <c r="MIL366" s="365"/>
      <c r="MIM366" s="370"/>
      <c r="MIN366" s="365"/>
      <c r="MIO366" s="370"/>
      <c r="MIP366" s="365"/>
      <c r="MIQ366" s="370"/>
      <c r="MIR366" s="365"/>
      <c r="MIS366" s="370"/>
      <c r="MIT366" s="365"/>
      <c r="MIU366" s="370"/>
      <c r="MIV366" s="365"/>
      <c r="MIW366" s="370"/>
      <c r="MIX366" s="365"/>
      <c r="MIY366" s="370"/>
      <c r="MIZ366" s="365"/>
      <c r="MJA366" s="370"/>
      <c r="MJB366" s="365"/>
      <c r="MJC366" s="370"/>
      <c r="MJD366" s="365"/>
      <c r="MJE366" s="370"/>
      <c r="MJF366" s="365"/>
      <c r="MJG366" s="370"/>
      <c r="MJH366" s="365"/>
      <c r="MJI366" s="370"/>
      <c r="MJJ366" s="365"/>
      <c r="MJK366" s="370"/>
      <c r="MJL366" s="365"/>
      <c r="MJM366" s="370"/>
      <c r="MJN366" s="365"/>
      <c r="MJO366" s="370"/>
      <c r="MJP366" s="365"/>
      <c r="MJQ366" s="370"/>
      <c r="MJR366" s="365"/>
      <c r="MJS366" s="370"/>
      <c r="MJT366" s="365"/>
      <c r="MJU366" s="370"/>
      <c r="MJV366" s="365"/>
      <c r="MJW366" s="370"/>
      <c r="MJX366" s="365"/>
      <c r="MJY366" s="370"/>
      <c r="MJZ366" s="365"/>
      <c r="MKA366" s="370"/>
      <c r="MKB366" s="365"/>
      <c r="MKC366" s="370"/>
      <c r="MKD366" s="365"/>
      <c r="MKE366" s="370"/>
      <c r="MKF366" s="365"/>
      <c r="MKG366" s="370"/>
      <c r="MKH366" s="365"/>
      <c r="MKI366" s="370"/>
      <c r="MKJ366" s="365"/>
      <c r="MKK366" s="370"/>
      <c r="MKL366" s="365"/>
      <c r="MKM366" s="370"/>
      <c r="MKN366" s="365"/>
      <c r="MKO366" s="370"/>
      <c r="MKP366" s="365"/>
      <c r="MKQ366" s="370"/>
      <c r="MKR366" s="365"/>
      <c r="MKS366" s="370"/>
      <c r="MKT366" s="365"/>
      <c r="MKU366" s="370"/>
      <c r="MKV366" s="365"/>
      <c r="MKW366" s="370"/>
      <c r="MKX366" s="365"/>
      <c r="MKY366" s="370"/>
      <c r="MKZ366" s="365"/>
      <c r="MLA366" s="370"/>
      <c r="MLB366" s="365"/>
      <c r="MLC366" s="370"/>
      <c r="MLD366" s="365"/>
      <c r="MLE366" s="370"/>
      <c r="MLF366" s="365"/>
      <c r="MLG366" s="370"/>
      <c r="MLH366" s="365"/>
      <c r="MLI366" s="370"/>
      <c r="MLJ366" s="365"/>
      <c r="MLK366" s="370"/>
      <c r="MLL366" s="365"/>
      <c r="MLM366" s="370"/>
      <c r="MLN366" s="365"/>
      <c r="MLO366" s="370"/>
      <c r="MLP366" s="365"/>
      <c r="MLQ366" s="370"/>
      <c r="MLR366" s="365"/>
      <c r="MLS366" s="370"/>
      <c r="MLT366" s="365"/>
      <c r="MLU366" s="370"/>
      <c r="MLV366" s="365"/>
      <c r="MLW366" s="370"/>
      <c r="MLX366" s="365"/>
      <c r="MLY366" s="370"/>
      <c r="MLZ366" s="365"/>
      <c r="MMA366" s="370"/>
      <c r="MMB366" s="365"/>
      <c r="MMC366" s="370"/>
      <c r="MMD366" s="365"/>
      <c r="MME366" s="370"/>
      <c r="MMF366" s="365"/>
      <c r="MMG366" s="370"/>
      <c r="MMH366" s="365"/>
      <c r="MMI366" s="370"/>
      <c r="MMJ366" s="365"/>
      <c r="MMK366" s="370"/>
      <c r="MML366" s="365"/>
      <c r="MMM366" s="370"/>
      <c r="MMN366" s="365"/>
      <c r="MMO366" s="370"/>
      <c r="MMP366" s="365"/>
      <c r="MMQ366" s="370"/>
      <c r="MMR366" s="365"/>
      <c r="MMS366" s="370"/>
      <c r="MMT366" s="365"/>
      <c r="MMU366" s="370"/>
      <c r="MMV366" s="365"/>
      <c r="MMW366" s="370"/>
      <c r="MMX366" s="365"/>
      <c r="MMY366" s="370"/>
      <c r="MMZ366" s="365"/>
      <c r="MNA366" s="370"/>
      <c r="MNB366" s="365"/>
      <c r="MNC366" s="370"/>
      <c r="MND366" s="365"/>
      <c r="MNE366" s="370"/>
      <c r="MNF366" s="365"/>
      <c r="MNG366" s="370"/>
      <c r="MNH366" s="365"/>
      <c r="MNI366" s="370"/>
      <c r="MNJ366" s="365"/>
      <c r="MNK366" s="370"/>
      <c r="MNL366" s="365"/>
      <c r="MNM366" s="370"/>
      <c r="MNN366" s="365"/>
      <c r="MNO366" s="370"/>
      <c r="MNP366" s="365"/>
      <c r="MNQ366" s="370"/>
      <c r="MNR366" s="365"/>
      <c r="MNS366" s="370"/>
      <c r="MNT366" s="365"/>
      <c r="MNU366" s="370"/>
      <c r="MNV366" s="365"/>
      <c r="MNW366" s="370"/>
      <c r="MNX366" s="365"/>
      <c r="MNY366" s="370"/>
      <c r="MNZ366" s="365"/>
      <c r="MOA366" s="370"/>
      <c r="MOB366" s="365"/>
      <c r="MOC366" s="370"/>
      <c r="MOD366" s="365"/>
      <c r="MOE366" s="370"/>
      <c r="MOF366" s="365"/>
      <c r="MOG366" s="370"/>
      <c r="MOH366" s="365"/>
      <c r="MOI366" s="370"/>
      <c r="MOJ366" s="365"/>
      <c r="MOK366" s="370"/>
      <c r="MOL366" s="365"/>
      <c r="MOM366" s="370"/>
      <c r="MON366" s="365"/>
      <c r="MOO366" s="370"/>
      <c r="MOP366" s="365"/>
      <c r="MOQ366" s="370"/>
      <c r="MOR366" s="365"/>
      <c r="MOS366" s="370"/>
      <c r="MOT366" s="365"/>
      <c r="MOU366" s="370"/>
      <c r="MOV366" s="365"/>
      <c r="MOW366" s="370"/>
      <c r="MOX366" s="365"/>
      <c r="MOY366" s="370"/>
      <c r="MOZ366" s="365"/>
      <c r="MPA366" s="370"/>
      <c r="MPB366" s="365"/>
      <c r="MPC366" s="370"/>
      <c r="MPD366" s="365"/>
      <c r="MPE366" s="370"/>
      <c r="MPF366" s="365"/>
      <c r="MPG366" s="370"/>
      <c r="MPH366" s="365"/>
      <c r="MPI366" s="370"/>
      <c r="MPJ366" s="365"/>
      <c r="MPK366" s="370"/>
      <c r="MPL366" s="365"/>
      <c r="MPM366" s="370"/>
      <c r="MPN366" s="365"/>
      <c r="MPO366" s="370"/>
      <c r="MPP366" s="365"/>
      <c r="MPQ366" s="370"/>
      <c r="MPR366" s="365"/>
      <c r="MPS366" s="370"/>
      <c r="MPT366" s="365"/>
      <c r="MPU366" s="370"/>
      <c r="MPV366" s="365"/>
      <c r="MPW366" s="370"/>
      <c r="MPX366" s="365"/>
      <c r="MPY366" s="370"/>
      <c r="MPZ366" s="365"/>
      <c r="MQA366" s="370"/>
      <c r="MQB366" s="365"/>
      <c r="MQC366" s="370"/>
      <c r="MQD366" s="365"/>
      <c r="MQE366" s="370"/>
      <c r="MQF366" s="365"/>
      <c r="MQG366" s="370"/>
      <c r="MQH366" s="365"/>
      <c r="MQI366" s="370"/>
      <c r="MQJ366" s="365"/>
      <c r="MQK366" s="370"/>
      <c r="MQL366" s="365"/>
      <c r="MQM366" s="370"/>
      <c r="MQN366" s="365"/>
      <c r="MQO366" s="370"/>
      <c r="MQP366" s="365"/>
      <c r="MQQ366" s="370"/>
      <c r="MQR366" s="365"/>
      <c r="MQS366" s="370"/>
      <c r="MQT366" s="365"/>
      <c r="MQU366" s="370"/>
      <c r="MQV366" s="365"/>
      <c r="MQW366" s="370"/>
      <c r="MQX366" s="365"/>
      <c r="MQY366" s="370"/>
      <c r="MQZ366" s="365"/>
      <c r="MRA366" s="370"/>
      <c r="MRB366" s="365"/>
      <c r="MRC366" s="370"/>
      <c r="MRD366" s="365"/>
      <c r="MRE366" s="370"/>
      <c r="MRF366" s="365"/>
      <c r="MRG366" s="370"/>
      <c r="MRH366" s="365"/>
      <c r="MRI366" s="370"/>
      <c r="MRJ366" s="365"/>
      <c r="MRK366" s="370"/>
      <c r="MRL366" s="365"/>
      <c r="MRM366" s="370"/>
      <c r="MRN366" s="365"/>
      <c r="MRO366" s="370"/>
      <c r="MRP366" s="365"/>
      <c r="MRQ366" s="370"/>
      <c r="MRR366" s="365"/>
      <c r="MRS366" s="370"/>
      <c r="MRT366" s="365"/>
      <c r="MRU366" s="370"/>
      <c r="MRV366" s="365"/>
      <c r="MRW366" s="370"/>
      <c r="MRX366" s="365"/>
      <c r="MRY366" s="370"/>
      <c r="MRZ366" s="365"/>
      <c r="MSA366" s="370"/>
      <c r="MSB366" s="365"/>
      <c r="MSC366" s="370"/>
      <c r="MSD366" s="365"/>
      <c r="MSE366" s="370"/>
      <c r="MSF366" s="365"/>
      <c r="MSG366" s="370"/>
      <c r="MSH366" s="365"/>
      <c r="MSI366" s="370"/>
      <c r="MSJ366" s="365"/>
      <c r="MSK366" s="370"/>
      <c r="MSL366" s="365"/>
      <c r="MSM366" s="370"/>
      <c r="MSN366" s="365"/>
      <c r="MSO366" s="370"/>
      <c r="MSP366" s="365"/>
      <c r="MSQ366" s="370"/>
      <c r="MSR366" s="365"/>
      <c r="MSS366" s="370"/>
      <c r="MST366" s="365"/>
      <c r="MSU366" s="370"/>
      <c r="MSV366" s="365"/>
      <c r="MSW366" s="370"/>
      <c r="MSX366" s="365"/>
      <c r="MSY366" s="370"/>
      <c r="MSZ366" s="365"/>
      <c r="MTA366" s="370"/>
      <c r="MTB366" s="365"/>
      <c r="MTC366" s="370"/>
      <c r="MTD366" s="365"/>
      <c r="MTE366" s="370"/>
      <c r="MTF366" s="365"/>
      <c r="MTG366" s="370"/>
      <c r="MTH366" s="365"/>
      <c r="MTI366" s="370"/>
      <c r="MTJ366" s="365"/>
      <c r="MTK366" s="370"/>
      <c r="MTL366" s="365"/>
      <c r="MTM366" s="370"/>
      <c r="MTN366" s="365"/>
      <c r="MTO366" s="370"/>
      <c r="MTP366" s="365"/>
      <c r="MTQ366" s="370"/>
      <c r="MTR366" s="365"/>
      <c r="MTS366" s="370"/>
      <c r="MTT366" s="365"/>
      <c r="MTU366" s="370"/>
      <c r="MTV366" s="365"/>
      <c r="MTW366" s="370"/>
      <c r="MTX366" s="365"/>
      <c r="MTY366" s="370"/>
      <c r="MTZ366" s="365"/>
      <c r="MUA366" s="370"/>
      <c r="MUB366" s="365"/>
      <c r="MUC366" s="370"/>
      <c r="MUD366" s="365"/>
      <c r="MUE366" s="370"/>
      <c r="MUF366" s="365"/>
      <c r="MUG366" s="370"/>
      <c r="MUH366" s="365"/>
      <c r="MUI366" s="370"/>
      <c r="MUJ366" s="365"/>
      <c r="MUK366" s="370"/>
      <c r="MUL366" s="365"/>
      <c r="MUM366" s="370"/>
      <c r="MUN366" s="365"/>
      <c r="MUO366" s="370"/>
      <c r="MUP366" s="365"/>
      <c r="MUQ366" s="370"/>
      <c r="MUR366" s="365"/>
      <c r="MUS366" s="370"/>
      <c r="MUT366" s="365"/>
      <c r="MUU366" s="370"/>
      <c r="MUV366" s="365"/>
      <c r="MUW366" s="370"/>
      <c r="MUX366" s="365"/>
      <c r="MUY366" s="370"/>
      <c r="MUZ366" s="365"/>
      <c r="MVA366" s="370"/>
      <c r="MVB366" s="365"/>
      <c r="MVC366" s="370"/>
      <c r="MVD366" s="365"/>
      <c r="MVE366" s="370"/>
      <c r="MVF366" s="365"/>
      <c r="MVG366" s="370"/>
      <c r="MVH366" s="365"/>
      <c r="MVI366" s="370"/>
      <c r="MVJ366" s="365"/>
      <c r="MVK366" s="370"/>
      <c r="MVL366" s="365"/>
      <c r="MVM366" s="370"/>
      <c r="MVN366" s="365"/>
      <c r="MVO366" s="370"/>
      <c r="MVP366" s="365"/>
      <c r="MVQ366" s="370"/>
      <c r="MVR366" s="365"/>
      <c r="MVS366" s="370"/>
      <c r="MVT366" s="365"/>
      <c r="MVU366" s="370"/>
      <c r="MVV366" s="365"/>
      <c r="MVW366" s="370"/>
      <c r="MVX366" s="365"/>
      <c r="MVY366" s="370"/>
      <c r="MVZ366" s="365"/>
      <c r="MWA366" s="370"/>
      <c r="MWB366" s="365"/>
      <c r="MWC366" s="370"/>
      <c r="MWD366" s="365"/>
      <c r="MWE366" s="370"/>
      <c r="MWF366" s="365"/>
      <c r="MWG366" s="370"/>
      <c r="MWH366" s="365"/>
      <c r="MWI366" s="370"/>
      <c r="MWJ366" s="365"/>
      <c r="MWK366" s="370"/>
      <c r="MWL366" s="365"/>
      <c r="MWM366" s="370"/>
      <c r="MWN366" s="365"/>
      <c r="MWO366" s="370"/>
      <c r="MWP366" s="365"/>
      <c r="MWQ366" s="370"/>
      <c r="MWR366" s="365"/>
      <c r="MWS366" s="370"/>
      <c r="MWT366" s="365"/>
      <c r="MWU366" s="370"/>
      <c r="MWV366" s="365"/>
      <c r="MWW366" s="370"/>
      <c r="MWX366" s="365"/>
      <c r="MWY366" s="370"/>
      <c r="MWZ366" s="365"/>
      <c r="MXA366" s="370"/>
      <c r="MXB366" s="365"/>
      <c r="MXC366" s="370"/>
      <c r="MXD366" s="365"/>
      <c r="MXE366" s="370"/>
      <c r="MXF366" s="365"/>
      <c r="MXG366" s="370"/>
      <c r="MXH366" s="365"/>
      <c r="MXI366" s="370"/>
      <c r="MXJ366" s="365"/>
      <c r="MXK366" s="370"/>
      <c r="MXL366" s="365"/>
      <c r="MXM366" s="370"/>
      <c r="MXN366" s="365"/>
      <c r="MXO366" s="370"/>
      <c r="MXP366" s="365"/>
      <c r="MXQ366" s="370"/>
      <c r="MXR366" s="365"/>
      <c r="MXS366" s="370"/>
      <c r="MXT366" s="365"/>
      <c r="MXU366" s="370"/>
      <c r="MXV366" s="365"/>
      <c r="MXW366" s="370"/>
      <c r="MXX366" s="365"/>
      <c r="MXY366" s="370"/>
      <c r="MXZ366" s="365"/>
      <c r="MYA366" s="370"/>
      <c r="MYB366" s="365"/>
      <c r="MYC366" s="370"/>
      <c r="MYD366" s="365"/>
      <c r="MYE366" s="370"/>
      <c r="MYF366" s="365"/>
      <c r="MYG366" s="370"/>
      <c r="MYH366" s="365"/>
      <c r="MYI366" s="370"/>
      <c r="MYJ366" s="365"/>
      <c r="MYK366" s="370"/>
      <c r="MYL366" s="365"/>
      <c r="MYM366" s="370"/>
      <c r="MYN366" s="365"/>
      <c r="MYO366" s="370"/>
      <c r="MYP366" s="365"/>
      <c r="MYQ366" s="370"/>
      <c r="MYR366" s="365"/>
      <c r="MYS366" s="370"/>
      <c r="MYT366" s="365"/>
      <c r="MYU366" s="370"/>
      <c r="MYV366" s="365"/>
      <c r="MYW366" s="370"/>
      <c r="MYX366" s="365"/>
      <c r="MYY366" s="370"/>
      <c r="MYZ366" s="365"/>
      <c r="MZA366" s="370"/>
      <c r="MZB366" s="365"/>
      <c r="MZC366" s="370"/>
      <c r="MZD366" s="365"/>
      <c r="MZE366" s="370"/>
      <c r="MZF366" s="365"/>
      <c r="MZG366" s="370"/>
      <c r="MZH366" s="365"/>
      <c r="MZI366" s="370"/>
      <c r="MZJ366" s="365"/>
      <c r="MZK366" s="370"/>
      <c r="MZL366" s="365"/>
      <c r="MZM366" s="370"/>
      <c r="MZN366" s="365"/>
      <c r="MZO366" s="370"/>
      <c r="MZP366" s="365"/>
      <c r="MZQ366" s="370"/>
      <c r="MZR366" s="365"/>
      <c r="MZS366" s="370"/>
      <c r="MZT366" s="365"/>
      <c r="MZU366" s="370"/>
      <c r="MZV366" s="365"/>
      <c r="MZW366" s="370"/>
      <c r="MZX366" s="365"/>
      <c r="MZY366" s="370"/>
      <c r="MZZ366" s="365"/>
      <c r="NAA366" s="370"/>
      <c r="NAB366" s="365"/>
      <c r="NAC366" s="370"/>
      <c r="NAD366" s="365"/>
      <c r="NAE366" s="370"/>
      <c r="NAF366" s="365"/>
      <c r="NAG366" s="370"/>
      <c r="NAH366" s="365"/>
      <c r="NAI366" s="370"/>
      <c r="NAJ366" s="365"/>
      <c r="NAK366" s="370"/>
      <c r="NAL366" s="365"/>
      <c r="NAM366" s="370"/>
      <c r="NAN366" s="365"/>
      <c r="NAO366" s="370"/>
      <c r="NAP366" s="365"/>
      <c r="NAQ366" s="370"/>
      <c r="NAR366" s="365"/>
      <c r="NAS366" s="370"/>
      <c r="NAT366" s="365"/>
      <c r="NAU366" s="370"/>
      <c r="NAV366" s="365"/>
      <c r="NAW366" s="370"/>
      <c r="NAX366" s="365"/>
      <c r="NAY366" s="370"/>
      <c r="NAZ366" s="365"/>
      <c r="NBA366" s="370"/>
      <c r="NBB366" s="365"/>
      <c r="NBC366" s="370"/>
      <c r="NBD366" s="365"/>
      <c r="NBE366" s="370"/>
      <c r="NBF366" s="365"/>
      <c r="NBG366" s="370"/>
      <c r="NBH366" s="365"/>
      <c r="NBI366" s="370"/>
      <c r="NBJ366" s="365"/>
      <c r="NBK366" s="370"/>
      <c r="NBL366" s="365"/>
      <c r="NBM366" s="370"/>
      <c r="NBN366" s="365"/>
      <c r="NBO366" s="370"/>
      <c r="NBP366" s="365"/>
      <c r="NBQ366" s="370"/>
      <c r="NBR366" s="365"/>
      <c r="NBS366" s="370"/>
      <c r="NBT366" s="365"/>
      <c r="NBU366" s="370"/>
      <c r="NBV366" s="365"/>
      <c r="NBW366" s="370"/>
      <c r="NBX366" s="365"/>
      <c r="NBY366" s="370"/>
      <c r="NBZ366" s="365"/>
      <c r="NCA366" s="370"/>
      <c r="NCB366" s="365"/>
      <c r="NCC366" s="370"/>
      <c r="NCD366" s="365"/>
      <c r="NCE366" s="370"/>
      <c r="NCF366" s="365"/>
      <c r="NCG366" s="370"/>
      <c r="NCH366" s="365"/>
      <c r="NCI366" s="370"/>
      <c r="NCJ366" s="365"/>
      <c r="NCK366" s="370"/>
      <c r="NCL366" s="365"/>
      <c r="NCM366" s="370"/>
      <c r="NCN366" s="365"/>
      <c r="NCO366" s="370"/>
      <c r="NCP366" s="365"/>
      <c r="NCQ366" s="370"/>
      <c r="NCR366" s="365"/>
      <c r="NCS366" s="370"/>
      <c r="NCT366" s="365"/>
      <c r="NCU366" s="370"/>
      <c r="NCV366" s="365"/>
      <c r="NCW366" s="370"/>
      <c r="NCX366" s="365"/>
      <c r="NCY366" s="370"/>
      <c r="NCZ366" s="365"/>
      <c r="NDA366" s="370"/>
      <c r="NDB366" s="365"/>
      <c r="NDC366" s="370"/>
      <c r="NDD366" s="365"/>
      <c r="NDE366" s="370"/>
      <c r="NDF366" s="365"/>
      <c r="NDG366" s="370"/>
      <c r="NDH366" s="365"/>
      <c r="NDI366" s="370"/>
      <c r="NDJ366" s="365"/>
      <c r="NDK366" s="370"/>
      <c r="NDL366" s="365"/>
      <c r="NDM366" s="370"/>
      <c r="NDN366" s="365"/>
      <c r="NDO366" s="370"/>
      <c r="NDP366" s="365"/>
      <c r="NDQ366" s="370"/>
      <c r="NDR366" s="365"/>
      <c r="NDS366" s="370"/>
      <c r="NDT366" s="365"/>
      <c r="NDU366" s="370"/>
      <c r="NDV366" s="365"/>
      <c r="NDW366" s="370"/>
      <c r="NDX366" s="365"/>
      <c r="NDY366" s="370"/>
      <c r="NDZ366" s="365"/>
      <c r="NEA366" s="370"/>
      <c r="NEB366" s="365"/>
      <c r="NEC366" s="370"/>
      <c r="NED366" s="365"/>
      <c r="NEE366" s="370"/>
      <c r="NEF366" s="365"/>
      <c r="NEG366" s="370"/>
      <c r="NEH366" s="365"/>
      <c r="NEI366" s="370"/>
      <c r="NEJ366" s="365"/>
      <c r="NEK366" s="370"/>
      <c r="NEL366" s="365"/>
      <c r="NEM366" s="370"/>
      <c r="NEN366" s="365"/>
      <c r="NEO366" s="370"/>
      <c r="NEP366" s="365"/>
      <c r="NEQ366" s="370"/>
      <c r="NER366" s="365"/>
      <c r="NES366" s="370"/>
      <c r="NET366" s="365"/>
      <c r="NEU366" s="370"/>
      <c r="NEV366" s="365"/>
      <c r="NEW366" s="370"/>
      <c r="NEX366" s="365"/>
      <c r="NEY366" s="370"/>
      <c r="NEZ366" s="365"/>
      <c r="NFA366" s="370"/>
      <c r="NFB366" s="365"/>
      <c r="NFC366" s="370"/>
      <c r="NFD366" s="365"/>
      <c r="NFE366" s="370"/>
      <c r="NFF366" s="365"/>
      <c r="NFG366" s="370"/>
      <c r="NFH366" s="365"/>
      <c r="NFI366" s="370"/>
      <c r="NFJ366" s="365"/>
      <c r="NFK366" s="370"/>
      <c r="NFL366" s="365"/>
      <c r="NFM366" s="370"/>
      <c r="NFN366" s="365"/>
      <c r="NFO366" s="370"/>
      <c r="NFP366" s="365"/>
      <c r="NFQ366" s="370"/>
      <c r="NFR366" s="365"/>
      <c r="NFS366" s="370"/>
      <c r="NFT366" s="365"/>
      <c r="NFU366" s="370"/>
      <c r="NFV366" s="365"/>
      <c r="NFW366" s="370"/>
      <c r="NFX366" s="365"/>
      <c r="NFY366" s="370"/>
      <c r="NFZ366" s="365"/>
      <c r="NGA366" s="370"/>
      <c r="NGB366" s="365"/>
      <c r="NGC366" s="370"/>
      <c r="NGD366" s="365"/>
      <c r="NGE366" s="370"/>
      <c r="NGF366" s="365"/>
      <c r="NGG366" s="370"/>
      <c r="NGH366" s="365"/>
      <c r="NGI366" s="370"/>
      <c r="NGJ366" s="365"/>
      <c r="NGK366" s="370"/>
      <c r="NGL366" s="365"/>
      <c r="NGM366" s="370"/>
      <c r="NGN366" s="365"/>
      <c r="NGO366" s="370"/>
      <c r="NGP366" s="365"/>
      <c r="NGQ366" s="370"/>
      <c r="NGR366" s="365"/>
      <c r="NGS366" s="370"/>
      <c r="NGT366" s="365"/>
      <c r="NGU366" s="370"/>
      <c r="NGV366" s="365"/>
      <c r="NGW366" s="370"/>
      <c r="NGX366" s="365"/>
      <c r="NGY366" s="370"/>
      <c r="NGZ366" s="365"/>
      <c r="NHA366" s="370"/>
      <c r="NHB366" s="365"/>
      <c r="NHC366" s="370"/>
      <c r="NHD366" s="365"/>
      <c r="NHE366" s="370"/>
      <c r="NHF366" s="365"/>
      <c r="NHG366" s="370"/>
      <c r="NHH366" s="365"/>
      <c r="NHI366" s="370"/>
      <c r="NHJ366" s="365"/>
      <c r="NHK366" s="370"/>
      <c r="NHL366" s="365"/>
      <c r="NHM366" s="370"/>
      <c r="NHN366" s="365"/>
      <c r="NHO366" s="370"/>
      <c r="NHP366" s="365"/>
      <c r="NHQ366" s="370"/>
      <c r="NHR366" s="365"/>
      <c r="NHS366" s="370"/>
      <c r="NHT366" s="365"/>
      <c r="NHU366" s="370"/>
      <c r="NHV366" s="365"/>
      <c r="NHW366" s="370"/>
      <c r="NHX366" s="365"/>
      <c r="NHY366" s="370"/>
      <c r="NHZ366" s="365"/>
      <c r="NIA366" s="370"/>
      <c r="NIB366" s="365"/>
      <c r="NIC366" s="370"/>
      <c r="NID366" s="365"/>
      <c r="NIE366" s="370"/>
      <c r="NIF366" s="365"/>
      <c r="NIG366" s="370"/>
      <c r="NIH366" s="365"/>
      <c r="NII366" s="370"/>
      <c r="NIJ366" s="365"/>
      <c r="NIK366" s="370"/>
      <c r="NIL366" s="365"/>
      <c r="NIM366" s="370"/>
      <c r="NIN366" s="365"/>
      <c r="NIO366" s="370"/>
      <c r="NIP366" s="365"/>
      <c r="NIQ366" s="370"/>
      <c r="NIR366" s="365"/>
      <c r="NIS366" s="370"/>
      <c r="NIT366" s="365"/>
      <c r="NIU366" s="370"/>
      <c r="NIV366" s="365"/>
      <c r="NIW366" s="370"/>
      <c r="NIX366" s="365"/>
      <c r="NIY366" s="370"/>
      <c r="NIZ366" s="365"/>
      <c r="NJA366" s="370"/>
      <c r="NJB366" s="365"/>
      <c r="NJC366" s="370"/>
      <c r="NJD366" s="365"/>
      <c r="NJE366" s="370"/>
      <c r="NJF366" s="365"/>
      <c r="NJG366" s="370"/>
      <c r="NJH366" s="365"/>
      <c r="NJI366" s="370"/>
      <c r="NJJ366" s="365"/>
      <c r="NJK366" s="370"/>
      <c r="NJL366" s="365"/>
      <c r="NJM366" s="370"/>
      <c r="NJN366" s="365"/>
      <c r="NJO366" s="370"/>
      <c r="NJP366" s="365"/>
      <c r="NJQ366" s="370"/>
      <c r="NJR366" s="365"/>
      <c r="NJS366" s="370"/>
      <c r="NJT366" s="365"/>
      <c r="NJU366" s="370"/>
      <c r="NJV366" s="365"/>
      <c r="NJW366" s="370"/>
      <c r="NJX366" s="365"/>
      <c r="NJY366" s="370"/>
      <c r="NJZ366" s="365"/>
      <c r="NKA366" s="370"/>
      <c r="NKB366" s="365"/>
      <c r="NKC366" s="370"/>
      <c r="NKD366" s="365"/>
      <c r="NKE366" s="370"/>
      <c r="NKF366" s="365"/>
      <c r="NKG366" s="370"/>
      <c r="NKH366" s="365"/>
      <c r="NKI366" s="370"/>
      <c r="NKJ366" s="365"/>
      <c r="NKK366" s="370"/>
      <c r="NKL366" s="365"/>
      <c r="NKM366" s="370"/>
      <c r="NKN366" s="365"/>
      <c r="NKO366" s="370"/>
      <c r="NKP366" s="365"/>
      <c r="NKQ366" s="370"/>
      <c r="NKR366" s="365"/>
      <c r="NKS366" s="370"/>
      <c r="NKT366" s="365"/>
      <c r="NKU366" s="370"/>
      <c r="NKV366" s="365"/>
      <c r="NKW366" s="370"/>
      <c r="NKX366" s="365"/>
      <c r="NKY366" s="370"/>
      <c r="NKZ366" s="365"/>
      <c r="NLA366" s="370"/>
      <c r="NLB366" s="365"/>
      <c r="NLC366" s="370"/>
      <c r="NLD366" s="365"/>
      <c r="NLE366" s="370"/>
      <c r="NLF366" s="365"/>
      <c r="NLG366" s="370"/>
      <c r="NLH366" s="365"/>
      <c r="NLI366" s="370"/>
      <c r="NLJ366" s="365"/>
      <c r="NLK366" s="370"/>
      <c r="NLL366" s="365"/>
      <c r="NLM366" s="370"/>
      <c r="NLN366" s="365"/>
      <c r="NLO366" s="370"/>
      <c r="NLP366" s="365"/>
      <c r="NLQ366" s="370"/>
      <c r="NLR366" s="365"/>
      <c r="NLS366" s="370"/>
      <c r="NLT366" s="365"/>
      <c r="NLU366" s="370"/>
      <c r="NLV366" s="365"/>
      <c r="NLW366" s="370"/>
      <c r="NLX366" s="365"/>
      <c r="NLY366" s="370"/>
      <c r="NLZ366" s="365"/>
      <c r="NMA366" s="370"/>
      <c r="NMB366" s="365"/>
      <c r="NMC366" s="370"/>
      <c r="NMD366" s="365"/>
      <c r="NME366" s="370"/>
      <c r="NMF366" s="365"/>
      <c r="NMG366" s="370"/>
      <c r="NMH366" s="365"/>
      <c r="NMI366" s="370"/>
      <c r="NMJ366" s="365"/>
      <c r="NMK366" s="370"/>
      <c r="NML366" s="365"/>
      <c r="NMM366" s="370"/>
      <c r="NMN366" s="365"/>
      <c r="NMO366" s="370"/>
      <c r="NMP366" s="365"/>
      <c r="NMQ366" s="370"/>
      <c r="NMR366" s="365"/>
      <c r="NMS366" s="370"/>
      <c r="NMT366" s="365"/>
      <c r="NMU366" s="370"/>
      <c r="NMV366" s="365"/>
      <c r="NMW366" s="370"/>
      <c r="NMX366" s="365"/>
      <c r="NMY366" s="370"/>
      <c r="NMZ366" s="365"/>
      <c r="NNA366" s="370"/>
      <c r="NNB366" s="365"/>
      <c r="NNC366" s="370"/>
      <c r="NND366" s="365"/>
      <c r="NNE366" s="370"/>
      <c r="NNF366" s="365"/>
      <c r="NNG366" s="370"/>
      <c r="NNH366" s="365"/>
      <c r="NNI366" s="370"/>
      <c r="NNJ366" s="365"/>
      <c r="NNK366" s="370"/>
      <c r="NNL366" s="365"/>
      <c r="NNM366" s="370"/>
      <c r="NNN366" s="365"/>
      <c r="NNO366" s="370"/>
      <c r="NNP366" s="365"/>
      <c r="NNQ366" s="370"/>
      <c r="NNR366" s="365"/>
      <c r="NNS366" s="370"/>
      <c r="NNT366" s="365"/>
      <c r="NNU366" s="370"/>
      <c r="NNV366" s="365"/>
      <c r="NNW366" s="370"/>
      <c r="NNX366" s="365"/>
      <c r="NNY366" s="370"/>
      <c r="NNZ366" s="365"/>
      <c r="NOA366" s="370"/>
      <c r="NOB366" s="365"/>
      <c r="NOC366" s="370"/>
      <c r="NOD366" s="365"/>
      <c r="NOE366" s="370"/>
      <c r="NOF366" s="365"/>
      <c r="NOG366" s="370"/>
      <c r="NOH366" s="365"/>
      <c r="NOI366" s="370"/>
      <c r="NOJ366" s="365"/>
      <c r="NOK366" s="370"/>
      <c r="NOL366" s="365"/>
      <c r="NOM366" s="370"/>
      <c r="NON366" s="365"/>
      <c r="NOO366" s="370"/>
      <c r="NOP366" s="365"/>
      <c r="NOQ366" s="370"/>
      <c r="NOR366" s="365"/>
      <c r="NOS366" s="370"/>
      <c r="NOT366" s="365"/>
      <c r="NOU366" s="370"/>
      <c r="NOV366" s="365"/>
      <c r="NOW366" s="370"/>
      <c r="NOX366" s="365"/>
      <c r="NOY366" s="370"/>
      <c r="NOZ366" s="365"/>
      <c r="NPA366" s="370"/>
      <c r="NPB366" s="365"/>
      <c r="NPC366" s="370"/>
      <c r="NPD366" s="365"/>
      <c r="NPE366" s="370"/>
      <c r="NPF366" s="365"/>
      <c r="NPG366" s="370"/>
      <c r="NPH366" s="365"/>
      <c r="NPI366" s="370"/>
      <c r="NPJ366" s="365"/>
      <c r="NPK366" s="370"/>
      <c r="NPL366" s="365"/>
      <c r="NPM366" s="370"/>
      <c r="NPN366" s="365"/>
      <c r="NPO366" s="370"/>
      <c r="NPP366" s="365"/>
      <c r="NPQ366" s="370"/>
      <c r="NPR366" s="365"/>
      <c r="NPS366" s="370"/>
      <c r="NPT366" s="365"/>
      <c r="NPU366" s="370"/>
      <c r="NPV366" s="365"/>
      <c r="NPW366" s="370"/>
      <c r="NPX366" s="365"/>
      <c r="NPY366" s="370"/>
      <c r="NPZ366" s="365"/>
      <c r="NQA366" s="370"/>
      <c r="NQB366" s="365"/>
      <c r="NQC366" s="370"/>
      <c r="NQD366" s="365"/>
      <c r="NQE366" s="370"/>
      <c r="NQF366" s="365"/>
      <c r="NQG366" s="370"/>
      <c r="NQH366" s="365"/>
      <c r="NQI366" s="370"/>
      <c r="NQJ366" s="365"/>
      <c r="NQK366" s="370"/>
      <c r="NQL366" s="365"/>
      <c r="NQM366" s="370"/>
      <c r="NQN366" s="365"/>
      <c r="NQO366" s="370"/>
      <c r="NQP366" s="365"/>
      <c r="NQQ366" s="370"/>
      <c r="NQR366" s="365"/>
      <c r="NQS366" s="370"/>
      <c r="NQT366" s="365"/>
      <c r="NQU366" s="370"/>
      <c r="NQV366" s="365"/>
      <c r="NQW366" s="370"/>
      <c r="NQX366" s="365"/>
      <c r="NQY366" s="370"/>
      <c r="NQZ366" s="365"/>
      <c r="NRA366" s="370"/>
      <c r="NRB366" s="365"/>
      <c r="NRC366" s="370"/>
      <c r="NRD366" s="365"/>
      <c r="NRE366" s="370"/>
      <c r="NRF366" s="365"/>
      <c r="NRG366" s="370"/>
      <c r="NRH366" s="365"/>
      <c r="NRI366" s="370"/>
      <c r="NRJ366" s="365"/>
      <c r="NRK366" s="370"/>
      <c r="NRL366" s="365"/>
      <c r="NRM366" s="370"/>
      <c r="NRN366" s="365"/>
      <c r="NRO366" s="370"/>
      <c r="NRP366" s="365"/>
      <c r="NRQ366" s="370"/>
      <c r="NRR366" s="365"/>
      <c r="NRS366" s="370"/>
      <c r="NRT366" s="365"/>
      <c r="NRU366" s="370"/>
      <c r="NRV366" s="365"/>
      <c r="NRW366" s="370"/>
      <c r="NRX366" s="365"/>
      <c r="NRY366" s="370"/>
      <c r="NRZ366" s="365"/>
      <c r="NSA366" s="370"/>
      <c r="NSB366" s="365"/>
      <c r="NSC366" s="370"/>
      <c r="NSD366" s="365"/>
      <c r="NSE366" s="370"/>
      <c r="NSF366" s="365"/>
      <c r="NSG366" s="370"/>
      <c r="NSH366" s="365"/>
      <c r="NSI366" s="370"/>
      <c r="NSJ366" s="365"/>
      <c r="NSK366" s="370"/>
      <c r="NSL366" s="365"/>
      <c r="NSM366" s="370"/>
      <c r="NSN366" s="365"/>
      <c r="NSO366" s="370"/>
      <c r="NSP366" s="365"/>
      <c r="NSQ366" s="370"/>
      <c r="NSR366" s="365"/>
      <c r="NSS366" s="370"/>
      <c r="NST366" s="365"/>
      <c r="NSU366" s="370"/>
      <c r="NSV366" s="365"/>
      <c r="NSW366" s="370"/>
      <c r="NSX366" s="365"/>
      <c r="NSY366" s="370"/>
      <c r="NSZ366" s="365"/>
      <c r="NTA366" s="370"/>
      <c r="NTB366" s="365"/>
      <c r="NTC366" s="370"/>
      <c r="NTD366" s="365"/>
      <c r="NTE366" s="370"/>
      <c r="NTF366" s="365"/>
      <c r="NTG366" s="370"/>
      <c r="NTH366" s="365"/>
      <c r="NTI366" s="370"/>
      <c r="NTJ366" s="365"/>
      <c r="NTK366" s="370"/>
      <c r="NTL366" s="365"/>
      <c r="NTM366" s="370"/>
      <c r="NTN366" s="365"/>
      <c r="NTO366" s="370"/>
      <c r="NTP366" s="365"/>
      <c r="NTQ366" s="370"/>
      <c r="NTR366" s="365"/>
      <c r="NTS366" s="370"/>
      <c r="NTT366" s="365"/>
      <c r="NTU366" s="370"/>
      <c r="NTV366" s="365"/>
      <c r="NTW366" s="370"/>
      <c r="NTX366" s="365"/>
      <c r="NTY366" s="370"/>
      <c r="NTZ366" s="365"/>
      <c r="NUA366" s="370"/>
      <c r="NUB366" s="365"/>
      <c r="NUC366" s="370"/>
      <c r="NUD366" s="365"/>
      <c r="NUE366" s="370"/>
      <c r="NUF366" s="365"/>
      <c r="NUG366" s="370"/>
      <c r="NUH366" s="365"/>
      <c r="NUI366" s="370"/>
      <c r="NUJ366" s="365"/>
      <c r="NUK366" s="370"/>
      <c r="NUL366" s="365"/>
      <c r="NUM366" s="370"/>
      <c r="NUN366" s="365"/>
      <c r="NUO366" s="370"/>
      <c r="NUP366" s="365"/>
      <c r="NUQ366" s="370"/>
      <c r="NUR366" s="365"/>
      <c r="NUS366" s="370"/>
      <c r="NUT366" s="365"/>
      <c r="NUU366" s="370"/>
      <c r="NUV366" s="365"/>
      <c r="NUW366" s="370"/>
      <c r="NUX366" s="365"/>
      <c r="NUY366" s="370"/>
      <c r="NUZ366" s="365"/>
      <c r="NVA366" s="370"/>
      <c r="NVB366" s="365"/>
      <c r="NVC366" s="370"/>
      <c r="NVD366" s="365"/>
      <c r="NVE366" s="370"/>
      <c r="NVF366" s="365"/>
      <c r="NVG366" s="370"/>
      <c r="NVH366" s="365"/>
      <c r="NVI366" s="370"/>
      <c r="NVJ366" s="365"/>
      <c r="NVK366" s="370"/>
      <c r="NVL366" s="365"/>
      <c r="NVM366" s="370"/>
      <c r="NVN366" s="365"/>
      <c r="NVO366" s="370"/>
      <c r="NVP366" s="365"/>
      <c r="NVQ366" s="370"/>
      <c r="NVR366" s="365"/>
      <c r="NVS366" s="370"/>
      <c r="NVT366" s="365"/>
      <c r="NVU366" s="370"/>
      <c r="NVV366" s="365"/>
      <c r="NVW366" s="370"/>
      <c r="NVX366" s="365"/>
      <c r="NVY366" s="370"/>
      <c r="NVZ366" s="365"/>
      <c r="NWA366" s="370"/>
      <c r="NWB366" s="365"/>
      <c r="NWC366" s="370"/>
      <c r="NWD366" s="365"/>
      <c r="NWE366" s="370"/>
      <c r="NWF366" s="365"/>
      <c r="NWG366" s="370"/>
      <c r="NWH366" s="365"/>
      <c r="NWI366" s="370"/>
      <c r="NWJ366" s="365"/>
      <c r="NWK366" s="370"/>
      <c r="NWL366" s="365"/>
      <c r="NWM366" s="370"/>
      <c r="NWN366" s="365"/>
      <c r="NWO366" s="370"/>
      <c r="NWP366" s="365"/>
      <c r="NWQ366" s="370"/>
      <c r="NWR366" s="365"/>
      <c r="NWS366" s="370"/>
      <c r="NWT366" s="365"/>
      <c r="NWU366" s="370"/>
      <c r="NWV366" s="365"/>
      <c r="NWW366" s="370"/>
      <c r="NWX366" s="365"/>
      <c r="NWY366" s="370"/>
      <c r="NWZ366" s="365"/>
      <c r="NXA366" s="370"/>
      <c r="NXB366" s="365"/>
      <c r="NXC366" s="370"/>
      <c r="NXD366" s="365"/>
      <c r="NXE366" s="370"/>
      <c r="NXF366" s="365"/>
      <c r="NXG366" s="370"/>
      <c r="NXH366" s="365"/>
      <c r="NXI366" s="370"/>
      <c r="NXJ366" s="365"/>
      <c r="NXK366" s="370"/>
      <c r="NXL366" s="365"/>
      <c r="NXM366" s="370"/>
      <c r="NXN366" s="365"/>
      <c r="NXO366" s="370"/>
      <c r="NXP366" s="365"/>
      <c r="NXQ366" s="370"/>
      <c r="NXR366" s="365"/>
      <c r="NXS366" s="370"/>
      <c r="NXT366" s="365"/>
      <c r="NXU366" s="370"/>
      <c r="NXV366" s="365"/>
      <c r="NXW366" s="370"/>
      <c r="NXX366" s="365"/>
      <c r="NXY366" s="370"/>
      <c r="NXZ366" s="365"/>
      <c r="NYA366" s="370"/>
      <c r="NYB366" s="365"/>
      <c r="NYC366" s="370"/>
      <c r="NYD366" s="365"/>
      <c r="NYE366" s="370"/>
      <c r="NYF366" s="365"/>
      <c r="NYG366" s="370"/>
      <c r="NYH366" s="365"/>
      <c r="NYI366" s="370"/>
      <c r="NYJ366" s="365"/>
      <c r="NYK366" s="370"/>
      <c r="NYL366" s="365"/>
      <c r="NYM366" s="370"/>
      <c r="NYN366" s="365"/>
      <c r="NYO366" s="370"/>
      <c r="NYP366" s="365"/>
      <c r="NYQ366" s="370"/>
      <c r="NYR366" s="365"/>
      <c r="NYS366" s="370"/>
      <c r="NYT366" s="365"/>
      <c r="NYU366" s="370"/>
      <c r="NYV366" s="365"/>
      <c r="NYW366" s="370"/>
      <c r="NYX366" s="365"/>
      <c r="NYY366" s="370"/>
      <c r="NYZ366" s="365"/>
      <c r="NZA366" s="370"/>
      <c r="NZB366" s="365"/>
      <c r="NZC366" s="370"/>
      <c r="NZD366" s="365"/>
      <c r="NZE366" s="370"/>
      <c r="NZF366" s="365"/>
      <c r="NZG366" s="370"/>
      <c r="NZH366" s="365"/>
      <c r="NZI366" s="370"/>
      <c r="NZJ366" s="365"/>
      <c r="NZK366" s="370"/>
      <c r="NZL366" s="365"/>
      <c r="NZM366" s="370"/>
      <c r="NZN366" s="365"/>
      <c r="NZO366" s="370"/>
      <c r="NZP366" s="365"/>
      <c r="NZQ366" s="370"/>
      <c r="NZR366" s="365"/>
      <c r="NZS366" s="370"/>
      <c r="NZT366" s="365"/>
      <c r="NZU366" s="370"/>
      <c r="NZV366" s="365"/>
      <c r="NZW366" s="370"/>
      <c r="NZX366" s="365"/>
      <c r="NZY366" s="370"/>
      <c r="NZZ366" s="365"/>
      <c r="OAA366" s="370"/>
      <c r="OAB366" s="365"/>
      <c r="OAC366" s="370"/>
      <c r="OAD366" s="365"/>
      <c r="OAE366" s="370"/>
      <c r="OAF366" s="365"/>
      <c r="OAG366" s="370"/>
      <c r="OAH366" s="365"/>
      <c r="OAI366" s="370"/>
      <c r="OAJ366" s="365"/>
      <c r="OAK366" s="370"/>
      <c r="OAL366" s="365"/>
      <c r="OAM366" s="370"/>
      <c r="OAN366" s="365"/>
      <c r="OAO366" s="370"/>
      <c r="OAP366" s="365"/>
      <c r="OAQ366" s="370"/>
      <c r="OAR366" s="365"/>
      <c r="OAS366" s="370"/>
      <c r="OAT366" s="365"/>
      <c r="OAU366" s="370"/>
      <c r="OAV366" s="365"/>
      <c r="OAW366" s="370"/>
      <c r="OAX366" s="365"/>
      <c r="OAY366" s="370"/>
      <c r="OAZ366" s="365"/>
      <c r="OBA366" s="370"/>
      <c r="OBB366" s="365"/>
      <c r="OBC366" s="370"/>
      <c r="OBD366" s="365"/>
      <c r="OBE366" s="370"/>
      <c r="OBF366" s="365"/>
      <c r="OBG366" s="370"/>
      <c r="OBH366" s="365"/>
      <c r="OBI366" s="370"/>
      <c r="OBJ366" s="365"/>
      <c r="OBK366" s="370"/>
      <c r="OBL366" s="365"/>
      <c r="OBM366" s="370"/>
      <c r="OBN366" s="365"/>
      <c r="OBO366" s="370"/>
      <c r="OBP366" s="365"/>
      <c r="OBQ366" s="370"/>
      <c r="OBR366" s="365"/>
      <c r="OBS366" s="370"/>
      <c r="OBT366" s="365"/>
      <c r="OBU366" s="370"/>
      <c r="OBV366" s="365"/>
      <c r="OBW366" s="370"/>
      <c r="OBX366" s="365"/>
      <c r="OBY366" s="370"/>
      <c r="OBZ366" s="365"/>
      <c r="OCA366" s="370"/>
      <c r="OCB366" s="365"/>
      <c r="OCC366" s="370"/>
      <c r="OCD366" s="365"/>
      <c r="OCE366" s="370"/>
      <c r="OCF366" s="365"/>
      <c r="OCG366" s="370"/>
      <c r="OCH366" s="365"/>
      <c r="OCI366" s="370"/>
      <c r="OCJ366" s="365"/>
      <c r="OCK366" s="370"/>
      <c r="OCL366" s="365"/>
      <c r="OCM366" s="370"/>
      <c r="OCN366" s="365"/>
      <c r="OCO366" s="370"/>
      <c r="OCP366" s="365"/>
      <c r="OCQ366" s="370"/>
      <c r="OCR366" s="365"/>
      <c r="OCS366" s="370"/>
      <c r="OCT366" s="365"/>
      <c r="OCU366" s="370"/>
      <c r="OCV366" s="365"/>
      <c r="OCW366" s="370"/>
      <c r="OCX366" s="365"/>
      <c r="OCY366" s="370"/>
      <c r="OCZ366" s="365"/>
      <c r="ODA366" s="370"/>
      <c r="ODB366" s="365"/>
      <c r="ODC366" s="370"/>
      <c r="ODD366" s="365"/>
      <c r="ODE366" s="370"/>
      <c r="ODF366" s="365"/>
      <c r="ODG366" s="370"/>
      <c r="ODH366" s="365"/>
      <c r="ODI366" s="370"/>
      <c r="ODJ366" s="365"/>
      <c r="ODK366" s="370"/>
      <c r="ODL366" s="365"/>
      <c r="ODM366" s="370"/>
      <c r="ODN366" s="365"/>
      <c r="ODO366" s="370"/>
      <c r="ODP366" s="365"/>
      <c r="ODQ366" s="370"/>
      <c r="ODR366" s="365"/>
      <c r="ODS366" s="370"/>
      <c r="ODT366" s="365"/>
      <c r="ODU366" s="370"/>
      <c r="ODV366" s="365"/>
      <c r="ODW366" s="370"/>
      <c r="ODX366" s="365"/>
      <c r="ODY366" s="370"/>
      <c r="ODZ366" s="365"/>
      <c r="OEA366" s="370"/>
      <c r="OEB366" s="365"/>
      <c r="OEC366" s="370"/>
      <c r="OED366" s="365"/>
      <c r="OEE366" s="370"/>
      <c r="OEF366" s="365"/>
      <c r="OEG366" s="370"/>
      <c r="OEH366" s="365"/>
      <c r="OEI366" s="370"/>
      <c r="OEJ366" s="365"/>
      <c r="OEK366" s="370"/>
      <c r="OEL366" s="365"/>
      <c r="OEM366" s="370"/>
      <c r="OEN366" s="365"/>
      <c r="OEO366" s="370"/>
      <c r="OEP366" s="365"/>
      <c r="OEQ366" s="370"/>
      <c r="OER366" s="365"/>
      <c r="OES366" s="370"/>
      <c r="OET366" s="365"/>
      <c r="OEU366" s="370"/>
      <c r="OEV366" s="365"/>
      <c r="OEW366" s="370"/>
      <c r="OEX366" s="365"/>
      <c r="OEY366" s="370"/>
      <c r="OEZ366" s="365"/>
      <c r="OFA366" s="370"/>
      <c r="OFB366" s="365"/>
      <c r="OFC366" s="370"/>
      <c r="OFD366" s="365"/>
      <c r="OFE366" s="370"/>
      <c r="OFF366" s="365"/>
      <c r="OFG366" s="370"/>
      <c r="OFH366" s="365"/>
      <c r="OFI366" s="370"/>
      <c r="OFJ366" s="365"/>
      <c r="OFK366" s="370"/>
      <c r="OFL366" s="365"/>
      <c r="OFM366" s="370"/>
      <c r="OFN366" s="365"/>
      <c r="OFO366" s="370"/>
      <c r="OFP366" s="365"/>
      <c r="OFQ366" s="370"/>
      <c r="OFR366" s="365"/>
      <c r="OFS366" s="370"/>
      <c r="OFT366" s="365"/>
      <c r="OFU366" s="370"/>
      <c r="OFV366" s="365"/>
      <c r="OFW366" s="370"/>
      <c r="OFX366" s="365"/>
      <c r="OFY366" s="370"/>
      <c r="OFZ366" s="365"/>
      <c r="OGA366" s="370"/>
      <c r="OGB366" s="365"/>
      <c r="OGC366" s="370"/>
      <c r="OGD366" s="365"/>
      <c r="OGE366" s="370"/>
      <c r="OGF366" s="365"/>
      <c r="OGG366" s="370"/>
      <c r="OGH366" s="365"/>
      <c r="OGI366" s="370"/>
      <c r="OGJ366" s="365"/>
      <c r="OGK366" s="370"/>
      <c r="OGL366" s="365"/>
      <c r="OGM366" s="370"/>
      <c r="OGN366" s="365"/>
      <c r="OGO366" s="370"/>
      <c r="OGP366" s="365"/>
      <c r="OGQ366" s="370"/>
      <c r="OGR366" s="365"/>
      <c r="OGS366" s="370"/>
      <c r="OGT366" s="365"/>
      <c r="OGU366" s="370"/>
      <c r="OGV366" s="365"/>
      <c r="OGW366" s="370"/>
      <c r="OGX366" s="365"/>
      <c r="OGY366" s="370"/>
      <c r="OGZ366" s="365"/>
      <c r="OHA366" s="370"/>
      <c r="OHB366" s="365"/>
      <c r="OHC366" s="370"/>
      <c r="OHD366" s="365"/>
      <c r="OHE366" s="370"/>
      <c r="OHF366" s="365"/>
      <c r="OHG366" s="370"/>
      <c r="OHH366" s="365"/>
      <c r="OHI366" s="370"/>
      <c r="OHJ366" s="365"/>
      <c r="OHK366" s="370"/>
      <c r="OHL366" s="365"/>
      <c r="OHM366" s="370"/>
      <c r="OHN366" s="365"/>
      <c r="OHO366" s="370"/>
      <c r="OHP366" s="365"/>
      <c r="OHQ366" s="370"/>
      <c r="OHR366" s="365"/>
      <c r="OHS366" s="370"/>
      <c r="OHT366" s="365"/>
      <c r="OHU366" s="370"/>
      <c r="OHV366" s="365"/>
      <c r="OHW366" s="370"/>
      <c r="OHX366" s="365"/>
      <c r="OHY366" s="370"/>
      <c r="OHZ366" s="365"/>
      <c r="OIA366" s="370"/>
      <c r="OIB366" s="365"/>
      <c r="OIC366" s="370"/>
      <c r="OID366" s="365"/>
      <c r="OIE366" s="370"/>
      <c r="OIF366" s="365"/>
      <c r="OIG366" s="370"/>
      <c r="OIH366" s="365"/>
      <c r="OII366" s="370"/>
      <c r="OIJ366" s="365"/>
      <c r="OIK366" s="370"/>
      <c r="OIL366" s="365"/>
      <c r="OIM366" s="370"/>
      <c r="OIN366" s="365"/>
      <c r="OIO366" s="370"/>
      <c r="OIP366" s="365"/>
      <c r="OIQ366" s="370"/>
      <c r="OIR366" s="365"/>
      <c r="OIS366" s="370"/>
      <c r="OIT366" s="365"/>
      <c r="OIU366" s="370"/>
      <c r="OIV366" s="365"/>
      <c r="OIW366" s="370"/>
      <c r="OIX366" s="365"/>
      <c r="OIY366" s="370"/>
      <c r="OIZ366" s="365"/>
      <c r="OJA366" s="370"/>
      <c r="OJB366" s="365"/>
      <c r="OJC366" s="370"/>
      <c r="OJD366" s="365"/>
      <c r="OJE366" s="370"/>
      <c r="OJF366" s="365"/>
      <c r="OJG366" s="370"/>
      <c r="OJH366" s="365"/>
      <c r="OJI366" s="370"/>
      <c r="OJJ366" s="365"/>
      <c r="OJK366" s="370"/>
      <c r="OJL366" s="365"/>
      <c r="OJM366" s="370"/>
      <c r="OJN366" s="365"/>
      <c r="OJO366" s="370"/>
      <c r="OJP366" s="365"/>
      <c r="OJQ366" s="370"/>
      <c r="OJR366" s="365"/>
      <c r="OJS366" s="370"/>
      <c r="OJT366" s="365"/>
      <c r="OJU366" s="370"/>
      <c r="OJV366" s="365"/>
      <c r="OJW366" s="370"/>
      <c r="OJX366" s="365"/>
      <c r="OJY366" s="370"/>
      <c r="OJZ366" s="365"/>
      <c r="OKA366" s="370"/>
      <c r="OKB366" s="365"/>
      <c r="OKC366" s="370"/>
      <c r="OKD366" s="365"/>
      <c r="OKE366" s="370"/>
      <c r="OKF366" s="365"/>
      <c r="OKG366" s="370"/>
      <c r="OKH366" s="365"/>
      <c r="OKI366" s="370"/>
      <c r="OKJ366" s="365"/>
      <c r="OKK366" s="370"/>
      <c r="OKL366" s="365"/>
      <c r="OKM366" s="370"/>
      <c r="OKN366" s="365"/>
      <c r="OKO366" s="370"/>
      <c r="OKP366" s="365"/>
      <c r="OKQ366" s="370"/>
      <c r="OKR366" s="365"/>
      <c r="OKS366" s="370"/>
      <c r="OKT366" s="365"/>
      <c r="OKU366" s="370"/>
      <c r="OKV366" s="365"/>
      <c r="OKW366" s="370"/>
      <c r="OKX366" s="365"/>
      <c r="OKY366" s="370"/>
      <c r="OKZ366" s="365"/>
      <c r="OLA366" s="370"/>
      <c r="OLB366" s="365"/>
      <c r="OLC366" s="370"/>
      <c r="OLD366" s="365"/>
      <c r="OLE366" s="370"/>
      <c r="OLF366" s="365"/>
      <c r="OLG366" s="370"/>
      <c r="OLH366" s="365"/>
      <c r="OLI366" s="370"/>
      <c r="OLJ366" s="365"/>
      <c r="OLK366" s="370"/>
      <c r="OLL366" s="365"/>
      <c r="OLM366" s="370"/>
      <c r="OLN366" s="365"/>
      <c r="OLO366" s="370"/>
      <c r="OLP366" s="365"/>
      <c r="OLQ366" s="370"/>
      <c r="OLR366" s="365"/>
      <c r="OLS366" s="370"/>
      <c r="OLT366" s="365"/>
      <c r="OLU366" s="370"/>
      <c r="OLV366" s="365"/>
      <c r="OLW366" s="370"/>
      <c r="OLX366" s="365"/>
      <c r="OLY366" s="370"/>
      <c r="OLZ366" s="365"/>
      <c r="OMA366" s="370"/>
      <c r="OMB366" s="365"/>
      <c r="OMC366" s="370"/>
      <c r="OMD366" s="365"/>
      <c r="OME366" s="370"/>
      <c r="OMF366" s="365"/>
      <c r="OMG366" s="370"/>
      <c r="OMH366" s="365"/>
      <c r="OMI366" s="370"/>
      <c r="OMJ366" s="365"/>
      <c r="OMK366" s="370"/>
      <c r="OML366" s="365"/>
      <c r="OMM366" s="370"/>
      <c r="OMN366" s="365"/>
      <c r="OMO366" s="370"/>
      <c r="OMP366" s="365"/>
      <c r="OMQ366" s="370"/>
      <c r="OMR366" s="365"/>
      <c r="OMS366" s="370"/>
      <c r="OMT366" s="365"/>
      <c r="OMU366" s="370"/>
      <c r="OMV366" s="365"/>
      <c r="OMW366" s="370"/>
      <c r="OMX366" s="365"/>
      <c r="OMY366" s="370"/>
      <c r="OMZ366" s="365"/>
      <c r="ONA366" s="370"/>
      <c r="ONB366" s="365"/>
      <c r="ONC366" s="370"/>
      <c r="OND366" s="365"/>
      <c r="ONE366" s="370"/>
      <c r="ONF366" s="365"/>
      <c r="ONG366" s="370"/>
      <c r="ONH366" s="365"/>
      <c r="ONI366" s="370"/>
      <c r="ONJ366" s="365"/>
      <c r="ONK366" s="370"/>
      <c r="ONL366" s="365"/>
      <c r="ONM366" s="370"/>
      <c r="ONN366" s="365"/>
      <c r="ONO366" s="370"/>
      <c r="ONP366" s="365"/>
      <c r="ONQ366" s="370"/>
      <c r="ONR366" s="365"/>
      <c r="ONS366" s="370"/>
      <c r="ONT366" s="365"/>
      <c r="ONU366" s="370"/>
      <c r="ONV366" s="365"/>
      <c r="ONW366" s="370"/>
      <c r="ONX366" s="365"/>
      <c r="ONY366" s="370"/>
      <c r="ONZ366" s="365"/>
      <c r="OOA366" s="370"/>
      <c r="OOB366" s="365"/>
      <c r="OOC366" s="370"/>
      <c r="OOD366" s="365"/>
      <c r="OOE366" s="370"/>
      <c r="OOF366" s="365"/>
      <c r="OOG366" s="370"/>
      <c r="OOH366" s="365"/>
      <c r="OOI366" s="370"/>
      <c r="OOJ366" s="365"/>
      <c r="OOK366" s="370"/>
      <c r="OOL366" s="365"/>
      <c r="OOM366" s="370"/>
      <c r="OON366" s="365"/>
      <c r="OOO366" s="370"/>
      <c r="OOP366" s="365"/>
      <c r="OOQ366" s="370"/>
      <c r="OOR366" s="365"/>
      <c r="OOS366" s="370"/>
      <c r="OOT366" s="365"/>
      <c r="OOU366" s="370"/>
      <c r="OOV366" s="365"/>
      <c r="OOW366" s="370"/>
      <c r="OOX366" s="365"/>
      <c r="OOY366" s="370"/>
      <c r="OOZ366" s="365"/>
      <c r="OPA366" s="370"/>
      <c r="OPB366" s="365"/>
      <c r="OPC366" s="370"/>
      <c r="OPD366" s="365"/>
      <c r="OPE366" s="370"/>
      <c r="OPF366" s="365"/>
      <c r="OPG366" s="370"/>
      <c r="OPH366" s="365"/>
      <c r="OPI366" s="370"/>
      <c r="OPJ366" s="365"/>
      <c r="OPK366" s="370"/>
      <c r="OPL366" s="365"/>
      <c r="OPM366" s="370"/>
      <c r="OPN366" s="365"/>
      <c r="OPO366" s="370"/>
      <c r="OPP366" s="365"/>
      <c r="OPQ366" s="370"/>
      <c r="OPR366" s="365"/>
      <c r="OPS366" s="370"/>
      <c r="OPT366" s="365"/>
      <c r="OPU366" s="370"/>
      <c r="OPV366" s="365"/>
      <c r="OPW366" s="370"/>
      <c r="OPX366" s="365"/>
      <c r="OPY366" s="370"/>
      <c r="OPZ366" s="365"/>
      <c r="OQA366" s="370"/>
      <c r="OQB366" s="365"/>
      <c r="OQC366" s="370"/>
      <c r="OQD366" s="365"/>
      <c r="OQE366" s="370"/>
      <c r="OQF366" s="365"/>
      <c r="OQG366" s="370"/>
      <c r="OQH366" s="365"/>
      <c r="OQI366" s="370"/>
      <c r="OQJ366" s="365"/>
      <c r="OQK366" s="370"/>
      <c r="OQL366" s="365"/>
      <c r="OQM366" s="370"/>
      <c r="OQN366" s="365"/>
      <c r="OQO366" s="370"/>
      <c r="OQP366" s="365"/>
      <c r="OQQ366" s="370"/>
      <c r="OQR366" s="365"/>
      <c r="OQS366" s="370"/>
      <c r="OQT366" s="365"/>
      <c r="OQU366" s="370"/>
      <c r="OQV366" s="365"/>
      <c r="OQW366" s="370"/>
      <c r="OQX366" s="365"/>
      <c r="OQY366" s="370"/>
      <c r="OQZ366" s="365"/>
      <c r="ORA366" s="370"/>
      <c r="ORB366" s="365"/>
      <c r="ORC366" s="370"/>
      <c r="ORD366" s="365"/>
      <c r="ORE366" s="370"/>
      <c r="ORF366" s="365"/>
      <c r="ORG366" s="370"/>
      <c r="ORH366" s="365"/>
      <c r="ORI366" s="370"/>
      <c r="ORJ366" s="365"/>
      <c r="ORK366" s="370"/>
      <c r="ORL366" s="365"/>
      <c r="ORM366" s="370"/>
      <c r="ORN366" s="365"/>
      <c r="ORO366" s="370"/>
      <c r="ORP366" s="365"/>
      <c r="ORQ366" s="370"/>
      <c r="ORR366" s="365"/>
      <c r="ORS366" s="370"/>
      <c r="ORT366" s="365"/>
      <c r="ORU366" s="370"/>
      <c r="ORV366" s="365"/>
      <c r="ORW366" s="370"/>
      <c r="ORX366" s="365"/>
      <c r="ORY366" s="370"/>
      <c r="ORZ366" s="365"/>
      <c r="OSA366" s="370"/>
      <c r="OSB366" s="365"/>
      <c r="OSC366" s="370"/>
      <c r="OSD366" s="365"/>
      <c r="OSE366" s="370"/>
      <c r="OSF366" s="365"/>
      <c r="OSG366" s="370"/>
      <c r="OSH366" s="365"/>
      <c r="OSI366" s="370"/>
      <c r="OSJ366" s="365"/>
      <c r="OSK366" s="370"/>
      <c r="OSL366" s="365"/>
      <c r="OSM366" s="370"/>
      <c r="OSN366" s="365"/>
      <c r="OSO366" s="370"/>
      <c r="OSP366" s="365"/>
      <c r="OSQ366" s="370"/>
      <c r="OSR366" s="365"/>
      <c r="OSS366" s="370"/>
      <c r="OST366" s="365"/>
      <c r="OSU366" s="370"/>
      <c r="OSV366" s="365"/>
      <c r="OSW366" s="370"/>
      <c r="OSX366" s="365"/>
      <c r="OSY366" s="370"/>
      <c r="OSZ366" s="365"/>
      <c r="OTA366" s="370"/>
      <c r="OTB366" s="365"/>
      <c r="OTC366" s="370"/>
      <c r="OTD366" s="365"/>
      <c r="OTE366" s="370"/>
      <c r="OTF366" s="365"/>
      <c r="OTG366" s="370"/>
      <c r="OTH366" s="365"/>
      <c r="OTI366" s="370"/>
      <c r="OTJ366" s="365"/>
      <c r="OTK366" s="370"/>
      <c r="OTL366" s="365"/>
      <c r="OTM366" s="370"/>
      <c r="OTN366" s="365"/>
      <c r="OTO366" s="370"/>
      <c r="OTP366" s="365"/>
      <c r="OTQ366" s="370"/>
      <c r="OTR366" s="365"/>
      <c r="OTS366" s="370"/>
      <c r="OTT366" s="365"/>
      <c r="OTU366" s="370"/>
      <c r="OTV366" s="365"/>
      <c r="OTW366" s="370"/>
      <c r="OTX366" s="365"/>
      <c r="OTY366" s="370"/>
      <c r="OTZ366" s="365"/>
      <c r="OUA366" s="370"/>
      <c r="OUB366" s="365"/>
      <c r="OUC366" s="370"/>
      <c r="OUD366" s="365"/>
      <c r="OUE366" s="370"/>
      <c r="OUF366" s="365"/>
      <c r="OUG366" s="370"/>
      <c r="OUH366" s="365"/>
      <c r="OUI366" s="370"/>
      <c r="OUJ366" s="365"/>
      <c r="OUK366" s="370"/>
      <c r="OUL366" s="365"/>
      <c r="OUM366" s="370"/>
      <c r="OUN366" s="365"/>
      <c r="OUO366" s="370"/>
      <c r="OUP366" s="365"/>
      <c r="OUQ366" s="370"/>
      <c r="OUR366" s="365"/>
      <c r="OUS366" s="370"/>
      <c r="OUT366" s="365"/>
      <c r="OUU366" s="370"/>
      <c r="OUV366" s="365"/>
      <c r="OUW366" s="370"/>
      <c r="OUX366" s="365"/>
      <c r="OUY366" s="370"/>
      <c r="OUZ366" s="365"/>
      <c r="OVA366" s="370"/>
      <c r="OVB366" s="365"/>
      <c r="OVC366" s="370"/>
      <c r="OVD366" s="365"/>
      <c r="OVE366" s="370"/>
      <c r="OVF366" s="365"/>
      <c r="OVG366" s="370"/>
      <c r="OVH366" s="365"/>
      <c r="OVI366" s="370"/>
      <c r="OVJ366" s="365"/>
      <c r="OVK366" s="370"/>
      <c r="OVL366" s="365"/>
      <c r="OVM366" s="370"/>
      <c r="OVN366" s="365"/>
      <c r="OVO366" s="370"/>
      <c r="OVP366" s="365"/>
      <c r="OVQ366" s="370"/>
      <c r="OVR366" s="365"/>
      <c r="OVS366" s="370"/>
      <c r="OVT366" s="365"/>
      <c r="OVU366" s="370"/>
      <c r="OVV366" s="365"/>
      <c r="OVW366" s="370"/>
      <c r="OVX366" s="365"/>
      <c r="OVY366" s="370"/>
      <c r="OVZ366" s="365"/>
      <c r="OWA366" s="370"/>
      <c r="OWB366" s="365"/>
      <c r="OWC366" s="370"/>
      <c r="OWD366" s="365"/>
      <c r="OWE366" s="370"/>
      <c r="OWF366" s="365"/>
      <c r="OWG366" s="370"/>
      <c r="OWH366" s="365"/>
      <c r="OWI366" s="370"/>
      <c r="OWJ366" s="365"/>
      <c r="OWK366" s="370"/>
      <c r="OWL366" s="365"/>
      <c r="OWM366" s="370"/>
      <c r="OWN366" s="365"/>
      <c r="OWO366" s="370"/>
      <c r="OWP366" s="365"/>
      <c r="OWQ366" s="370"/>
      <c r="OWR366" s="365"/>
      <c r="OWS366" s="370"/>
      <c r="OWT366" s="365"/>
      <c r="OWU366" s="370"/>
      <c r="OWV366" s="365"/>
      <c r="OWW366" s="370"/>
      <c r="OWX366" s="365"/>
      <c r="OWY366" s="370"/>
      <c r="OWZ366" s="365"/>
      <c r="OXA366" s="370"/>
      <c r="OXB366" s="365"/>
      <c r="OXC366" s="370"/>
      <c r="OXD366" s="365"/>
      <c r="OXE366" s="370"/>
      <c r="OXF366" s="365"/>
      <c r="OXG366" s="370"/>
      <c r="OXH366" s="365"/>
      <c r="OXI366" s="370"/>
      <c r="OXJ366" s="365"/>
      <c r="OXK366" s="370"/>
      <c r="OXL366" s="365"/>
      <c r="OXM366" s="370"/>
      <c r="OXN366" s="365"/>
      <c r="OXO366" s="370"/>
      <c r="OXP366" s="365"/>
      <c r="OXQ366" s="370"/>
      <c r="OXR366" s="365"/>
      <c r="OXS366" s="370"/>
      <c r="OXT366" s="365"/>
      <c r="OXU366" s="370"/>
      <c r="OXV366" s="365"/>
      <c r="OXW366" s="370"/>
      <c r="OXX366" s="365"/>
      <c r="OXY366" s="370"/>
      <c r="OXZ366" s="365"/>
      <c r="OYA366" s="370"/>
      <c r="OYB366" s="365"/>
      <c r="OYC366" s="370"/>
      <c r="OYD366" s="365"/>
      <c r="OYE366" s="370"/>
      <c r="OYF366" s="365"/>
      <c r="OYG366" s="370"/>
      <c r="OYH366" s="365"/>
      <c r="OYI366" s="370"/>
      <c r="OYJ366" s="365"/>
      <c r="OYK366" s="370"/>
      <c r="OYL366" s="365"/>
      <c r="OYM366" s="370"/>
      <c r="OYN366" s="365"/>
      <c r="OYO366" s="370"/>
      <c r="OYP366" s="365"/>
      <c r="OYQ366" s="370"/>
      <c r="OYR366" s="365"/>
      <c r="OYS366" s="370"/>
      <c r="OYT366" s="365"/>
      <c r="OYU366" s="370"/>
      <c r="OYV366" s="365"/>
      <c r="OYW366" s="370"/>
      <c r="OYX366" s="365"/>
      <c r="OYY366" s="370"/>
      <c r="OYZ366" s="365"/>
      <c r="OZA366" s="370"/>
      <c r="OZB366" s="365"/>
      <c r="OZC366" s="370"/>
      <c r="OZD366" s="365"/>
      <c r="OZE366" s="370"/>
      <c r="OZF366" s="365"/>
      <c r="OZG366" s="370"/>
      <c r="OZH366" s="365"/>
      <c r="OZI366" s="370"/>
      <c r="OZJ366" s="365"/>
      <c r="OZK366" s="370"/>
      <c r="OZL366" s="365"/>
      <c r="OZM366" s="370"/>
      <c r="OZN366" s="365"/>
      <c r="OZO366" s="370"/>
      <c r="OZP366" s="365"/>
      <c r="OZQ366" s="370"/>
      <c r="OZR366" s="365"/>
      <c r="OZS366" s="370"/>
      <c r="OZT366" s="365"/>
      <c r="OZU366" s="370"/>
      <c r="OZV366" s="365"/>
      <c r="OZW366" s="370"/>
      <c r="OZX366" s="365"/>
      <c r="OZY366" s="370"/>
      <c r="OZZ366" s="365"/>
      <c r="PAA366" s="370"/>
      <c r="PAB366" s="365"/>
      <c r="PAC366" s="370"/>
      <c r="PAD366" s="365"/>
      <c r="PAE366" s="370"/>
      <c r="PAF366" s="365"/>
      <c r="PAG366" s="370"/>
      <c r="PAH366" s="365"/>
      <c r="PAI366" s="370"/>
      <c r="PAJ366" s="365"/>
      <c r="PAK366" s="370"/>
      <c r="PAL366" s="365"/>
      <c r="PAM366" s="370"/>
      <c r="PAN366" s="365"/>
      <c r="PAO366" s="370"/>
      <c r="PAP366" s="365"/>
      <c r="PAQ366" s="370"/>
      <c r="PAR366" s="365"/>
      <c r="PAS366" s="370"/>
      <c r="PAT366" s="365"/>
      <c r="PAU366" s="370"/>
      <c r="PAV366" s="365"/>
      <c r="PAW366" s="370"/>
      <c r="PAX366" s="365"/>
      <c r="PAY366" s="370"/>
      <c r="PAZ366" s="365"/>
      <c r="PBA366" s="370"/>
      <c r="PBB366" s="365"/>
      <c r="PBC366" s="370"/>
      <c r="PBD366" s="365"/>
      <c r="PBE366" s="370"/>
      <c r="PBF366" s="365"/>
      <c r="PBG366" s="370"/>
      <c r="PBH366" s="365"/>
      <c r="PBI366" s="370"/>
      <c r="PBJ366" s="365"/>
      <c r="PBK366" s="370"/>
      <c r="PBL366" s="365"/>
      <c r="PBM366" s="370"/>
      <c r="PBN366" s="365"/>
      <c r="PBO366" s="370"/>
      <c r="PBP366" s="365"/>
      <c r="PBQ366" s="370"/>
      <c r="PBR366" s="365"/>
      <c r="PBS366" s="370"/>
      <c r="PBT366" s="365"/>
      <c r="PBU366" s="370"/>
      <c r="PBV366" s="365"/>
      <c r="PBW366" s="370"/>
      <c r="PBX366" s="365"/>
      <c r="PBY366" s="370"/>
      <c r="PBZ366" s="365"/>
      <c r="PCA366" s="370"/>
      <c r="PCB366" s="365"/>
      <c r="PCC366" s="370"/>
      <c r="PCD366" s="365"/>
      <c r="PCE366" s="370"/>
      <c r="PCF366" s="365"/>
      <c r="PCG366" s="370"/>
      <c r="PCH366" s="365"/>
      <c r="PCI366" s="370"/>
      <c r="PCJ366" s="365"/>
      <c r="PCK366" s="370"/>
      <c r="PCL366" s="365"/>
      <c r="PCM366" s="370"/>
      <c r="PCN366" s="365"/>
      <c r="PCO366" s="370"/>
      <c r="PCP366" s="365"/>
      <c r="PCQ366" s="370"/>
      <c r="PCR366" s="365"/>
      <c r="PCS366" s="370"/>
      <c r="PCT366" s="365"/>
      <c r="PCU366" s="370"/>
      <c r="PCV366" s="365"/>
      <c r="PCW366" s="370"/>
      <c r="PCX366" s="365"/>
      <c r="PCY366" s="370"/>
      <c r="PCZ366" s="365"/>
      <c r="PDA366" s="370"/>
      <c r="PDB366" s="365"/>
      <c r="PDC366" s="370"/>
      <c r="PDD366" s="365"/>
      <c r="PDE366" s="370"/>
      <c r="PDF366" s="365"/>
      <c r="PDG366" s="370"/>
      <c r="PDH366" s="365"/>
      <c r="PDI366" s="370"/>
      <c r="PDJ366" s="365"/>
      <c r="PDK366" s="370"/>
      <c r="PDL366" s="365"/>
      <c r="PDM366" s="370"/>
      <c r="PDN366" s="365"/>
      <c r="PDO366" s="370"/>
      <c r="PDP366" s="365"/>
      <c r="PDQ366" s="370"/>
      <c r="PDR366" s="365"/>
      <c r="PDS366" s="370"/>
      <c r="PDT366" s="365"/>
      <c r="PDU366" s="370"/>
      <c r="PDV366" s="365"/>
      <c r="PDW366" s="370"/>
      <c r="PDX366" s="365"/>
      <c r="PDY366" s="370"/>
      <c r="PDZ366" s="365"/>
      <c r="PEA366" s="370"/>
      <c r="PEB366" s="365"/>
      <c r="PEC366" s="370"/>
      <c r="PED366" s="365"/>
      <c r="PEE366" s="370"/>
      <c r="PEF366" s="365"/>
      <c r="PEG366" s="370"/>
      <c r="PEH366" s="365"/>
      <c r="PEI366" s="370"/>
      <c r="PEJ366" s="365"/>
      <c r="PEK366" s="370"/>
      <c r="PEL366" s="365"/>
      <c r="PEM366" s="370"/>
      <c r="PEN366" s="365"/>
      <c r="PEO366" s="370"/>
      <c r="PEP366" s="365"/>
      <c r="PEQ366" s="370"/>
      <c r="PER366" s="365"/>
      <c r="PES366" s="370"/>
      <c r="PET366" s="365"/>
      <c r="PEU366" s="370"/>
      <c r="PEV366" s="365"/>
      <c r="PEW366" s="370"/>
      <c r="PEX366" s="365"/>
      <c r="PEY366" s="370"/>
      <c r="PEZ366" s="365"/>
      <c r="PFA366" s="370"/>
      <c r="PFB366" s="365"/>
      <c r="PFC366" s="370"/>
      <c r="PFD366" s="365"/>
      <c r="PFE366" s="370"/>
      <c r="PFF366" s="365"/>
      <c r="PFG366" s="370"/>
      <c r="PFH366" s="365"/>
      <c r="PFI366" s="370"/>
      <c r="PFJ366" s="365"/>
      <c r="PFK366" s="370"/>
      <c r="PFL366" s="365"/>
      <c r="PFM366" s="370"/>
      <c r="PFN366" s="365"/>
      <c r="PFO366" s="370"/>
      <c r="PFP366" s="365"/>
      <c r="PFQ366" s="370"/>
      <c r="PFR366" s="365"/>
      <c r="PFS366" s="370"/>
      <c r="PFT366" s="365"/>
      <c r="PFU366" s="370"/>
      <c r="PFV366" s="365"/>
      <c r="PFW366" s="370"/>
      <c r="PFX366" s="365"/>
      <c r="PFY366" s="370"/>
      <c r="PFZ366" s="365"/>
      <c r="PGA366" s="370"/>
      <c r="PGB366" s="365"/>
      <c r="PGC366" s="370"/>
      <c r="PGD366" s="365"/>
      <c r="PGE366" s="370"/>
      <c r="PGF366" s="365"/>
      <c r="PGG366" s="370"/>
      <c r="PGH366" s="365"/>
      <c r="PGI366" s="370"/>
      <c r="PGJ366" s="365"/>
      <c r="PGK366" s="370"/>
      <c r="PGL366" s="365"/>
      <c r="PGM366" s="370"/>
      <c r="PGN366" s="365"/>
      <c r="PGO366" s="370"/>
      <c r="PGP366" s="365"/>
      <c r="PGQ366" s="370"/>
      <c r="PGR366" s="365"/>
      <c r="PGS366" s="370"/>
      <c r="PGT366" s="365"/>
      <c r="PGU366" s="370"/>
      <c r="PGV366" s="365"/>
      <c r="PGW366" s="370"/>
      <c r="PGX366" s="365"/>
      <c r="PGY366" s="370"/>
      <c r="PGZ366" s="365"/>
      <c r="PHA366" s="370"/>
      <c r="PHB366" s="365"/>
      <c r="PHC366" s="370"/>
      <c r="PHD366" s="365"/>
      <c r="PHE366" s="370"/>
      <c r="PHF366" s="365"/>
      <c r="PHG366" s="370"/>
      <c r="PHH366" s="365"/>
      <c r="PHI366" s="370"/>
      <c r="PHJ366" s="365"/>
      <c r="PHK366" s="370"/>
      <c r="PHL366" s="365"/>
      <c r="PHM366" s="370"/>
      <c r="PHN366" s="365"/>
      <c r="PHO366" s="370"/>
      <c r="PHP366" s="365"/>
      <c r="PHQ366" s="370"/>
      <c r="PHR366" s="365"/>
      <c r="PHS366" s="370"/>
      <c r="PHT366" s="365"/>
      <c r="PHU366" s="370"/>
      <c r="PHV366" s="365"/>
      <c r="PHW366" s="370"/>
      <c r="PHX366" s="365"/>
      <c r="PHY366" s="370"/>
      <c r="PHZ366" s="365"/>
      <c r="PIA366" s="370"/>
      <c r="PIB366" s="365"/>
      <c r="PIC366" s="370"/>
      <c r="PID366" s="365"/>
      <c r="PIE366" s="370"/>
      <c r="PIF366" s="365"/>
      <c r="PIG366" s="370"/>
      <c r="PIH366" s="365"/>
      <c r="PII366" s="370"/>
      <c r="PIJ366" s="365"/>
      <c r="PIK366" s="370"/>
      <c r="PIL366" s="365"/>
      <c r="PIM366" s="370"/>
      <c r="PIN366" s="365"/>
      <c r="PIO366" s="370"/>
      <c r="PIP366" s="365"/>
      <c r="PIQ366" s="370"/>
      <c r="PIR366" s="365"/>
      <c r="PIS366" s="370"/>
      <c r="PIT366" s="365"/>
      <c r="PIU366" s="370"/>
      <c r="PIV366" s="365"/>
      <c r="PIW366" s="370"/>
      <c r="PIX366" s="365"/>
      <c r="PIY366" s="370"/>
      <c r="PIZ366" s="365"/>
      <c r="PJA366" s="370"/>
      <c r="PJB366" s="365"/>
      <c r="PJC366" s="370"/>
      <c r="PJD366" s="365"/>
      <c r="PJE366" s="370"/>
      <c r="PJF366" s="365"/>
      <c r="PJG366" s="370"/>
      <c r="PJH366" s="365"/>
      <c r="PJI366" s="370"/>
      <c r="PJJ366" s="365"/>
      <c r="PJK366" s="370"/>
      <c r="PJL366" s="365"/>
      <c r="PJM366" s="370"/>
      <c r="PJN366" s="365"/>
      <c r="PJO366" s="370"/>
      <c r="PJP366" s="365"/>
      <c r="PJQ366" s="370"/>
      <c r="PJR366" s="365"/>
      <c r="PJS366" s="370"/>
      <c r="PJT366" s="365"/>
      <c r="PJU366" s="370"/>
      <c r="PJV366" s="365"/>
      <c r="PJW366" s="370"/>
      <c r="PJX366" s="365"/>
      <c r="PJY366" s="370"/>
      <c r="PJZ366" s="365"/>
      <c r="PKA366" s="370"/>
      <c r="PKB366" s="365"/>
      <c r="PKC366" s="370"/>
      <c r="PKD366" s="365"/>
      <c r="PKE366" s="370"/>
      <c r="PKF366" s="365"/>
      <c r="PKG366" s="370"/>
      <c r="PKH366" s="365"/>
      <c r="PKI366" s="370"/>
      <c r="PKJ366" s="365"/>
      <c r="PKK366" s="370"/>
      <c r="PKL366" s="365"/>
      <c r="PKM366" s="370"/>
      <c r="PKN366" s="365"/>
      <c r="PKO366" s="370"/>
      <c r="PKP366" s="365"/>
      <c r="PKQ366" s="370"/>
      <c r="PKR366" s="365"/>
      <c r="PKS366" s="370"/>
      <c r="PKT366" s="365"/>
      <c r="PKU366" s="370"/>
      <c r="PKV366" s="365"/>
      <c r="PKW366" s="370"/>
      <c r="PKX366" s="365"/>
      <c r="PKY366" s="370"/>
      <c r="PKZ366" s="365"/>
      <c r="PLA366" s="370"/>
      <c r="PLB366" s="365"/>
      <c r="PLC366" s="370"/>
      <c r="PLD366" s="365"/>
      <c r="PLE366" s="370"/>
      <c r="PLF366" s="365"/>
      <c r="PLG366" s="370"/>
      <c r="PLH366" s="365"/>
      <c r="PLI366" s="370"/>
      <c r="PLJ366" s="365"/>
      <c r="PLK366" s="370"/>
      <c r="PLL366" s="365"/>
      <c r="PLM366" s="370"/>
      <c r="PLN366" s="365"/>
      <c r="PLO366" s="370"/>
      <c r="PLP366" s="365"/>
      <c r="PLQ366" s="370"/>
      <c r="PLR366" s="365"/>
      <c r="PLS366" s="370"/>
      <c r="PLT366" s="365"/>
      <c r="PLU366" s="370"/>
      <c r="PLV366" s="365"/>
      <c r="PLW366" s="370"/>
      <c r="PLX366" s="365"/>
      <c r="PLY366" s="370"/>
      <c r="PLZ366" s="365"/>
      <c r="PMA366" s="370"/>
      <c r="PMB366" s="365"/>
      <c r="PMC366" s="370"/>
      <c r="PMD366" s="365"/>
      <c r="PME366" s="370"/>
      <c r="PMF366" s="365"/>
      <c r="PMG366" s="370"/>
      <c r="PMH366" s="365"/>
      <c r="PMI366" s="370"/>
      <c r="PMJ366" s="365"/>
      <c r="PMK366" s="370"/>
      <c r="PML366" s="365"/>
      <c r="PMM366" s="370"/>
      <c r="PMN366" s="365"/>
      <c r="PMO366" s="370"/>
      <c r="PMP366" s="365"/>
      <c r="PMQ366" s="370"/>
      <c r="PMR366" s="365"/>
      <c r="PMS366" s="370"/>
      <c r="PMT366" s="365"/>
      <c r="PMU366" s="370"/>
      <c r="PMV366" s="365"/>
      <c r="PMW366" s="370"/>
      <c r="PMX366" s="365"/>
      <c r="PMY366" s="370"/>
      <c r="PMZ366" s="365"/>
      <c r="PNA366" s="370"/>
      <c r="PNB366" s="365"/>
      <c r="PNC366" s="370"/>
      <c r="PND366" s="365"/>
      <c r="PNE366" s="370"/>
      <c r="PNF366" s="365"/>
      <c r="PNG366" s="370"/>
      <c r="PNH366" s="365"/>
      <c r="PNI366" s="370"/>
      <c r="PNJ366" s="365"/>
      <c r="PNK366" s="370"/>
      <c r="PNL366" s="365"/>
      <c r="PNM366" s="370"/>
      <c r="PNN366" s="365"/>
      <c r="PNO366" s="370"/>
      <c r="PNP366" s="365"/>
      <c r="PNQ366" s="370"/>
      <c r="PNR366" s="365"/>
      <c r="PNS366" s="370"/>
      <c r="PNT366" s="365"/>
      <c r="PNU366" s="370"/>
      <c r="PNV366" s="365"/>
      <c r="PNW366" s="370"/>
      <c r="PNX366" s="365"/>
      <c r="PNY366" s="370"/>
      <c r="PNZ366" s="365"/>
      <c r="POA366" s="370"/>
      <c r="POB366" s="365"/>
      <c r="POC366" s="370"/>
      <c r="POD366" s="365"/>
      <c r="POE366" s="370"/>
      <c r="POF366" s="365"/>
      <c r="POG366" s="370"/>
      <c r="POH366" s="365"/>
      <c r="POI366" s="370"/>
      <c r="POJ366" s="365"/>
      <c r="POK366" s="370"/>
      <c r="POL366" s="365"/>
      <c r="POM366" s="370"/>
      <c r="PON366" s="365"/>
      <c r="POO366" s="370"/>
      <c r="POP366" s="365"/>
      <c r="POQ366" s="370"/>
      <c r="POR366" s="365"/>
      <c r="POS366" s="370"/>
      <c r="POT366" s="365"/>
      <c r="POU366" s="370"/>
      <c r="POV366" s="365"/>
      <c r="POW366" s="370"/>
      <c r="POX366" s="365"/>
      <c r="POY366" s="370"/>
      <c r="POZ366" s="365"/>
      <c r="PPA366" s="370"/>
      <c r="PPB366" s="365"/>
      <c r="PPC366" s="370"/>
      <c r="PPD366" s="365"/>
      <c r="PPE366" s="370"/>
      <c r="PPF366" s="365"/>
      <c r="PPG366" s="370"/>
      <c r="PPH366" s="365"/>
      <c r="PPI366" s="370"/>
      <c r="PPJ366" s="365"/>
      <c r="PPK366" s="370"/>
      <c r="PPL366" s="365"/>
      <c r="PPM366" s="370"/>
      <c r="PPN366" s="365"/>
      <c r="PPO366" s="370"/>
      <c r="PPP366" s="365"/>
      <c r="PPQ366" s="370"/>
      <c r="PPR366" s="365"/>
      <c r="PPS366" s="370"/>
      <c r="PPT366" s="365"/>
      <c r="PPU366" s="370"/>
      <c r="PPV366" s="365"/>
      <c r="PPW366" s="370"/>
      <c r="PPX366" s="365"/>
      <c r="PPY366" s="370"/>
      <c r="PPZ366" s="365"/>
      <c r="PQA366" s="370"/>
      <c r="PQB366" s="365"/>
      <c r="PQC366" s="370"/>
      <c r="PQD366" s="365"/>
      <c r="PQE366" s="370"/>
      <c r="PQF366" s="365"/>
      <c r="PQG366" s="370"/>
      <c r="PQH366" s="365"/>
      <c r="PQI366" s="370"/>
      <c r="PQJ366" s="365"/>
      <c r="PQK366" s="370"/>
      <c r="PQL366" s="365"/>
      <c r="PQM366" s="370"/>
      <c r="PQN366" s="365"/>
      <c r="PQO366" s="370"/>
      <c r="PQP366" s="365"/>
      <c r="PQQ366" s="370"/>
      <c r="PQR366" s="365"/>
      <c r="PQS366" s="370"/>
      <c r="PQT366" s="365"/>
      <c r="PQU366" s="370"/>
      <c r="PQV366" s="365"/>
      <c r="PQW366" s="370"/>
      <c r="PQX366" s="365"/>
      <c r="PQY366" s="370"/>
      <c r="PQZ366" s="365"/>
      <c r="PRA366" s="370"/>
      <c r="PRB366" s="365"/>
      <c r="PRC366" s="370"/>
      <c r="PRD366" s="365"/>
      <c r="PRE366" s="370"/>
      <c r="PRF366" s="365"/>
      <c r="PRG366" s="370"/>
      <c r="PRH366" s="365"/>
      <c r="PRI366" s="370"/>
      <c r="PRJ366" s="365"/>
      <c r="PRK366" s="370"/>
      <c r="PRL366" s="365"/>
      <c r="PRM366" s="370"/>
      <c r="PRN366" s="365"/>
      <c r="PRO366" s="370"/>
      <c r="PRP366" s="365"/>
      <c r="PRQ366" s="370"/>
      <c r="PRR366" s="365"/>
      <c r="PRS366" s="370"/>
      <c r="PRT366" s="365"/>
      <c r="PRU366" s="370"/>
      <c r="PRV366" s="365"/>
      <c r="PRW366" s="370"/>
      <c r="PRX366" s="365"/>
      <c r="PRY366" s="370"/>
      <c r="PRZ366" s="365"/>
      <c r="PSA366" s="370"/>
      <c r="PSB366" s="365"/>
      <c r="PSC366" s="370"/>
      <c r="PSD366" s="365"/>
      <c r="PSE366" s="370"/>
      <c r="PSF366" s="365"/>
      <c r="PSG366" s="370"/>
      <c r="PSH366" s="365"/>
      <c r="PSI366" s="370"/>
      <c r="PSJ366" s="365"/>
      <c r="PSK366" s="370"/>
      <c r="PSL366" s="365"/>
      <c r="PSM366" s="370"/>
      <c r="PSN366" s="365"/>
      <c r="PSO366" s="370"/>
      <c r="PSP366" s="365"/>
      <c r="PSQ366" s="370"/>
      <c r="PSR366" s="365"/>
      <c r="PSS366" s="370"/>
      <c r="PST366" s="365"/>
      <c r="PSU366" s="370"/>
      <c r="PSV366" s="365"/>
      <c r="PSW366" s="370"/>
      <c r="PSX366" s="365"/>
      <c r="PSY366" s="370"/>
      <c r="PSZ366" s="365"/>
      <c r="PTA366" s="370"/>
      <c r="PTB366" s="365"/>
      <c r="PTC366" s="370"/>
      <c r="PTD366" s="365"/>
      <c r="PTE366" s="370"/>
      <c r="PTF366" s="365"/>
      <c r="PTG366" s="370"/>
      <c r="PTH366" s="365"/>
      <c r="PTI366" s="370"/>
      <c r="PTJ366" s="365"/>
      <c r="PTK366" s="370"/>
      <c r="PTL366" s="365"/>
      <c r="PTM366" s="370"/>
      <c r="PTN366" s="365"/>
      <c r="PTO366" s="370"/>
      <c r="PTP366" s="365"/>
      <c r="PTQ366" s="370"/>
      <c r="PTR366" s="365"/>
      <c r="PTS366" s="370"/>
      <c r="PTT366" s="365"/>
      <c r="PTU366" s="370"/>
      <c r="PTV366" s="365"/>
      <c r="PTW366" s="370"/>
      <c r="PTX366" s="365"/>
      <c r="PTY366" s="370"/>
      <c r="PTZ366" s="365"/>
      <c r="PUA366" s="370"/>
      <c r="PUB366" s="365"/>
      <c r="PUC366" s="370"/>
      <c r="PUD366" s="365"/>
      <c r="PUE366" s="370"/>
      <c r="PUF366" s="365"/>
      <c r="PUG366" s="370"/>
      <c r="PUH366" s="365"/>
      <c r="PUI366" s="370"/>
      <c r="PUJ366" s="365"/>
      <c r="PUK366" s="370"/>
      <c r="PUL366" s="365"/>
      <c r="PUM366" s="370"/>
      <c r="PUN366" s="365"/>
      <c r="PUO366" s="370"/>
      <c r="PUP366" s="365"/>
      <c r="PUQ366" s="370"/>
      <c r="PUR366" s="365"/>
      <c r="PUS366" s="370"/>
      <c r="PUT366" s="365"/>
      <c r="PUU366" s="370"/>
      <c r="PUV366" s="365"/>
      <c r="PUW366" s="370"/>
      <c r="PUX366" s="365"/>
      <c r="PUY366" s="370"/>
      <c r="PUZ366" s="365"/>
      <c r="PVA366" s="370"/>
      <c r="PVB366" s="365"/>
      <c r="PVC366" s="370"/>
      <c r="PVD366" s="365"/>
      <c r="PVE366" s="370"/>
      <c r="PVF366" s="365"/>
      <c r="PVG366" s="370"/>
      <c r="PVH366" s="365"/>
      <c r="PVI366" s="370"/>
      <c r="PVJ366" s="365"/>
      <c r="PVK366" s="370"/>
      <c r="PVL366" s="365"/>
      <c r="PVM366" s="370"/>
      <c r="PVN366" s="365"/>
      <c r="PVO366" s="370"/>
      <c r="PVP366" s="365"/>
      <c r="PVQ366" s="370"/>
      <c r="PVR366" s="365"/>
      <c r="PVS366" s="370"/>
      <c r="PVT366" s="365"/>
      <c r="PVU366" s="370"/>
      <c r="PVV366" s="365"/>
      <c r="PVW366" s="370"/>
      <c r="PVX366" s="365"/>
      <c r="PVY366" s="370"/>
      <c r="PVZ366" s="365"/>
      <c r="PWA366" s="370"/>
      <c r="PWB366" s="365"/>
      <c r="PWC366" s="370"/>
      <c r="PWD366" s="365"/>
      <c r="PWE366" s="370"/>
      <c r="PWF366" s="365"/>
      <c r="PWG366" s="370"/>
      <c r="PWH366" s="365"/>
      <c r="PWI366" s="370"/>
      <c r="PWJ366" s="365"/>
      <c r="PWK366" s="370"/>
      <c r="PWL366" s="365"/>
      <c r="PWM366" s="370"/>
      <c r="PWN366" s="365"/>
      <c r="PWO366" s="370"/>
      <c r="PWP366" s="365"/>
      <c r="PWQ366" s="370"/>
      <c r="PWR366" s="365"/>
      <c r="PWS366" s="370"/>
      <c r="PWT366" s="365"/>
      <c r="PWU366" s="370"/>
      <c r="PWV366" s="365"/>
      <c r="PWW366" s="370"/>
      <c r="PWX366" s="365"/>
      <c r="PWY366" s="370"/>
      <c r="PWZ366" s="365"/>
      <c r="PXA366" s="370"/>
      <c r="PXB366" s="365"/>
      <c r="PXC366" s="370"/>
      <c r="PXD366" s="365"/>
      <c r="PXE366" s="370"/>
      <c r="PXF366" s="365"/>
      <c r="PXG366" s="370"/>
      <c r="PXH366" s="365"/>
      <c r="PXI366" s="370"/>
      <c r="PXJ366" s="365"/>
      <c r="PXK366" s="370"/>
      <c r="PXL366" s="365"/>
      <c r="PXM366" s="370"/>
      <c r="PXN366" s="365"/>
      <c r="PXO366" s="370"/>
      <c r="PXP366" s="365"/>
      <c r="PXQ366" s="370"/>
      <c r="PXR366" s="365"/>
      <c r="PXS366" s="370"/>
      <c r="PXT366" s="365"/>
      <c r="PXU366" s="370"/>
      <c r="PXV366" s="365"/>
      <c r="PXW366" s="370"/>
      <c r="PXX366" s="365"/>
      <c r="PXY366" s="370"/>
      <c r="PXZ366" s="365"/>
      <c r="PYA366" s="370"/>
      <c r="PYB366" s="365"/>
      <c r="PYC366" s="370"/>
      <c r="PYD366" s="365"/>
      <c r="PYE366" s="370"/>
      <c r="PYF366" s="365"/>
      <c r="PYG366" s="370"/>
      <c r="PYH366" s="365"/>
      <c r="PYI366" s="370"/>
      <c r="PYJ366" s="365"/>
      <c r="PYK366" s="370"/>
      <c r="PYL366" s="365"/>
      <c r="PYM366" s="370"/>
      <c r="PYN366" s="365"/>
      <c r="PYO366" s="370"/>
      <c r="PYP366" s="365"/>
      <c r="PYQ366" s="370"/>
      <c r="PYR366" s="365"/>
      <c r="PYS366" s="370"/>
      <c r="PYT366" s="365"/>
      <c r="PYU366" s="370"/>
      <c r="PYV366" s="365"/>
      <c r="PYW366" s="370"/>
      <c r="PYX366" s="365"/>
      <c r="PYY366" s="370"/>
      <c r="PYZ366" s="365"/>
      <c r="PZA366" s="370"/>
      <c r="PZB366" s="365"/>
      <c r="PZC366" s="370"/>
      <c r="PZD366" s="365"/>
      <c r="PZE366" s="370"/>
      <c r="PZF366" s="365"/>
      <c r="PZG366" s="370"/>
      <c r="PZH366" s="365"/>
      <c r="PZI366" s="370"/>
      <c r="PZJ366" s="365"/>
      <c r="PZK366" s="370"/>
      <c r="PZL366" s="365"/>
      <c r="PZM366" s="370"/>
      <c r="PZN366" s="365"/>
      <c r="PZO366" s="370"/>
      <c r="PZP366" s="365"/>
      <c r="PZQ366" s="370"/>
      <c r="PZR366" s="365"/>
      <c r="PZS366" s="370"/>
      <c r="PZT366" s="365"/>
      <c r="PZU366" s="370"/>
      <c r="PZV366" s="365"/>
      <c r="PZW366" s="370"/>
      <c r="PZX366" s="365"/>
      <c r="PZY366" s="370"/>
      <c r="PZZ366" s="365"/>
      <c r="QAA366" s="370"/>
      <c r="QAB366" s="365"/>
      <c r="QAC366" s="370"/>
      <c r="QAD366" s="365"/>
      <c r="QAE366" s="370"/>
      <c r="QAF366" s="365"/>
      <c r="QAG366" s="370"/>
      <c r="QAH366" s="365"/>
      <c r="QAI366" s="370"/>
      <c r="QAJ366" s="365"/>
      <c r="QAK366" s="370"/>
      <c r="QAL366" s="365"/>
      <c r="QAM366" s="370"/>
      <c r="QAN366" s="365"/>
      <c r="QAO366" s="370"/>
      <c r="QAP366" s="365"/>
      <c r="QAQ366" s="370"/>
      <c r="QAR366" s="365"/>
      <c r="QAS366" s="370"/>
      <c r="QAT366" s="365"/>
      <c r="QAU366" s="370"/>
      <c r="QAV366" s="365"/>
      <c r="QAW366" s="370"/>
      <c r="QAX366" s="365"/>
      <c r="QAY366" s="370"/>
      <c r="QAZ366" s="365"/>
      <c r="QBA366" s="370"/>
      <c r="QBB366" s="365"/>
      <c r="QBC366" s="370"/>
      <c r="QBD366" s="365"/>
      <c r="QBE366" s="370"/>
      <c r="QBF366" s="365"/>
      <c r="QBG366" s="370"/>
      <c r="QBH366" s="365"/>
      <c r="QBI366" s="370"/>
      <c r="QBJ366" s="365"/>
      <c r="QBK366" s="370"/>
      <c r="QBL366" s="365"/>
      <c r="QBM366" s="370"/>
      <c r="QBN366" s="365"/>
      <c r="QBO366" s="370"/>
      <c r="QBP366" s="365"/>
      <c r="QBQ366" s="370"/>
      <c r="QBR366" s="365"/>
      <c r="QBS366" s="370"/>
      <c r="QBT366" s="365"/>
      <c r="QBU366" s="370"/>
      <c r="QBV366" s="365"/>
      <c r="QBW366" s="370"/>
      <c r="QBX366" s="365"/>
      <c r="QBY366" s="370"/>
      <c r="QBZ366" s="365"/>
      <c r="QCA366" s="370"/>
      <c r="QCB366" s="365"/>
      <c r="QCC366" s="370"/>
      <c r="QCD366" s="365"/>
      <c r="QCE366" s="370"/>
      <c r="QCF366" s="365"/>
      <c r="QCG366" s="370"/>
      <c r="QCH366" s="365"/>
      <c r="QCI366" s="370"/>
      <c r="QCJ366" s="365"/>
      <c r="QCK366" s="370"/>
      <c r="QCL366" s="365"/>
      <c r="QCM366" s="370"/>
      <c r="QCN366" s="365"/>
      <c r="QCO366" s="370"/>
      <c r="QCP366" s="365"/>
      <c r="QCQ366" s="370"/>
      <c r="QCR366" s="365"/>
      <c r="QCS366" s="370"/>
      <c r="QCT366" s="365"/>
      <c r="QCU366" s="370"/>
      <c r="QCV366" s="365"/>
      <c r="QCW366" s="370"/>
      <c r="QCX366" s="365"/>
      <c r="QCY366" s="370"/>
      <c r="QCZ366" s="365"/>
      <c r="QDA366" s="370"/>
      <c r="QDB366" s="365"/>
      <c r="QDC366" s="370"/>
      <c r="QDD366" s="365"/>
      <c r="QDE366" s="370"/>
      <c r="QDF366" s="365"/>
      <c r="QDG366" s="370"/>
      <c r="QDH366" s="365"/>
      <c r="QDI366" s="370"/>
      <c r="QDJ366" s="365"/>
      <c r="QDK366" s="370"/>
      <c r="QDL366" s="365"/>
      <c r="QDM366" s="370"/>
      <c r="QDN366" s="365"/>
      <c r="QDO366" s="370"/>
      <c r="QDP366" s="365"/>
      <c r="QDQ366" s="370"/>
      <c r="QDR366" s="365"/>
      <c r="QDS366" s="370"/>
      <c r="QDT366" s="365"/>
      <c r="QDU366" s="370"/>
      <c r="QDV366" s="365"/>
      <c r="QDW366" s="370"/>
      <c r="QDX366" s="365"/>
      <c r="QDY366" s="370"/>
      <c r="QDZ366" s="365"/>
      <c r="QEA366" s="370"/>
      <c r="QEB366" s="365"/>
      <c r="QEC366" s="370"/>
      <c r="QED366" s="365"/>
      <c r="QEE366" s="370"/>
      <c r="QEF366" s="365"/>
      <c r="QEG366" s="370"/>
      <c r="QEH366" s="365"/>
      <c r="QEI366" s="370"/>
      <c r="QEJ366" s="365"/>
      <c r="QEK366" s="370"/>
      <c r="QEL366" s="365"/>
      <c r="QEM366" s="370"/>
      <c r="QEN366" s="365"/>
      <c r="QEO366" s="370"/>
      <c r="QEP366" s="365"/>
      <c r="QEQ366" s="370"/>
      <c r="QER366" s="365"/>
      <c r="QES366" s="370"/>
      <c r="QET366" s="365"/>
      <c r="QEU366" s="370"/>
      <c r="QEV366" s="365"/>
      <c r="QEW366" s="370"/>
      <c r="QEX366" s="365"/>
      <c r="QEY366" s="370"/>
      <c r="QEZ366" s="365"/>
      <c r="QFA366" s="370"/>
      <c r="QFB366" s="365"/>
      <c r="QFC366" s="370"/>
      <c r="QFD366" s="365"/>
      <c r="QFE366" s="370"/>
      <c r="QFF366" s="365"/>
      <c r="QFG366" s="370"/>
      <c r="QFH366" s="365"/>
      <c r="QFI366" s="370"/>
      <c r="QFJ366" s="365"/>
      <c r="QFK366" s="370"/>
      <c r="QFL366" s="365"/>
      <c r="QFM366" s="370"/>
      <c r="QFN366" s="365"/>
      <c r="QFO366" s="370"/>
      <c r="QFP366" s="365"/>
      <c r="QFQ366" s="370"/>
      <c r="QFR366" s="365"/>
      <c r="QFS366" s="370"/>
      <c r="QFT366" s="365"/>
      <c r="QFU366" s="370"/>
      <c r="QFV366" s="365"/>
      <c r="QFW366" s="370"/>
      <c r="QFX366" s="365"/>
      <c r="QFY366" s="370"/>
      <c r="QFZ366" s="365"/>
      <c r="QGA366" s="370"/>
      <c r="QGB366" s="365"/>
      <c r="QGC366" s="370"/>
      <c r="QGD366" s="365"/>
      <c r="QGE366" s="370"/>
      <c r="QGF366" s="365"/>
      <c r="QGG366" s="370"/>
      <c r="QGH366" s="365"/>
      <c r="QGI366" s="370"/>
      <c r="QGJ366" s="365"/>
      <c r="QGK366" s="370"/>
      <c r="QGL366" s="365"/>
      <c r="QGM366" s="370"/>
      <c r="QGN366" s="365"/>
      <c r="QGO366" s="370"/>
      <c r="QGP366" s="365"/>
      <c r="QGQ366" s="370"/>
      <c r="QGR366" s="365"/>
      <c r="QGS366" s="370"/>
      <c r="QGT366" s="365"/>
      <c r="QGU366" s="370"/>
      <c r="QGV366" s="365"/>
      <c r="QGW366" s="370"/>
      <c r="QGX366" s="365"/>
      <c r="QGY366" s="370"/>
      <c r="QGZ366" s="365"/>
      <c r="QHA366" s="370"/>
      <c r="QHB366" s="365"/>
      <c r="QHC366" s="370"/>
      <c r="QHD366" s="365"/>
      <c r="QHE366" s="370"/>
      <c r="QHF366" s="365"/>
      <c r="QHG366" s="370"/>
      <c r="QHH366" s="365"/>
      <c r="QHI366" s="370"/>
      <c r="QHJ366" s="365"/>
      <c r="QHK366" s="370"/>
      <c r="QHL366" s="365"/>
      <c r="QHM366" s="370"/>
      <c r="QHN366" s="365"/>
      <c r="QHO366" s="370"/>
      <c r="QHP366" s="365"/>
      <c r="QHQ366" s="370"/>
      <c r="QHR366" s="365"/>
      <c r="QHS366" s="370"/>
      <c r="QHT366" s="365"/>
      <c r="QHU366" s="370"/>
      <c r="QHV366" s="365"/>
      <c r="QHW366" s="370"/>
      <c r="QHX366" s="365"/>
      <c r="QHY366" s="370"/>
      <c r="QHZ366" s="365"/>
      <c r="QIA366" s="370"/>
      <c r="QIB366" s="365"/>
      <c r="QIC366" s="370"/>
      <c r="QID366" s="365"/>
      <c r="QIE366" s="370"/>
      <c r="QIF366" s="365"/>
      <c r="QIG366" s="370"/>
      <c r="QIH366" s="365"/>
      <c r="QII366" s="370"/>
      <c r="QIJ366" s="365"/>
      <c r="QIK366" s="370"/>
      <c r="QIL366" s="365"/>
      <c r="QIM366" s="370"/>
      <c r="QIN366" s="365"/>
      <c r="QIO366" s="370"/>
      <c r="QIP366" s="365"/>
      <c r="QIQ366" s="370"/>
      <c r="QIR366" s="365"/>
      <c r="QIS366" s="370"/>
      <c r="QIT366" s="365"/>
      <c r="QIU366" s="370"/>
      <c r="QIV366" s="365"/>
      <c r="QIW366" s="370"/>
      <c r="QIX366" s="365"/>
      <c r="QIY366" s="370"/>
      <c r="QIZ366" s="365"/>
      <c r="QJA366" s="370"/>
      <c r="QJB366" s="365"/>
      <c r="QJC366" s="370"/>
      <c r="QJD366" s="365"/>
      <c r="QJE366" s="370"/>
      <c r="QJF366" s="365"/>
      <c r="QJG366" s="370"/>
      <c r="QJH366" s="365"/>
      <c r="QJI366" s="370"/>
      <c r="QJJ366" s="365"/>
      <c r="QJK366" s="370"/>
      <c r="QJL366" s="365"/>
      <c r="QJM366" s="370"/>
      <c r="QJN366" s="365"/>
      <c r="QJO366" s="370"/>
      <c r="QJP366" s="365"/>
      <c r="QJQ366" s="370"/>
      <c r="QJR366" s="365"/>
      <c r="QJS366" s="370"/>
      <c r="QJT366" s="365"/>
      <c r="QJU366" s="370"/>
      <c r="QJV366" s="365"/>
      <c r="QJW366" s="370"/>
      <c r="QJX366" s="365"/>
      <c r="QJY366" s="370"/>
      <c r="QJZ366" s="365"/>
      <c r="QKA366" s="370"/>
      <c r="QKB366" s="365"/>
      <c r="QKC366" s="370"/>
      <c r="QKD366" s="365"/>
      <c r="QKE366" s="370"/>
      <c r="QKF366" s="365"/>
      <c r="QKG366" s="370"/>
      <c r="QKH366" s="365"/>
      <c r="QKI366" s="370"/>
      <c r="QKJ366" s="365"/>
      <c r="QKK366" s="370"/>
      <c r="QKL366" s="365"/>
      <c r="QKM366" s="370"/>
      <c r="QKN366" s="365"/>
      <c r="QKO366" s="370"/>
      <c r="QKP366" s="365"/>
      <c r="QKQ366" s="370"/>
      <c r="QKR366" s="365"/>
      <c r="QKS366" s="370"/>
      <c r="QKT366" s="365"/>
      <c r="QKU366" s="370"/>
      <c r="QKV366" s="365"/>
      <c r="QKW366" s="370"/>
      <c r="QKX366" s="365"/>
      <c r="QKY366" s="370"/>
      <c r="QKZ366" s="365"/>
      <c r="QLA366" s="370"/>
      <c r="QLB366" s="365"/>
      <c r="QLC366" s="370"/>
      <c r="QLD366" s="365"/>
      <c r="QLE366" s="370"/>
      <c r="QLF366" s="365"/>
      <c r="QLG366" s="370"/>
      <c r="QLH366" s="365"/>
      <c r="QLI366" s="370"/>
      <c r="QLJ366" s="365"/>
      <c r="QLK366" s="370"/>
      <c r="QLL366" s="365"/>
      <c r="QLM366" s="370"/>
      <c r="QLN366" s="365"/>
      <c r="QLO366" s="370"/>
      <c r="QLP366" s="365"/>
      <c r="QLQ366" s="370"/>
      <c r="QLR366" s="365"/>
      <c r="QLS366" s="370"/>
      <c r="QLT366" s="365"/>
      <c r="QLU366" s="370"/>
      <c r="QLV366" s="365"/>
      <c r="QLW366" s="370"/>
      <c r="QLX366" s="365"/>
      <c r="QLY366" s="370"/>
      <c r="QLZ366" s="365"/>
      <c r="QMA366" s="370"/>
      <c r="QMB366" s="365"/>
      <c r="QMC366" s="370"/>
      <c r="QMD366" s="365"/>
      <c r="QME366" s="370"/>
      <c r="QMF366" s="365"/>
      <c r="QMG366" s="370"/>
      <c r="QMH366" s="365"/>
      <c r="QMI366" s="370"/>
      <c r="QMJ366" s="365"/>
      <c r="QMK366" s="370"/>
      <c r="QML366" s="365"/>
      <c r="QMM366" s="370"/>
      <c r="QMN366" s="365"/>
      <c r="QMO366" s="370"/>
      <c r="QMP366" s="365"/>
      <c r="QMQ366" s="370"/>
      <c r="QMR366" s="365"/>
      <c r="QMS366" s="370"/>
      <c r="QMT366" s="365"/>
      <c r="QMU366" s="370"/>
      <c r="QMV366" s="365"/>
      <c r="QMW366" s="370"/>
      <c r="QMX366" s="365"/>
      <c r="QMY366" s="370"/>
      <c r="QMZ366" s="365"/>
      <c r="QNA366" s="370"/>
      <c r="QNB366" s="365"/>
      <c r="QNC366" s="370"/>
      <c r="QND366" s="365"/>
      <c r="QNE366" s="370"/>
      <c r="QNF366" s="365"/>
      <c r="QNG366" s="370"/>
      <c r="QNH366" s="365"/>
      <c r="QNI366" s="370"/>
      <c r="QNJ366" s="365"/>
      <c r="QNK366" s="370"/>
      <c r="QNL366" s="365"/>
      <c r="QNM366" s="370"/>
      <c r="QNN366" s="365"/>
      <c r="QNO366" s="370"/>
      <c r="QNP366" s="365"/>
      <c r="QNQ366" s="370"/>
      <c r="QNR366" s="365"/>
      <c r="QNS366" s="370"/>
      <c r="QNT366" s="365"/>
      <c r="QNU366" s="370"/>
      <c r="QNV366" s="365"/>
      <c r="QNW366" s="370"/>
      <c r="QNX366" s="365"/>
      <c r="QNY366" s="370"/>
      <c r="QNZ366" s="365"/>
      <c r="QOA366" s="370"/>
      <c r="QOB366" s="365"/>
      <c r="QOC366" s="370"/>
      <c r="QOD366" s="365"/>
      <c r="QOE366" s="370"/>
      <c r="QOF366" s="365"/>
      <c r="QOG366" s="370"/>
      <c r="QOH366" s="365"/>
      <c r="QOI366" s="370"/>
      <c r="QOJ366" s="365"/>
      <c r="QOK366" s="370"/>
      <c r="QOL366" s="365"/>
      <c r="QOM366" s="370"/>
      <c r="QON366" s="365"/>
      <c r="QOO366" s="370"/>
      <c r="QOP366" s="365"/>
      <c r="QOQ366" s="370"/>
      <c r="QOR366" s="365"/>
      <c r="QOS366" s="370"/>
      <c r="QOT366" s="365"/>
      <c r="QOU366" s="370"/>
      <c r="QOV366" s="365"/>
      <c r="QOW366" s="370"/>
      <c r="QOX366" s="365"/>
      <c r="QOY366" s="370"/>
      <c r="QOZ366" s="365"/>
      <c r="QPA366" s="370"/>
      <c r="QPB366" s="365"/>
      <c r="QPC366" s="370"/>
      <c r="QPD366" s="365"/>
      <c r="QPE366" s="370"/>
      <c r="QPF366" s="365"/>
      <c r="QPG366" s="370"/>
      <c r="QPH366" s="365"/>
      <c r="QPI366" s="370"/>
      <c r="QPJ366" s="365"/>
      <c r="QPK366" s="370"/>
      <c r="QPL366" s="365"/>
      <c r="QPM366" s="370"/>
      <c r="QPN366" s="365"/>
      <c r="QPO366" s="370"/>
      <c r="QPP366" s="365"/>
      <c r="QPQ366" s="370"/>
      <c r="QPR366" s="365"/>
      <c r="QPS366" s="370"/>
      <c r="QPT366" s="365"/>
      <c r="QPU366" s="370"/>
      <c r="QPV366" s="365"/>
      <c r="QPW366" s="370"/>
      <c r="QPX366" s="365"/>
      <c r="QPY366" s="370"/>
      <c r="QPZ366" s="365"/>
      <c r="QQA366" s="370"/>
      <c r="QQB366" s="365"/>
      <c r="QQC366" s="370"/>
      <c r="QQD366" s="365"/>
      <c r="QQE366" s="370"/>
      <c r="QQF366" s="365"/>
      <c r="QQG366" s="370"/>
      <c r="QQH366" s="365"/>
      <c r="QQI366" s="370"/>
      <c r="QQJ366" s="365"/>
      <c r="QQK366" s="370"/>
      <c r="QQL366" s="365"/>
      <c r="QQM366" s="370"/>
      <c r="QQN366" s="365"/>
      <c r="QQO366" s="370"/>
      <c r="QQP366" s="365"/>
      <c r="QQQ366" s="370"/>
      <c r="QQR366" s="365"/>
      <c r="QQS366" s="370"/>
      <c r="QQT366" s="365"/>
      <c r="QQU366" s="370"/>
      <c r="QQV366" s="365"/>
      <c r="QQW366" s="370"/>
      <c r="QQX366" s="365"/>
      <c r="QQY366" s="370"/>
      <c r="QQZ366" s="365"/>
      <c r="QRA366" s="370"/>
      <c r="QRB366" s="365"/>
      <c r="QRC366" s="370"/>
      <c r="QRD366" s="365"/>
      <c r="QRE366" s="370"/>
      <c r="QRF366" s="365"/>
      <c r="QRG366" s="370"/>
      <c r="QRH366" s="365"/>
      <c r="QRI366" s="370"/>
      <c r="QRJ366" s="365"/>
      <c r="QRK366" s="370"/>
      <c r="QRL366" s="365"/>
      <c r="QRM366" s="370"/>
      <c r="QRN366" s="365"/>
      <c r="QRO366" s="370"/>
      <c r="QRP366" s="365"/>
      <c r="QRQ366" s="370"/>
      <c r="QRR366" s="365"/>
      <c r="QRS366" s="370"/>
      <c r="QRT366" s="365"/>
      <c r="QRU366" s="370"/>
      <c r="QRV366" s="365"/>
      <c r="QRW366" s="370"/>
      <c r="QRX366" s="365"/>
      <c r="QRY366" s="370"/>
      <c r="QRZ366" s="365"/>
      <c r="QSA366" s="370"/>
      <c r="QSB366" s="365"/>
      <c r="QSC366" s="370"/>
      <c r="QSD366" s="365"/>
      <c r="QSE366" s="370"/>
      <c r="QSF366" s="365"/>
      <c r="QSG366" s="370"/>
      <c r="QSH366" s="365"/>
      <c r="QSI366" s="370"/>
      <c r="QSJ366" s="365"/>
      <c r="QSK366" s="370"/>
      <c r="QSL366" s="365"/>
      <c r="QSM366" s="370"/>
      <c r="QSN366" s="365"/>
      <c r="QSO366" s="370"/>
      <c r="QSP366" s="365"/>
      <c r="QSQ366" s="370"/>
      <c r="QSR366" s="365"/>
      <c r="QSS366" s="370"/>
      <c r="QST366" s="365"/>
      <c r="QSU366" s="370"/>
      <c r="QSV366" s="365"/>
      <c r="QSW366" s="370"/>
      <c r="QSX366" s="365"/>
      <c r="QSY366" s="370"/>
      <c r="QSZ366" s="365"/>
      <c r="QTA366" s="370"/>
      <c r="QTB366" s="365"/>
      <c r="QTC366" s="370"/>
      <c r="QTD366" s="365"/>
      <c r="QTE366" s="370"/>
      <c r="QTF366" s="365"/>
      <c r="QTG366" s="370"/>
      <c r="QTH366" s="365"/>
      <c r="QTI366" s="370"/>
      <c r="QTJ366" s="365"/>
      <c r="QTK366" s="370"/>
      <c r="QTL366" s="365"/>
      <c r="QTM366" s="370"/>
      <c r="QTN366" s="365"/>
      <c r="QTO366" s="370"/>
      <c r="QTP366" s="365"/>
      <c r="QTQ366" s="370"/>
      <c r="QTR366" s="365"/>
      <c r="QTS366" s="370"/>
      <c r="QTT366" s="365"/>
      <c r="QTU366" s="370"/>
      <c r="QTV366" s="365"/>
      <c r="QTW366" s="370"/>
      <c r="QTX366" s="365"/>
      <c r="QTY366" s="370"/>
      <c r="QTZ366" s="365"/>
      <c r="QUA366" s="370"/>
      <c r="QUB366" s="365"/>
      <c r="QUC366" s="370"/>
      <c r="QUD366" s="365"/>
      <c r="QUE366" s="370"/>
      <c r="QUF366" s="365"/>
      <c r="QUG366" s="370"/>
      <c r="QUH366" s="365"/>
      <c r="QUI366" s="370"/>
      <c r="QUJ366" s="365"/>
      <c r="QUK366" s="370"/>
      <c r="QUL366" s="365"/>
      <c r="QUM366" s="370"/>
      <c r="QUN366" s="365"/>
      <c r="QUO366" s="370"/>
      <c r="QUP366" s="365"/>
      <c r="QUQ366" s="370"/>
      <c r="QUR366" s="365"/>
      <c r="QUS366" s="370"/>
      <c r="QUT366" s="365"/>
      <c r="QUU366" s="370"/>
      <c r="QUV366" s="365"/>
      <c r="QUW366" s="370"/>
      <c r="QUX366" s="365"/>
      <c r="QUY366" s="370"/>
      <c r="QUZ366" s="365"/>
      <c r="QVA366" s="370"/>
      <c r="QVB366" s="365"/>
      <c r="QVC366" s="370"/>
      <c r="QVD366" s="365"/>
      <c r="QVE366" s="370"/>
      <c r="QVF366" s="365"/>
      <c r="QVG366" s="370"/>
      <c r="QVH366" s="365"/>
      <c r="QVI366" s="370"/>
      <c r="QVJ366" s="365"/>
      <c r="QVK366" s="370"/>
      <c r="QVL366" s="365"/>
      <c r="QVM366" s="370"/>
      <c r="QVN366" s="365"/>
      <c r="QVO366" s="370"/>
      <c r="QVP366" s="365"/>
      <c r="QVQ366" s="370"/>
      <c r="QVR366" s="365"/>
      <c r="QVS366" s="370"/>
      <c r="QVT366" s="365"/>
      <c r="QVU366" s="370"/>
      <c r="QVV366" s="365"/>
      <c r="QVW366" s="370"/>
      <c r="QVX366" s="365"/>
      <c r="QVY366" s="370"/>
      <c r="QVZ366" s="365"/>
      <c r="QWA366" s="370"/>
      <c r="QWB366" s="365"/>
      <c r="QWC366" s="370"/>
      <c r="QWD366" s="365"/>
      <c r="QWE366" s="370"/>
      <c r="QWF366" s="365"/>
      <c r="QWG366" s="370"/>
      <c r="QWH366" s="365"/>
      <c r="QWI366" s="370"/>
      <c r="QWJ366" s="365"/>
      <c r="QWK366" s="370"/>
      <c r="QWL366" s="365"/>
      <c r="QWM366" s="370"/>
      <c r="QWN366" s="365"/>
      <c r="QWO366" s="370"/>
      <c r="QWP366" s="365"/>
      <c r="QWQ366" s="370"/>
      <c r="QWR366" s="365"/>
      <c r="QWS366" s="370"/>
      <c r="QWT366" s="365"/>
      <c r="QWU366" s="370"/>
      <c r="QWV366" s="365"/>
      <c r="QWW366" s="370"/>
      <c r="QWX366" s="365"/>
      <c r="QWY366" s="370"/>
      <c r="QWZ366" s="365"/>
      <c r="QXA366" s="370"/>
      <c r="QXB366" s="365"/>
      <c r="QXC366" s="370"/>
      <c r="QXD366" s="365"/>
      <c r="QXE366" s="370"/>
      <c r="QXF366" s="365"/>
      <c r="QXG366" s="370"/>
      <c r="QXH366" s="365"/>
      <c r="QXI366" s="370"/>
      <c r="QXJ366" s="365"/>
      <c r="QXK366" s="370"/>
      <c r="QXL366" s="365"/>
      <c r="QXM366" s="370"/>
      <c r="QXN366" s="365"/>
      <c r="QXO366" s="370"/>
      <c r="QXP366" s="365"/>
      <c r="QXQ366" s="370"/>
      <c r="QXR366" s="365"/>
      <c r="QXS366" s="370"/>
      <c r="QXT366" s="365"/>
      <c r="QXU366" s="370"/>
      <c r="QXV366" s="365"/>
      <c r="QXW366" s="370"/>
      <c r="QXX366" s="365"/>
      <c r="QXY366" s="370"/>
      <c r="QXZ366" s="365"/>
      <c r="QYA366" s="370"/>
      <c r="QYB366" s="365"/>
      <c r="QYC366" s="370"/>
      <c r="QYD366" s="365"/>
      <c r="QYE366" s="370"/>
      <c r="QYF366" s="365"/>
      <c r="QYG366" s="370"/>
      <c r="QYH366" s="365"/>
      <c r="QYI366" s="370"/>
      <c r="QYJ366" s="365"/>
      <c r="QYK366" s="370"/>
      <c r="QYL366" s="365"/>
      <c r="QYM366" s="370"/>
      <c r="QYN366" s="365"/>
      <c r="QYO366" s="370"/>
      <c r="QYP366" s="365"/>
      <c r="QYQ366" s="370"/>
      <c r="QYR366" s="365"/>
      <c r="QYS366" s="370"/>
      <c r="QYT366" s="365"/>
      <c r="QYU366" s="370"/>
      <c r="QYV366" s="365"/>
      <c r="QYW366" s="370"/>
      <c r="QYX366" s="365"/>
      <c r="QYY366" s="370"/>
      <c r="QYZ366" s="365"/>
      <c r="QZA366" s="370"/>
      <c r="QZB366" s="365"/>
      <c r="QZC366" s="370"/>
      <c r="QZD366" s="365"/>
      <c r="QZE366" s="370"/>
      <c r="QZF366" s="365"/>
      <c r="QZG366" s="370"/>
      <c r="QZH366" s="365"/>
      <c r="QZI366" s="370"/>
      <c r="QZJ366" s="365"/>
      <c r="QZK366" s="370"/>
      <c r="QZL366" s="365"/>
      <c r="QZM366" s="370"/>
      <c r="QZN366" s="365"/>
      <c r="QZO366" s="370"/>
      <c r="QZP366" s="365"/>
      <c r="QZQ366" s="370"/>
      <c r="QZR366" s="365"/>
      <c r="QZS366" s="370"/>
      <c r="QZT366" s="365"/>
      <c r="QZU366" s="370"/>
      <c r="QZV366" s="365"/>
      <c r="QZW366" s="370"/>
      <c r="QZX366" s="365"/>
      <c r="QZY366" s="370"/>
      <c r="QZZ366" s="365"/>
      <c r="RAA366" s="370"/>
      <c r="RAB366" s="365"/>
      <c r="RAC366" s="370"/>
      <c r="RAD366" s="365"/>
      <c r="RAE366" s="370"/>
      <c r="RAF366" s="365"/>
      <c r="RAG366" s="370"/>
      <c r="RAH366" s="365"/>
      <c r="RAI366" s="370"/>
      <c r="RAJ366" s="365"/>
      <c r="RAK366" s="370"/>
      <c r="RAL366" s="365"/>
      <c r="RAM366" s="370"/>
      <c r="RAN366" s="365"/>
      <c r="RAO366" s="370"/>
      <c r="RAP366" s="365"/>
      <c r="RAQ366" s="370"/>
      <c r="RAR366" s="365"/>
      <c r="RAS366" s="370"/>
      <c r="RAT366" s="365"/>
      <c r="RAU366" s="370"/>
      <c r="RAV366" s="365"/>
      <c r="RAW366" s="370"/>
      <c r="RAX366" s="365"/>
      <c r="RAY366" s="370"/>
      <c r="RAZ366" s="365"/>
      <c r="RBA366" s="370"/>
      <c r="RBB366" s="365"/>
      <c r="RBC366" s="370"/>
      <c r="RBD366" s="365"/>
      <c r="RBE366" s="370"/>
      <c r="RBF366" s="365"/>
      <c r="RBG366" s="370"/>
      <c r="RBH366" s="365"/>
      <c r="RBI366" s="370"/>
      <c r="RBJ366" s="365"/>
      <c r="RBK366" s="370"/>
      <c r="RBL366" s="365"/>
      <c r="RBM366" s="370"/>
      <c r="RBN366" s="365"/>
      <c r="RBO366" s="370"/>
      <c r="RBP366" s="365"/>
      <c r="RBQ366" s="370"/>
      <c r="RBR366" s="365"/>
      <c r="RBS366" s="370"/>
      <c r="RBT366" s="365"/>
      <c r="RBU366" s="370"/>
      <c r="RBV366" s="365"/>
      <c r="RBW366" s="370"/>
      <c r="RBX366" s="365"/>
      <c r="RBY366" s="370"/>
      <c r="RBZ366" s="365"/>
      <c r="RCA366" s="370"/>
      <c r="RCB366" s="365"/>
      <c r="RCC366" s="370"/>
      <c r="RCD366" s="365"/>
      <c r="RCE366" s="370"/>
      <c r="RCF366" s="365"/>
      <c r="RCG366" s="370"/>
      <c r="RCH366" s="365"/>
      <c r="RCI366" s="370"/>
      <c r="RCJ366" s="365"/>
      <c r="RCK366" s="370"/>
      <c r="RCL366" s="365"/>
      <c r="RCM366" s="370"/>
      <c r="RCN366" s="365"/>
      <c r="RCO366" s="370"/>
      <c r="RCP366" s="365"/>
      <c r="RCQ366" s="370"/>
      <c r="RCR366" s="365"/>
      <c r="RCS366" s="370"/>
      <c r="RCT366" s="365"/>
      <c r="RCU366" s="370"/>
      <c r="RCV366" s="365"/>
      <c r="RCW366" s="370"/>
      <c r="RCX366" s="365"/>
      <c r="RCY366" s="370"/>
      <c r="RCZ366" s="365"/>
      <c r="RDA366" s="370"/>
      <c r="RDB366" s="365"/>
      <c r="RDC366" s="370"/>
      <c r="RDD366" s="365"/>
      <c r="RDE366" s="370"/>
      <c r="RDF366" s="365"/>
      <c r="RDG366" s="370"/>
      <c r="RDH366" s="365"/>
      <c r="RDI366" s="370"/>
      <c r="RDJ366" s="365"/>
      <c r="RDK366" s="370"/>
      <c r="RDL366" s="365"/>
      <c r="RDM366" s="370"/>
      <c r="RDN366" s="365"/>
      <c r="RDO366" s="370"/>
      <c r="RDP366" s="365"/>
      <c r="RDQ366" s="370"/>
      <c r="RDR366" s="365"/>
      <c r="RDS366" s="370"/>
      <c r="RDT366" s="365"/>
      <c r="RDU366" s="370"/>
      <c r="RDV366" s="365"/>
      <c r="RDW366" s="370"/>
      <c r="RDX366" s="365"/>
      <c r="RDY366" s="370"/>
      <c r="RDZ366" s="365"/>
      <c r="REA366" s="370"/>
      <c r="REB366" s="365"/>
      <c r="REC366" s="370"/>
      <c r="RED366" s="365"/>
      <c r="REE366" s="370"/>
      <c r="REF366" s="365"/>
      <c r="REG366" s="370"/>
      <c r="REH366" s="365"/>
      <c r="REI366" s="370"/>
      <c r="REJ366" s="365"/>
      <c r="REK366" s="370"/>
      <c r="REL366" s="365"/>
      <c r="REM366" s="370"/>
      <c r="REN366" s="365"/>
      <c r="REO366" s="370"/>
      <c r="REP366" s="365"/>
      <c r="REQ366" s="370"/>
      <c r="RER366" s="365"/>
      <c r="RES366" s="370"/>
      <c r="RET366" s="365"/>
      <c r="REU366" s="370"/>
      <c r="REV366" s="365"/>
      <c r="REW366" s="370"/>
      <c r="REX366" s="365"/>
      <c r="REY366" s="370"/>
      <c r="REZ366" s="365"/>
      <c r="RFA366" s="370"/>
      <c r="RFB366" s="365"/>
      <c r="RFC366" s="370"/>
      <c r="RFD366" s="365"/>
      <c r="RFE366" s="370"/>
      <c r="RFF366" s="365"/>
      <c r="RFG366" s="370"/>
      <c r="RFH366" s="365"/>
      <c r="RFI366" s="370"/>
      <c r="RFJ366" s="365"/>
      <c r="RFK366" s="370"/>
      <c r="RFL366" s="365"/>
      <c r="RFM366" s="370"/>
      <c r="RFN366" s="365"/>
      <c r="RFO366" s="370"/>
      <c r="RFP366" s="365"/>
      <c r="RFQ366" s="370"/>
      <c r="RFR366" s="365"/>
      <c r="RFS366" s="370"/>
      <c r="RFT366" s="365"/>
      <c r="RFU366" s="370"/>
      <c r="RFV366" s="365"/>
      <c r="RFW366" s="370"/>
      <c r="RFX366" s="365"/>
      <c r="RFY366" s="370"/>
      <c r="RFZ366" s="365"/>
      <c r="RGA366" s="370"/>
      <c r="RGB366" s="365"/>
      <c r="RGC366" s="370"/>
      <c r="RGD366" s="365"/>
      <c r="RGE366" s="370"/>
      <c r="RGF366" s="365"/>
      <c r="RGG366" s="370"/>
      <c r="RGH366" s="365"/>
      <c r="RGI366" s="370"/>
      <c r="RGJ366" s="365"/>
      <c r="RGK366" s="370"/>
      <c r="RGL366" s="365"/>
      <c r="RGM366" s="370"/>
      <c r="RGN366" s="365"/>
      <c r="RGO366" s="370"/>
      <c r="RGP366" s="365"/>
      <c r="RGQ366" s="370"/>
      <c r="RGR366" s="365"/>
      <c r="RGS366" s="370"/>
      <c r="RGT366" s="365"/>
      <c r="RGU366" s="370"/>
      <c r="RGV366" s="365"/>
      <c r="RGW366" s="370"/>
      <c r="RGX366" s="365"/>
      <c r="RGY366" s="370"/>
      <c r="RGZ366" s="365"/>
      <c r="RHA366" s="370"/>
      <c r="RHB366" s="365"/>
      <c r="RHC366" s="370"/>
      <c r="RHD366" s="365"/>
      <c r="RHE366" s="370"/>
      <c r="RHF366" s="365"/>
      <c r="RHG366" s="370"/>
      <c r="RHH366" s="365"/>
      <c r="RHI366" s="370"/>
      <c r="RHJ366" s="365"/>
      <c r="RHK366" s="370"/>
      <c r="RHL366" s="365"/>
      <c r="RHM366" s="370"/>
      <c r="RHN366" s="365"/>
      <c r="RHO366" s="370"/>
      <c r="RHP366" s="365"/>
      <c r="RHQ366" s="370"/>
      <c r="RHR366" s="365"/>
      <c r="RHS366" s="370"/>
      <c r="RHT366" s="365"/>
      <c r="RHU366" s="370"/>
      <c r="RHV366" s="365"/>
      <c r="RHW366" s="370"/>
      <c r="RHX366" s="365"/>
      <c r="RHY366" s="370"/>
      <c r="RHZ366" s="365"/>
      <c r="RIA366" s="370"/>
      <c r="RIB366" s="365"/>
      <c r="RIC366" s="370"/>
      <c r="RID366" s="365"/>
      <c r="RIE366" s="370"/>
      <c r="RIF366" s="365"/>
      <c r="RIG366" s="370"/>
      <c r="RIH366" s="365"/>
      <c r="RII366" s="370"/>
      <c r="RIJ366" s="365"/>
      <c r="RIK366" s="370"/>
      <c r="RIL366" s="365"/>
      <c r="RIM366" s="370"/>
      <c r="RIN366" s="365"/>
      <c r="RIO366" s="370"/>
      <c r="RIP366" s="365"/>
      <c r="RIQ366" s="370"/>
      <c r="RIR366" s="365"/>
      <c r="RIS366" s="370"/>
      <c r="RIT366" s="365"/>
      <c r="RIU366" s="370"/>
      <c r="RIV366" s="365"/>
      <c r="RIW366" s="370"/>
      <c r="RIX366" s="365"/>
      <c r="RIY366" s="370"/>
      <c r="RIZ366" s="365"/>
      <c r="RJA366" s="370"/>
      <c r="RJB366" s="365"/>
      <c r="RJC366" s="370"/>
      <c r="RJD366" s="365"/>
      <c r="RJE366" s="370"/>
      <c r="RJF366" s="365"/>
      <c r="RJG366" s="370"/>
      <c r="RJH366" s="365"/>
      <c r="RJI366" s="370"/>
      <c r="RJJ366" s="365"/>
      <c r="RJK366" s="370"/>
      <c r="RJL366" s="365"/>
      <c r="RJM366" s="370"/>
      <c r="RJN366" s="365"/>
      <c r="RJO366" s="370"/>
      <c r="RJP366" s="365"/>
      <c r="RJQ366" s="370"/>
      <c r="RJR366" s="365"/>
      <c r="RJS366" s="370"/>
      <c r="RJT366" s="365"/>
      <c r="RJU366" s="370"/>
      <c r="RJV366" s="365"/>
      <c r="RJW366" s="370"/>
      <c r="RJX366" s="365"/>
      <c r="RJY366" s="370"/>
      <c r="RJZ366" s="365"/>
      <c r="RKA366" s="370"/>
      <c r="RKB366" s="365"/>
      <c r="RKC366" s="370"/>
      <c r="RKD366" s="365"/>
      <c r="RKE366" s="370"/>
      <c r="RKF366" s="365"/>
      <c r="RKG366" s="370"/>
      <c r="RKH366" s="365"/>
      <c r="RKI366" s="370"/>
      <c r="RKJ366" s="365"/>
      <c r="RKK366" s="370"/>
      <c r="RKL366" s="365"/>
      <c r="RKM366" s="370"/>
      <c r="RKN366" s="365"/>
      <c r="RKO366" s="370"/>
      <c r="RKP366" s="365"/>
      <c r="RKQ366" s="370"/>
      <c r="RKR366" s="365"/>
      <c r="RKS366" s="370"/>
      <c r="RKT366" s="365"/>
      <c r="RKU366" s="370"/>
      <c r="RKV366" s="365"/>
      <c r="RKW366" s="370"/>
      <c r="RKX366" s="365"/>
      <c r="RKY366" s="370"/>
      <c r="RKZ366" s="365"/>
      <c r="RLA366" s="370"/>
      <c r="RLB366" s="365"/>
      <c r="RLC366" s="370"/>
      <c r="RLD366" s="365"/>
      <c r="RLE366" s="370"/>
      <c r="RLF366" s="365"/>
      <c r="RLG366" s="370"/>
      <c r="RLH366" s="365"/>
      <c r="RLI366" s="370"/>
      <c r="RLJ366" s="365"/>
      <c r="RLK366" s="370"/>
      <c r="RLL366" s="365"/>
      <c r="RLM366" s="370"/>
      <c r="RLN366" s="365"/>
      <c r="RLO366" s="370"/>
      <c r="RLP366" s="365"/>
      <c r="RLQ366" s="370"/>
      <c r="RLR366" s="365"/>
      <c r="RLS366" s="370"/>
      <c r="RLT366" s="365"/>
      <c r="RLU366" s="370"/>
      <c r="RLV366" s="365"/>
      <c r="RLW366" s="370"/>
      <c r="RLX366" s="365"/>
      <c r="RLY366" s="370"/>
      <c r="RLZ366" s="365"/>
      <c r="RMA366" s="370"/>
      <c r="RMB366" s="365"/>
      <c r="RMC366" s="370"/>
      <c r="RMD366" s="365"/>
      <c r="RME366" s="370"/>
      <c r="RMF366" s="365"/>
      <c r="RMG366" s="370"/>
      <c r="RMH366" s="365"/>
      <c r="RMI366" s="370"/>
      <c r="RMJ366" s="365"/>
      <c r="RMK366" s="370"/>
      <c r="RML366" s="365"/>
      <c r="RMM366" s="370"/>
      <c r="RMN366" s="365"/>
      <c r="RMO366" s="370"/>
      <c r="RMP366" s="365"/>
      <c r="RMQ366" s="370"/>
      <c r="RMR366" s="365"/>
      <c r="RMS366" s="370"/>
      <c r="RMT366" s="365"/>
      <c r="RMU366" s="370"/>
      <c r="RMV366" s="365"/>
      <c r="RMW366" s="370"/>
      <c r="RMX366" s="365"/>
      <c r="RMY366" s="370"/>
      <c r="RMZ366" s="365"/>
      <c r="RNA366" s="370"/>
      <c r="RNB366" s="365"/>
      <c r="RNC366" s="370"/>
      <c r="RND366" s="365"/>
      <c r="RNE366" s="370"/>
      <c r="RNF366" s="365"/>
      <c r="RNG366" s="370"/>
      <c r="RNH366" s="365"/>
      <c r="RNI366" s="370"/>
      <c r="RNJ366" s="365"/>
      <c r="RNK366" s="370"/>
      <c r="RNL366" s="365"/>
      <c r="RNM366" s="370"/>
      <c r="RNN366" s="365"/>
      <c r="RNO366" s="370"/>
      <c r="RNP366" s="365"/>
      <c r="RNQ366" s="370"/>
      <c r="RNR366" s="365"/>
      <c r="RNS366" s="370"/>
      <c r="RNT366" s="365"/>
      <c r="RNU366" s="370"/>
      <c r="RNV366" s="365"/>
      <c r="RNW366" s="370"/>
      <c r="RNX366" s="365"/>
      <c r="RNY366" s="370"/>
      <c r="RNZ366" s="365"/>
      <c r="ROA366" s="370"/>
      <c r="ROB366" s="365"/>
      <c r="ROC366" s="370"/>
      <c r="ROD366" s="365"/>
      <c r="ROE366" s="370"/>
      <c r="ROF366" s="365"/>
      <c r="ROG366" s="370"/>
      <c r="ROH366" s="365"/>
      <c r="ROI366" s="370"/>
      <c r="ROJ366" s="365"/>
      <c r="ROK366" s="370"/>
      <c r="ROL366" s="365"/>
      <c r="ROM366" s="370"/>
      <c r="RON366" s="365"/>
      <c r="ROO366" s="370"/>
      <c r="ROP366" s="365"/>
      <c r="ROQ366" s="370"/>
      <c r="ROR366" s="365"/>
      <c r="ROS366" s="370"/>
      <c r="ROT366" s="365"/>
      <c r="ROU366" s="370"/>
      <c r="ROV366" s="365"/>
      <c r="ROW366" s="370"/>
      <c r="ROX366" s="365"/>
      <c r="ROY366" s="370"/>
      <c r="ROZ366" s="365"/>
      <c r="RPA366" s="370"/>
      <c r="RPB366" s="365"/>
      <c r="RPC366" s="370"/>
      <c r="RPD366" s="365"/>
      <c r="RPE366" s="370"/>
      <c r="RPF366" s="365"/>
      <c r="RPG366" s="370"/>
      <c r="RPH366" s="365"/>
      <c r="RPI366" s="370"/>
      <c r="RPJ366" s="365"/>
      <c r="RPK366" s="370"/>
      <c r="RPL366" s="365"/>
      <c r="RPM366" s="370"/>
      <c r="RPN366" s="365"/>
      <c r="RPO366" s="370"/>
      <c r="RPP366" s="365"/>
      <c r="RPQ366" s="370"/>
      <c r="RPR366" s="365"/>
      <c r="RPS366" s="370"/>
      <c r="RPT366" s="365"/>
      <c r="RPU366" s="370"/>
      <c r="RPV366" s="365"/>
      <c r="RPW366" s="370"/>
      <c r="RPX366" s="365"/>
      <c r="RPY366" s="370"/>
      <c r="RPZ366" s="365"/>
      <c r="RQA366" s="370"/>
      <c r="RQB366" s="365"/>
      <c r="RQC366" s="370"/>
      <c r="RQD366" s="365"/>
      <c r="RQE366" s="370"/>
      <c r="RQF366" s="365"/>
      <c r="RQG366" s="370"/>
      <c r="RQH366" s="365"/>
      <c r="RQI366" s="370"/>
      <c r="RQJ366" s="365"/>
      <c r="RQK366" s="370"/>
      <c r="RQL366" s="365"/>
      <c r="RQM366" s="370"/>
      <c r="RQN366" s="365"/>
      <c r="RQO366" s="370"/>
      <c r="RQP366" s="365"/>
      <c r="RQQ366" s="370"/>
      <c r="RQR366" s="365"/>
      <c r="RQS366" s="370"/>
      <c r="RQT366" s="365"/>
      <c r="RQU366" s="370"/>
      <c r="RQV366" s="365"/>
      <c r="RQW366" s="370"/>
      <c r="RQX366" s="365"/>
      <c r="RQY366" s="370"/>
      <c r="RQZ366" s="365"/>
      <c r="RRA366" s="370"/>
      <c r="RRB366" s="365"/>
      <c r="RRC366" s="370"/>
      <c r="RRD366" s="365"/>
      <c r="RRE366" s="370"/>
      <c r="RRF366" s="365"/>
      <c r="RRG366" s="370"/>
      <c r="RRH366" s="365"/>
      <c r="RRI366" s="370"/>
      <c r="RRJ366" s="365"/>
      <c r="RRK366" s="370"/>
      <c r="RRL366" s="365"/>
      <c r="RRM366" s="370"/>
      <c r="RRN366" s="365"/>
      <c r="RRO366" s="370"/>
      <c r="RRP366" s="365"/>
      <c r="RRQ366" s="370"/>
      <c r="RRR366" s="365"/>
      <c r="RRS366" s="370"/>
      <c r="RRT366" s="365"/>
      <c r="RRU366" s="370"/>
      <c r="RRV366" s="365"/>
      <c r="RRW366" s="370"/>
      <c r="RRX366" s="365"/>
      <c r="RRY366" s="370"/>
      <c r="RRZ366" s="365"/>
      <c r="RSA366" s="370"/>
      <c r="RSB366" s="365"/>
      <c r="RSC366" s="370"/>
      <c r="RSD366" s="365"/>
      <c r="RSE366" s="370"/>
      <c r="RSF366" s="365"/>
      <c r="RSG366" s="370"/>
      <c r="RSH366" s="365"/>
      <c r="RSI366" s="370"/>
      <c r="RSJ366" s="365"/>
      <c r="RSK366" s="370"/>
      <c r="RSL366" s="365"/>
      <c r="RSM366" s="370"/>
      <c r="RSN366" s="365"/>
      <c r="RSO366" s="370"/>
      <c r="RSP366" s="365"/>
      <c r="RSQ366" s="370"/>
      <c r="RSR366" s="365"/>
      <c r="RSS366" s="370"/>
      <c r="RST366" s="365"/>
      <c r="RSU366" s="370"/>
      <c r="RSV366" s="365"/>
      <c r="RSW366" s="370"/>
      <c r="RSX366" s="365"/>
      <c r="RSY366" s="370"/>
      <c r="RSZ366" s="365"/>
      <c r="RTA366" s="370"/>
      <c r="RTB366" s="365"/>
      <c r="RTC366" s="370"/>
      <c r="RTD366" s="365"/>
      <c r="RTE366" s="370"/>
      <c r="RTF366" s="365"/>
      <c r="RTG366" s="370"/>
      <c r="RTH366" s="365"/>
      <c r="RTI366" s="370"/>
      <c r="RTJ366" s="365"/>
      <c r="RTK366" s="370"/>
      <c r="RTL366" s="365"/>
      <c r="RTM366" s="370"/>
      <c r="RTN366" s="365"/>
      <c r="RTO366" s="370"/>
      <c r="RTP366" s="365"/>
      <c r="RTQ366" s="370"/>
      <c r="RTR366" s="365"/>
      <c r="RTS366" s="370"/>
      <c r="RTT366" s="365"/>
      <c r="RTU366" s="370"/>
      <c r="RTV366" s="365"/>
      <c r="RTW366" s="370"/>
      <c r="RTX366" s="365"/>
      <c r="RTY366" s="370"/>
      <c r="RTZ366" s="365"/>
      <c r="RUA366" s="370"/>
      <c r="RUB366" s="365"/>
      <c r="RUC366" s="370"/>
      <c r="RUD366" s="365"/>
      <c r="RUE366" s="370"/>
      <c r="RUF366" s="365"/>
      <c r="RUG366" s="370"/>
      <c r="RUH366" s="365"/>
      <c r="RUI366" s="370"/>
      <c r="RUJ366" s="365"/>
      <c r="RUK366" s="370"/>
      <c r="RUL366" s="365"/>
      <c r="RUM366" s="370"/>
      <c r="RUN366" s="365"/>
      <c r="RUO366" s="370"/>
      <c r="RUP366" s="365"/>
      <c r="RUQ366" s="370"/>
      <c r="RUR366" s="365"/>
      <c r="RUS366" s="370"/>
      <c r="RUT366" s="365"/>
      <c r="RUU366" s="370"/>
      <c r="RUV366" s="365"/>
      <c r="RUW366" s="370"/>
      <c r="RUX366" s="365"/>
      <c r="RUY366" s="370"/>
      <c r="RUZ366" s="365"/>
      <c r="RVA366" s="370"/>
      <c r="RVB366" s="365"/>
      <c r="RVC366" s="370"/>
      <c r="RVD366" s="365"/>
      <c r="RVE366" s="370"/>
      <c r="RVF366" s="365"/>
      <c r="RVG366" s="370"/>
      <c r="RVH366" s="365"/>
      <c r="RVI366" s="370"/>
      <c r="RVJ366" s="365"/>
      <c r="RVK366" s="370"/>
      <c r="RVL366" s="365"/>
      <c r="RVM366" s="370"/>
      <c r="RVN366" s="365"/>
      <c r="RVO366" s="370"/>
      <c r="RVP366" s="365"/>
      <c r="RVQ366" s="370"/>
      <c r="RVR366" s="365"/>
      <c r="RVS366" s="370"/>
      <c r="RVT366" s="365"/>
      <c r="RVU366" s="370"/>
      <c r="RVV366" s="365"/>
      <c r="RVW366" s="370"/>
      <c r="RVX366" s="365"/>
      <c r="RVY366" s="370"/>
      <c r="RVZ366" s="365"/>
      <c r="RWA366" s="370"/>
      <c r="RWB366" s="365"/>
      <c r="RWC366" s="370"/>
      <c r="RWD366" s="365"/>
      <c r="RWE366" s="370"/>
      <c r="RWF366" s="365"/>
      <c r="RWG366" s="370"/>
      <c r="RWH366" s="365"/>
      <c r="RWI366" s="370"/>
      <c r="RWJ366" s="365"/>
      <c r="RWK366" s="370"/>
      <c r="RWL366" s="365"/>
      <c r="RWM366" s="370"/>
      <c r="RWN366" s="365"/>
      <c r="RWO366" s="370"/>
      <c r="RWP366" s="365"/>
      <c r="RWQ366" s="370"/>
      <c r="RWR366" s="365"/>
      <c r="RWS366" s="370"/>
      <c r="RWT366" s="365"/>
      <c r="RWU366" s="370"/>
      <c r="RWV366" s="365"/>
      <c r="RWW366" s="370"/>
      <c r="RWX366" s="365"/>
      <c r="RWY366" s="370"/>
      <c r="RWZ366" s="365"/>
      <c r="RXA366" s="370"/>
      <c r="RXB366" s="365"/>
      <c r="RXC366" s="370"/>
      <c r="RXD366" s="365"/>
      <c r="RXE366" s="370"/>
      <c r="RXF366" s="365"/>
      <c r="RXG366" s="370"/>
      <c r="RXH366" s="365"/>
      <c r="RXI366" s="370"/>
      <c r="RXJ366" s="365"/>
      <c r="RXK366" s="370"/>
      <c r="RXL366" s="365"/>
      <c r="RXM366" s="370"/>
      <c r="RXN366" s="365"/>
      <c r="RXO366" s="370"/>
      <c r="RXP366" s="365"/>
      <c r="RXQ366" s="370"/>
      <c r="RXR366" s="365"/>
      <c r="RXS366" s="370"/>
      <c r="RXT366" s="365"/>
      <c r="RXU366" s="370"/>
      <c r="RXV366" s="365"/>
      <c r="RXW366" s="370"/>
      <c r="RXX366" s="365"/>
      <c r="RXY366" s="370"/>
      <c r="RXZ366" s="365"/>
      <c r="RYA366" s="370"/>
      <c r="RYB366" s="365"/>
      <c r="RYC366" s="370"/>
      <c r="RYD366" s="365"/>
      <c r="RYE366" s="370"/>
      <c r="RYF366" s="365"/>
      <c r="RYG366" s="370"/>
      <c r="RYH366" s="365"/>
      <c r="RYI366" s="370"/>
      <c r="RYJ366" s="365"/>
      <c r="RYK366" s="370"/>
      <c r="RYL366" s="365"/>
      <c r="RYM366" s="370"/>
      <c r="RYN366" s="365"/>
      <c r="RYO366" s="370"/>
      <c r="RYP366" s="365"/>
      <c r="RYQ366" s="370"/>
      <c r="RYR366" s="365"/>
      <c r="RYS366" s="370"/>
      <c r="RYT366" s="365"/>
      <c r="RYU366" s="370"/>
      <c r="RYV366" s="365"/>
      <c r="RYW366" s="370"/>
      <c r="RYX366" s="365"/>
      <c r="RYY366" s="370"/>
      <c r="RYZ366" s="365"/>
      <c r="RZA366" s="370"/>
      <c r="RZB366" s="365"/>
      <c r="RZC366" s="370"/>
      <c r="RZD366" s="365"/>
      <c r="RZE366" s="370"/>
      <c r="RZF366" s="365"/>
      <c r="RZG366" s="370"/>
      <c r="RZH366" s="365"/>
      <c r="RZI366" s="370"/>
      <c r="RZJ366" s="365"/>
      <c r="RZK366" s="370"/>
      <c r="RZL366" s="365"/>
      <c r="RZM366" s="370"/>
      <c r="RZN366" s="365"/>
      <c r="RZO366" s="370"/>
      <c r="RZP366" s="365"/>
      <c r="RZQ366" s="370"/>
      <c r="RZR366" s="365"/>
      <c r="RZS366" s="370"/>
      <c r="RZT366" s="365"/>
      <c r="RZU366" s="370"/>
      <c r="RZV366" s="365"/>
      <c r="RZW366" s="370"/>
      <c r="RZX366" s="365"/>
      <c r="RZY366" s="370"/>
      <c r="RZZ366" s="365"/>
      <c r="SAA366" s="370"/>
      <c r="SAB366" s="365"/>
      <c r="SAC366" s="370"/>
      <c r="SAD366" s="365"/>
      <c r="SAE366" s="370"/>
      <c r="SAF366" s="365"/>
      <c r="SAG366" s="370"/>
      <c r="SAH366" s="365"/>
      <c r="SAI366" s="370"/>
      <c r="SAJ366" s="365"/>
      <c r="SAK366" s="370"/>
      <c r="SAL366" s="365"/>
      <c r="SAM366" s="370"/>
      <c r="SAN366" s="365"/>
      <c r="SAO366" s="370"/>
      <c r="SAP366" s="365"/>
      <c r="SAQ366" s="370"/>
      <c r="SAR366" s="365"/>
      <c r="SAS366" s="370"/>
      <c r="SAT366" s="365"/>
      <c r="SAU366" s="370"/>
      <c r="SAV366" s="365"/>
      <c r="SAW366" s="370"/>
      <c r="SAX366" s="365"/>
      <c r="SAY366" s="370"/>
      <c r="SAZ366" s="365"/>
      <c r="SBA366" s="370"/>
      <c r="SBB366" s="365"/>
      <c r="SBC366" s="370"/>
      <c r="SBD366" s="365"/>
      <c r="SBE366" s="370"/>
      <c r="SBF366" s="365"/>
      <c r="SBG366" s="370"/>
      <c r="SBH366" s="365"/>
      <c r="SBI366" s="370"/>
      <c r="SBJ366" s="365"/>
      <c r="SBK366" s="370"/>
      <c r="SBL366" s="365"/>
      <c r="SBM366" s="370"/>
      <c r="SBN366" s="365"/>
      <c r="SBO366" s="370"/>
      <c r="SBP366" s="365"/>
      <c r="SBQ366" s="370"/>
      <c r="SBR366" s="365"/>
      <c r="SBS366" s="370"/>
      <c r="SBT366" s="365"/>
      <c r="SBU366" s="370"/>
      <c r="SBV366" s="365"/>
      <c r="SBW366" s="370"/>
      <c r="SBX366" s="365"/>
      <c r="SBY366" s="370"/>
      <c r="SBZ366" s="365"/>
      <c r="SCA366" s="370"/>
      <c r="SCB366" s="365"/>
      <c r="SCC366" s="370"/>
      <c r="SCD366" s="365"/>
      <c r="SCE366" s="370"/>
      <c r="SCF366" s="365"/>
      <c r="SCG366" s="370"/>
      <c r="SCH366" s="365"/>
      <c r="SCI366" s="370"/>
      <c r="SCJ366" s="365"/>
      <c r="SCK366" s="370"/>
      <c r="SCL366" s="365"/>
      <c r="SCM366" s="370"/>
      <c r="SCN366" s="365"/>
      <c r="SCO366" s="370"/>
      <c r="SCP366" s="365"/>
      <c r="SCQ366" s="370"/>
      <c r="SCR366" s="365"/>
      <c r="SCS366" s="370"/>
      <c r="SCT366" s="365"/>
      <c r="SCU366" s="370"/>
      <c r="SCV366" s="365"/>
      <c r="SCW366" s="370"/>
      <c r="SCX366" s="365"/>
      <c r="SCY366" s="370"/>
      <c r="SCZ366" s="365"/>
      <c r="SDA366" s="370"/>
      <c r="SDB366" s="365"/>
      <c r="SDC366" s="370"/>
      <c r="SDD366" s="365"/>
      <c r="SDE366" s="370"/>
      <c r="SDF366" s="365"/>
      <c r="SDG366" s="370"/>
      <c r="SDH366" s="365"/>
      <c r="SDI366" s="370"/>
      <c r="SDJ366" s="365"/>
      <c r="SDK366" s="370"/>
      <c r="SDL366" s="365"/>
      <c r="SDM366" s="370"/>
      <c r="SDN366" s="365"/>
      <c r="SDO366" s="370"/>
      <c r="SDP366" s="365"/>
      <c r="SDQ366" s="370"/>
      <c r="SDR366" s="365"/>
      <c r="SDS366" s="370"/>
      <c r="SDT366" s="365"/>
      <c r="SDU366" s="370"/>
      <c r="SDV366" s="365"/>
      <c r="SDW366" s="370"/>
      <c r="SDX366" s="365"/>
      <c r="SDY366" s="370"/>
      <c r="SDZ366" s="365"/>
      <c r="SEA366" s="370"/>
      <c r="SEB366" s="365"/>
      <c r="SEC366" s="370"/>
      <c r="SED366" s="365"/>
      <c r="SEE366" s="370"/>
      <c r="SEF366" s="365"/>
      <c r="SEG366" s="370"/>
      <c r="SEH366" s="365"/>
      <c r="SEI366" s="370"/>
      <c r="SEJ366" s="365"/>
      <c r="SEK366" s="370"/>
      <c r="SEL366" s="365"/>
      <c r="SEM366" s="370"/>
      <c r="SEN366" s="365"/>
      <c r="SEO366" s="370"/>
      <c r="SEP366" s="365"/>
      <c r="SEQ366" s="370"/>
      <c r="SER366" s="365"/>
      <c r="SES366" s="370"/>
      <c r="SET366" s="365"/>
      <c r="SEU366" s="370"/>
      <c r="SEV366" s="365"/>
      <c r="SEW366" s="370"/>
      <c r="SEX366" s="365"/>
      <c r="SEY366" s="370"/>
      <c r="SEZ366" s="365"/>
      <c r="SFA366" s="370"/>
      <c r="SFB366" s="365"/>
      <c r="SFC366" s="370"/>
      <c r="SFD366" s="365"/>
      <c r="SFE366" s="370"/>
      <c r="SFF366" s="365"/>
      <c r="SFG366" s="370"/>
      <c r="SFH366" s="365"/>
      <c r="SFI366" s="370"/>
      <c r="SFJ366" s="365"/>
      <c r="SFK366" s="370"/>
      <c r="SFL366" s="365"/>
      <c r="SFM366" s="370"/>
      <c r="SFN366" s="365"/>
      <c r="SFO366" s="370"/>
      <c r="SFP366" s="365"/>
      <c r="SFQ366" s="370"/>
      <c r="SFR366" s="365"/>
      <c r="SFS366" s="370"/>
      <c r="SFT366" s="365"/>
      <c r="SFU366" s="370"/>
      <c r="SFV366" s="365"/>
      <c r="SFW366" s="370"/>
      <c r="SFX366" s="365"/>
      <c r="SFY366" s="370"/>
      <c r="SFZ366" s="365"/>
      <c r="SGA366" s="370"/>
      <c r="SGB366" s="365"/>
      <c r="SGC366" s="370"/>
      <c r="SGD366" s="365"/>
      <c r="SGE366" s="370"/>
      <c r="SGF366" s="365"/>
      <c r="SGG366" s="370"/>
      <c r="SGH366" s="365"/>
      <c r="SGI366" s="370"/>
      <c r="SGJ366" s="365"/>
      <c r="SGK366" s="370"/>
      <c r="SGL366" s="365"/>
      <c r="SGM366" s="370"/>
      <c r="SGN366" s="365"/>
      <c r="SGO366" s="370"/>
      <c r="SGP366" s="365"/>
      <c r="SGQ366" s="370"/>
      <c r="SGR366" s="365"/>
      <c r="SGS366" s="370"/>
      <c r="SGT366" s="365"/>
      <c r="SGU366" s="370"/>
      <c r="SGV366" s="365"/>
      <c r="SGW366" s="370"/>
      <c r="SGX366" s="365"/>
      <c r="SGY366" s="370"/>
      <c r="SGZ366" s="365"/>
      <c r="SHA366" s="370"/>
      <c r="SHB366" s="365"/>
      <c r="SHC366" s="370"/>
      <c r="SHD366" s="365"/>
      <c r="SHE366" s="370"/>
      <c r="SHF366" s="365"/>
      <c r="SHG366" s="370"/>
      <c r="SHH366" s="365"/>
      <c r="SHI366" s="370"/>
      <c r="SHJ366" s="365"/>
      <c r="SHK366" s="370"/>
      <c r="SHL366" s="365"/>
      <c r="SHM366" s="370"/>
      <c r="SHN366" s="365"/>
      <c r="SHO366" s="370"/>
      <c r="SHP366" s="365"/>
      <c r="SHQ366" s="370"/>
      <c r="SHR366" s="365"/>
      <c r="SHS366" s="370"/>
      <c r="SHT366" s="365"/>
      <c r="SHU366" s="370"/>
      <c r="SHV366" s="365"/>
      <c r="SHW366" s="370"/>
      <c r="SHX366" s="365"/>
      <c r="SHY366" s="370"/>
      <c r="SHZ366" s="365"/>
      <c r="SIA366" s="370"/>
      <c r="SIB366" s="365"/>
      <c r="SIC366" s="370"/>
      <c r="SID366" s="365"/>
      <c r="SIE366" s="370"/>
      <c r="SIF366" s="365"/>
      <c r="SIG366" s="370"/>
      <c r="SIH366" s="365"/>
      <c r="SII366" s="370"/>
      <c r="SIJ366" s="365"/>
      <c r="SIK366" s="370"/>
      <c r="SIL366" s="365"/>
      <c r="SIM366" s="370"/>
      <c r="SIN366" s="365"/>
      <c r="SIO366" s="370"/>
      <c r="SIP366" s="365"/>
      <c r="SIQ366" s="370"/>
      <c r="SIR366" s="365"/>
      <c r="SIS366" s="370"/>
      <c r="SIT366" s="365"/>
      <c r="SIU366" s="370"/>
      <c r="SIV366" s="365"/>
      <c r="SIW366" s="370"/>
      <c r="SIX366" s="365"/>
      <c r="SIY366" s="370"/>
      <c r="SIZ366" s="365"/>
      <c r="SJA366" s="370"/>
      <c r="SJB366" s="365"/>
      <c r="SJC366" s="370"/>
      <c r="SJD366" s="365"/>
      <c r="SJE366" s="370"/>
      <c r="SJF366" s="365"/>
      <c r="SJG366" s="370"/>
      <c r="SJH366" s="365"/>
      <c r="SJI366" s="370"/>
      <c r="SJJ366" s="365"/>
      <c r="SJK366" s="370"/>
      <c r="SJL366" s="365"/>
      <c r="SJM366" s="370"/>
      <c r="SJN366" s="365"/>
      <c r="SJO366" s="370"/>
      <c r="SJP366" s="365"/>
      <c r="SJQ366" s="370"/>
      <c r="SJR366" s="365"/>
      <c r="SJS366" s="370"/>
      <c r="SJT366" s="365"/>
      <c r="SJU366" s="370"/>
      <c r="SJV366" s="365"/>
      <c r="SJW366" s="370"/>
      <c r="SJX366" s="365"/>
      <c r="SJY366" s="370"/>
      <c r="SJZ366" s="365"/>
      <c r="SKA366" s="370"/>
      <c r="SKB366" s="365"/>
      <c r="SKC366" s="370"/>
      <c r="SKD366" s="365"/>
      <c r="SKE366" s="370"/>
      <c r="SKF366" s="365"/>
      <c r="SKG366" s="370"/>
      <c r="SKH366" s="365"/>
      <c r="SKI366" s="370"/>
      <c r="SKJ366" s="365"/>
      <c r="SKK366" s="370"/>
      <c r="SKL366" s="365"/>
      <c r="SKM366" s="370"/>
      <c r="SKN366" s="365"/>
      <c r="SKO366" s="370"/>
      <c r="SKP366" s="365"/>
      <c r="SKQ366" s="370"/>
      <c r="SKR366" s="365"/>
      <c r="SKS366" s="370"/>
      <c r="SKT366" s="365"/>
      <c r="SKU366" s="370"/>
      <c r="SKV366" s="365"/>
      <c r="SKW366" s="370"/>
      <c r="SKX366" s="365"/>
      <c r="SKY366" s="370"/>
      <c r="SKZ366" s="365"/>
      <c r="SLA366" s="370"/>
      <c r="SLB366" s="365"/>
      <c r="SLC366" s="370"/>
      <c r="SLD366" s="365"/>
      <c r="SLE366" s="370"/>
      <c r="SLF366" s="365"/>
      <c r="SLG366" s="370"/>
      <c r="SLH366" s="365"/>
      <c r="SLI366" s="370"/>
      <c r="SLJ366" s="365"/>
      <c r="SLK366" s="370"/>
      <c r="SLL366" s="365"/>
      <c r="SLM366" s="370"/>
      <c r="SLN366" s="365"/>
      <c r="SLO366" s="370"/>
      <c r="SLP366" s="365"/>
      <c r="SLQ366" s="370"/>
      <c r="SLR366" s="365"/>
      <c r="SLS366" s="370"/>
      <c r="SLT366" s="365"/>
      <c r="SLU366" s="370"/>
      <c r="SLV366" s="365"/>
      <c r="SLW366" s="370"/>
      <c r="SLX366" s="365"/>
      <c r="SLY366" s="370"/>
      <c r="SLZ366" s="365"/>
      <c r="SMA366" s="370"/>
      <c r="SMB366" s="365"/>
      <c r="SMC366" s="370"/>
      <c r="SMD366" s="365"/>
      <c r="SME366" s="370"/>
      <c r="SMF366" s="365"/>
      <c r="SMG366" s="370"/>
      <c r="SMH366" s="365"/>
      <c r="SMI366" s="370"/>
      <c r="SMJ366" s="365"/>
      <c r="SMK366" s="370"/>
      <c r="SML366" s="365"/>
      <c r="SMM366" s="370"/>
      <c r="SMN366" s="365"/>
      <c r="SMO366" s="370"/>
      <c r="SMP366" s="365"/>
      <c r="SMQ366" s="370"/>
      <c r="SMR366" s="365"/>
      <c r="SMS366" s="370"/>
      <c r="SMT366" s="365"/>
      <c r="SMU366" s="370"/>
      <c r="SMV366" s="365"/>
      <c r="SMW366" s="370"/>
      <c r="SMX366" s="365"/>
      <c r="SMY366" s="370"/>
      <c r="SMZ366" s="365"/>
      <c r="SNA366" s="370"/>
      <c r="SNB366" s="365"/>
      <c r="SNC366" s="370"/>
      <c r="SND366" s="365"/>
      <c r="SNE366" s="370"/>
      <c r="SNF366" s="365"/>
      <c r="SNG366" s="370"/>
      <c r="SNH366" s="365"/>
      <c r="SNI366" s="370"/>
      <c r="SNJ366" s="365"/>
      <c r="SNK366" s="370"/>
      <c r="SNL366" s="365"/>
      <c r="SNM366" s="370"/>
      <c r="SNN366" s="365"/>
      <c r="SNO366" s="370"/>
      <c r="SNP366" s="365"/>
      <c r="SNQ366" s="370"/>
      <c r="SNR366" s="365"/>
      <c r="SNS366" s="370"/>
      <c r="SNT366" s="365"/>
      <c r="SNU366" s="370"/>
      <c r="SNV366" s="365"/>
      <c r="SNW366" s="370"/>
      <c r="SNX366" s="365"/>
      <c r="SNY366" s="370"/>
      <c r="SNZ366" s="365"/>
      <c r="SOA366" s="370"/>
      <c r="SOB366" s="365"/>
      <c r="SOC366" s="370"/>
      <c r="SOD366" s="365"/>
      <c r="SOE366" s="370"/>
      <c r="SOF366" s="365"/>
      <c r="SOG366" s="370"/>
      <c r="SOH366" s="365"/>
      <c r="SOI366" s="370"/>
      <c r="SOJ366" s="365"/>
      <c r="SOK366" s="370"/>
      <c r="SOL366" s="365"/>
      <c r="SOM366" s="370"/>
      <c r="SON366" s="365"/>
      <c r="SOO366" s="370"/>
      <c r="SOP366" s="365"/>
      <c r="SOQ366" s="370"/>
      <c r="SOR366" s="365"/>
      <c r="SOS366" s="370"/>
      <c r="SOT366" s="365"/>
      <c r="SOU366" s="370"/>
      <c r="SOV366" s="365"/>
      <c r="SOW366" s="370"/>
      <c r="SOX366" s="365"/>
      <c r="SOY366" s="370"/>
      <c r="SOZ366" s="365"/>
      <c r="SPA366" s="370"/>
      <c r="SPB366" s="365"/>
      <c r="SPC366" s="370"/>
      <c r="SPD366" s="365"/>
      <c r="SPE366" s="370"/>
      <c r="SPF366" s="365"/>
      <c r="SPG366" s="370"/>
      <c r="SPH366" s="365"/>
      <c r="SPI366" s="370"/>
      <c r="SPJ366" s="365"/>
      <c r="SPK366" s="370"/>
      <c r="SPL366" s="365"/>
      <c r="SPM366" s="370"/>
      <c r="SPN366" s="365"/>
      <c r="SPO366" s="370"/>
      <c r="SPP366" s="365"/>
      <c r="SPQ366" s="370"/>
      <c r="SPR366" s="365"/>
      <c r="SPS366" s="370"/>
      <c r="SPT366" s="365"/>
      <c r="SPU366" s="370"/>
      <c r="SPV366" s="365"/>
      <c r="SPW366" s="370"/>
      <c r="SPX366" s="365"/>
      <c r="SPY366" s="370"/>
      <c r="SPZ366" s="365"/>
      <c r="SQA366" s="370"/>
      <c r="SQB366" s="365"/>
      <c r="SQC366" s="370"/>
      <c r="SQD366" s="365"/>
      <c r="SQE366" s="370"/>
      <c r="SQF366" s="365"/>
      <c r="SQG366" s="370"/>
      <c r="SQH366" s="365"/>
      <c r="SQI366" s="370"/>
      <c r="SQJ366" s="365"/>
      <c r="SQK366" s="370"/>
      <c r="SQL366" s="365"/>
      <c r="SQM366" s="370"/>
      <c r="SQN366" s="365"/>
      <c r="SQO366" s="370"/>
      <c r="SQP366" s="365"/>
      <c r="SQQ366" s="370"/>
      <c r="SQR366" s="365"/>
      <c r="SQS366" s="370"/>
      <c r="SQT366" s="365"/>
      <c r="SQU366" s="370"/>
      <c r="SQV366" s="365"/>
      <c r="SQW366" s="370"/>
      <c r="SQX366" s="365"/>
      <c r="SQY366" s="370"/>
      <c r="SQZ366" s="365"/>
      <c r="SRA366" s="370"/>
      <c r="SRB366" s="365"/>
      <c r="SRC366" s="370"/>
      <c r="SRD366" s="365"/>
      <c r="SRE366" s="370"/>
      <c r="SRF366" s="365"/>
      <c r="SRG366" s="370"/>
      <c r="SRH366" s="365"/>
      <c r="SRI366" s="370"/>
      <c r="SRJ366" s="365"/>
      <c r="SRK366" s="370"/>
      <c r="SRL366" s="365"/>
      <c r="SRM366" s="370"/>
      <c r="SRN366" s="365"/>
      <c r="SRO366" s="370"/>
      <c r="SRP366" s="365"/>
      <c r="SRQ366" s="370"/>
      <c r="SRR366" s="365"/>
      <c r="SRS366" s="370"/>
      <c r="SRT366" s="365"/>
      <c r="SRU366" s="370"/>
      <c r="SRV366" s="365"/>
      <c r="SRW366" s="370"/>
      <c r="SRX366" s="365"/>
      <c r="SRY366" s="370"/>
      <c r="SRZ366" s="365"/>
      <c r="SSA366" s="370"/>
      <c r="SSB366" s="365"/>
      <c r="SSC366" s="370"/>
      <c r="SSD366" s="365"/>
      <c r="SSE366" s="370"/>
      <c r="SSF366" s="365"/>
      <c r="SSG366" s="370"/>
      <c r="SSH366" s="365"/>
      <c r="SSI366" s="370"/>
      <c r="SSJ366" s="365"/>
      <c r="SSK366" s="370"/>
      <c r="SSL366" s="365"/>
      <c r="SSM366" s="370"/>
      <c r="SSN366" s="365"/>
      <c r="SSO366" s="370"/>
      <c r="SSP366" s="365"/>
      <c r="SSQ366" s="370"/>
      <c r="SSR366" s="365"/>
      <c r="SSS366" s="370"/>
      <c r="SST366" s="365"/>
      <c r="SSU366" s="370"/>
      <c r="SSV366" s="365"/>
      <c r="SSW366" s="370"/>
      <c r="SSX366" s="365"/>
      <c r="SSY366" s="370"/>
      <c r="SSZ366" s="365"/>
      <c r="STA366" s="370"/>
      <c r="STB366" s="365"/>
      <c r="STC366" s="370"/>
      <c r="STD366" s="365"/>
      <c r="STE366" s="370"/>
      <c r="STF366" s="365"/>
      <c r="STG366" s="370"/>
      <c r="STH366" s="365"/>
      <c r="STI366" s="370"/>
      <c r="STJ366" s="365"/>
      <c r="STK366" s="370"/>
      <c r="STL366" s="365"/>
      <c r="STM366" s="370"/>
      <c r="STN366" s="365"/>
      <c r="STO366" s="370"/>
      <c r="STP366" s="365"/>
      <c r="STQ366" s="370"/>
      <c r="STR366" s="365"/>
      <c r="STS366" s="370"/>
      <c r="STT366" s="365"/>
      <c r="STU366" s="370"/>
      <c r="STV366" s="365"/>
      <c r="STW366" s="370"/>
      <c r="STX366" s="365"/>
      <c r="STY366" s="370"/>
      <c r="STZ366" s="365"/>
      <c r="SUA366" s="370"/>
      <c r="SUB366" s="365"/>
      <c r="SUC366" s="370"/>
      <c r="SUD366" s="365"/>
      <c r="SUE366" s="370"/>
      <c r="SUF366" s="365"/>
      <c r="SUG366" s="370"/>
      <c r="SUH366" s="365"/>
      <c r="SUI366" s="370"/>
      <c r="SUJ366" s="365"/>
      <c r="SUK366" s="370"/>
      <c r="SUL366" s="365"/>
      <c r="SUM366" s="370"/>
      <c r="SUN366" s="365"/>
      <c r="SUO366" s="370"/>
      <c r="SUP366" s="365"/>
      <c r="SUQ366" s="370"/>
      <c r="SUR366" s="365"/>
      <c r="SUS366" s="370"/>
      <c r="SUT366" s="365"/>
      <c r="SUU366" s="370"/>
      <c r="SUV366" s="365"/>
      <c r="SUW366" s="370"/>
      <c r="SUX366" s="365"/>
      <c r="SUY366" s="370"/>
      <c r="SUZ366" s="365"/>
      <c r="SVA366" s="370"/>
      <c r="SVB366" s="365"/>
      <c r="SVC366" s="370"/>
      <c r="SVD366" s="365"/>
      <c r="SVE366" s="370"/>
      <c r="SVF366" s="365"/>
      <c r="SVG366" s="370"/>
      <c r="SVH366" s="365"/>
      <c r="SVI366" s="370"/>
      <c r="SVJ366" s="365"/>
      <c r="SVK366" s="370"/>
      <c r="SVL366" s="365"/>
      <c r="SVM366" s="370"/>
      <c r="SVN366" s="365"/>
      <c r="SVO366" s="370"/>
      <c r="SVP366" s="365"/>
      <c r="SVQ366" s="370"/>
      <c r="SVR366" s="365"/>
      <c r="SVS366" s="370"/>
      <c r="SVT366" s="365"/>
      <c r="SVU366" s="370"/>
      <c r="SVV366" s="365"/>
      <c r="SVW366" s="370"/>
      <c r="SVX366" s="365"/>
      <c r="SVY366" s="370"/>
      <c r="SVZ366" s="365"/>
      <c r="SWA366" s="370"/>
      <c r="SWB366" s="365"/>
      <c r="SWC366" s="370"/>
      <c r="SWD366" s="365"/>
      <c r="SWE366" s="370"/>
      <c r="SWF366" s="365"/>
      <c r="SWG366" s="370"/>
      <c r="SWH366" s="365"/>
      <c r="SWI366" s="370"/>
      <c r="SWJ366" s="365"/>
      <c r="SWK366" s="370"/>
      <c r="SWL366" s="365"/>
      <c r="SWM366" s="370"/>
      <c r="SWN366" s="365"/>
      <c r="SWO366" s="370"/>
      <c r="SWP366" s="365"/>
      <c r="SWQ366" s="370"/>
      <c r="SWR366" s="365"/>
      <c r="SWS366" s="370"/>
      <c r="SWT366" s="365"/>
      <c r="SWU366" s="370"/>
      <c r="SWV366" s="365"/>
      <c r="SWW366" s="370"/>
      <c r="SWX366" s="365"/>
      <c r="SWY366" s="370"/>
      <c r="SWZ366" s="365"/>
      <c r="SXA366" s="370"/>
      <c r="SXB366" s="365"/>
      <c r="SXC366" s="370"/>
      <c r="SXD366" s="365"/>
      <c r="SXE366" s="370"/>
      <c r="SXF366" s="365"/>
      <c r="SXG366" s="370"/>
      <c r="SXH366" s="365"/>
      <c r="SXI366" s="370"/>
      <c r="SXJ366" s="365"/>
      <c r="SXK366" s="370"/>
      <c r="SXL366" s="365"/>
      <c r="SXM366" s="370"/>
      <c r="SXN366" s="365"/>
      <c r="SXO366" s="370"/>
      <c r="SXP366" s="365"/>
      <c r="SXQ366" s="370"/>
      <c r="SXR366" s="365"/>
      <c r="SXS366" s="370"/>
      <c r="SXT366" s="365"/>
      <c r="SXU366" s="370"/>
      <c r="SXV366" s="365"/>
      <c r="SXW366" s="370"/>
      <c r="SXX366" s="365"/>
      <c r="SXY366" s="370"/>
      <c r="SXZ366" s="365"/>
      <c r="SYA366" s="370"/>
      <c r="SYB366" s="365"/>
      <c r="SYC366" s="370"/>
      <c r="SYD366" s="365"/>
      <c r="SYE366" s="370"/>
      <c r="SYF366" s="365"/>
      <c r="SYG366" s="370"/>
      <c r="SYH366" s="365"/>
      <c r="SYI366" s="370"/>
      <c r="SYJ366" s="365"/>
      <c r="SYK366" s="370"/>
      <c r="SYL366" s="365"/>
      <c r="SYM366" s="370"/>
      <c r="SYN366" s="365"/>
      <c r="SYO366" s="370"/>
      <c r="SYP366" s="365"/>
      <c r="SYQ366" s="370"/>
      <c r="SYR366" s="365"/>
      <c r="SYS366" s="370"/>
      <c r="SYT366" s="365"/>
      <c r="SYU366" s="370"/>
      <c r="SYV366" s="365"/>
      <c r="SYW366" s="370"/>
      <c r="SYX366" s="365"/>
      <c r="SYY366" s="370"/>
      <c r="SYZ366" s="365"/>
      <c r="SZA366" s="370"/>
      <c r="SZB366" s="365"/>
      <c r="SZC366" s="370"/>
      <c r="SZD366" s="365"/>
      <c r="SZE366" s="370"/>
      <c r="SZF366" s="365"/>
      <c r="SZG366" s="370"/>
      <c r="SZH366" s="365"/>
      <c r="SZI366" s="370"/>
      <c r="SZJ366" s="365"/>
      <c r="SZK366" s="370"/>
      <c r="SZL366" s="365"/>
      <c r="SZM366" s="370"/>
      <c r="SZN366" s="365"/>
      <c r="SZO366" s="370"/>
      <c r="SZP366" s="365"/>
      <c r="SZQ366" s="370"/>
      <c r="SZR366" s="365"/>
      <c r="SZS366" s="370"/>
      <c r="SZT366" s="365"/>
      <c r="SZU366" s="370"/>
      <c r="SZV366" s="365"/>
      <c r="SZW366" s="370"/>
      <c r="SZX366" s="365"/>
      <c r="SZY366" s="370"/>
      <c r="SZZ366" s="365"/>
      <c r="TAA366" s="370"/>
      <c r="TAB366" s="365"/>
      <c r="TAC366" s="370"/>
      <c r="TAD366" s="365"/>
      <c r="TAE366" s="370"/>
      <c r="TAF366" s="365"/>
      <c r="TAG366" s="370"/>
      <c r="TAH366" s="365"/>
      <c r="TAI366" s="370"/>
      <c r="TAJ366" s="365"/>
      <c r="TAK366" s="370"/>
      <c r="TAL366" s="365"/>
      <c r="TAM366" s="370"/>
      <c r="TAN366" s="365"/>
      <c r="TAO366" s="370"/>
      <c r="TAP366" s="365"/>
      <c r="TAQ366" s="370"/>
      <c r="TAR366" s="365"/>
      <c r="TAS366" s="370"/>
      <c r="TAT366" s="365"/>
      <c r="TAU366" s="370"/>
      <c r="TAV366" s="365"/>
      <c r="TAW366" s="370"/>
      <c r="TAX366" s="365"/>
      <c r="TAY366" s="370"/>
      <c r="TAZ366" s="365"/>
      <c r="TBA366" s="370"/>
      <c r="TBB366" s="365"/>
      <c r="TBC366" s="370"/>
      <c r="TBD366" s="365"/>
      <c r="TBE366" s="370"/>
      <c r="TBF366" s="365"/>
      <c r="TBG366" s="370"/>
      <c r="TBH366" s="365"/>
      <c r="TBI366" s="370"/>
      <c r="TBJ366" s="365"/>
      <c r="TBK366" s="370"/>
      <c r="TBL366" s="365"/>
      <c r="TBM366" s="370"/>
      <c r="TBN366" s="365"/>
      <c r="TBO366" s="370"/>
      <c r="TBP366" s="365"/>
      <c r="TBQ366" s="370"/>
      <c r="TBR366" s="365"/>
      <c r="TBS366" s="370"/>
      <c r="TBT366" s="365"/>
      <c r="TBU366" s="370"/>
      <c r="TBV366" s="365"/>
      <c r="TBW366" s="370"/>
      <c r="TBX366" s="365"/>
      <c r="TBY366" s="370"/>
      <c r="TBZ366" s="365"/>
      <c r="TCA366" s="370"/>
      <c r="TCB366" s="365"/>
      <c r="TCC366" s="370"/>
      <c r="TCD366" s="365"/>
      <c r="TCE366" s="370"/>
      <c r="TCF366" s="365"/>
      <c r="TCG366" s="370"/>
      <c r="TCH366" s="365"/>
      <c r="TCI366" s="370"/>
      <c r="TCJ366" s="365"/>
      <c r="TCK366" s="370"/>
      <c r="TCL366" s="365"/>
      <c r="TCM366" s="370"/>
      <c r="TCN366" s="365"/>
      <c r="TCO366" s="370"/>
      <c r="TCP366" s="365"/>
      <c r="TCQ366" s="370"/>
      <c r="TCR366" s="365"/>
      <c r="TCS366" s="370"/>
      <c r="TCT366" s="365"/>
      <c r="TCU366" s="370"/>
      <c r="TCV366" s="365"/>
      <c r="TCW366" s="370"/>
      <c r="TCX366" s="365"/>
      <c r="TCY366" s="370"/>
      <c r="TCZ366" s="365"/>
      <c r="TDA366" s="370"/>
      <c r="TDB366" s="365"/>
      <c r="TDC366" s="370"/>
      <c r="TDD366" s="365"/>
      <c r="TDE366" s="370"/>
      <c r="TDF366" s="365"/>
      <c r="TDG366" s="370"/>
      <c r="TDH366" s="365"/>
      <c r="TDI366" s="370"/>
      <c r="TDJ366" s="365"/>
      <c r="TDK366" s="370"/>
      <c r="TDL366" s="365"/>
      <c r="TDM366" s="370"/>
      <c r="TDN366" s="365"/>
      <c r="TDO366" s="370"/>
      <c r="TDP366" s="365"/>
      <c r="TDQ366" s="370"/>
      <c r="TDR366" s="365"/>
      <c r="TDS366" s="370"/>
      <c r="TDT366" s="365"/>
      <c r="TDU366" s="370"/>
      <c r="TDV366" s="365"/>
      <c r="TDW366" s="370"/>
      <c r="TDX366" s="365"/>
      <c r="TDY366" s="370"/>
      <c r="TDZ366" s="365"/>
      <c r="TEA366" s="370"/>
      <c r="TEB366" s="365"/>
      <c r="TEC366" s="370"/>
      <c r="TED366" s="365"/>
      <c r="TEE366" s="370"/>
      <c r="TEF366" s="365"/>
      <c r="TEG366" s="370"/>
      <c r="TEH366" s="365"/>
      <c r="TEI366" s="370"/>
      <c r="TEJ366" s="365"/>
      <c r="TEK366" s="370"/>
      <c r="TEL366" s="365"/>
      <c r="TEM366" s="370"/>
      <c r="TEN366" s="365"/>
      <c r="TEO366" s="370"/>
      <c r="TEP366" s="365"/>
      <c r="TEQ366" s="370"/>
      <c r="TER366" s="365"/>
      <c r="TES366" s="370"/>
      <c r="TET366" s="365"/>
      <c r="TEU366" s="370"/>
      <c r="TEV366" s="365"/>
      <c r="TEW366" s="370"/>
      <c r="TEX366" s="365"/>
      <c r="TEY366" s="370"/>
      <c r="TEZ366" s="365"/>
      <c r="TFA366" s="370"/>
      <c r="TFB366" s="365"/>
      <c r="TFC366" s="370"/>
      <c r="TFD366" s="365"/>
      <c r="TFE366" s="370"/>
      <c r="TFF366" s="365"/>
      <c r="TFG366" s="370"/>
      <c r="TFH366" s="365"/>
      <c r="TFI366" s="370"/>
      <c r="TFJ366" s="365"/>
      <c r="TFK366" s="370"/>
      <c r="TFL366" s="365"/>
      <c r="TFM366" s="370"/>
      <c r="TFN366" s="365"/>
      <c r="TFO366" s="370"/>
      <c r="TFP366" s="365"/>
      <c r="TFQ366" s="370"/>
      <c r="TFR366" s="365"/>
      <c r="TFS366" s="370"/>
      <c r="TFT366" s="365"/>
      <c r="TFU366" s="370"/>
      <c r="TFV366" s="365"/>
      <c r="TFW366" s="370"/>
      <c r="TFX366" s="365"/>
      <c r="TFY366" s="370"/>
      <c r="TFZ366" s="365"/>
      <c r="TGA366" s="370"/>
      <c r="TGB366" s="365"/>
      <c r="TGC366" s="370"/>
      <c r="TGD366" s="365"/>
      <c r="TGE366" s="370"/>
      <c r="TGF366" s="365"/>
      <c r="TGG366" s="370"/>
      <c r="TGH366" s="365"/>
      <c r="TGI366" s="370"/>
      <c r="TGJ366" s="365"/>
      <c r="TGK366" s="370"/>
      <c r="TGL366" s="365"/>
      <c r="TGM366" s="370"/>
      <c r="TGN366" s="365"/>
      <c r="TGO366" s="370"/>
      <c r="TGP366" s="365"/>
      <c r="TGQ366" s="370"/>
      <c r="TGR366" s="365"/>
      <c r="TGS366" s="370"/>
      <c r="TGT366" s="365"/>
      <c r="TGU366" s="370"/>
      <c r="TGV366" s="365"/>
      <c r="TGW366" s="370"/>
      <c r="TGX366" s="365"/>
      <c r="TGY366" s="370"/>
      <c r="TGZ366" s="365"/>
      <c r="THA366" s="370"/>
      <c r="THB366" s="365"/>
      <c r="THC366" s="370"/>
      <c r="THD366" s="365"/>
      <c r="THE366" s="370"/>
      <c r="THF366" s="365"/>
      <c r="THG366" s="370"/>
      <c r="THH366" s="365"/>
      <c r="THI366" s="370"/>
      <c r="THJ366" s="365"/>
      <c r="THK366" s="370"/>
      <c r="THL366" s="365"/>
      <c r="THM366" s="370"/>
      <c r="THN366" s="365"/>
      <c r="THO366" s="370"/>
      <c r="THP366" s="365"/>
      <c r="THQ366" s="370"/>
      <c r="THR366" s="365"/>
      <c r="THS366" s="370"/>
      <c r="THT366" s="365"/>
      <c r="THU366" s="370"/>
      <c r="THV366" s="365"/>
      <c r="THW366" s="370"/>
      <c r="THX366" s="365"/>
      <c r="THY366" s="370"/>
      <c r="THZ366" s="365"/>
      <c r="TIA366" s="370"/>
      <c r="TIB366" s="365"/>
      <c r="TIC366" s="370"/>
      <c r="TID366" s="365"/>
      <c r="TIE366" s="370"/>
      <c r="TIF366" s="365"/>
      <c r="TIG366" s="370"/>
      <c r="TIH366" s="365"/>
      <c r="TII366" s="370"/>
      <c r="TIJ366" s="365"/>
      <c r="TIK366" s="370"/>
      <c r="TIL366" s="365"/>
      <c r="TIM366" s="370"/>
      <c r="TIN366" s="365"/>
      <c r="TIO366" s="370"/>
      <c r="TIP366" s="365"/>
      <c r="TIQ366" s="370"/>
      <c r="TIR366" s="365"/>
      <c r="TIS366" s="370"/>
      <c r="TIT366" s="365"/>
      <c r="TIU366" s="370"/>
      <c r="TIV366" s="365"/>
      <c r="TIW366" s="370"/>
      <c r="TIX366" s="365"/>
      <c r="TIY366" s="370"/>
      <c r="TIZ366" s="365"/>
      <c r="TJA366" s="370"/>
      <c r="TJB366" s="365"/>
      <c r="TJC366" s="370"/>
      <c r="TJD366" s="365"/>
      <c r="TJE366" s="370"/>
      <c r="TJF366" s="365"/>
      <c r="TJG366" s="370"/>
      <c r="TJH366" s="365"/>
      <c r="TJI366" s="370"/>
      <c r="TJJ366" s="365"/>
      <c r="TJK366" s="370"/>
      <c r="TJL366" s="365"/>
      <c r="TJM366" s="370"/>
      <c r="TJN366" s="365"/>
      <c r="TJO366" s="370"/>
      <c r="TJP366" s="365"/>
      <c r="TJQ366" s="370"/>
      <c r="TJR366" s="365"/>
      <c r="TJS366" s="370"/>
      <c r="TJT366" s="365"/>
      <c r="TJU366" s="370"/>
      <c r="TJV366" s="365"/>
      <c r="TJW366" s="370"/>
      <c r="TJX366" s="365"/>
      <c r="TJY366" s="370"/>
      <c r="TJZ366" s="365"/>
      <c r="TKA366" s="370"/>
      <c r="TKB366" s="365"/>
      <c r="TKC366" s="370"/>
      <c r="TKD366" s="365"/>
      <c r="TKE366" s="370"/>
      <c r="TKF366" s="365"/>
      <c r="TKG366" s="370"/>
      <c r="TKH366" s="365"/>
      <c r="TKI366" s="370"/>
      <c r="TKJ366" s="365"/>
      <c r="TKK366" s="370"/>
      <c r="TKL366" s="365"/>
      <c r="TKM366" s="370"/>
      <c r="TKN366" s="365"/>
      <c r="TKO366" s="370"/>
      <c r="TKP366" s="365"/>
      <c r="TKQ366" s="370"/>
      <c r="TKR366" s="365"/>
      <c r="TKS366" s="370"/>
      <c r="TKT366" s="365"/>
      <c r="TKU366" s="370"/>
      <c r="TKV366" s="365"/>
      <c r="TKW366" s="370"/>
      <c r="TKX366" s="365"/>
      <c r="TKY366" s="370"/>
      <c r="TKZ366" s="365"/>
      <c r="TLA366" s="370"/>
      <c r="TLB366" s="365"/>
      <c r="TLC366" s="370"/>
      <c r="TLD366" s="365"/>
      <c r="TLE366" s="370"/>
      <c r="TLF366" s="365"/>
      <c r="TLG366" s="370"/>
      <c r="TLH366" s="365"/>
      <c r="TLI366" s="370"/>
      <c r="TLJ366" s="365"/>
      <c r="TLK366" s="370"/>
      <c r="TLL366" s="365"/>
      <c r="TLM366" s="370"/>
      <c r="TLN366" s="365"/>
      <c r="TLO366" s="370"/>
      <c r="TLP366" s="365"/>
      <c r="TLQ366" s="370"/>
      <c r="TLR366" s="365"/>
      <c r="TLS366" s="370"/>
      <c r="TLT366" s="365"/>
      <c r="TLU366" s="370"/>
      <c r="TLV366" s="365"/>
      <c r="TLW366" s="370"/>
      <c r="TLX366" s="365"/>
      <c r="TLY366" s="370"/>
      <c r="TLZ366" s="365"/>
      <c r="TMA366" s="370"/>
      <c r="TMB366" s="365"/>
      <c r="TMC366" s="370"/>
      <c r="TMD366" s="365"/>
      <c r="TME366" s="370"/>
      <c r="TMF366" s="365"/>
      <c r="TMG366" s="370"/>
      <c r="TMH366" s="365"/>
      <c r="TMI366" s="370"/>
      <c r="TMJ366" s="365"/>
      <c r="TMK366" s="370"/>
      <c r="TML366" s="365"/>
      <c r="TMM366" s="370"/>
      <c r="TMN366" s="365"/>
      <c r="TMO366" s="370"/>
      <c r="TMP366" s="365"/>
      <c r="TMQ366" s="370"/>
      <c r="TMR366" s="365"/>
      <c r="TMS366" s="370"/>
      <c r="TMT366" s="365"/>
      <c r="TMU366" s="370"/>
      <c r="TMV366" s="365"/>
      <c r="TMW366" s="370"/>
      <c r="TMX366" s="365"/>
      <c r="TMY366" s="370"/>
      <c r="TMZ366" s="365"/>
      <c r="TNA366" s="370"/>
      <c r="TNB366" s="365"/>
      <c r="TNC366" s="370"/>
      <c r="TND366" s="365"/>
      <c r="TNE366" s="370"/>
      <c r="TNF366" s="365"/>
      <c r="TNG366" s="370"/>
      <c r="TNH366" s="365"/>
      <c r="TNI366" s="370"/>
      <c r="TNJ366" s="365"/>
      <c r="TNK366" s="370"/>
      <c r="TNL366" s="365"/>
      <c r="TNM366" s="370"/>
      <c r="TNN366" s="365"/>
      <c r="TNO366" s="370"/>
      <c r="TNP366" s="365"/>
      <c r="TNQ366" s="370"/>
      <c r="TNR366" s="365"/>
      <c r="TNS366" s="370"/>
      <c r="TNT366" s="365"/>
      <c r="TNU366" s="370"/>
      <c r="TNV366" s="365"/>
      <c r="TNW366" s="370"/>
      <c r="TNX366" s="365"/>
      <c r="TNY366" s="370"/>
      <c r="TNZ366" s="365"/>
      <c r="TOA366" s="370"/>
      <c r="TOB366" s="365"/>
      <c r="TOC366" s="370"/>
      <c r="TOD366" s="365"/>
      <c r="TOE366" s="370"/>
      <c r="TOF366" s="365"/>
      <c r="TOG366" s="370"/>
      <c r="TOH366" s="365"/>
      <c r="TOI366" s="370"/>
      <c r="TOJ366" s="365"/>
      <c r="TOK366" s="370"/>
      <c r="TOL366" s="365"/>
      <c r="TOM366" s="370"/>
      <c r="TON366" s="365"/>
      <c r="TOO366" s="370"/>
      <c r="TOP366" s="365"/>
      <c r="TOQ366" s="370"/>
      <c r="TOR366" s="365"/>
      <c r="TOS366" s="370"/>
      <c r="TOT366" s="365"/>
      <c r="TOU366" s="370"/>
      <c r="TOV366" s="365"/>
      <c r="TOW366" s="370"/>
      <c r="TOX366" s="365"/>
      <c r="TOY366" s="370"/>
      <c r="TOZ366" s="365"/>
      <c r="TPA366" s="370"/>
      <c r="TPB366" s="365"/>
      <c r="TPC366" s="370"/>
      <c r="TPD366" s="365"/>
      <c r="TPE366" s="370"/>
      <c r="TPF366" s="365"/>
      <c r="TPG366" s="370"/>
      <c r="TPH366" s="365"/>
      <c r="TPI366" s="370"/>
      <c r="TPJ366" s="365"/>
      <c r="TPK366" s="370"/>
      <c r="TPL366" s="365"/>
      <c r="TPM366" s="370"/>
      <c r="TPN366" s="365"/>
      <c r="TPO366" s="370"/>
      <c r="TPP366" s="365"/>
      <c r="TPQ366" s="370"/>
      <c r="TPR366" s="365"/>
      <c r="TPS366" s="370"/>
      <c r="TPT366" s="365"/>
      <c r="TPU366" s="370"/>
      <c r="TPV366" s="365"/>
      <c r="TPW366" s="370"/>
      <c r="TPX366" s="365"/>
      <c r="TPY366" s="370"/>
      <c r="TPZ366" s="365"/>
      <c r="TQA366" s="370"/>
      <c r="TQB366" s="365"/>
      <c r="TQC366" s="370"/>
      <c r="TQD366" s="365"/>
      <c r="TQE366" s="370"/>
      <c r="TQF366" s="365"/>
      <c r="TQG366" s="370"/>
      <c r="TQH366" s="365"/>
      <c r="TQI366" s="370"/>
      <c r="TQJ366" s="365"/>
      <c r="TQK366" s="370"/>
      <c r="TQL366" s="365"/>
      <c r="TQM366" s="370"/>
      <c r="TQN366" s="365"/>
      <c r="TQO366" s="370"/>
      <c r="TQP366" s="365"/>
      <c r="TQQ366" s="370"/>
      <c r="TQR366" s="365"/>
      <c r="TQS366" s="370"/>
      <c r="TQT366" s="365"/>
      <c r="TQU366" s="370"/>
      <c r="TQV366" s="365"/>
      <c r="TQW366" s="370"/>
      <c r="TQX366" s="365"/>
      <c r="TQY366" s="370"/>
      <c r="TQZ366" s="365"/>
      <c r="TRA366" s="370"/>
      <c r="TRB366" s="365"/>
      <c r="TRC366" s="370"/>
      <c r="TRD366" s="365"/>
      <c r="TRE366" s="370"/>
      <c r="TRF366" s="365"/>
      <c r="TRG366" s="370"/>
      <c r="TRH366" s="365"/>
      <c r="TRI366" s="370"/>
      <c r="TRJ366" s="365"/>
      <c r="TRK366" s="370"/>
      <c r="TRL366" s="365"/>
      <c r="TRM366" s="370"/>
      <c r="TRN366" s="365"/>
      <c r="TRO366" s="370"/>
      <c r="TRP366" s="365"/>
      <c r="TRQ366" s="370"/>
      <c r="TRR366" s="365"/>
      <c r="TRS366" s="370"/>
      <c r="TRT366" s="365"/>
      <c r="TRU366" s="370"/>
      <c r="TRV366" s="365"/>
      <c r="TRW366" s="370"/>
      <c r="TRX366" s="365"/>
      <c r="TRY366" s="370"/>
      <c r="TRZ366" s="365"/>
      <c r="TSA366" s="370"/>
      <c r="TSB366" s="365"/>
      <c r="TSC366" s="370"/>
      <c r="TSD366" s="365"/>
      <c r="TSE366" s="370"/>
      <c r="TSF366" s="365"/>
      <c r="TSG366" s="370"/>
      <c r="TSH366" s="365"/>
      <c r="TSI366" s="370"/>
      <c r="TSJ366" s="365"/>
      <c r="TSK366" s="370"/>
      <c r="TSL366" s="365"/>
      <c r="TSM366" s="370"/>
      <c r="TSN366" s="365"/>
      <c r="TSO366" s="370"/>
      <c r="TSP366" s="365"/>
      <c r="TSQ366" s="370"/>
      <c r="TSR366" s="365"/>
      <c r="TSS366" s="370"/>
      <c r="TST366" s="365"/>
      <c r="TSU366" s="370"/>
      <c r="TSV366" s="365"/>
      <c r="TSW366" s="370"/>
      <c r="TSX366" s="365"/>
      <c r="TSY366" s="370"/>
      <c r="TSZ366" s="365"/>
      <c r="TTA366" s="370"/>
      <c r="TTB366" s="365"/>
      <c r="TTC366" s="370"/>
      <c r="TTD366" s="365"/>
      <c r="TTE366" s="370"/>
      <c r="TTF366" s="365"/>
      <c r="TTG366" s="370"/>
      <c r="TTH366" s="365"/>
      <c r="TTI366" s="370"/>
      <c r="TTJ366" s="365"/>
      <c r="TTK366" s="370"/>
      <c r="TTL366" s="365"/>
      <c r="TTM366" s="370"/>
      <c r="TTN366" s="365"/>
      <c r="TTO366" s="370"/>
      <c r="TTP366" s="365"/>
      <c r="TTQ366" s="370"/>
      <c r="TTR366" s="365"/>
      <c r="TTS366" s="370"/>
      <c r="TTT366" s="365"/>
      <c r="TTU366" s="370"/>
      <c r="TTV366" s="365"/>
      <c r="TTW366" s="370"/>
      <c r="TTX366" s="365"/>
      <c r="TTY366" s="370"/>
      <c r="TTZ366" s="365"/>
      <c r="TUA366" s="370"/>
      <c r="TUB366" s="365"/>
      <c r="TUC366" s="370"/>
      <c r="TUD366" s="365"/>
      <c r="TUE366" s="370"/>
      <c r="TUF366" s="365"/>
      <c r="TUG366" s="370"/>
      <c r="TUH366" s="365"/>
      <c r="TUI366" s="370"/>
      <c r="TUJ366" s="365"/>
      <c r="TUK366" s="370"/>
      <c r="TUL366" s="365"/>
      <c r="TUM366" s="370"/>
      <c r="TUN366" s="365"/>
      <c r="TUO366" s="370"/>
      <c r="TUP366" s="365"/>
      <c r="TUQ366" s="370"/>
      <c r="TUR366" s="365"/>
      <c r="TUS366" s="370"/>
      <c r="TUT366" s="365"/>
      <c r="TUU366" s="370"/>
      <c r="TUV366" s="365"/>
      <c r="TUW366" s="370"/>
      <c r="TUX366" s="365"/>
      <c r="TUY366" s="370"/>
      <c r="TUZ366" s="365"/>
      <c r="TVA366" s="370"/>
      <c r="TVB366" s="365"/>
      <c r="TVC366" s="370"/>
      <c r="TVD366" s="365"/>
      <c r="TVE366" s="370"/>
      <c r="TVF366" s="365"/>
      <c r="TVG366" s="370"/>
      <c r="TVH366" s="365"/>
      <c r="TVI366" s="370"/>
      <c r="TVJ366" s="365"/>
      <c r="TVK366" s="370"/>
      <c r="TVL366" s="365"/>
      <c r="TVM366" s="370"/>
      <c r="TVN366" s="365"/>
      <c r="TVO366" s="370"/>
      <c r="TVP366" s="365"/>
      <c r="TVQ366" s="370"/>
      <c r="TVR366" s="365"/>
      <c r="TVS366" s="370"/>
      <c r="TVT366" s="365"/>
      <c r="TVU366" s="370"/>
      <c r="TVV366" s="365"/>
      <c r="TVW366" s="370"/>
      <c r="TVX366" s="365"/>
      <c r="TVY366" s="370"/>
      <c r="TVZ366" s="365"/>
      <c r="TWA366" s="370"/>
      <c r="TWB366" s="365"/>
      <c r="TWC366" s="370"/>
      <c r="TWD366" s="365"/>
      <c r="TWE366" s="370"/>
      <c r="TWF366" s="365"/>
      <c r="TWG366" s="370"/>
      <c r="TWH366" s="365"/>
      <c r="TWI366" s="370"/>
      <c r="TWJ366" s="365"/>
      <c r="TWK366" s="370"/>
      <c r="TWL366" s="365"/>
      <c r="TWM366" s="370"/>
      <c r="TWN366" s="365"/>
      <c r="TWO366" s="370"/>
      <c r="TWP366" s="365"/>
      <c r="TWQ366" s="370"/>
      <c r="TWR366" s="365"/>
      <c r="TWS366" s="370"/>
      <c r="TWT366" s="365"/>
      <c r="TWU366" s="370"/>
      <c r="TWV366" s="365"/>
      <c r="TWW366" s="370"/>
      <c r="TWX366" s="365"/>
      <c r="TWY366" s="370"/>
      <c r="TWZ366" s="365"/>
      <c r="TXA366" s="370"/>
      <c r="TXB366" s="365"/>
      <c r="TXC366" s="370"/>
      <c r="TXD366" s="365"/>
      <c r="TXE366" s="370"/>
      <c r="TXF366" s="365"/>
      <c r="TXG366" s="370"/>
      <c r="TXH366" s="365"/>
      <c r="TXI366" s="370"/>
      <c r="TXJ366" s="365"/>
      <c r="TXK366" s="370"/>
      <c r="TXL366" s="365"/>
      <c r="TXM366" s="370"/>
      <c r="TXN366" s="365"/>
      <c r="TXO366" s="370"/>
      <c r="TXP366" s="365"/>
      <c r="TXQ366" s="370"/>
      <c r="TXR366" s="365"/>
      <c r="TXS366" s="370"/>
      <c r="TXT366" s="365"/>
      <c r="TXU366" s="370"/>
      <c r="TXV366" s="365"/>
      <c r="TXW366" s="370"/>
      <c r="TXX366" s="365"/>
      <c r="TXY366" s="370"/>
      <c r="TXZ366" s="365"/>
      <c r="TYA366" s="370"/>
      <c r="TYB366" s="365"/>
      <c r="TYC366" s="370"/>
      <c r="TYD366" s="365"/>
      <c r="TYE366" s="370"/>
      <c r="TYF366" s="365"/>
      <c r="TYG366" s="370"/>
      <c r="TYH366" s="365"/>
      <c r="TYI366" s="370"/>
      <c r="TYJ366" s="365"/>
      <c r="TYK366" s="370"/>
      <c r="TYL366" s="365"/>
      <c r="TYM366" s="370"/>
      <c r="TYN366" s="365"/>
      <c r="TYO366" s="370"/>
      <c r="TYP366" s="365"/>
      <c r="TYQ366" s="370"/>
      <c r="TYR366" s="365"/>
      <c r="TYS366" s="370"/>
      <c r="TYT366" s="365"/>
      <c r="TYU366" s="370"/>
      <c r="TYV366" s="365"/>
      <c r="TYW366" s="370"/>
      <c r="TYX366" s="365"/>
      <c r="TYY366" s="370"/>
      <c r="TYZ366" s="365"/>
      <c r="TZA366" s="370"/>
      <c r="TZB366" s="365"/>
      <c r="TZC366" s="370"/>
      <c r="TZD366" s="365"/>
      <c r="TZE366" s="370"/>
      <c r="TZF366" s="365"/>
      <c r="TZG366" s="370"/>
      <c r="TZH366" s="365"/>
      <c r="TZI366" s="370"/>
      <c r="TZJ366" s="365"/>
      <c r="TZK366" s="370"/>
      <c r="TZL366" s="365"/>
      <c r="TZM366" s="370"/>
      <c r="TZN366" s="365"/>
      <c r="TZO366" s="370"/>
      <c r="TZP366" s="365"/>
      <c r="TZQ366" s="370"/>
      <c r="TZR366" s="365"/>
      <c r="TZS366" s="370"/>
      <c r="TZT366" s="365"/>
      <c r="TZU366" s="370"/>
      <c r="TZV366" s="365"/>
      <c r="TZW366" s="370"/>
      <c r="TZX366" s="365"/>
      <c r="TZY366" s="370"/>
      <c r="TZZ366" s="365"/>
      <c r="UAA366" s="370"/>
      <c r="UAB366" s="365"/>
      <c r="UAC366" s="370"/>
      <c r="UAD366" s="365"/>
      <c r="UAE366" s="370"/>
      <c r="UAF366" s="365"/>
      <c r="UAG366" s="370"/>
      <c r="UAH366" s="365"/>
      <c r="UAI366" s="370"/>
      <c r="UAJ366" s="365"/>
      <c r="UAK366" s="370"/>
      <c r="UAL366" s="365"/>
      <c r="UAM366" s="370"/>
      <c r="UAN366" s="365"/>
      <c r="UAO366" s="370"/>
      <c r="UAP366" s="365"/>
      <c r="UAQ366" s="370"/>
      <c r="UAR366" s="365"/>
      <c r="UAS366" s="370"/>
      <c r="UAT366" s="365"/>
      <c r="UAU366" s="370"/>
      <c r="UAV366" s="365"/>
      <c r="UAW366" s="370"/>
      <c r="UAX366" s="365"/>
      <c r="UAY366" s="370"/>
      <c r="UAZ366" s="365"/>
      <c r="UBA366" s="370"/>
      <c r="UBB366" s="365"/>
      <c r="UBC366" s="370"/>
      <c r="UBD366" s="365"/>
      <c r="UBE366" s="370"/>
      <c r="UBF366" s="365"/>
      <c r="UBG366" s="370"/>
      <c r="UBH366" s="365"/>
      <c r="UBI366" s="370"/>
      <c r="UBJ366" s="365"/>
      <c r="UBK366" s="370"/>
      <c r="UBL366" s="365"/>
      <c r="UBM366" s="370"/>
      <c r="UBN366" s="365"/>
      <c r="UBO366" s="370"/>
      <c r="UBP366" s="365"/>
      <c r="UBQ366" s="370"/>
      <c r="UBR366" s="365"/>
      <c r="UBS366" s="370"/>
      <c r="UBT366" s="365"/>
      <c r="UBU366" s="370"/>
      <c r="UBV366" s="365"/>
      <c r="UBW366" s="370"/>
      <c r="UBX366" s="365"/>
      <c r="UBY366" s="370"/>
      <c r="UBZ366" s="365"/>
      <c r="UCA366" s="370"/>
      <c r="UCB366" s="365"/>
      <c r="UCC366" s="370"/>
      <c r="UCD366" s="365"/>
      <c r="UCE366" s="370"/>
      <c r="UCF366" s="365"/>
      <c r="UCG366" s="370"/>
      <c r="UCH366" s="365"/>
      <c r="UCI366" s="370"/>
      <c r="UCJ366" s="365"/>
      <c r="UCK366" s="370"/>
      <c r="UCL366" s="365"/>
      <c r="UCM366" s="370"/>
      <c r="UCN366" s="365"/>
      <c r="UCO366" s="370"/>
      <c r="UCP366" s="365"/>
      <c r="UCQ366" s="370"/>
      <c r="UCR366" s="365"/>
      <c r="UCS366" s="370"/>
      <c r="UCT366" s="365"/>
      <c r="UCU366" s="370"/>
      <c r="UCV366" s="365"/>
      <c r="UCW366" s="370"/>
      <c r="UCX366" s="365"/>
      <c r="UCY366" s="370"/>
      <c r="UCZ366" s="365"/>
      <c r="UDA366" s="370"/>
      <c r="UDB366" s="365"/>
      <c r="UDC366" s="370"/>
      <c r="UDD366" s="365"/>
      <c r="UDE366" s="370"/>
      <c r="UDF366" s="365"/>
      <c r="UDG366" s="370"/>
      <c r="UDH366" s="365"/>
      <c r="UDI366" s="370"/>
      <c r="UDJ366" s="365"/>
      <c r="UDK366" s="370"/>
      <c r="UDL366" s="365"/>
      <c r="UDM366" s="370"/>
      <c r="UDN366" s="365"/>
      <c r="UDO366" s="370"/>
      <c r="UDP366" s="365"/>
      <c r="UDQ366" s="370"/>
      <c r="UDR366" s="365"/>
      <c r="UDS366" s="370"/>
      <c r="UDT366" s="365"/>
      <c r="UDU366" s="370"/>
      <c r="UDV366" s="365"/>
      <c r="UDW366" s="370"/>
      <c r="UDX366" s="365"/>
      <c r="UDY366" s="370"/>
      <c r="UDZ366" s="365"/>
      <c r="UEA366" s="370"/>
      <c r="UEB366" s="365"/>
      <c r="UEC366" s="370"/>
      <c r="UED366" s="365"/>
      <c r="UEE366" s="370"/>
      <c r="UEF366" s="365"/>
      <c r="UEG366" s="370"/>
      <c r="UEH366" s="365"/>
      <c r="UEI366" s="370"/>
      <c r="UEJ366" s="365"/>
      <c r="UEK366" s="370"/>
      <c r="UEL366" s="365"/>
      <c r="UEM366" s="370"/>
      <c r="UEN366" s="365"/>
      <c r="UEO366" s="370"/>
      <c r="UEP366" s="365"/>
      <c r="UEQ366" s="370"/>
      <c r="UER366" s="365"/>
      <c r="UES366" s="370"/>
      <c r="UET366" s="365"/>
      <c r="UEU366" s="370"/>
      <c r="UEV366" s="365"/>
      <c r="UEW366" s="370"/>
      <c r="UEX366" s="365"/>
      <c r="UEY366" s="370"/>
      <c r="UEZ366" s="365"/>
      <c r="UFA366" s="370"/>
      <c r="UFB366" s="365"/>
      <c r="UFC366" s="370"/>
      <c r="UFD366" s="365"/>
      <c r="UFE366" s="370"/>
      <c r="UFF366" s="365"/>
      <c r="UFG366" s="370"/>
      <c r="UFH366" s="365"/>
      <c r="UFI366" s="370"/>
      <c r="UFJ366" s="365"/>
      <c r="UFK366" s="370"/>
      <c r="UFL366" s="365"/>
      <c r="UFM366" s="370"/>
      <c r="UFN366" s="365"/>
      <c r="UFO366" s="370"/>
      <c r="UFP366" s="365"/>
      <c r="UFQ366" s="370"/>
      <c r="UFR366" s="365"/>
      <c r="UFS366" s="370"/>
      <c r="UFT366" s="365"/>
      <c r="UFU366" s="370"/>
      <c r="UFV366" s="365"/>
      <c r="UFW366" s="370"/>
      <c r="UFX366" s="365"/>
      <c r="UFY366" s="370"/>
      <c r="UFZ366" s="365"/>
      <c r="UGA366" s="370"/>
      <c r="UGB366" s="365"/>
      <c r="UGC366" s="370"/>
      <c r="UGD366" s="365"/>
      <c r="UGE366" s="370"/>
      <c r="UGF366" s="365"/>
      <c r="UGG366" s="370"/>
      <c r="UGH366" s="365"/>
      <c r="UGI366" s="370"/>
      <c r="UGJ366" s="365"/>
      <c r="UGK366" s="370"/>
      <c r="UGL366" s="365"/>
      <c r="UGM366" s="370"/>
      <c r="UGN366" s="365"/>
      <c r="UGO366" s="370"/>
      <c r="UGP366" s="365"/>
      <c r="UGQ366" s="370"/>
      <c r="UGR366" s="365"/>
      <c r="UGS366" s="370"/>
      <c r="UGT366" s="365"/>
      <c r="UGU366" s="370"/>
      <c r="UGV366" s="365"/>
      <c r="UGW366" s="370"/>
      <c r="UGX366" s="365"/>
      <c r="UGY366" s="370"/>
      <c r="UGZ366" s="365"/>
      <c r="UHA366" s="370"/>
      <c r="UHB366" s="365"/>
      <c r="UHC366" s="370"/>
      <c r="UHD366" s="365"/>
      <c r="UHE366" s="370"/>
      <c r="UHF366" s="365"/>
      <c r="UHG366" s="370"/>
      <c r="UHH366" s="365"/>
      <c r="UHI366" s="370"/>
      <c r="UHJ366" s="365"/>
      <c r="UHK366" s="370"/>
      <c r="UHL366" s="365"/>
      <c r="UHM366" s="370"/>
      <c r="UHN366" s="365"/>
      <c r="UHO366" s="370"/>
      <c r="UHP366" s="365"/>
      <c r="UHQ366" s="370"/>
      <c r="UHR366" s="365"/>
      <c r="UHS366" s="370"/>
      <c r="UHT366" s="365"/>
      <c r="UHU366" s="370"/>
      <c r="UHV366" s="365"/>
      <c r="UHW366" s="370"/>
      <c r="UHX366" s="365"/>
      <c r="UHY366" s="370"/>
      <c r="UHZ366" s="365"/>
      <c r="UIA366" s="370"/>
      <c r="UIB366" s="365"/>
      <c r="UIC366" s="370"/>
      <c r="UID366" s="365"/>
      <c r="UIE366" s="370"/>
      <c r="UIF366" s="365"/>
      <c r="UIG366" s="370"/>
      <c r="UIH366" s="365"/>
      <c r="UII366" s="370"/>
      <c r="UIJ366" s="365"/>
      <c r="UIK366" s="370"/>
      <c r="UIL366" s="365"/>
      <c r="UIM366" s="370"/>
      <c r="UIN366" s="365"/>
      <c r="UIO366" s="370"/>
      <c r="UIP366" s="365"/>
      <c r="UIQ366" s="370"/>
      <c r="UIR366" s="365"/>
      <c r="UIS366" s="370"/>
      <c r="UIT366" s="365"/>
      <c r="UIU366" s="370"/>
      <c r="UIV366" s="365"/>
      <c r="UIW366" s="370"/>
      <c r="UIX366" s="365"/>
      <c r="UIY366" s="370"/>
      <c r="UIZ366" s="365"/>
      <c r="UJA366" s="370"/>
      <c r="UJB366" s="365"/>
      <c r="UJC366" s="370"/>
      <c r="UJD366" s="365"/>
      <c r="UJE366" s="370"/>
      <c r="UJF366" s="365"/>
      <c r="UJG366" s="370"/>
      <c r="UJH366" s="365"/>
      <c r="UJI366" s="370"/>
      <c r="UJJ366" s="365"/>
      <c r="UJK366" s="370"/>
      <c r="UJL366" s="365"/>
      <c r="UJM366" s="370"/>
      <c r="UJN366" s="365"/>
      <c r="UJO366" s="370"/>
      <c r="UJP366" s="365"/>
      <c r="UJQ366" s="370"/>
      <c r="UJR366" s="365"/>
      <c r="UJS366" s="370"/>
      <c r="UJT366" s="365"/>
      <c r="UJU366" s="370"/>
      <c r="UJV366" s="365"/>
      <c r="UJW366" s="370"/>
      <c r="UJX366" s="365"/>
      <c r="UJY366" s="370"/>
      <c r="UJZ366" s="365"/>
      <c r="UKA366" s="370"/>
      <c r="UKB366" s="365"/>
      <c r="UKC366" s="370"/>
      <c r="UKD366" s="365"/>
      <c r="UKE366" s="370"/>
      <c r="UKF366" s="365"/>
      <c r="UKG366" s="370"/>
      <c r="UKH366" s="365"/>
      <c r="UKI366" s="370"/>
      <c r="UKJ366" s="365"/>
      <c r="UKK366" s="370"/>
      <c r="UKL366" s="365"/>
      <c r="UKM366" s="370"/>
      <c r="UKN366" s="365"/>
      <c r="UKO366" s="370"/>
      <c r="UKP366" s="365"/>
      <c r="UKQ366" s="370"/>
      <c r="UKR366" s="365"/>
      <c r="UKS366" s="370"/>
      <c r="UKT366" s="365"/>
      <c r="UKU366" s="370"/>
      <c r="UKV366" s="365"/>
      <c r="UKW366" s="370"/>
      <c r="UKX366" s="365"/>
      <c r="UKY366" s="370"/>
      <c r="UKZ366" s="365"/>
      <c r="ULA366" s="370"/>
      <c r="ULB366" s="365"/>
      <c r="ULC366" s="370"/>
      <c r="ULD366" s="365"/>
      <c r="ULE366" s="370"/>
      <c r="ULF366" s="365"/>
      <c r="ULG366" s="370"/>
      <c r="ULH366" s="365"/>
      <c r="ULI366" s="370"/>
      <c r="ULJ366" s="365"/>
      <c r="ULK366" s="370"/>
      <c r="ULL366" s="365"/>
      <c r="ULM366" s="370"/>
      <c r="ULN366" s="365"/>
      <c r="ULO366" s="370"/>
      <c r="ULP366" s="365"/>
      <c r="ULQ366" s="370"/>
      <c r="ULR366" s="365"/>
      <c r="ULS366" s="370"/>
      <c r="ULT366" s="365"/>
      <c r="ULU366" s="370"/>
      <c r="ULV366" s="365"/>
      <c r="ULW366" s="370"/>
      <c r="ULX366" s="365"/>
      <c r="ULY366" s="370"/>
      <c r="ULZ366" s="365"/>
      <c r="UMA366" s="370"/>
      <c r="UMB366" s="365"/>
      <c r="UMC366" s="370"/>
      <c r="UMD366" s="365"/>
      <c r="UME366" s="370"/>
      <c r="UMF366" s="365"/>
      <c r="UMG366" s="370"/>
      <c r="UMH366" s="365"/>
      <c r="UMI366" s="370"/>
      <c r="UMJ366" s="365"/>
      <c r="UMK366" s="370"/>
      <c r="UML366" s="365"/>
      <c r="UMM366" s="370"/>
      <c r="UMN366" s="365"/>
      <c r="UMO366" s="370"/>
      <c r="UMP366" s="365"/>
      <c r="UMQ366" s="370"/>
      <c r="UMR366" s="365"/>
      <c r="UMS366" s="370"/>
      <c r="UMT366" s="365"/>
      <c r="UMU366" s="370"/>
      <c r="UMV366" s="365"/>
      <c r="UMW366" s="370"/>
      <c r="UMX366" s="365"/>
      <c r="UMY366" s="370"/>
      <c r="UMZ366" s="365"/>
      <c r="UNA366" s="370"/>
      <c r="UNB366" s="365"/>
      <c r="UNC366" s="370"/>
      <c r="UND366" s="365"/>
      <c r="UNE366" s="370"/>
      <c r="UNF366" s="365"/>
      <c r="UNG366" s="370"/>
      <c r="UNH366" s="365"/>
      <c r="UNI366" s="370"/>
      <c r="UNJ366" s="365"/>
      <c r="UNK366" s="370"/>
      <c r="UNL366" s="365"/>
      <c r="UNM366" s="370"/>
      <c r="UNN366" s="365"/>
      <c r="UNO366" s="370"/>
      <c r="UNP366" s="365"/>
      <c r="UNQ366" s="370"/>
      <c r="UNR366" s="365"/>
      <c r="UNS366" s="370"/>
      <c r="UNT366" s="365"/>
      <c r="UNU366" s="370"/>
      <c r="UNV366" s="365"/>
      <c r="UNW366" s="370"/>
      <c r="UNX366" s="365"/>
      <c r="UNY366" s="370"/>
      <c r="UNZ366" s="365"/>
      <c r="UOA366" s="370"/>
      <c r="UOB366" s="365"/>
      <c r="UOC366" s="370"/>
      <c r="UOD366" s="365"/>
      <c r="UOE366" s="370"/>
      <c r="UOF366" s="365"/>
      <c r="UOG366" s="370"/>
      <c r="UOH366" s="365"/>
      <c r="UOI366" s="370"/>
      <c r="UOJ366" s="365"/>
      <c r="UOK366" s="370"/>
      <c r="UOL366" s="365"/>
      <c r="UOM366" s="370"/>
      <c r="UON366" s="365"/>
      <c r="UOO366" s="370"/>
      <c r="UOP366" s="365"/>
      <c r="UOQ366" s="370"/>
      <c r="UOR366" s="365"/>
      <c r="UOS366" s="370"/>
      <c r="UOT366" s="365"/>
      <c r="UOU366" s="370"/>
      <c r="UOV366" s="365"/>
      <c r="UOW366" s="370"/>
      <c r="UOX366" s="365"/>
      <c r="UOY366" s="370"/>
      <c r="UOZ366" s="365"/>
      <c r="UPA366" s="370"/>
      <c r="UPB366" s="365"/>
      <c r="UPC366" s="370"/>
      <c r="UPD366" s="365"/>
      <c r="UPE366" s="370"/>
      <c r="UPF366" s="365"/>
      <c r="UPG366" s="370"/>
      <c r="UPH366" s="365"/>
      <c r="UPI366" s="370"/>
      <c r="UPJ366" s="365"/>
      <c r="UPK366" s="370"/>
      <c r="UPL366" s="365"/>
      <c r="UPM366" s="370"/>
      <c r="UPN366" s="365"/>
      <c r="UPO366" s="370"/>
      <c r="UPP366" s="365"/>
      <c r="UPQ366" s="370"/>
      <c r="UPR366" s="365"/>
      <c r="UPS366" s="370"/>
      <c r="UPT366" s="365"/>
      <c r="UPU366" s="370"/>
      <c r="UPV366" s="365"/>
      <c r="UPW366" s="370"/>
      <c r="UPX366" s="365"/>
      <c r="UPY366" s="370"/>
      <c r="UPZ366" s="365"/>
      <c r="UQA366" s="370"/>
      <c r="UQB366" s="365"/>
      <c r="UQC366" s="370"/>
      <c r="UQD366" s="365"/>
      <c r="UQE366" s="370"/>
      <c r="UQF366" s="365"/>
      <c r="UQG366" s="370"/>
      <c r="UQH366" s="365"/>
      <c r="UQI366" s="370"/>
      <c r="UQJ366" s="365"/>
      <c r="UQK366" s="370"/>
      <c r="UQL366" s="365"/>
      <c r="UQM366" s="370"/>
      <c r="UQN366" s="365"/>
      <c r="UQO366" s="370"/>
      <c r="UQP366" s="365"/>
      <c r="UQQ366" s="370"/>
      <c r="UQR366" s="365"/>
      <c r="UQS366" s="370"/>
      <c r="UQT366" s="365"/>
      <c r="UQU366" s="370"/>
      <c r="UQV366" s="365"/>
      <c r="UQW366" s="370"/>
      <c r="UQX366" s="365"/>
      <c r="UQY366" s="370"/>
      <c r="UQZ366" s="365"/>
      <c r="URA366" s="370"/>
      <c r="URB366" s="365"/>
      <c r="URC366" s="370"/>
      <c r="URD366" s="365"/>
      <c r="URE366" s="370"/>
      <c r="URF366" s="365"/>
      <c r="URG366" s="370"/>
      <c r="URH366" s="365"/>
      <c r="URI366" s="370"/>
      <c r="URJ366" s="365"/>
      <c r="URK366" s="370"/>
      <c r="URL366" s="365"/>
      <c r="URM366" s="370"/>
      <c r="URN366" s="365"/>
      <c r="URO366" s="370"/>
      <c r="URP366" s="365"/>
      <c r="URQ366" s="370"/>
      <c r="URR366" s="365"/>
      <c r="URS366" s="370"/>
      <c r="URT366" s="365"/>
      <c r="URU366" s="370"/>
      <c r="URV366" s="365"/>
      <c r="URW366" s="370"/>
      <c r="URX366" s="365"/>
      <c r="URY366" s="370"/>
      <c r="URZ366" s="365"/>
      <c r="USA366" s="370"/>
      <c r="USB366" s="365"/>
      <c r="USC366" s="370"/>
      <c r="USD366" s="365"/>
      <c r="USE366" s="370"/>
      <c r="USF366" s="365"/>
      <c r="USG366" s="370"/>
      <c r="USH366" s="365"/>
      <c r="USI366" s="370"/>
      <c r="USJ366" s="365"/>
      <c r="USK366" s="370"/>
      <c r="USL366" s="365"/>
      <c r="USM366" s="370"/>
      <c r="USN366" s="365"/>
      <c r="USO366" s="370"/>
      <c r="USP366" s="365"/>
      <c r="USQ366" s="370"/>
      <c r="USR366" s="365"/>
      <c r="USS366" s="370"/>
      <c r="UST366" s="365"/>
      <c r="USU366" s="370"/>
      <c r="USV366" s="365"/>
      <c r="USW366" s="370"/>
      <c r="USX366" s="365"/>
      <c r="USY366" s="370"/>
      <c r="USZ366" s="365"/>
      <c r="UTA366" s="370"/>
      <c r="UTB366" s="365"/>
      <c r="UTC366" s="370"/>
      <c r="UTD366" s="365"/>
      <c r="UTE366" s="370"/>
      <c r="UTF366" s="365"/>
      <c r="UTG366" s="370"/>
      <c r="UTH366" s="365"/>
      <c r="UTI366" s="370"/>
      <c r="UTJ366" s="365"/>
      <c r="UTK366" s="370"/>
      <c r="UTL366" s="365"/>
      <c r="UTM366" s="370"/>
      <c r="UTN366" s="365"/>
      <c r="UTO366" s="370"/>
      <c r="UTP366" s="365"/>
      <c r="UTQ366" s="370"/>
      <c r="UTR366" s="365"/>
      <c r="UTS366" s="370"/>
      <c r="UTT366" s="365"/>
      <c r="UTU366" s="370"/>
      <c r="UTV366" s="365"/>
      <c r="UTW366" s="370"/>
      <c r="UTX366" s="365"/>
      <c r="UTY366" s="370"/>
      <c r="UTZ366" s="365"/>
      <c r="UUA366" s="370"/>
      <c r="UUB366" s="365"/>
      <c r="UUC366" s="370"/>
      <c r="UUD366" s="365"/>
      <c r="UUE366" s="370"/>
      <c r="UUF366" s="365"/>
      <c r="UUG366" s="370"/>
      <c r="UUH366" s="365"/>
      <c r="UUI366" s="370"/>
      <c r="UUJ366" s="365"/>
      <c r="UUK366" s="370"/>
      <c r="UUL366" s="365"/>
      <c r="UUM366" s="370"/>
      <c r="UUN366" s="365"/>
      <c r="UUO366" s="370"/>
      <c r="UUP366" s="365"/>
      <c r="UUQ366" s="370"/>
      <c r="UUR366" s="365"/>
      <c r="UUS366" s="370"/>
      <c r="UUT366" s="365"/>
      <c r="UUU366" s="370"/>
      <c r="UUV366" s="365"/>
      <c r="UUW366" s="370"/>
      <c r="UUX366" s="365"/>
      <c r="UUY366" s="370"/>
      <c r="UUZ366" s="365"/>
      <c r="UVA366" s="370"/>
      <c r="UVB366" s="365"/>
      <c r="UVC366" s="370"/>
      <c r="UVD366" s="365"/>
      <c r="UVE366" s="370"/>
      <c r="UVF366" s="365"/>
      <c r="UVG366" s="370"/>
      <c r="UVH366" s="365"/>
      <c r="UVI366" s="370"/>
      <c r="UVJ366" s="365"/>
      <c r="UVK366" s="370"/>
      <c r="UVL366" s="365"/>
      <c r="UVM366" s="370"/>
      <c r="UVN366" s="365"/>
      <c r="UVO366" s="370"/>
      <c r="UVP366" s="365"/>
      <c r="UVQ366" s="370"/>
      <c r="UVR366" s="365"/>
      <c r="UVS366" s="370"/>
      <c r="UVT366" s="365"/>
      <c r="UVU366" s="370"/>
      <c r="UVV366" s="365"/>
      <c r="UVW366" s="370"/>
      <c r="UVX366" s="365"/>
      <c r="UVY366" s="370"/>
      <c r="UVZ366" s="365"/>
      <c r="UWA366" s="370"/>
      <c r="UWB366" s="365"/>
      <c r="UWC366" s="370"/>
      <c r="UWD366" s="365"/>
      <c r="UWE366" s="370"/>
      <c r="UWF366" s="365"/>
      <c r="UWG366" s="370"/>
      <c r="UWH366" s="365"/>
      <c r="UWI366" s="370"/>
      <c r="UWJ366" s="365"/>
      <c r="UWK366" s="370"/>
      <c r="UWL366" s="365"/>
      <c r="UWM366" s="370"/>
      <c r="UWN366" s="365"/>
      <c r="UWO366" s="370"/>
      <c r="UWP366" s="365"/>
      <c r="UWQ366" s="370"/>
      <c r="UWR366" s="365"/>
      <c r="UWS366" s="370"/>
      <c r="UWT366" s="365"/>
      <c r="UWU366" s="370"/>
      <c r="UWV366" s="365"/>
      <c r="UWW366" s="370"/>
      <c r="UWX366" s="365"/>
      <c r="UWY366" s="370"/>
      <c r="UWZ366" s="365"/>
      <c r="UXA366" s="370"/>
      <c r="UXB366" s="365"/>
      <c r="UXC366" s="370"/>
      <c r="UXD366" s="365"/>
      <c r="UXE366" s="370"/>
      <c r="UXF366" s="365"/>
      <c r="UXG366" s="370"/>
      <c r="UXH366" s="365"/>
      <c r="UXI366" s="370"/>
      <c r="UXJ366" s="365"/>
      <c r="UXK366" s="370"/>
      <c r="UXL366" s="365"/>
      <c r="UXM366" s="370"/>
      <c r="UXN366" s="365"/>
      <c r="UXO366" s="370"/>
      <c r="UXP366" s="365"/>
      <c r="UXQ366" s="370"/>
      <c r="UXR366" s="365"/>
      <c r="UXS366" s="370"/>
      <c r="UXT366" s="365"/>
      <c r="UXU366" s="370"/>
      <c r="UXV366" s="365"/>
      <c r="UXW366" s="370"/>
      <c r="UXX366" s="365"/>
      <c r="UXY366" s="370"/>
      <c r="UXZ366" s="365"/>
      <c r="UYA366" s="370"/>
      <c r="UYB366" s="365"/>
      <c r="UYC366" s="370"/>
      <c r="UYD366" s="365"/>
      <c r="UYE366" s="370"/>
      <c r="UYF366" s="365"/>
      <c r="UYG366" s="370"/>
      <c r="UYH366" s="365"/>
      <c r="UYI366" s="370"/>
      <c r="UYJ366" s="365"/>
      <c r="UYK366" s="370"/>
      <c r="UYL366" s="365"/>
      <c r="UYM366" s="370"/>
      <c r="UYN366" s="365"/>
      <c r="UYO366" s="370"/>
      <c r="UYP366" s="365"/>
      <c r="UYQ366" s="370"/>
      <c r="UYR366" s="365"/>
      <c r="UYS366" s="370"/>
      <c r="UYT366" s="365"/>
      <c r="UYU366" s="370"/>
      <c r="UYV366" s="365"/>
      <c r="UYW366" s="370"/>
      <c r="UYX366" s="365"/>
      <c r="UYY366" s="370"/>
      <c r="UYZ366" s="365"/>
      <c r="UZA366" s="370"/>
      <c r="UZB366" s="365"/>
      <c r="UZC366" s="370"/>
      <c r="UZD366" s="365"/>
      <c r="UZE366" s="370"/>
      <c r="UZF366" s="365"/>
      <c r="UZG366" s="370"/>
      <c r="UZH366" s="365"/>
      <c r="UZI366" s="370"/>
      <c r="UZJ366" s="365"/>
      <c r="UZK366" s="370"/>
      <c r="UZL366" s="365"/>
      <c r="UZM366" s="370"/>
      <c r="UZN366" s="365"/>
      <c r="UZO366" s="370"/>
      <c r="UZP366" s="365"/>
      <c r="UZQ366" s="370"/>
      <c r="UZR366" s="365"/>
      <c r="UZS366" s="370"/>
      <c r="UZT366" s="365"/>
      <c r="UZU366" s="370"/>
      <c r="UZV366" s="365"/>
      <c r="UZW366" s="370"/>
      <c r="UZX366" s="365"/>
      <c r="UZY366" s="370"/>
      <c r="UZZ366" s="365"/>
      <c r="VAA366" s="370"/>
      <c r="VAB366" s="365"/>
      <c r="VAC366" s="370"/>
      <c r="VAD366" s="365"/>
      <c r="VAE366" s="370"/>
      <c r="VAF366" s="365"/>
      <c r="VAG366" s="370"/>
      <c r="VAH366" s="365"/>
      <c r="VAI366" s="370"/>
      <c r="VAJ366" s="365"/>
      <c r="VAK366" s="370"/>
      <c r="VAL366" s="365"/>
      <c r="VAM366" s="370"/>
      <c r="VAN366" s="365"/>
      <c r="VAO366" s="370"/>
      <c r="VAP366" s="365"/>
      <c r="VAQ366" s="370"/>
      <c r="VAR366" s="365"/>
      <c r="VAS366" s="370"/>
      <c r="VAT366" s="365"/>
      <c r="VAU366" s="370"/>
      <c r="VAV366" s="365"/>
      <c r="VAW366" s="370"/>
      <c r="VAX366" s="365"/>
      <c r="VAY366" s="370"/>
      <c r="VAZ366" s="365"/>
      <c r="VBA366" s="370"/>
      <c r="VBB366" s="365"/>
      <c r="VBC366" s="370"/>
      <c r="VBD366" s="365"/>
      <c r="VBE366" s="370"/>
      <c r="VBF366" s="365"/>
      <c r="VBG366" s="370"/>
      <c r="VBH366" s="365"/>
      <c r="VBI366" s="370"/>
      <c r="VBJ366" s="365"/>
      <c r="VBK366" s="370"/>
      <c r="VBL366" s="365"/>
      <c r="VBM366" s="370"/>
      <c r="VBN366" s="365"/>
      <c r="VBO366" s="370"/>
      <c r="VBP366" s="365"/>
      <c r="VBQ366" s="370"/>
      <c r="VBR366" s="365"/>
      <c r="VBS366" s="370"/>
      <c r="VBT366" s="365"/>
      <c r="VBU366" s="370"/>
      <c r="VBV366" s="365"/>
      <c r="VBW366" s="370"/>
      <c r="VBX366" s="365"/>
      <c r="VBY366" s="370"/>
      <c r="VBZ366" s="365"/>
      <c r="VCA366" s="370"/>
      <c r="VCB366" s="365"/>
      <c r="VCC366" s="370"/>
      <c r="VCD366" s="365"/>
      <c r="VCE366" s="370"/>
      <c r="VCF366" s="365"/>
      <c r="VCG366" s="370"/>
      <c r="VCH366" s="365"/>
      <c r="VCI366" s="370"/>
      <c r="VCJ366" s="365"/>
      <c r="VCK366" s="370"/>
      <c r="VCL366" s="365"/>
      <c r="VCM366" s="370"/>
      <c r="VCN366" s="365"/>
      <c r="VCO366" s="370"/>
      <c r="VCP366" s="365"/>
      <c r="VCQ366" s="370"/>
      <c r="VCR366" s="365"/>
      <c r="VCS366" s="370"/>
      <c r="VCT366" s="365"/>
      <c r="VCU366" s="370"/>
      <c r="VCV366" s="365"/>
      <c r="VCW366" s="370"/>
      <c r="VCX366" s="365"/>
      <c r="VCY366" s="370"/>
      <c r="VCZ366" s="365"/>
      <c r="VDA366" s="370"/>
      <c r="VDB366" s="365"/>
      <c r="VDC366" s="370"/>
      <c r="VDD366" s="365"/>
      <c r="VDE366" s="370"/>
      <c r="VDF366" s="365"/>
      <c r="VDG366" s="370"/>
      <c r="VDH366" s="365"/>
      <c r="VDI366" s="370"/>
      <c r="VDJ366" s="365"/>
      <c r="VDK366" s="370"/>
      <c r="VDL366" s="365"/>
      <c r="VDM366" s="370"/>
      <c r="VDN366" s="365"/>
      <c r="VDO366" s="370"/>
      <c r="VDP366" s="365"/>
      <c r="VDQ366" s="370"/>
      <c r="VDR366" s="365"/>
      <c r="VDS366" s="370"/>
      <c r="VDT366" s="365"/>
      <c r="VDU366" s="370"/>
      <c r="VDV366" s="365"/>
      <c r="VDW366" s="370"/>
      <c r="VDX366" s="365"/>
      <c r="VDY366" s="370"/>
      <c r="VDZ366" s="365"/>
      <c r="VEA366" s="370"/>
      <c r="VEB366" s="365"/>
      <c r="VEC366" s="370"/>
      <c r="VED366" s="365"/>
      <c r="VEE366" s="370"/>
      <c r="VEF366" s="365"/>
      <c r="VEG366" s="370"/>
      <c r="VEH366" s="365"/>
      <c r="VEI366" s="370"/>
      <c r="VEJ366" s="365"/>
      <c r="VEK366" s="370"/>
      <c r="VEL366" s="365"/>
      <c r="VEM366" s="370"/>
      <c r="VEN366" s="365"/>
      <c r="VEO366" s="370"/>
      <c r="VEP366" s="365"/>
      <c r="VEQ366" s="370"/>
      <c r="VER366" s="365"/>
      <c r="VES366" s="370"/>
      <c r="VET366" s="365"/>
      <c r="VEU366" s="370"/>
      <c r="VEV366" s="365"/>
      <c r="VEW366" s="370"/>
      <c r="VEX366" s="365"/>
      <c r="VEY366" s="370"/>
      <c r="VEZ366" s="365"/>
      <c r="VFA366" s="370"/>
      <c r="VFB366" s="365"/>
      <c r="VFC366" s="370"/>
      <c r="VFD366" s="365"/>
      <c r="VFE366" s="370"/>
      <c r="VFF366" s="365"/>
      <c r="VFG366" s="370"/>
      <c r="VFH366" s="365"/>
      <c r="VFI366" s="370"/>
      <c r="VFJ366" s="365"/>
      <c r="VFK366" s="370"/>
      <c r="VFL366" s="365"/>
      <c r="VFM366" s="370"/>
      <c r="VFN366" s="365"/>
      <c r="VFO366" s="370"/>
      <c r="VFP366" s="365"/>
      <c r="VFQ366" s="370"/>
      <c r="VFR366" s="365"/>
      <c r="VFS366" s="370"/>
      <c r="VFT366" s="365"/>
      <c r="VFU366" s="370"/>
      <c r="VFV366" s="365"/>
      <c r="VFW366" s="370"/>
      <c r="VFX366" s="365"/>
      <c r="VFY366" s="370"/>
      <c r="VFZ366" s="365"/>
      <c r="VGA366" s="370"/>
      <c r="VGB366" s="365"/>
      <c r="VGC366" s="370"/>
      <c r="VGD366" s="365"/>
      <c r="VGE366" s="370"/>
      <c r="VGF366" s="365"/>
      <c r="VGG366" s="370"/>
      <c r="VGH366" s="365"/>
      <c r="VGI366" s="370"/>
      <c r="VGJ366" s="365"/>
      <c r="VGK366" s="370"/>
      <c r="VGL366" s="365"/>
      <c r="VGM366" s="370"/>
      <c r="VGN366" s="365"/>
      <c r="VGO366" s="370"/>
      <c r="VGP366" s="365"/>
      <c r="VGQ366" s="370"/>
      <c r="VGR366" s="365"/>
      <c r="VGS366" s="370"/>
      <c r="VGT366" s="365"/>
      <c r="VGU366" s="370"/>
      <c r="VGV366" s="365"/>
      <c r="VGW366" s="370"/>
      <c r="VGX366" s="365"/>
      <c r="VGY366" s="370"/>
      <c r="VGZ366" s="365"/>
      <c r="VHA366" s="370"/>
      <c r="VHB366" s="365"/>
      <c r="VHC366" s="370"/>
      <c r="VHD366" s="365"/>
      <c r="VHE366" s="370"/>
      <c r="VHF366" s="365"/>
      <c r="VHG366" s="370"/>
      <c r="VHH366" s="365"/>
      <c r="VHI366" s="370"/>
      <c r="VHJ366" s="365"/>
      <c r="VHK366" s="370"/>
      <c r="VHL366" s="365"/>
      <c r="VHM366" s="370"/>
      <c r="VHN366" s="365"/>
      <c r="VHO366" s="370"/>
      <c r="VHP366" s="365"/>
      <c r="VHQ366" s="370"/>
      <c r="VHR366" s="365"/>
      <c r="VHS366" s="370"/>
      <c r="VHT366" s="365"/>
      <c r="VHU366" s="370"/>
      <c r="VHV366" s="365"/>
      <c r="VHW366" s="370"/>
      <c r="VHX366" s="365"/>
      <c r="VHY366" s="370"/>
      <c r="VHZ366" s="365"/>
      <c r="VIA366" s="370"/>
      <c r="VIB366" s="365"/>
      <c r="VIC366" s="370"/>
      <c r="VID366" s="365"/>
      <c r="VIE366" s="370"/>
      <c r="VIF366" s="365"/>
      <c r="VIG366" s="370"/>
      <c r="VIH366" s="365"/>
      <c r="VII366" s="370"/>
      <c r="VIJ366" s="365"/>
      <c r="VIK366" s="370"/>
      <c r="VIL366" s="365"/>
      <c r="VIM366" s="370"/>
      <c r="VIN366" s="365"/>
      <c r="VIO366" s="370"/>
      <c r="VIP366" s="365"/>
      <c r="VIQ366" s="370"/>
      <c r="VIR366" s="365"/>
      <c r="VIS366" s="370"/>
      <c r="VIT366" s="365"/>
      <c r="VIU366" s="370"/>
      <c r="VIV366" s="365"/>
      <c r="VIW366" s="370"/>
      <c r="VIX366" s="365"/>
      <c r="VIY366" s="370"/>
      <c r="VIZ366" s="365"/>
      <c r="VJA366" s="370"/>
      <c r="VJB366" s="365"/>
      <c r="VJC366" s="370"/>
      <c r="VJD366" s="365"/>
      <c r="VJE366" s="370"/>
      <c r="VJF366" s="365"/>
      <c r="VJG366" s="370"/>
      <c r="VJH366" s="365"/>
      <c r="VJI366" s="370"/>
      <c r="VJJ366" s="365"/>
      <c r="VJK366" s="370"/>
      <c r="VJL366" s="365"/>
      <c r="VJM366" s="370"/>
      <c r="VJN366" s="365"/>
      <c r="VJO366" s="370"/>
      <c r="VJP366" s="365"/>
      <c r="VJQ366" s="370"/>
      <c r="VJR366" s="365"/>
      <c r="VJS366" s="370"/>
      <c r="VJT366" s="365"/>
      <c r="VJU366" s="370"/>
      <c r="VJV366" s="365"/>
      <c r="VJW366" s="370"/>
      <c r="VJX366" s="365"/>
      <c r="VJY366" s="370"/>
      <c r="VJZ366" s="365"/>
      <c r="VKA366" s="370"/>
      <c r="VKB366" s="365"/>
      <c r="VKC366" s="370"/>
      <c r="VKD366" s="365"/>
      <c r="VKE366" s="370"/>
      <c r="VKF366" s="365"/>
      <c r="VKG366" s="370"/>
      <c r="VKH366" s="365"/>
      <c r="VKI366" s="370"/>
      <c r="VKJ366" s="365"/>
      <c r="VKK366" s="370"/>
      <c r="VKL366" s="365"/>
      <c r="VKM366" s="370"/>
      <c r="VKN366" s="365"/>
      <c r="VKO366" s="370"/>
      <c r="VKP366" s="365"/>
      <c r="VKQ366" s="370"/>
      <c r="VKR366" s="365"/>
      <c r="VKS366" s="370"/>
      <c r="VKT366" s="365"/>
      <c r="VKU366" s="370"/>
      <c r="VKV366" s="365"/>
      <c r="VKW366" s="370"/>
      <c r="VKX366" s="365"/>
      <c r="VKY366" s="370"/>
      <c r="VKZ366" s="365"/>
      <c r="VLA366" s="370"/>
      <c r="VLB366" s="365"/>
      <c r="VLC366" s="370"/>
      <c r="VLD366" s="365"/>
      <c r="VLE366" s="370"/>
      <c r="VLF366" s="365"/>
      <c r="VLG366" s="370"/>
      <c r="VLH366" s="365"/>
      <c r="VLI366" s="370"/>
      <c r="VLJ366" s="365"/>
      <c r="VLK366" s="370"/>
      <c r="VLL366" s="365"/>
      <c r="VLM366" s="370"/>
      <c r="VLN366" s="365"/>
      <c r="VLO366" s="370"/>
      <c r="VLP366" s="365"/>
      <c r="VLQ366" s="370"/>
      <c r="VLR366" s="365"/>
      <c r="VLS366" s="370"/>
      <c r="VLT366" s="365"/>
      <c r="VLU366" s="370"/>
      <c r="VLV366" s="365"/>
      <c r="VLW366" s="370"/>
      <c r="VLX366" s="365"/>
      <c r="VLY366" s="370"/>
      <c r="VLZ366" s="365"/>
      <c r="VMA366" s="370"/>
      <c r="VMB366" s="365"/>
      <c r="VMC366" s="370"/>
      <c r="VMD366" s="365"/>
      <c r="VME366" s="370"/>
      <c r="VMF366" s="365"/>
      <c r="VMG366" s="370"/>
      <c r="VMH366" s="365"/>
      <c r="VMI366" s="370"/>
      <c r="VMJ366" s="365"/>
      <c r="VMK366" s="370"/>
      <c r="VML366" s="365"/>
      <c r="VMM366" s="370"/>
      <c r="VMN366" s="365"/>
      <c r="VMO366" s="370"/>
      <c r="VMP366" s="365"/>
      <c r="VMQ366" s="370"/>
      <c r="VMR366" s="365"/>
      <c r="VMS366" s="370"/>
      <c r="VMT366" s="365"/>
      <c r="VMU366" s="370"/>
      <c r="VMV366" s="365"/>
      <c r="VMW366" s="370"/>
      <c r="VMX366" s="365"/>
      <c r="VMY366" s="370"/>
      <c r="VMZ366" s="365"/>
      <c r="VNA366" s="370"/>
      <c r="VNB366" s="365"/>
      <c r="VNC366" s="370"/>
      <c r="VND366" s="365"/>
      <c r="VNE366" s="370"/>
      <c r="VNF366" s="365"/>
      <c r="VNG366" s="370"/>
      <c r="VNH366" s="365"/>
      <c r="VNI366" s="370"/>
      <c r="VNJ366" s="365"/>
      <c r="VNK366" s="370"/>
      <c r="VNL366" s="365"/>
      <c r="VNM366" s="370"/>
      <c r="VNN366" s="365"/>
      <c r="VNO366" s="370"/>
      <c r="VNP366" s="365"/>
      <c r="VNQ366" s="370"/>
      <c r="VNR366" s="365"/>
      <c r="VNS366" s="370"/>
      <c r="VNT366" s="365"/>
      <c r="VNU366" s="370"/>
      <c r="VNV366" s="365"/>
      <c r="VNW366" s="370"/>
      <c r="VNX366" s="365"/>
      <c r="VNY366" s="370"/>
      <c r="VNZ366" s="365"/>
      <c r="VOA366" s="370"/>
      <c r="VOB366" s="365"/>
      <c r="VOC366" s="370"/>
      <c r="VOD366" s="365"/>
      <c r="VOE366" s="370"/>
      <c r="VOF366" s="365"/>
      <c r="VOG366" s="370"/>
      <c r="VOH366" s="365"/>
      <c r="VOI366" s="370"/>
      <c r="VOJ366" s="365"/>
      <c r="VOK366" s="370"/>
      <c r="VOL366" s="365"/>
      <c r="VOM366" s="370"/>
      <c r="VON366" s="365"/>
      <c r="VOO366" s="370"/>
      <c r="VOP366" s="365"/>
      <c r="VOQ366" s="370"/>
      <c r="VOR366" s="365"/>
      <c r="VOS366" s="370"/>
      <c r="VOT366" s="365"/>
      <c r="VOU366" s="370"/>
      <c r="VOV366" s="365"/>
      <c r="VOW366" s="370"/>
      <c r="VOX366" s="365"/>
      <c r="VOY366" s="370"/>
      <c r="VOZ366" s="365"/>
      <c r="VPA366" s="370"/>
      <c r="VPB366" s="365"/>
      <c r="VPC366" s="370"/>
      <c r="VPD366" s="365"/>
      <c r="VPE366" s="370"/>
      <c r="VPF366" s="365"/>
      <c r="VPG366" s="370"/>
      <c r="VPH366" s="365"/>
      <c r="VPI366" s="370"/>
      <c r="VPJ366" s="365"/>
      <c r="VPK366" s="370"/>
      <c r="VPL366" s="365"/>
      <c r="VPM366" s="370"/>
      <c r="VPN366" s="365"/>
      <c r="VPO366" s="370"/>
      <c r="VPP366" s="365"/>
      <c r="VPQ366" s="370"/>
      <c r="VPR366" s="365"/>
      <c r="VPS366" s="370"/>
      <c r="VPT366" s="365"/>
      <c r="VPU366" s="370"/>
      <c r="VPV366" s="365"/>
      <c r="VPW366" s="370"/>
      <c r="VPX366" s="365"/>
      <c r="VPY366" s="370"/>
      <c r="VPZ366" s="365"/>
      <c r="VQA366" s="370"/>
      <c r="VQB366" s="365"/>
      <c r="VQC366" s="370"/>
      <c r="VQD366" s="365"/>
      <c r="VQE366" s="370"/>
      <c r="VQF366" s="365"/>
      <c r="VQG366" s="370"/>
      <c r="VQH366" s="365"/>
      <c r="VQI366" s="370"/>
      <c r="VQJ366" s="365"/>
      <c r="VQK366" s="370"/>
      <c r="VQL366" s="365"/>
      <c r="VQM366" s="370"/>
      <c r="VQN366" s="365"/>
      <c r="VQO366" s="370"/>
      <c r="VQP366" s="365"/>
      <c r="VQQ366" s="370"/>
      <c r="VQR366" s="365"/>
      <c r="VQS366" s="370"/>
      <c r="VQT366" s="365"/>
      <c r="VQU366" s="370"/>
      <c r="VQV366" s="365"/>
      <c r="VQW366" s="370"/>
      <c r="VQX366" s="365"/>
      <c r="VQY366" s="370"/>
      <c r="VQZ366" s="365"/>
      <c r="VRA366" s="370"/>
      <c r="VRB366" s="365"/>
      <c r="VRC366" s="370"/>
      <c r="VRD366" s="365"/>
      <c r="VRE366" s="370"/>
      <c r="VRF366" s="365"/>
      <c r="VRG366" s="370"/>
      <c r="VRH366" s="365"/>
      <c r="VRI366" s="370"/>
      <c r="VRJ366" s="365"/>
      <c r="VRK366" s="370"/>
      <c r="VRL366" s="365"/>
      <c r="VRM366" s="370"/>
      <c r="VRN366" s="365"/>
      <c r="VRO366" s="370"/>
      <c r="VRP366" s="365"/>
      <c r="VRQ366" s="370"/>
      <c r="VRR366" s="365"/>
      <c r="VRS366" s="370"/>
      <c r="VRT366" s="365"/>
      <c r="VRU366" s="370"/>
      <c r="VRV366" s="365"/>
      <c r="VRW366" s="370"/>
      <c r="VRX366" s="365"/>
      <c r="VRY366" s="370"/>
      <c r="VRZ366" s="365"/>
      <c r="VSA366" s="370"/>
      <c r="VSB366" s="365"/>
      <c r="VSC366" s="370"/>
      <c r="VSD366" s="365"/>
      <c r="VSE366" s="370"/>
      <c r="VSF366" s="365"/>
      <c r="VSG366" s="370"/>
      <c r="VSH366" s="365"/>
      <c r="VSI366" s="370"/>
      <c r="VSJ366" s="365"/>
      <c r="VSK366" s="370"/>
      <c r="VSL366" s="365"/>
      <c r="VSM366" s="370"/>
      <c r="VSN366" s="365"/>
      <c r="VSO366" s="370"/>
      <c r="VSP366" s="365"/>
      <c r="VSQ366" s="370"/>
      <c r="VSR366" s="365"/>
      <c r="VSS366" s="370"/>
      <c r="VST366" s="365"/>
      <c r="VSU366" s="370"/>
      <c r="VSV366" s="365"/>
      <c r="VSW366" s="370"/>
      <c r="VSX366" s="365"/>
      <c r="VSY366" s="370"/>
      <c r="VSZ366" s="365"/>
      <c r="VTA366" s="370"/>
      <c r="VTB366" s="365"/>
      <c r="VTC366" s="370"/>
      <c r="VTD366" s="365"/>
      <c r="VTE366" s="370"/>
      <c r="VTF366" s="365"/>
      <c r="VTG366" s="370"/>
      <c r="VTH366" s="365"/>
      <c r="VTI366" s="370"/>
      <c r="VTJ366" s="365"/>
      <c r="VTK366" s="370"/>
      <c r="VTL366" s="365"/>
      <c r="VTM366" s="370"/>
      <c r="VTN366" s="365"/>
      <c r="VTO366" s="370"/>
      <c r="VTP366" s="365"/>
      <c r="VTQ366" s="370"/>
      <c r="VTR366" s="365"/>
      <c r="VTS366" s="370"/>
      <c r="VTT366" s="365"/>
      <c r="VTU366" s="370"/>
      <c r="VTV366" s="365"/>
      <c r="VTW366" s="370"/>
      <c r="VTX366" s="365"/>
      <c r="VTY366" s="370"/>
      <c r="VTZ366" s="365"/>
      <c r="VUA366" s="370"/>
      <c r="VUB366" s="365"/>
      <c r="VUC366" s="370"/>
      <c r="VUD366" s="365"/>
      <c r="VUE366" s="370"/>
      <c r="VUF366" s="365"/>
      <c r="VUG366" s="370"/>
      <c r="VUH366" s="365"/>
      <c r="VUI366" s="370"/>
      <c r="VUJ366" s="365"/>
      <c r="VUK366" s="370"/>
      <c r="VUL366" s="365"/>
      <c r="VUM366" s="370"/>
      <c r="VUN366" s="365"/>
      <c r="VUO366" s="370"/>
      <c r="VUP366" s="365"/>
      <c r="VUQ366" s="370"/>
      <c r="VUR366" s="365"/>
      <c r="VUS366" s="370"/>
      <c r="VUT366" s="365"/>
      <c r="VUU366" s="370"/>
      <c r="VUV366" s="365"/>
      <c r="VUW366" s="370"/>
      <c r="VUX366" s="365"/>
      <c r="VUY366" s="370"/>
      <c r="VUZ366" s="365"/>
      <c r="VVA366" s="370"/>
      <c r="VVB366" s="365"/>
      <c r="VVC366" s="370"/>
      <c r="VVD366" s="365"/>
      <c r="VVE366" s="370"/>
      <c r="VVF366" s="365"/>
      <c r="VVG366" s="370"/>
      <c r="VVH366" s="365"/>
      <c r="VVI366" s="370"/>
      <c r="VVJ366" s="365"/>
      <c r="VVK366" s="370"/>
      <c r="VVL366" s="365"/>
      <c r="VVM366" s="370"/>
      <c r="VVN366" s="365"/>
      <c r="VVO366" s="370"/>
      <c r="VVP366" s="365"/>
      <c r="VVQ366" s="370"/>
      <c r="VVR366" s="365"/>
      <c r="VVS366" s="370"/>
      <c r="VVT366" s="365"/>
      <c r="VVU366" s="370"/>
      <c r="VVV366" s="365"/>
      <c r="VVW366" s="370"/>
      <c r="VVX366" s="365"/>
      <c r="VVY366" s="370"/>
      <c r="VVZ366" s="365"/>
      <c r="VWA366" s="370"/>
      <c r="VWB366" s="365"/>
      <c r="VWC366" s="370"/>
      <c r="VWD366" s="365"/>
      <c r="VWE366" s="370"/>
      <c r="VWF366" s="365"/>
      <c r="VWG366" s="370"/>
      <c r="VWH366" s="365"/>
      <c r="VWI366" s="370"/>
      <c r="VWJ366" s="365"/>
      <c r="VWK366" s="370"/>
      <c r="VWL366" s="365"/>
      <c r="VWM366" s="370"/>
      <c r="VWN366" s="365"/>
      <c r="VWO366" s="370"/>
      <c r="VWP366" s="365"/>
      <c r="VWQ366" s="370"/>
      <c r="VWR366" s="365"/>
      <c r="VWS366" s="370"/>
      <c r="VWT366" s="365"/>
      <c r="VWU366" s="370"/>
      <c r="VWV366" s="365"/>
      <c r="VWW366" s="370"/>
      <c r="VWX366" s="365"/>
      <c r="VWY366" s="370"/>
      <c r="VWZ366" s="365"/>
      <c r="VXA366" s="370"/>
      <c r="VXB366" s="365"/>
      <c r="VXC366" s="370"/>
      <c r="VXD366" s="365"/>
      <c r="VXE366" s="370"/>
      <c r="VXF366" s="365"/>
      <c r="VXG366" s="370"/>
      <c r="VXH366" s="365"/>
      <c r="VXI366" s="370"/>
      <c r="VXJ366" s="365"/>
      <c r="VXK366" s="370"/>
      <c r="VXL366" s="365"/>
      <c r="VXM366" s="370"/>
      <c r="VXN366" s="365"/>
      <c r="VXO366" s="370"/>
      <c r="VXP366" s="365"/>
      <c r="VXQ366" s="370"/>
      <c r="VXR366" s="365"/>
      <c r="VXS366" s="370"/>
      <c r="VXT366" s="365"/>
      <c r="VXU366" s="370"/>
      <c r="VXV366" s="365"/>
      <c r="VXW366" s="370"/>
      <c r="VXX366" s="365"/>
      <c r="VXY366" s="370"/>
      <c r="VXZ366" s="365"/>
      <c r="VYA366" s="370"/>
      <c r="VYB366" s="365"/>
      <c r="VYC366" s="370"/>
      <c r="VYD366" s="365"/>
      <c r="VYE366" s="370"/>
      <c r="VYF366" s="365"/>
      <c r="VYG366" s="370"/>
      <c r="VYH366" s="365"/>
      <c r="VYI366" s="370"/>
      <c r="VYJ366" s="365"/>
      <c r="VYK366" s="370"/>
      <c r="VYL366" s="365"/>
      <c r="VYM366" s="370"/>
      <c r="VYN366" s="365"/>
      <c r="VYO366" s="370"/>
      <c r="VYP366" s="365"/>
      <c r="VYQ366" s="370"/>
      <c r="VYR366" s="365"/>
      <c r="VYS366" s="370"/>
      <c r="VYT366" s="365"/>
      <c r="VYU366" s="370"/>
      <c r="VYV366" s="365"/>
      <c r="VYW366" s="370"/>
      <c r="VYX366" s="365"/>
      <c r="VYY366" s="370"/>
      <c r="VYZ366" s="365"/>
      <c r="VZA366" s="370"/>
      <c r="VZB366" s="365"/>
      <c r="VZC366" s="370"/>
      <c r="VZD366" s="365"/>
      <c r="VZE366" s="370"/>
      <c r="VZF366" s="365"/>
      <c r="VZG366" s="370"/>
      <c r="VZH366" s="365"/>
      <c r="VZI366" s="370"/>
      <c r="VZJ366" s="365"/>
      <c r="VZK366" s="370"/>
      <c r="VZL366" s="365"/>
      <c r="VZM366" s="370"/>
      <c r="VZN366" s="365"/>
      <c r="VZO366" s="370"/>
      <c r="VZP366" s="365"/>
      <c r="VZQ366" s="370"/>
      <c r="VZR366" s="365"/>
      <c r="VZS366" s="370"/>
      <c r="VZT366" s="365"/>
      <c r="VZU366" s="370"/>
      <c r="VZV366" s="365"/>
      <c r="VZW366" s="370"/>
      <c r="VZX366" s="365"/>
      <c r="VZY366" s="370"/>
      <c r="VZZ366" s="365"/>
      <c r="WAA366" s="370"/>
      <c r="WAB366" s="365"/>
      <c r="WAC366" s="370"/>
      <c r="WAD366" s="365"/>
      <c r="WAE366" s="370"/>
      <c r="WAF366" s="365"/>
      <c r="WAG366" s="370"/>
      <c r="WAH366" s="365"/>
      <c r="WAI366" s="370"/>
      <c r="WAJ366" s="365"/>
      <c r="WAK366" s="370"/>
      <c r="WAL366" s="365"/>
      <c r="WAM366" s="370"/>
      <c r="WAN366" s="365"/>
      <c r="WAO366" s="370"/>
      <c r="WAP366" s="365"/>
      <c r="WAQ366" s="370"/>
      <c r="WAR366" s="365"/>
      <c r="WAS366" s="370"/>
      <c r="WAT366" s="365"/>
      <c r="WAU366" s="370"/>
      <c r="WAV366" s="365"/>
      <c r="WAW366" s="370"/>
      <c r="WAX366" s="365"/>
      <c r="WAY366" s="370"/>
      <c r="WAZ366" s="365"/>
      <c r="WBA366" s="370"/>
      <c r="WBB366" s="365"/>
      <c r="WBC366" s="370"/>
      <c r="WBD366" s="365"/>
      <c r="WBE366" s="370"/>
      <c r="WBF366" s="365"/>
      <c r="WBG366" s="370"/>
      <c r="WBH366" s="365"/>
      <c r="WBI366" s="370"/>
      <c r="WBJ366" s="365"/>
      <c r="WBK366" s="370"/>
      <c r="WBL366" s="365"/>
      <c r="WBM366" s="370"/>
      <c r="WBN366" s="365"/>
      <c r="WBO366" s="370"/>
      <c r="WBP366" s="365"/>
      <c r="WBQ366" s="370"/>
      <c r="WBR366" s="365"/>
      <c r="WBS366" s="370"/>
      <c r="WBT366" s="365"/>
      <c r="WBU366" s="370"/>
      <c r="WBV366" s="365"/>
      <c r="WBW366" s="370"/>
      <c r="WBX366" s="365"/>
      <c r="WBY366" s="370"/>
      <c r="WBZ366" s="365"/>
      <c r="WCA366" s="370"/>
      <c r="WCB366" s="365"/>
      <c r="WCC366" s="370"/>
      <c r="WCD366" s="365"/>
      <c r="WCE366" s="370"/>
      <c r="WCF366" s="365"/>
      <c r="WCG366" s="370"/>
      <c r="WCH366" s="365"/>
      <c r="WCI366" s="370"/>
      <c r="WCJ366" s="365"/>
      <c r="WCK366" s="370"/>
      <c r="WCL366" s="365"/>
      <c r="WCM366" s="370"/>
      <c r="WCN366" s="365"/>
      <c r="WCO366" s="370"/>
      <c r="WCP366" s="365"/>
      <c r="WCQ366" s="370"/>
      <c r="WCR366" s="365"/>
      <c r="WCS366" s="370"/>
      <c r="WCT366" s="365"/>
      <c r="WCU366" s="370"/>
      <c r="WCV366" s="365"/>
      <c r="WCW366" s="370"/>
      <c r="WCX366" s="365"/>
      <c r="WCY366" s="370"/>
      <c r="WCZ366" s="365"/>
      <c r="WDA366" s="370"/>
      <c r="WDB366" s="365"/>
      <c r="WDC366" s="370"/>
      <c r="WDD366" s="365"/>
      <c r="WDE366" s="370"/>
      <c r="WDF366" s="365"/>
      <c r="WDG366" s="370"/>
      <c r="WDH366" s="365"/>
      <c r="WDI366" s="370"/>
      <c r="WDJ366" s="365"/>
      <c r="WDK366" s="370"/>
      <c r="WDL366" s="365"/>
      <c r="WDM366" s="370"/>
      <c r="WDN366" s="365"/>
      <c r="WDO366" s="370"/>
      <c r="WDP366" s="365"/>
      <c r="WDQ366" s="370"/>
      <c r="WDR366" s="365"/>
      <c r="WDS366" s="370"/>
      <c r="WDT366" s="365"/>
      <c r="WDU366" s="370"/>
      <c r="WDV366" s="365"/>
      <c r="WDW366" s="370"/>
      <c r="WDX366" s="365"/>
      <c r="WDY366" s="370"/>
      <c r="WDZ366" s="365"/>
      <c r="WEA366" s="370"/>
      <c r="WEB366" s="365"/>
      <c r="WEC366" s="370"/>
      <c r="WED366" s="365"/>
      <c r="WEE366" s="370"/>
      <c r="WEF366" s="365"/>
      <c r="WEG366" s="370"/>
      <c r="WEH366" s="365"/>
      <c r="WEI366" s="370"/>
      <c r="WEJ366" s="365"/>
      <c r="WEK366" s="370"/>
      <c r="WEL366" s="365"/>
      <c r="WEM366" s="370"/>
      <c r="WEN366" s="365"/>
      <c r="WEO366" s="370"/>
      <c r="WEP366" s="365"/>
      <c r="WEQ366" s="370"/>
      <c r="WER366" s="365"/>
      <c r="WES366" s="370"/>
      <c r="WET366" s="365"/>
      <c r="WEU366" s="370"/>
      <c r="WEV366" s="365"/>
      <c r="WEW366" s="370"/>
      <c r="WEX366" s="365"/>
      <c r="WEY366" s="370"/>
      <c r="WEZ366" s="365"/>
      <c r="WFA366" s="370"/>
      <c r="WFB366" s="365"/>
      <c r="WFC366" s="370"/>
      <c r="WFD366" s="365"/>
      <c r="WFE366" s="370"/>
      <c r="WFF366" s="365"/>
      <c r="WFG366" s="370"/>
      <c r="WFH366" s="365"/>
      <c r="WFI366" s="370"/>
      <c r="WFJ366" s="365"/>
      <c r="WFK366" s="370"/>
      <c r="WFL366" s="365"/>
      <c r="WFM366" s="370"/>
      <c r="WFN366" s="365"/>
      <c r="WFO366" s="370"/>
      <c r="WFP366" s="365"/>
      <c r="WFQ366" s="370"/>
      <c r="WFR366" s="365"/>
      <c r="WFS366" s="370"/>
      <c r="WFT366" s="365"/>
      <c r="WFU366" s="370"/>
      <c r="WFV366" s="365"/>
      <c r="WFW366" s="370"/>
      <c r="WFX366" s="365"/>
      <c r="WFY366" s="370"/>
      <c r="WFZ366" s="365"/>
      <c r="WGA366" s="370"/>
      <c r="WGB366" s="365"/>
      <c r="WGC366" s="370"/>
      <c r="WGD366" s="365"/>
      <c r="WGE366" s="370"/>
      <c r="WGF366" s="365"/>
      <c r="WGG366" s="370"/>
      <c r="WGH366" s="365"/>
      <c r="WGI366" s="370"/>
      <c r="WGJ366" s="365"/>
      <c r="WGK366" s="370"/>
      <c r="WGL366" s="365"/>
      <c r="WGM366" s="370"/>
      <c r="WGN366" s="365"/>
      <c r="WGO366" s="370"/>
      <c r="WGP366" s="365"/>
      <c r="WGQ366" s="370"/>
      <c r="WGR366" s="365"/>
      <c r="WGS366" s="370"/>
      <c r="WGT366" s="365"/>
      <c r="WGU366" s="370"/>
      <c r="WGV366" s="365"/>
      <c r="WGW366" s="370"/>
      <c r="WGX366" s="365"/>
      <c r="WGY366" s="370"/>
      <c r="WGZ366" s="365"/>
      <c r="WHA366" s="370"/>
      <c r="WHB366" s="365"/>
      <c r="WHC366" s="370"/>
      <c r="WHD366" s="365"/>
      <c r="WHE366" s="370"/>
      <c r="WHF366" s="365"/>
      <c r="WHG366" s="370"/>
      <c r="WHH366" s="365"/>
      <c r="WHI366" s="370"/>
      <c r="WHJ366" s="365"/>
      <c r="WHK366" s="370"/>
      <c r="WHL366" s="365"/>
      <c r="WHM366" s="370"/>
      <c r="WHN366" s="365"/>
      <c r="WHO366" s="370"/>
      <c r="WHP366" s="365"/>
      <c r="WHQ366" s="370"/>
      <c r="WHR366" s="365"/>
      <c r="WHS366" s="370"/>
      <c r="WHT366" s="365"/>
      <c r="WHU366" s="370"/>
      <c r="WHV366" s="365"/>
      <c r="WHW366" s="370"/>
      <c r="WHX366" s="365"/>
      <c r="WHY366" s="370"/>
      <c r="WHZ366" s="365"/>
      <c r="WIA366" s="370"/>
      <c r="WIB366" s="365"/>
      <c r="WIC366" s="370"/>
      <c r="WID366" s="365"/>
      <c r="WIE366" s="370"/>
      <c r="WIF366" s="365"/>
      <c r="WIG366" s="370"/>
      <c r="WIH366" s="365"/>
      <c r="WII366" s="370"/>
      <c r="WIJ366" s="365"/>
      <c r="WIK366" s="370"/>
      <c r="WIL366" s="365"/>
      <c r="WIM366" s="370"/>
      <c r="WIN366" s="365"/>
      <c r="WIO366" s="370"/>
      <c r="WIP366" s="365"/>
      <c r="WIQ366" s="370"/>
      <c r="WIR366" s="365"/>
      <c r="WIS366" s="370"/>
      <c r="WIT366" s="365"/>
      <c r="WIU366" s="370"/>
      <c r="WIV366" s="365"/>
      <c r="WIW366" s="370"/>
      <c r="WIX366" s="365"/>
      <c r="WIY366" s="370"/>
      <c r="WIZ366" s="365"/>
      <c r="WJA366" s="370"/>
      <c r="WJB366" s="365"/>
      <c r="WJC366" s="370"/>
      <c r="WJD366" s="365"/>
      <c r="WJE366" s="370"/>
      <c r="WJF366" s="365"/>
      <c r="WJG366" s="370"/>
      <c r="WJH366" s="365"/>
      <c r="WJI366" s="370"/>
      <c r="WJJ366" s="365"/>
      <c r="WJK366" s="370"/>
      <c r="WJL366" s="365"/>
      <c r="WJM366" s="370"/>
      <c r="WJN366" s="365"/>
      <c r="WJO366" s="370"/>
      <c r="WJP366" s="365"/>
      <c r="WJQ366" s="370"/>
      <c r="WJR366" s="365"/>
      <c r="WJS366" s="370"/>
      <c r="WJT366" s="365"/>
      <c r="WJU366" s="370"/>
      <c r="WJV366" s="365"/>
      <c r="WJW366" s="370"/>
      <c r="WJX366" s="365"/>
      <c r="WJY366" s="370"/>
      <c r="WJZ366" s="365"/>
      <c r="WKA366" s="370"/>
      <c r="WKB366" s="365"/>
      <c r="WKC366" s="370"/>
      <c r="WKD366" s="365"/>
      <c r="WKE366" s="370"/>
      <c r="WKF366" s="365"/>
      <c r="WKG366" s="370"/>
      <c r="WKH366" s="365"/>
      <c r="WKI366" s="370"/>
      <c r="WKJ366" s="365"/>
      <c r="WKK366" s="370"/>
      <c r="WKL366" s="365"/>
      <c r="WKM366" s="370"/>
      <c r="WKN366" s="365"/>
      <c r="WKO366" s="370"/>
      <c r="WKP366" s="365"/>
      <c r="WKQ366" s="370"/>
      <c r="WKR366" s="365"/>
      <c r="WKS366" s="370"/>
      <c r="WKT366" s="365"/>
      <c r="WKU366" s="370"/>
      <c r="WKV366" s="365"/>
      <c r="WKW366" s="370"/>
      <c r="WKX366" s="365"/>
      <c r="WKY366" s="370"/>
      <c r="WKZ366" s="365"/>
      <c r="WLA366" s="370"/>
      <c r="WLB366" s="365"/>
      <c r="WLC366" s="370"/>
      <c r="WLD366" s="365"/>
      <c r="WLE366" s="370"/>
      <c r="WLF366" s="365"/>
      <c r="WLG366" s="370"/>
      <c r="WLH366" s="365"/>
      <c r="WLI366" s="370"/>
      <c r="WLJ366" s="365"/>
      <c r="WLK366" s="370"/>
      <c r="WLL366" s="365"/>
      <c r="WLM366" s="370"/>
      <c r="WLN366" s="365"/>
      <c r="WLO366" s="370"/>
      <c r="WLP366" s="365"/>
      <c r="WLQ366" s="370"/>
      <c r="WLR366" s="365"/>
      <c r="WLS366" s="370"/>
      <c r="WLT366" s="365"/>
      <c r="WLU366" s="370"/>
      <c r="WLV366" s="365"/>
      <c r="WLW366" s="370"/>
      <c r="WLX366" s="365"/>
      <c r="WLY366" s="370"/>
      <c r="WLZ366" s="365"/>
      <c r="WMA366" s="370"/>
      <c r="WMB366" s="365"/>
      <c r="WMC366" s="370"/>
      <c r="WMD366" s="365"/>
      <c r="WME366" s="370"/>
      <c r="WMF366" s="365"/>
      <c r="WMG366" s="370"/>
      <c r="WMH366" s="365"/>
      <c r="WMI366" s="370"/>
      <c r="WMJ366" s="365"/>
      <c r="WMK366" s="370"/>
      <c r="WML366" s="365"/>
      <c r="WMM366" s="370"/>
      <c r="WMN366" s="365"/>
      <c r="WMO366" s="370"/>
      <c r="WMP366" s="365"/>
      <c r="WMQ366" s="370"/>
      <c r="WMR366" s="365"/>
      <c r="WMS366" s="370"/>
      <c r="WMT366" s="365"/>
      <c r="WMU366" s="370"/>
      <c r="WMV366" s="365"/>
      <c r="WMW366" s="370"/>
      <c r="WMX366" s="365"/>
      <c r="WMY366" s="370"/>
      <c r="WMZ366" s="365"/>
      <c r="WNA366" s="370"/>
      <c r="WNB366" s="365"/>
      <c r="WNC366" s="370"/>
      <c r="WND366" s="365"/>
      <c r="WNE366" s="370"/>
      <c r="WNF366" s="365"/>
      <c r="WNG366" s="370"/>
      <c r="WNH366" s="365"/>
      <c r="WNI366" s="370"/>
      <c r="WNJ366" s="365"/>
      <c r="WNK366" s="370"/>
      <c r="WNL366" s="365"/>
      <c r="WNM366" s="370"/>
      <c r="WNN366" s="365"/>
      <c r="WNO366" s="370"/>
      <c r="WNP366" s="365"/>
      <c r="WNQ366" s="370"/>
      <c r="WNR366" s="365"/>
      <c r="WNS366" s="370"/>
      <c r="WNT366" s="365"/>
      <c r="WNU366" s="370"/>
      <c r="WNV366" s="365"/>
      <c r="WNW366" s="370"/>
      <c r="WNX366" s="365"/>
      <c r="WNY366" s="370"/>
      <c r="WNZ366" s="365"/>
      <c r="WOA366" s="370"/>
      <c r="WOB366" s="365"/>
      <c r="WOC366" s="370"/>
      <c r="WOD366" s="365"/>
      <c r="WOE366" s="370"/>
      <c r="WOF366" s="365"/>
      <c r="WOG366" s="370"/>
      <c r="WOH366" s="365"/>
      <c r="WOI366" s="370"/>
      <c r="WOJ366" s="365"/>
      <c r="WOK366" s="370"/>
      <c r="WOL366" s="365"/>
      <c r="WOM366" s="370"/>
      <c r="WON366" s="365"/>
      <c r="WOO366" s="370"/>
      <c r="WOP366" s="365"/>
      <c r="WOQ366" s="370"/>
      <c r="WOR366" s="365"/>
      <c r="WOS366" s="370"/>
      <c r="WOT366" s="365"/>
      <c r="WOU366" s="370"/>
      <c r="WOV366" s="365"/>
      <c r="WOW366" s="370"/>
      <c r="WOX366" s="365"/>
      <c r="WOY366" s="370"/>
      <c r="WOZ366" s="365"/>
      <c r="WPA366" s="370"/>
      <c r="WPB366" s="365"/>
      <c r="WPC366" s="370"/>
      <c r="WPD366" s="365"/>
      <c r="WPE366" s="370"/>
      <c r="WPF366" s="365"/>
      <c r="WPG366" s="370"/>
      <c r="WPH366" s="365"/>
      <c r="WPI366" s="370"/>
      <c r="WPJ366" s="365"/>
      <c r="WPK366" s="370"/>
      <c r="WPL366" s="365"/>
      <c r="WPM366" s="370"/>
      <c r="WPN366" s="365"/>
      <c r="WPO366" s="370"/>
      <c r="WPP366" s="365"/>
      <c r="WPQ366" s="370"/>
      <c r="WPR366" s="365"/>
      <c r="WPS366" s="370"/>
      <c r="WPT366" s="365"/>
      <c r="WPU366" s="370"/>
      <c r="WPV366" s="365"/>
      <c r="WPW366" s="370"/>
      <c r="WPX366" s="365"/>
      <c r="WPY366" s="370"/>
      <c r="WPZ366" s="365"/>
      <c r="WQA366" s="370"/>
      <c r="WQB366" s="365"/>
      <c r="WQC366" s="370"/>
      <c r="WQD366" s="365"/>
      <c r="WQE366" s="370"/>
      <c r="WQF366" s="365"/>
      <c r="WQG366" s="370"/>
      <c r="WQH366" s="365"/>
      <c r="WQI366" s="370"/>
      <c r="WQJ366" s="365"/>
      <c r="WQK366" s="370"/>
      <c r="WQL366" s="365"/>
      <c r="WQM366" s="370"/>
      <c r="WQN366" s="365"/>
      <c r="WQO366" s="370"/>
      <c r="WQP366" s="365"/>
      <c r="WQQ366" s="370"/>
      <c r="WQR366" s="365"/>
      <c r="WQS366" s="370"/>
      <c r="WQT366" s="365"/>
      <c r="WQU366" s="370"/>
      <c r="WQV366" s="365"/>
      <c r="WQW366" s="370"/>
      <c r="WQX366" s="365"/>
      <c r="WQY366" s="370"/>
      <c r="WQZ366" s="365"/>
      <c r="WRA366" s="370"/>
      <c r="WRB366" s="365"/>
      <c r="WRC366" s="370"/>
      <c r="WRD366" s="365"/>
      <c r="WRE366" s="370"/>
      <c r="WRF366" s="365"/>
      <c r="WRG366" s="370"/>
      <c r="WRH366" s="365"/>
      <c r="WRI366" s="370"/>
      <c r="WRJ366" s="365"/>
      <c r="WRK366" s="370"/>
      <c r="WRL366" s="365"/>
      <c r="WRM366" s="370"/>
      <c r="WRN366" s="365"/>
      <c r="WRO366" s="370"/>
      <c r="WRP366" s="365"/>
      <c r="WRQ366" s="370"/>
      <c r="WRR366" s="365"/>
      <c r="WRS366" s="370"/>
      <c r="WRT366" s="365"/>
      <c r="WRU366" s="370"/>
      <c r="WRV366" s="365"/>
      <c r="WRW366" s="370"/>
      <c r="WRX366" s="365"/>
      <c r="WRY366" s="370"/>
      <c r="WRZ366" s="365"/>
      <c r="WSA366" s="370"/>
      <c r="WSB366" s="365"/>
      <c r="WSC366" s="370"/>
      <c r="WSD366" s="365"/>
      <c r="WSE366" s="370"/>
      <c r="WSF366" s="365"/>
      <c r="WSG366" s="370"/>
      <c r="WSH366" s="365"/>
      <c r="WSI366" s="370"/>
      <c r="WSJ366" s="365"/>
      <c r="WSK366" s="370"/>
      <c r="WSL366" s="365"/>
      <c r="WSM366" s="370"/>
      <c r="WSN366" s="365"/>
      <c r="WSO366" s="370"/>
      <c r="WSP366" s="365"/>
      <c r="WSQ366" s="370"/>
      <c r="WSR366" s="365"/>
      <c r="WSS366" s="370"/>
      <c r="WST366" s="365"/>
      <c r="WSU366" s="370"/>
      <c r="WSV366" s="365"/>
      <c r="WSW366" s="370"/>
      <c r="WSX366" s="365"/>
      <c r="WSY366" s="370"/>
      <c r="WSZ366" s="365"/>
      <c r="WTA366" s="370"/>
      <c r="WTB366" s="365"/>
      <c r="WTC366" s="370"/>
      <c r="WTD366" s="365"/>
      <c r="WTE366" s="370"/>
      <c r="WTF366" s="365"/>
      <c r="WTG366" s="370"/>
      <c r="WTH366" s="365"/>
      <c r="WTI366" s="370"/>
      <c r="WTJ366" s="365"/>
      <c r="WTK366" s="370"/>
      <c r="WTL366" s="365"/>
      <c r="WTM366" s="370"/>
      <c r="WTN366" s="365"/>
      <c r="WTO366" s="370"/>
      <c r="WTP366" s="365"/>
      <c r="WTQ366" s="370"/>
      <c r="WTR366" s="365"/>
      <c r="WTS366" s="370"/>
      <c r="WTT366" s="365"/>
      <c r="WTU366" s="370"/>
      <c r="WTV366" s="365"/>
      <c r="WTW366" s="370"/>
      <c r="WTX366" s="365"/>
      <c r="WTY366" s="370"/>
      <c r="WTZ366" s="365"/>
      <c r="WUA366" s="370"/>
      <c r="WUB366" s="365"/>
      <c r="WUC366" s="370"/>
      <c r="WUD366" s="365"/>
      <c r="WUE366" s="370"/>
      <c r="WUF366" s="365"/>
      <c r="WUG366" s="370"/>
      <c r="WUH366" s="365"/>
      <c r="WUI366" s="370"/>
      <c r="WUJ366" s="365"/>
      <c r="WUK366" s="370"/>
      <c r="WUL366" s="365"/>
      <c r="WUM366" s="370"/>
      <c r="WUN366" s="365"/>
      <c r="WUO366" s="370"/>
      <c r="WUP366" s="365"/>
      <c r="WUQ366" s="370"/>
      <c r="WUR366" s="365"/>
      <c r="WUS366" s="370"/>
      <c r="WUT366" s="365"/>
      <c r="WUU366" s="370"/>
      <c r="WUV366" s="365"/>
      <c r="WUW366" s="370"/>
      <c r="WUX366" s="365"/>
      <c r="WUY366" s="370"/>
      <c r="WUZ366" s="365"/>
      <c r="WVA366" s="370"/>
      <c r="WVB366" s="365"/>
      <c r="WVC366" s="370"/>
      <c r="WVD366" s="365"/>
      <c r="WVE366" s="370"/>
      <c r="WVF366" s="365"/>
      <c r="WVG366" s="370"/>
      <c r="WVH366" s="365"/>
      <c r="WVI366" s="370"/>
      <c r="WVJ366" s="365"/>
      <c r="WVK366" s="370"/>
      <c r="WVL366" s="365"/>
      <c r="WVM366" s="370"/>
      <c r="WVN366" s="365"/>
      <c r="WVO366" s="370"/>
      <c r="WVP366" s="365"/>
      <c r="WVQ366" s="370"/>
      <c r="WVR366" s="365"/>
      <c r="WVS366" s="370"/>
      <c r="WVT366" s="365"/>
      <c r="WVU366" s="370"/>
      <c r="WVV366" s="365"/>
      <c r="WVW366" s="370"/>
      <c r="WVX366" s="365"/>
      <c r="WVY366" s="370"/>
      <c r="WVZ366" s="365"/>
      <c r="WWA366" s="370"/>
      <c r="WWB366" s="365"/>
      <c r="WWC366" s="370"/>
      <c r="WWD366" s="365"/>
      <c r="WWE366" s="370"/>
      <c r="WWF366" s="365"/>
      <c r="WWG366" s="370"/>
      <c r="WWH366" s="365"/>
      <c r="WWI366" s="370"/>
      <c r="WWJ366" s="365"/>
      <c r="WWK366" s="370"/>
      <c r="WWL366" s="365"/>
      <c r="WWM366" s="370"/>
      <c r="WWN366" s="365"/>
      <c r="WWO366" s="370"/>
      <c r="WWP366" s="365"/>
      <c r="WWQ366" s="370"/>
      <c r="WWR366" s="365"/>
      <c r="WWS366" s="370"/>
      <c r="WWT366" s="365"/>
      <c r="WWU366" s="370"/>
      <c r="WWV366" s="365"/>
      <c r="WWW366" s="370"/>
      <c r="WWX366" s="365"/>
      <c r="WWY366" s="370"/>
      <c r="WWZ366" s="365"/>
      <c r="WXA366" s="370"/>
      <c r="WXB366" s="365"/>
      <c r="WXC366" s="370"/>
      <c r="WXD366" s="365"/>
      <c r="WXE366" s="370"/>
      <c r="WXF366" s="365"/>
      <c r="WXG366" s="370"/>
      <c r="WXH366" s="365"/>
      <c r="WXI366" s="370"/>
      <c r="WXJ366" s="365"/>
      <c r="WXK366" s="370"/>
      <c r="WXL366" s="365"/>
      <c r="WXM366" s="370"/>
      <c r="WXN366" s="365"/>
      <c r="WXO366" s="370"/>
      <c r="WXP366" s="365"/>
      <c r="WXQ366" s="370"/>
      <c r="WXR366" s="365"/>
      <c r="WXS366" s="370"/>
      <c r="WXT366" s="365"/>
      <c r="WXU366" s="370"/>
      <c r="WXV366" s="365"/>
      <c r="WXW366" s="370"/>
      <c r="WXX366" s="365"/>
      <c r="WXY366" s="370"/>
      <c r="WXZ366" s="365"/>
      <c r="WYA366" s="370"/>
      <c r="WYB366" s="365"/>
      <c r="WYC366" s="370"/>
      <c r="WYD366" s="365"/>
      <c r="WYE366" s="370"/>
      <c r="WYF366" s="365"/>
      <c r="WYG366" s="370"/>
      <c r="WYH366" s="365"/>
      <c r="WYI366" s="370"/>
      <c r="WYJ366" s="365"/>
      <c r="WYK366" s="370"/>
      <c r="WYL366" s="365"/>
      <c r="WYM366" s="370"/>
      <c r="WYN366" s="365"/>
      <c r="WYO366" s="370"/>
      <c r="WYP366" s="365"/>
      <c r="WYQ366" s="370"/>
      <c r="WYR366" s="365"/>
      <c r="WYS366" s="370"/>
      <c r="WYT366" s="365"/>
      <c r="WYU366" s="370"/>
      <c r="WYV366" s="365"/>
      <c r="WYW366" s="370"/>
      <c r="WYX366" s="365"/>
      <c r="WYY366" s="370"/>
      <c r="WYZ366" s="365"/>
      <c r="WZA366" s="370"/>
      <c r="WZB366" s="365"/>
      <c r="WZC366" s="370"/>
      <c r="WZD366" s="365"/>
      <c r="WZE366" s="370"/>
      <c r="WZF366" s="365"/>
      <c r="WZG366" s="370"/>
      <c r="WZH366" s="365"/>
      <c r="WZI366" s="370"/>
      <c r="WZJ366" s="365"/>
      <c r="WZK366" s="370"/>
      <c r="WZL366" s="365"/>
      <c r="WZM366" s="370"/>
      <c r="WZN366" s="365"/>
      <c r="WZO366" s="370"/>
      <c r="WZP366" s="365"/>
      <c r="WZQ366" s="370"/>
      <c r="WZR366" s="365"/>
      <c r="WZS366" s="370"/>
      <c r="WZT366" s="365"/>
      <c r="WZU366" s="370"/>
      <c r="WZV366" s="365"/>
      <c r="WZW366" s="370"/>
      <c r="WZX366" s="365"/>
      <c r="WZY366" s="370"/>
      <c r="WZZ366" s="365"/>
      <c r="XAA366" s="370"/>
      <c r="XAB366" s="365"/>
      <c r="XAC366" s="370"/>
      <c r="XAD366" s="365"/>
      <c r="XAE366" s="370"/>
      <c r="XAF366" s="365"/>
      <c r="XAG366" s="370"/>
      <c r="XAH366" s="365"/>
      <c r="XAI366" s="370"/>
      <c r="XAJ366" s="365"/>
      <c r="XAK366" s="370"/>
      <c r="XAL366" s="365"/>
      <c r="XAM366" s="370"/>
      <c r="XAN366" s="365"/>
      <c r="XAO366" s="370"/>
      <c r="XAP366" s="365"/>
      <c r="XAQ366" s="370"/>
      <c r="XAR366" s="365"/>
      <c r="XAS366" s="370"/>
      <c r="XAT366" s="365"/>
      <c r="XAU366" s="370"/>
      <c r="XAV366" s="365"/>
      <c r="XAW366" s="370"/>
      <c r="XAX366" s="365"/>
      <c r="XAY366" s="370"/>
      <c r="XAZ366" s="365"/>
      <c r="XBA366" s="370"/>
      <c r="XBB366" s="365"/>
      <c r="XBC366" s="370"/>
      <c r="XBD366" s="365"/>
      <c r="XBE366" s="370"/>
      <c r="XBF366" s="365"/>
      <c r="XBG366" s="370"/>
      <c r="XBH366" s="365"/>
      <c r="XBI366" s="370"/>
      <c r="XBJ366" s="365"/>
      <c r="XBK366" s="370"/>
      <c r="XBL366" s="365"/>
      <c r="XBM366" s="370"/>
      <c r="XBN366" s="365"/>
      <c r="XBO366" s="370"/>
      <c r="XBP366" s="365"/>
      <c r="XBQ366" s="370"/>
      <c r="XBR366" s="365"/>
      <c r="XBS366" s="370"/>
      <c r="XBT366" s="365"/>
      <c r="XBU366" s="370"/>
      <c r="XBV366" s="365"/>
      <c r="XBW366" s="370"/>
      <c r="XBX366" s="365"/>
      <c r="XBY366" s="370"/>
      <c r="XBZ366" s="365"/>
      <c r="XCA366" s="370"/>
      <c r="XCB366" s="365"/>
      <c r="XCC366" s="370"/>
      <c r="XCD366" s="365"/>
      <c r="XCE366" s="370"/>
      <c r="XCF366" s="365"/>
      <c r="XCG366" s="370"/>
      <c r="XCH366" s="365"/>
      <c r="XCI366" s="370"/>
      <c r="XCJ366" s="365"/>
      <c r="XCK366" s="370"/>
      <c r="XCL366" s="365"/>
      <c r="XCM366" s="370"/>
      <c r="XCN366" s="365"/>
      <c r="XCO366" s="370"/>
      <c r="XCP366" s="365"/>
      <c r="XCQ366" s="370"/>
      <c r="XCR366" s="365"/>
      <c r="XCS366" s="370"/>
      <c r="XCT366" s="365"/>
      <c r="XCU366" s="370"/>
      <c r="XCV366" s="365"/>
      <c r="XCW366" s="370"/>
      <c r="XCX366" s="365"/>
      <c r="XCY366" s="370"/>
      <c r="XCZ366" s="365"/>
      <c r="XDA366" s="370"/>
      <c r="XDB366" s="365"/>
      <c r="XDC366" s="370"/>
      <c r="XDD366" s="365"/>
      <c r="XDE366" s="370"/>
      <c r="XDF366" s="365"/>
      <c r="XDG366" s="370"/>
      <c r="XDH366" s="365"/>
      <c r="XDI366" s="370"/>
      <c r="XDJ366" s="365"/>
      <c r="XDK366" s="370"/>
      <c r="XDL366" s="365"/>
      <c r="XDM366" s="370"/>
      <c r="XDN366" s="365"/>
      <c r="XDO366" s="370"/>
      <c r="XDP366" s="365"/>
      <c r="XDQ366" s="370"/>
      <c r="XDR366" s="365"/>
      <c r="XDS366" s="370"/>
      <c r="XDT366" s="365"/>
      <c r="XDU366" s="370"/>
      <c r="XDV366" s="365"/>
      <c r="XDW366" s="370"/>
      <c r="XDX366" s="365"/>
      <c r="XDY366" s="370"/>
      <c r="XDZ366" s="365"/>
      <c r="XEA366" s="370"/>
      <c r="XEB366" s="365"/>
      <c r="XEC366" s="370"/>
      <c r="XED366" s="365"/>
      <c r="XEE366" s="370"/>
      <c r="XEF366" s="365"/>
      <c r="XEG366" s="370"/>
      <c r="XEH366" s="365"/>
      <c r="XEI366" s="370"/>
      <c r="XEJ366" s="365"/>
      <c r="XEK366" s="370"/>
      <c r="XEL366" s="365"/>
      <c r="XEM366" s="370"/>
      <c r="XEN366" s="365"/>
      <c r="XEO366" s="370"/>
      <c r="XEP366" s="365"/>
      <c r="XEQ366" s="370"/>
      <c r="XER366" s="365"/>
      <c r="XES366" s="370"/>
      <c r="XET366" s="365"/>
      <c r="XEU366" s="370"/>
      <c r="XEV366" s="365"/>
      <c r="XEW366" s="370"/>
      <c r="XEX366" s="365"/>
      <c r="XEY366" s="370"/>
      <c r="XEZ366" s="365"/>
      <c r="XFA366" s="370"/>
      <c r="XFB366" s="365"/>
      <c r="XFC366" s="370"/>
      <c r="XFD366" s="365"/>
    </row>
    <row r="367" spans="1:16384" ht="15.75">
      <c r="A367" s="299" t="s">
        <v>438</v>
      </c>
      <c r="B367" s="290" t="s">
        <v>431</v>
      </c>
      <c r="F367" s="258">
        <f t="shared" si="10"/>
        <v>8552</v>
      </c>
      <c r="G367" s="258">
        <v>0</v>
      </c>
      <c r="H367" s="258">
        <v>8551954</v>
      </c>
      <c r="I367" s="370"/>
      <c r="J367" s="365"/>
      <c r="K367" s="370"/>
      <c r="M367" s="365"/>
    </row>
    <row r="368" spans="1:16384" ht="15.75">
      <c r="A368" s="299">
        <v>336000</v>
      </c>
      <c r="B368" s="290" t="s">
        <v>439</v>
      </c>
      <c r="F368" s="258">
        <f t="shared" si="10"/>
        <v>2392</v>
      </c>
      <c r="G368" s="258">
        <v>0</v>
      </c>
      <c r="H368" s="258">
        <v>2392052</v>
      </c>
      <c r="M368" s="365"/>
    </row>
    <row r="369" spans="1:16" ht="15.75">
      <c r="A369" s="301"/>
      <c r="B369" s="290" t="s">
        <v>440</v>
      </c>
      <c r="F369" s="258">
        <f t="shared" si="10"/>
        <v>449986</v>
      </c>
      <c r="G369" s="258">
        <v>0</v>
      </c>
      <c r="H369" s="258">
        <v>449986006</v>
      </c>
      <c r="M369" s="365"/>
    </row>
    <row r="370" spans="1:16" ht="15.75">
      <c r="A370" s="302"/>
      <c r="B370" s="290"/>
      <c r="F370" s="258">
        <f t="shared" si="10"/>
        <v>0</v>
      </c>
      <c r="G370" s="258">
        <v>0</v>
      </c>
      <c r="L370" s="365"/>
      <c r="M370" s="365"/>
      <c r="N370" s="365"/>
      <c r="O370" s="370"/>
      <c r="P370" s="365"/>
    </row>
    <row r="371" spans="1:16" ht="15.75">
      <c r="A371" s="297"/>
      <c r="B371" s="290" t="s">
        <v>441</v>
      </c>
      <c r="F371" s="258">
        <f t="shared" si="10"/>
        <v>0</v>
      </c>
      <c r="G371" s="258">
        <v>0</v>
      </c>
      <c r="M371" s="365"/>
    </row>
    <row r="372" spans="1:16" ht="15.75">
      <c r="A372" s="299">
        <v>340200</v>
      </c>
      <c r="B372" s="290" t="s">
        <v>425</v>
      </c>
      <c r="F372" s="258">
        <f t="shared" si="10"/>
        <v>593</v>
      </c>
      <c r="G372" s="258">
        <v>0</v>
      </c>
      <c r="H372" s="258">
        <v>593247</v>
      </c>
      <c r="M372" s="365"/>
    </row>
    <row r="373" spans="1:16" ht="15.75">
      <c r="A373" s="299">
        <v>341000</v>
      </c>
      <c r="B373" s="290" t="s">
        <v>427</v>
      </c>
      <c r="F373" s="258">
        <f t="shared" si="10"/>
        <v>11427</v>
      </c>
      <c r="G373" s="258">
        <v>0</v>
      </c>
      <c r="H373" s="258">
        <v>11427056</v>
      </c>
      <c r="M373" s="365"/>
    </row>
    <row r="374" spans="1:16" ht="15.75">
      <c r="A374" s="299">
        <v>342000</v>
      </c>
      <c r="B374" s="290" t="s">
        <v>442</v>
      </c>
      <c r="F374" s="258">
        <f t="shared" si="10"/>
        <v>13809</v>
      </c>
      <c r="G374" s="258">
        <v>0</v>
      </c>
      <c r="H374" s="258">
        <v>13808799</v>
      </c>
      <c r="M374" s="365"/>
    </row>
    <row r="375" spans="1:16" ht="15.75">
      <c r="A375" s="299">
        <v>343000</v>
      </c>
      <c r="B375" s="290" t="s">
        <v>443</v>
      </c>
      <c r="F375" s="258">
        <f t="shared" si="10"/>
        <v>14783</v>
      </c>
      <c r="G375" s="258">
        <v>0</v>
      </c>
      <c r="H375" s="258">
        <v>14783283</v>
      </c>
      <c r="M375" s="365"/>
    </row>
    <row r="376" spans="1:16" ht="15.75">
      <c r="A376" s="299">
        <v>344000</v>
      </c>
      <c r="B376" s="290" t="s">
        <v>428</v>
      </c>
      <c r="F376" s="258">
        <f t="shared" si="10"/>
        <v>148585</v>
      </c>
      <c r="G376" s="258">
        <v>0</v>
      </c>
      <c r="H376" s="258">
        <v>148584858</v>
      </c>
      <c r="M376" s="365"/>
    </row>
    <row r="377" spans="1:16" ht="15.75">
      <c r="A377" s="299">
        <v>344010</v>
      </c>
      <c r="B377" s="290" t="s">
        <v>602</v>
      </c>
      <c r="F377" s="258">
        <f t="shared" ref="F377:F395" si="18">ROUND(H377/1000,0)</f>
        <v>113</v>
      </c>
      <c r="G377" s="258">
        <v>0</v>
      </c>
      <c r="H377" s="258">
        <v>112828</v>
      </c>
      <c r="M377" s="365"/>
    </row>
    <row r="378" spans="1:16" ht="15.75">
      <c r="A378" s="299">
        <v>345000</v>
      </c>
      <c r="B378" s="290" t="s">
        <v>430</v>
      </c>
      <c r="F378" s="258">
        <f t="shared" si="18"/>
        <v>15574</v>
      </c>
      <c r="G378" s="258">
        <v>0</v>
      </c>
      <c r="H378" s="258">
        <v>15573945</v>
      </c>
      <c r="M378" s="365"/>
    </row>
    <row r="379" spans="1:16" ht="15.75">
      <c r="A379" s="299">
        <v>345010</v>
      </c>
      <c r="B379" s="290" t="s">
        <v>603</v>
      </c>
      <c r="F379" s="258">
        <f t="shared" si="18"/>
        <v>22</v>
      </c>
      <c r="G379" s="258">
        <v>0</v>
      </c>
      <c r="H379" s="258">
        <v>21765</v>
      </c>
      <c r="M379" s="365"/>
    </row>
    <row r="380" spans="1:16" ht="15.75">
      <c r="A380" s="299">
        <v>346000</v>
      </c>
      <c r="B380" s="290" t="s">
        <v>431</v>
      </c>
      <c r="F380" s="258">
        <f t="shared" si="18"/>
        <v>1075</v>
      </c>
      <c r="G380" s="258">
        <v>0</v>
      </c>
      <c r="H380" s="258">
        <v>1074698</v>
      </c>
      <c r="M380" s="365"/>
    </row>
    <row r="381" spans="1:16" ht="15.75">
      <c r="A381" s="301"/>
      <c r="B381" s="290" t="s">
        <v>444</v>
      </c>
      <c r="F381" s="258">
        <f t="shared" si="18"/>
        <v>205980</v>
      </c>
      <c r="G381" s="258">
        <v>0</v>
      </c>
      <c r="H381" s="258">
        <v>205980479</v>
      </c>
      <c r="M381" s="365"/>
    </row>
    <row r="382" spans="1:16" ht="15.75">
      <c r="A382" s="299"/>
      <c r="B382" s="290" t="s">
        <v>445</v>
      </c>
      <c r="F382" s="258">
        <f t="shared" si="18"/>
        <v>948067</v>
      </c>
      <c r="G382" s="258">
        <v>0</v>
      </c>
      <c r="H382" s="595">
        <v>948067058</v>
      </c>
      <c r="M382" s="365"/>
    </row>
    <row r="383" spans="1:16" ht="15.75">
      <c r="A383" s="299"/>
      <c r="B383" s="290"/>
      <c r="F383" s="258">
        <f t="shared" si="18"/>
        <v>0</v>
      </c>
      <c r="G383" s="258">
        <v>0</v>
      </c>
      <c r="M383" s="365"/>
    </row>
    <row r="384" spans="1:16" ht="15.75">
      <c r="A384" s="303"/>
      <c r="B384" s="290" t="s">
        <v>446</v>
      </c>
      <c r="F384" s="258">
        <f t="shared" si="18"/>
        <v>0</v>
      </c>
      <c r="G384" s="258">
        <v>0</v>
      </c>
      <c r="M384" s="365"/>
    </row>
    <row r="385" spans="1:13" ht="15.75">
      <c r="A385" s="299" t="s">
        <v>447</v>
      </c>
      <c r="B385" s="290" t="s">
        <v>425</v>
      </c>
      <c r="F385" s="258">
        <f t="shared" si="18"/>
        <v>20076</v>
      </c>
      <c r="G385" s="258">
        <v>0</v>
      </c>
      <c r="H385" s="258">
        <v>20076336</v>
      </c>
      <c r="M385" s="365"/>
    </row>
    <row r="386" spans="1:13" ht="15.75">
      <c r="A386" s="370" t="s">
        <v>627</v>
      </c>
      <c r="B386" s="365" t="s">
        <v>628</v>
      </c>
      <c r="C386" s="370"/>
      <c r="D386" s="365"/>
      <c r="E386" s="370"/>
      <c r="F386" s="258">
        <f t="shared" si="18"/>
        <v>0</v>
      </c>
      <c r="G386" s="258">
        <v>0</v>
      </c>
      <c r="H386" s="258">
        <v>0</v>
      </c>
      <c r="M386" s="368"/>
    </row>
    <row r="387" spans="1:13" ht="15.75">
      <c r="A387" s="299" t="s">
        <v>448</v>
      </c>
      <c r="B387" s="290" t="s">
        <v>427</v>
      </c>
      <c r="F387" s="258">
        <f t="shared" si="18"/>
        <v>18904</v>
      </c>
      <c r="G387" s="258">
        <v>0</v>
      </c>
      <c r="H387" s="258">
        <v>18904154</v>
      </c>
      <c r="M387" s="368"/>
    </row>
    <row r="388" spans="1:13" ht="15.75">
      <c r="A388" s="299">
        <v>353000</v>
      </c>
      <c r="B388" s="290" t="s">
        <v>330</v>
      </c>
      <c r="F388" s="258">
        <f t="shared" si="18"/>
        <v>208553</v>
      </c>
      <c r="G388" s="258">
        <v>0</v>
      </c>
      <c r="H388" s="258">
        <v>208553053</v>
      </c>
      <c r="M388" s="365"/>
    </row>
    <row r="389" spans="1:13" ht="15.75">
      <c r="A389" s="299">
        <v>354000</v>
      </c>
      <c r="B389" s="290" t="s">
        <v>449</v>
      </c>
      <c r="F389" s="258">
        <f t="shared" si="18"/>
        <v>11250</v>
      </c>
      <c r="G389" s="258">
        <v>0</v>
      </c>
      <c r="H389" s="258">
        <v>11250228</v>
      </c>
      <c r="M389" s="369"/>
    </row>
    <row r="390" spans="1:13" ht="15.75">
      <c r="A390" s="299">
        <v>355000</v>
      </c>
      <c r="B390" s="290" t="s">
        <v>450</v>
      </c>
      <c r="F390" s="258">
        <f t="shared" si="18"/>
        <v>200266</v>
      </c>
      <c r="G390" s="258">
        <v>0</v>
      </c>
      <c r="H390" s="258">
        <v>200266377</v>
      </c>
      <c r="M390" s="365"/>
    </row>
    <row r="391" spans="1:13" ht="15.75">
      <c r="A391" s="299">
        <v>356000</v>
      </c>
      <c r="B391" s="290" t="s">
        <v>451</v>
      </c>
      <c r="F391" s="258">
        <f t="shared" si="18"/>
        <v>109995</v>
      </c>
      <c r="G391" s="258">
        <v>0</v>
      </c>
      <c r="H391" s="258">
        <v>109994721</v>
      </c>
      <c r="M391" s="365"/>
    </row>
    <row r="392" spans="1:13" ht="15.75">
      <c r="A392" s="299">
        <v>357000</v>
      </c>
      <c r="B392" s="290" t="s">
        <v>452</v>
      </c>
      <c r="F392" s="258">
        <f t="shared" si="18"/>
        <v>2202</v>
      </c>
      <c r="G392" s="258">
        <v>0</v>
      </c>
      <c r="H392" s="258">
        <v>2202173</v>
      </c>
      <c r="M392" s="365"/>
    </row>
    <row r="393" spans="1:13" ht="15.75">
      <c r="A393" s="299">
        <v>358000</v>
      </c>
      <c r="B393" s="290" t="s">
        <v>453</v>
      </c>
      <c r="F393" s="258">
        <f t="shared" si="18"/>
        <v>2954</v>
      </c>
      <c r="G393" s="258">
        <v>0</v>
      </c>
      <c r="H393" s="258">
        <v>2953664</v>
      </c>
      <c r="M393" s="365"/>
    </row>
    <row r="394" spans="1:13" ht="15.75">
      <c r="A394" s="299">
        <v>359000</v>
      </c>
      <c r="B394" s="290" t="s">
        <v>454</v>
      </c>
      <c r="F394" s="258">
        <f t="shared" si="18"/>
        <v>1435</v>
      </c>
      <c r="G394" s="258">
        <v>0</v>
      </c>
      <c r="H394" s="258">
        <v>1434548</v>
      </c>
      <c r="M394" s="365"/>
    </row>
    <row r="395" spans="1:13" ht="15.75">
      <c r="A395" s="301"/>
      <c r="B395" s="290" t="s">
        <v>455</v>
      </c>
      <c r="F395" s="258">
        <f t="shared" si="18"/>
        <v>575635</v>
      </c>
      <c r="G395" s="258">
        <v>0</v>
      </c>
      <c r="H395" s="258">
        <v>575635254</v>
      </c>
      <c r="M395" s="365"/>
    </row>
    <row r="396" spans="1:13" ht="15.75">
      <c r="A396" s="302"/>
      <c r="B396" s="290"/>
      <c r="G396" s="258">
        <v>0</v>
      </c>
      <c r="M396" s="365"/>
    </row>
    <row r="397" spans="1:13" ht="15.75">
      <c r="A397" s="302"/>
      <c r="B397" s="290" t="s">
        <v>456</v>
      </c>
      <c r="F397" s="258">
        <f>ROUND(H397/1000,0)</f>
        <v>0</v>
      </c>
      <c r="M397" s="365"/>
    </row>
    <row r="398" spans="1:13" ht="15.75">
      <c r="A398" s="299">
        <v>360200</v>
      </c>
      <c r="B398" s="290" t="s">
        <v>425</v>
      </c>
      <c r="F398" s="258">
        <f>ROUND(H398/1000,0)</f>
        <v>7373</v>
      </c>
      <c r="G398" s="258">
        <v>0</v>
      </c>
      <c r="H398" s="258">
        <v>7372726</v>
      </c>
      <c r="M398" s="368"/>
    </row>
    <row r="399" spans="1:13" ht="15.75">
      <c r="A399" s="298">
        <v>360400</v>
      </c>
      <c r="B399" s="293" t="s">
        <v>457</v>
      </c>
      <c r="F399" s="258">
        <f>ROUND(H399/1000,0)</f>
        <v>1293</v>
      </c>
      <c r="G399" s="258">
        <v>0</v>
      </c>
      <c r="H399" s="258">
        <v>1293008</v>
      </c>
      <c r="M399" s="365"/>
    </row>
    <row r="400" spans="1:13" ht="15.75">
      <c r="A400" s="472">
        <v>360500</v>
      </c>
      <c r="B400" s="368" t="s">
        <v>653</v>
      </c>
      <c r="F400" s="258">
        <f>ROUND(H400/1000,0)</f>
        <v>0</v>
      </c>
      <c r="H400" s="258">
        <v>0</v>
      </c>
      <c r="M400" s="365"/>
    </row>
    <row r="401" spans="1:13" ht="15.75">
      <c r="A401" s="299">
        <v>361000</v>
      </c>
      <c r="B401" s="290" t="s">
        <v>427</v>
      </c>
      <c r="F401" s="258">
        <f>ROUND(H401/1000,0)</f>
        <v>26230</v>
      </c>
      <c r="G401" s="258">
        <v>0</v>
      </c>
      <c r="H401" s="258">
        <v>26229591</v>
      </c>
      <c r="M401" s="365"/>
    </row>
    <row r="402" spans="1:13" ht="15.75">
      <c r="A402" s="299">
        <v>362000</v>
      </c>
      <c r="B402" s="289" t="s">
        <v>330</v>
      </c>
      <c r="F402" s="258">
        <f t="shared" ref="F402:F409" si="19">ROUND(H402/1000,0)</f>
        <v>104737</v>
      </c>
      <c r="G402" s="258">
        <v>0</v>
      </c>
      <c r="H402" s="258">
        <v>104737136</v>
      </c>
      <c r="M402" s="365"/>
    </row>
    <row r="403" spans="1:13" ht="15.75">
      <c r="A403" s="370">
        <v>363000</v>
      </c>
      <c r="B403" s="365" t="s">
        <v>623</v>
      </c>
      <c r="F403" s="258">
        <f t="shared" si="19"/>
        <v>1726</v>
      </c>
      <c r="G403" s="258">
        <v>0</v>
      </c>
      <c r="H403" s="258">
        <v>1725635</v>
      </c>
      <c r="M403" s="365"/>
    </row>
    <row r="404" spans="1:13" ht="15.75">
      <c r="A404" s="299">
        <v>364000</v>
      </c>
      <c r="B404" s="290" t="s">
        <v>458</v>
      </c>
      <c r="F404" s="258">
        <f t="shared" si="19"/>
        <v>307855</v>
      </c>
      <c r="G404" s="258">
        <v>0</v>
      </c>
      <c r="H404" s="258">
        <v>307854541</v>
      </c>
      <c r="M404" s="365"/>
    </row>
    <row r="405" spans="1:13" ht="15.75">
      <c r="A405" s="299">
        <v>365000</v>
      </c>
      <c r="B405" s="290" t="s">
        <v>451</v>
      </c>
      <c r="F405" s="258">
        <f t="shared" si="19"/>
        <v>192543</v>
      </c>
      <c r="G405" s="258">
        <v>0</v>
      </c>
      <c r="H405" s="258">
        <v>192542732</v>
      </c>
      <c r="M405" s="365"/>
    </row>
    <row r="406" spans="1:13" ht="15.75">
      <c r="A406" s="299">
        <v>366000</v>
      </c>
      <c r="B406" s="290" t="s">
        <v>452</v>
      </c>
      <c r="F406" s="258">
        <f t="shared" si="19"/>
        <v>89254</v>
      </c>
      <c r="G406" s="258">
        <v>0</v>
      </c>
      <c r="H406" s="258">
        <v>89254067</v>
      </c>
      <c r="M406" s="365"/>
    </row>
    <row r="407" spans="1:13" ht="15.75">
      <c r="A407" s="299">
        <v>367000</v>
      </c>
      <c r="B407" s="290" t="s">
        <v>453</v>
      </c>
      <c r="F407" s="258">
        <f t="shared" si="19"/>
        <v>155652</v>
      </c>
      <c r="G407" s="258">
        <v>0</v>
      </c>
      <c r="H407" s="258">
        <v>155651882</v>
      </c>
      <c r="M407" s="365"/>
    </row>
    <row r="408" spans="1:13" ht="15.75">
      <c r="A408" s="299">
        <v>368000</v>
      </c>
      <c r="B408" s="290" t="s">
        <v>366</v>
      </c>
      <c r="F408" s="258">
        <f t="shared" si="19"/>
        <v>206587</v>
      </c>
      <c r="G408" s="258">
        <v>0</v>
      </c>
      <c r="H408" s="258">
        <v>206587445</v>
      </c>
      <c r="M408" s="365"/>
    </row>
    <row r="409" spans="1:13" ht="15.75">
      <c r="A409" s="299" t="s">
        <v>459</v>
      </c>
      <c r="B409" s="290" t="s">
        <v>460</v>
      </c>
      <c r="F409" s="258">
        <f t="shared" si="19"/>
        <v>126743</v>
      </c>
      <c r="G409" s="258">
        <v>0</v>
      </c>
      <c r="H409" s="258">
        <v>126743075</v>
      </c>
      <c r="M409" s="365"/>
    </row>
    <row r="410" spans="1:13" ht="15.75">
      <c r="A410" s="472" t="s">
        <v>654</v>
      </c>
      <c r="B410" s="368" t="s">
        <v>655</v>
      </c>
      <c r="F410" s="258">
        <f>ROUND(H410/1000,0)</f>
        <v>2924</v>
      </c>
      <c r="G410" s="258">
        <v>0</v>
      </c>
      <c r="H410" s="258">
        <v>2924068</v>
      </c>
      <c r="M410" s="365"/>
    </row>
    <row r="411" spans="1:13" ht="15.75">
      <c r="A411" s="298">
        <v>370000</v>
      </c>
      <c r="B411" s="293" t="s">
        <v>368</v>
      </c>
      <c r="F411" s="258">
        <f>ROUND(H411/1000,0)</f>
        <v>58609</v>
      </c>
      <c r="G411" s="258">
        <v>0</v>
      </c>
      <c r="H411" s="258">
        <v>58609385</v>
      </c>
      <c r="M411" s="365"/>
    </row>
    <row r="412" spans="1:13" ht="15.75">
      <c r="A412" s="299" t="s">
        <v>461</v>
      </c>
      <c r="B412" s="290" t="s">
        <v>462</v>
      </c>
      <c r="F412" s="258">
        <f>ROUND(H412/1000,0)</f>
        <v>46257</v>
      </c>
      <c r="G412" s="258">
        <v>0</v>
      </c>
      <c r="H412" s="258">
        <v>46256803</v>
      </c>
      <c r="M412" s="365"/>
    </row>
    <row r="413" spans="1:13" ht="15.75">
      <c r="A413" s="301"/>
      <c r="B413" s="290" t="s">
        <v>463</v>
      </c>
      <c r="F413" s="258">
        <f>ROUND(H413/1000,0)</f>
        <v>1327782</v>
      </c>
      <c r="G413" s="258">
        <v>0</v>
      </c>
      <c r="H413" s="258">
        <v>1327782094</v>
      </c>
      <c r="M413" s="365"/>
    </row>
    <row r="414" spans="1:13" ht="15.75">
      <c r="A414" s="302"/>
      <c r="B414" s="290"/>
      <c r="M414" s="365"/>
    </row>
    <row r="415" spans="1:13" ht="15.75">
      <c r="A415" s="302"/>
      <c r="B415" s="290" t="s">
        <v>464</v>
      </c>
      <c r="F415" s="258">
        <f t="shared" ref="F415:F459" si="20">ROUND(H415/1000,0)</f>
        <v>0</v>
      </c>
      <c r="G415" s="258">
        <v>0</v>
      </c>
      <c r="M415" s="365"/>
    </row>
    <row r="416" spans="1:13" ht="15.75">
      <c r="A416" s="299" t="s">
        <v>465</v>
      </c>
      <c r="B416" s="290" t="s">
        <v>425</v>
      </c>
      <c r="F416" s="258">
        <f t="shared" si="20"/>
        <v>6969</v>
      </c>
      <c r="G416" s="258">
        <v>0</v>
      </c>
      <c r="H416" s="258">
        <v>6969109</v>
      </c>
      <c r="M416" s="365"/>
    </row>
    <row r="417" spans="1:13" ht="15.75">
      <c r="A417" s="299" t="s">
        <v>466</v>
      </c>
      <c r="B417" s="290" t="s">
        <v>427</v>
      </c>
      <c r="F417" s="258">
        <f t="shared" si="20"/>
        <v>83549</v>
      </c>
      <c r="G417" s="258">
        <v>0</v>
      </c>
      <c r="H417" s="258">
        <v>83549063</v>
      </c>
      <c r="M417" s="365"/>
    </row>
    <row r="418" spans="1:13" ht="15.75">
      <c r="A418" s="299" t="s">
        <v>467</v>
      </c>
      <c r="B418" s="290" t="s">
        <v>468</v>
      </c>
      <c r="F418" s="258">
        <f t="shared" si="20"/>
        <v>42992</v>
      </c>
      <c r="G418" s="258">
        <v>0</v>
      </c>
      <c r="H418" s="258">
        <v>42992337</v>
      </c>
      <c r="M418" s="365"/>
    </row>
    <row r="419" spans="1:13" ht="15.75">
      <c r="A419" s="299" t="s">
        <v>469</v>
      </c>
      <c r="B419" s="290" t="s">
        <v>470</v>
      </c>
      <c r="F419" s="258">
        <f t="shared" si="20"/>
        <v>44472</v>
      </c>
      <c r="G419" s="258">
        <v>0</v>
      </c>
      <c r="H419" s="258">
        <v>44471582</v>
      </c>
      <c r="M419" s="365"/>
    </row>
    <row r="420" spans="1:13" ht="15.75">
      <c r="A420" s="299">
        <v>393000</v>
      </c>
      <c r="B420" s="290" t="s">
        <v>471</v>
      </c>
      <c r="F420" s="258">
        <f t="shared" si="20"/>
        <v>2963</v>
      </c>
      <c r="G420" s="258">
        <v>0</v>
      </c>
      <c r="H420" s="258">
        <v>2962966</v>
      </c>
      <c r="M420" s="365"/>
    </row>
    <row r="421" spans="1:13" ht="15.75">
      <c r="A421" s="299">
        <v>394000</v>
      </c>
      <c r="B421" s="290" t="s">
        <v>472</v>
      </c>
      <c r="F421" s="258">
        <f t="shared" si="20"/>
        <v>11583</v>
      </c>
      <c r="G421" s="258">
        <v>0</v>
      </c>
      <c r="H421" s="258">
        <v>11582601</v>
      </c>
      <c r="M421" s="365"/>
    </row>
    <row r="422" spans="1:13" ht="15.75">
      <c r="A422" s="370">
        <v>394100</v>
      </c>
      <c r="B422" s="365" t="s">
        <v>656</v>
      </c>
      <c r="F422" s="258">
        <f t="shared" si="20"/>
        <v>80</v>
      </c>
      <c r="G422" s="258">
        <v>0</v>
      </c>
      <c r="H422" s="258">
        <v>79736</v>
      </c>
      <c r="M422" s="365"/>
    </row>
    <row r="423" spans="1:13" ht="15.75">
      <c r="A423" s="299">
        <v>395000</v>
      </c>
      <c r="B423" s="290" t="s">
        <v>473</v>
      </c>
      <c r="F423" s="258">
        <f t="shared" si="20"/>
        <v>2216</v>
      </c>
      <c r="G423" s="258">
        <v>0</v>
      </c>
      <c r="H423" s="258">
        <v>2216394</v>
      </c>
      <c r="M423" s="365"/>
    </row>
    <row r="424" spans="1:13" ht="15.75">
      <c r="A424" s="299" t="s">
        <v>474</v>
      </c>
      <c r="B424" s="290" t="s">
        <v>475</v>
      </c>
      <c r="F424" s="258">
        <f t="shared" si="20"/>
        <v>20244</v>
      </c>
      <c r="G424" s="258">
        <v>0</v>
      </c>
      <c r="H424" s="258">
        <v>20244405</v>
      </c>
      <c r="M424" s="365"/>
    </row>
    <row r="425" spans="1:13" ht="15.75">
      <c r="A425" s="299" t="s">
        <v>476</v>
      </c>
      <c r="B425" s="290" t="s">
        <v>477</v>
      </c>
      <c r="F425" s="258">
        <f t="shared" si="20"/>
        <v>78952</v>
      </c>
      <c r="G425" s="258">
        <v>0</v>
      </c>
      <c r="H425" s="258">
        <v>78951796</v>
      </c>
      <c r="M425" s="365"/>
    </row>
    <row r="426" spans="1:13" ht="15.75">
      <c r="A426" s="299">
        <v>398000</v>
      </c>
      <c r="B426" s="290" t="s">
        <v>478</v>
      </c>
      <c r="F426" s="258">
        <f t="shared" si="20"/>
        <v>512</v>
      </c>
      <c r="G426" s="258">
        <v>0</v>
      </c>
      <c r="H426" s="258">
        <v>511799</v>
      </c>
      <c r="M426" s="365"/>
    </row>
    <row r="427" spans="1:13" ht="15.75">
      <c r="A427" s="301"/>
      <c r="B427" s="290" t="s">
        <v>479</v>
      </c>
      <c r="F427" s="258">
        <f t="shared" si="20"/>
        <v>294532</v>
      </c>
      <c r="G427" s="258">
        <v>0</v>
      </c>
      <c r="H427" s="258">
        <v>294531788</v>
      </c>
      <c r="M427" s="365"/>
    </row>
    <row r="428" spans="1:13" ht="15.75">
      <c r="A428" s="302"/>
      <c r="B428" s="290"/>
      <c r="F428" s="258">
        <f t="shared" si="20"/>
        <v>0</v>
      </c>
      <c r="G428" s="258">
        <v>0</v>
      </c>
      <c r="M428" s="365"/>
    </row>
    <row r="429" spans="1:13" ht="15.75">
      <c r="A429" s="302"/>
      <c r="B429" s="290" t="s">
        <v>480</v>
      </c>
      <c r="F429" s="258">
        <f t="shared" si="20"/>
        <v>3376734</v>
      </c>
      <c r="G429" s="258">
        <v>0</v>
      </c>
      <c r="H429" s="258">
        <v>3376733704</v>
      </c>
      <c r="M429" s="365"/>
    </row>
    <row r="430" spans="1:13" ht="15.75">
      <c r="A430" s="302"/>
      <c r="B430" s="290"/>
      <c r="F430" s="258">
        <f t="shared" si="20"/>
        <v>0</v>
      </c>
      <c r="G430" s="258">
        <v>0</v>
      </c>
      <c r="M430" s="365"/>
    </row>
    <row r="431" spans="1:13" ht="15.75">
      <c r="A431" s="302"/>
      <c r="B431" s="290"/>
      <c r="F431" s="258">
        <f t="shared" si="20"/>
        <v>0</v>
      </c>
      <c r="G431" s="258">
        <v>0</v>
      </c>
      <c r="M431" s="365"/>
    </row>
    <row r="432" spans="1:13" ht="15.75">
      <c r="A432" s="302"/>
      <c r="B432" s="290" t="s">
        <v>73</v>
      </c>
      <c r="F432" s="258">
        <f t="shared" si="20"/>
        <v>0</v>
      </c>
      <c r="G432" s="258">
        <v>0</v>
      </c>
      <c r="M432" s="365"/>
    </row>
    <row r="433" spans="1:13" ht="15.75">
      <c r="A433" s="302"/>
      <c r="B433" s="290" t="s">
        <v>481</v>
      </c>
      <c r="F433" s="258">
        <f t="shared" si="20"/>
        <v>-218188</v>
      </c>
      <c r="G433" s="258">
        <v>0</v>
      </c>
      <c r="H433" s="258">
        <v>-218188014</v>
      </c>
      <c r="M433" s="365"/>
    </row>
    <row r="434" spans="1:13" ht="15.75">
      <c r="A434" s="299"/>
      <c r="B434" s="290" t="s">
        <v>482</v>
      </c>
      <c r="F434" s="258">
        <f t="shared" si="20"/>
        <v>-106230</v>
      </c>
      <c r="G434" s="258">
        <v>0</v>
      </c>
      <c r="H434" s="258">
        <v>-106230207</v>
      </c>
      <c r="M434" s="365"/>
    </row>
    <row r="435" spans="1:13" ht="15.75">
      <c r="A435" s="302"/>
      <c r="B435" s="290" t="s">
        <v>483</v>
      </c>
      <c r="F435" s="258">
        <f t="shared" si="20"/>
        <v>-99321</v>
      </c>
      <c r="G435" s="258">
        <v>0</v>
      </c>
      <c r="H435" s="258">
        <v>-99320849</v>
      </c>
      <c r="M435" s="365"/>
    </row>
    <row r="436" spans="1:13" ht="15.75">
      <c r="A436" s="302"/>
      <c r="B436" s="290" t="s">
        <v>484</v>
      </c>
      <c r="F436" s="258">
        <f t="shared" si="20"/>
        <v>-158761</v>
      </c>
      <c r="G436" s="258">
        <v>0</v>
      </c>
      <c r="H436" s="258">
        <v>-158761485</v>
      </c>
      <c r="M436" s="365"/>
    </row>
    <row r="437" spans="1:13" ht="15.75">
      <c r="A437" s="302"/>
      <c r="B437" s="290" t="s">
        <v>485</v>
      </c>
      <c r="F437" s="258">
        <f t="shared" si="20"/>
        <v>-384189</v>
      </c>
      <c r="G437" s="258">
        <v>0</v>
      </c>
      <c r="H437" s="258">
        <v>-384189260</v>
      </c>
      <c r="M437" s="365"/>
    </row>
    <row r="438" spans="1:13" ht="15.75">
      <c r="A438" s="302"/>
      <c r="B438" s="290" t="s">
        <v>486</v>
      </c>
      <c r="F438" s="258">
        <f t="shared" si="20"/>
        <v>-98994</v>
      </c>
      <c r="G438" s="258">
        <v>0</v>
      </c>
      <c r="H438" s="258">
        <v>-98993577</v>
      </c>
      <c r="M438" s="365"/>
    </row>
    <row r="439" spans="1:13" ht="15.75">
      <c r="A439" s="297"/>
      <c r="B439" s="290" t="s">
        <v>487</v>
      </c>
      <c r="F439" s="258">
        <f t="shared" si="20"/>
        <v>-1065683</v>
      </c>
      <c r="G439" s="258">
        <v>0</v>
      </c>
      <c r="H439" s="258">
        <v>-1065683392</v>
      </c>
      <c r="M439" s="365"/>
    </row>
    <row r="440" spans="1:13" ht="15.75">
      <c r="A440" s="297"/>
      <c r="B440" s="290"/>
      <c r="F440" s="258">
        <f t="shared" si="20"/>
        <v>0</v>
      </c>
      <c r="G440" s="258">
        <v>0</v>
      </c>
      <c r="M440" s="372"/>
    </row>
    <row r="441" spans="1:13" ht="15.75">
      <c r="A441" s="297"/>
      <c r="B441" s="290" t="s">
        <v>114</v>
      </c>
      <c r="F441" s="258">
        <f t="shared" si="20"/>
        <v>0</v>
      </c>
      <c r="G441" s="258">
        <v>0</v>
      </c>
      <c r="M441" s="373"/>
    </row>
    <row r="442" spans="1:13" ht="15.75">
      <c r="A442" s="302"/>
      <c r="B442" s="290" t="s">
        <v>488</v>
      </c>
      <c r="F442" s="258">
        <f t="shared" si="20"/>
        <v>-10754</v>
      </c>
      <c r="G442" s="258">
        <v>0</v>
      </c>
      <c r="H442" s="258">
        <v>-10753873</v>
      </c>
      <c r="M442" s="372"/>
    </row>
    <row r="443" spans="1:13" ht="15.75">
      <c r="A443" s="302"/>
      <c r="B443" s="290" t="s">
        <v>489</v>
      </c>
      <c r="F443" s="258">
        <f t="shared" si="20"/>
        <v>-301</v>
      </c>
      <c r="G443" s="258">
        <v>0</v>
      </c>
      <c r="H443" s="258">
        <v>-301175</v>
      </c>
      <c r="M443" s="372"/>
    </row>
    <row r="444" spans="1:13" ht="15.75">
      <c r="A444" s="302"/>
      <c r="B444" s="290" t="s">
        <v>490</v>
      </c>
      <c r="F444" s="258">
        <f t="shared" si="20"/>
        <v>-2125</v>
      </c>
      <c r="G444" s="258">
        <v>0</v>
      </c>
      <c r="H444" s="258">
        <v>-2125459</v>
      </c>
      <c r="M444" s="372"/>
    </row>
    <row r="445" spans="1:13" ht="15.75">
      <c r="A445" s="302"/>
      <c r="B445" s="290" t="s">
        <v>491</v>
      </c>
      <c r="F445" s="258">
        <f t="shared" si="20"/>
        <v>-71665</v>
      </c>
      <c r="G445" s="258">
        <v>0</v>
      </c>
      <c r="H445" s="258">
        <v>-71665476</v>
      </c>
      <c r="M445" s="372"/>
    </row>
    <row r="446" spans="1:13" ht="15.75">
      <c r="A446" s="302"/>
      <c r="B446" s="290" t="s">
        <v>492</v>
      </c>
      <c r="F446" s="258">
        <f t="shared" si="20"/>
        <v>-291</v>
      </c>
      <c r="G446" s="258">
        <v>0</v>
      </c>
      <c r="H446" s="258">
        <v>-290522</v>
      </c>
      <c r="M446" s="372"/>
    </row>
    <row r="447" spans="1:13" ht="15.75">
      <c r="A447" s="302"/>
      <c r="B447" s="290" t="s">
        <v>493</v>
      </c>
      <c r="F447" s="258">
        <f t="shared" si="20"/>
        <v>-85137</v>
      </c>
      <c r="G447" s="258">
        <v>0</v>
      </c>
      <c r="H447" s="258">
        <v>-85136505</v>
      </c>
      <c r="M447" s="372"/>
    </row>
    <row r="448" spans="1:13" ht="15.75">
      <c r="A448" s="302"/>
      <c r="B448" s="290"/>
      <c r="F448" s="258">
        <f t="shared" si="20"/>
        <v>0</v>
      </c>
      <c r="G448" s="258">
        <v>0</v>
      </c>
      <c r="M448" s="372"/>
    </row>
    <row r="449" spans="1:13" ht="15.75">
      <c r="A449" s="302"/>
      <c r="B449" s="290" t="s">
        <v>494</v>
      </c>
      <c r="F449" s="258">
        <f t="shared" si="20"/>
        <v>-1150820</v>
      </c>
      <c r="G449" s="258">
        <v>0</v>
      </c>
      <c r="H449" s="258">
        <v>-1150819897</v>
      </c>
      <c r="M449" s="372"/>
    </row>
    <row r="450" spans="1:13" ht="15.75">
      <c r="A450" s="302"/>
      <c r="B450" s="290"/>
      <c r="F450" s="258">
        <f t="shared" si="20"/>
        <v>0</v>
      </c>
      <c r="G450" s="258">
        <v>0</v>
      </c>
      <c r="M450" s="372"/>
    </row>
    <row r="451" spans="1:13" ht="15.75">
      <c r="A451" s="297"/>
      <c r="B451" s="290" t="s">
        <v>495</v>
      </c>
      <c r="F451" s="258">
        <f t="shared" si="20"/>
        <v>2225914</v>
      </c>
      <c r="G451" s="258">
        <v>0</v>
      </c>
      <c r="H451" s="258">
        <v>2225913807</v>
      </c>
      <c r="M451" s="372"/>
    </row>
    <row r="452" spans="1:13" ht="15.75">
      <c r="A452" s="297"/>
      <c r="B452" s="290"/>
      <c r="F452" s="258">
        <f t="shared" si="20"/>
        <v>0</v>
      </c>
      <c r="G452" s="258">
        <v>0</v>
      </c>
      <c r="M452" s="365"/>
    </row>
    <row r="453" spans="1:13" ht="15.75">
      <c r="A453" s="304"/>
      <c r="B453" s="305" t="s">
        <v>496</v>
      </c>
      <c r="F453" s="258">
        <f t="shared" si="20"/>
        <v>0</v>
      </c>
      <c r="G453" s="258">
        <v>0</v>
      </c>
      <c r="M453" s="365"/>
    </row>
    <row r="454" spans="1:13" ht="15.75">
      <c r="A454" s="306"/>
      <c r="B454" s="304" t="s">
        <v>497</v>
      </c>
      <c r="F454" s="258">
        <f t="shared" si="20"/>
        <v>0</v>
      </c>
      <c r="G454" s="258">
        <v>0</v>
      </c>
      <c r="H454" s="258">
        <v>0</v>
      </c>
      <c r="M454" s="365"/>
    </row>
    <row r="455" spans="1:13" ht="12.75">
      <c r="A455" s="306"/>
      <c r="B455" s="305" t="s">
        <v>498</v>
      </c>
      <c r="F455" s="258">
        <f t="shared" si="20"/>
        <v>40</v>
      </c>
      <c r="G455" s="258">
        <v>0</v>
      </c>
      <c r="H455" s="258">
        <v>39637</v>
      </c>
    </row>
    <row r="456" spans="1:13" ht="15.75">
      <c r="A456" s="306"/>
      <c r="B456" s="305" t="s">
        <v>499</v>
      </c>
      <c r="F456" s="258">
        <f t="shared" si="20"/>
        <v>-382387</v>
      </c>
      <c r="G456" s="258">
        <v>0</v>
      </c>
      <c r="H456" s="258">
        <v>-382386782</v>
      </c>
      <c r="M456" s="365"/>
    </row>
    <row r="457" spans="1:13" ht="15.75">
      <c r="A457" s="306"/>
      <c r="B457" s="305" t="s">
        <v>500</v>
      </c>
      <c r="F457" s="258">
        <f t="shared" si="20"/>
        <v>-40308</v>
      </c>
      <c r="G457" s="258">
        <v>0</v>
      </c>
      <c r="H457" s="258">
        <v>-40308095</v>
      </c>
      <c r="M457" s="365"/>
    </row>
    <row r="458" spans="1:13" ht="15.75">
      <c r="A458" s="306"/>
      <c r="B458" s="372" t="s">
        <v>690</v>
      </c>
      <c r="F458" s="258">
        <f t="shared" si="20"/>
        <v>-1555</v>
      </c>
      <c r="G458" s="258">
        <v>0</v>
      </c>
      <c r="H458" s="258">
        <v>-1555491</v>
      </c>
      <c r="M458" s="365"/>
    </row>
    <row r="459" spans="1:13" ht="15.75">
      <c r="A459" s="306"/>
      <c r="B459" s="305" t="s">
        <v>604</v>
      </c>
      <c r="F459" s="258">
        <f t="shared" si="20"/>
        <v>76</v>
      </c>
      <c r="G459" s="258">
        <v>0</v>
      </c>
      <c r="H459" s="258">
        <v>76056</v>
      </c>
      <c r="M459" s="374"/>
    </row>
    <row r="460" spans="1:13" ht="15.75">
      <c r="A460" s="306"/>
      <c r="B460" s="305" t="s">
        <v>501</v>
      </c>
      <c r="F460" s="258">
        <f>ROUND(H460/1000,0)</f>
        <v>0</v>
      </c>
      <c r="G460" s="258">
        <v>0</v>
      </c>
      <c r="H460" s="258">
        <v>0</v>
      </c>
      <c r="M460" s="374"/>
    </row>
    <row r="461" spans="1:13" ht="15.75">
      <c r="A461" s="306"/>
      <c r="B461" s="305" t="s">
        <v>502</v>
      </c>
      <c r="F461" s="258">
        <f>ROUND(H461/1000,0)</f>
        <v>0</v>
      </c>
      <c r="G461" s="258">
        <v>0</v>
      </c>
      <c r="H461" s="258">
        <v>0</v>
      </c>
      <c r="M461" s="365"/>
    </row>
    <row r="462" spans="1:13" ht="15.75">
      <c r="A462" s="306"/>
      <c r="B462" s="305" t="s">
        <v>503</v>
      </c>
      <c r="F462" s="258">
        <f>ROUND(H462/1000,0)</f>
        <v>-3990</v>
      </c>
      <c r="G462" s="258">
        <v>0</v>
      </c>
      <c r="H462" s="258">
        <v>-3990098</v>
      </c>
      <c r="M462" s="365"/>
    </row>
    <row r="463" spans="1:13" ht="15.75">
      <c r="A463" s="306"/>
      <c r="B463" s="305" t="s">
        <v>605</v>
      </c>
      <c r="F463" s="258">
        <f>ROUND(H463/1000,0)</f>
        <v>173</v>
      </c>
      <c r="G463" s="258">
        <v>0</v>
      </c>
      <c r="H463" s="258">
        <v>173482</v>
      </c>
      <c r="M463" s="374"/>
    </row>
    <row r="464" spans="1:13" ht="15.75">
      <c r="A464" s="306"/>
      <c r="B464" s="305" t="s">
        <v>504</v>
      </c>
      <c r="F464" s="258">
        <f t="shared" ref="F464:F518" si="21">ROUND(H464/1000,0)</f>
        <v>-685</v>
      </c>
      <c r="G464" s="258">
        <v>0</v>
      </c>
      <c r="H464" s="258">
        <v>-685381</v>
      </c>
      <c r="M464" s="374"/>
    </row>
    <row r="465" spans="1:13" ht="15.75">
      <c r="A465" s="302"/>
      <c r="B465" s="290" t="s">
        <v>505</v>
      </c>
      <c r="F465" s="258">
        <f t="shared" si="21"/>
        <v>-428637</v>
      </c>
      <c r="G465" s="258">
        <v>0</v>
      </c>
      <c r="H465" s="258">
        <v>-428636672</v>
      </c>
      <c r="M465" s="374"/>
    </row>
    <row r="466" spans="1:13" ht="15.75">
      <c r="A466" s="297"/>
      <c r="B466" s="290"/>
      <c r="F466" s="258">
        <f t="shared" si="21"/>
        <v>0</v>
      </c>
      <c r="G466" s="258">
        <v>0</v>
      </c>
      <c r="M466" s="374"/>
    </row>
    <row r="467" spans="1:13" ht="15.75">
      <c r="A467" s="297"/>
      <c r="B467" s="290" t="s">
        <v>506</v>
      </c>
      <c r="F467" s="258">
        <f t="shared" si="21"/>
        <v>1797277</v>
      </c>
      <c r="G467" s="258">
        <v>0</v>
      </c>
      <c r="H467" s="258">
        <v>1797277135</v>
      </c>
      <c r="M467" s="374"/>
    </row>
    <row r="468" spans="1:13" ht="15.75">
      <c r="F468" s="258">
        <f t="shared" si="21"/>
        <v>0</v>
      </c>
      <c r="G468" s="258">
        <v>0</v>
      </c>
      <c r="M468" s="365"/>
    </row>
    <row r="469" spans="1:13" ht="15.75">
      <c r="A469" s="289"/>
      <c r="B469" s="290" t="s">
        <v>507</v>
      </c>
      <c r="C469" s="289"/>
      <c r="F469" s="258">
        <f t="shared" si="21"/>
        <v>0</v>
      </c>
      <c r="G469" s="258">
        <v>0</v>
      </c>
      <c r="M469" s="374"/>
    </row>
    <row r="470" spans="1:13" ht="15.75">
      <c r="A470" s="307"/>
      <c r="B470" s="365" t="s">
        <v>716</v>
      </c>
      <c r="C470" s="290"/>
      <c r="F470" s="258">
        <f t="shared" si="21"/>
        <v>28747</v>
      </c>
      <c r="G470" s="258">
        <v>0</v>
      </c>
      <c r="H470" s="258">
        <v>28747054</v>
      </c>
      <c r="M470" s="374"/>
    </row>
    <row r="471" spans="1:13" ht="15.75">
      <c r="A471" s="307"/>
      <c r="B471" s="365" t="s">
        <v>691</v>
      </c>
      <c r="C471" s="290"/>
      <c r="F471" s="258">
        <f t="shared" si="21"/>
        <v>-4360</v>
      </c>
      <c r="G471" s="258">
        <v>0</v>
      </c>
      <c r="H471" s="258">
        <v>-4359626</v>
      </c>
      <c r="M471" s="365"/>
    </row>
    <row r="472" spans="1:13" ht="15.75">
      <c r="A472" s="307"/>
      <c r="B472" s="374" t="s">
        <v>508</v>
      </c>
      <c r="C472" s="290"/>
      <c r="F472" s="258">
        <f t="shared" si="21"/>
        <v>0</v>
      </c>
      <c r="G472" s="258">
        <v>0</v>
      </c>
      <c r="H472" s="258">
        <v>0</v>
      </c>
      <c r="M472" s="374"/>
    </row>
    <row r="473" spans="1:13" ht="15.75">
      <c r="A473" s="307"/>
      <c r="B473" s="374" t="s">
        <v>509</v>
      </c>
      <c r="C473" s="290"/>
      <c r="F473" s="258">
        <f t="shared" si="21"/>
        <v>1111</v>
      </c>
      <c r="G473" s="258">
        <v>0</v>
      </c>
      <c r="H473" s="258">
        <v>1110999</v>
      </c>
      <c r="M473" s="368"/>
    </row>
    <row r="474" spans="1:13" ht="15.75">
      <c r="A474" s="307"/>
      <c r="B474" s="374" t="s">
        <v>510</v>
      </c>
      <c r="C474" s="290"/>
      <c r="F474" s="258">
        <f t="shared" si="21"/>
        <v>-1087</v>
      </c>
      <c r="G474" s="258">
        <v>0</v>
      </c>
      <c r="H474" s="258">
        <v>-1087192</v>
      </c>
      <c r="M474" s="368"/>
    </row>
    <row r="475" spans="1:13" ht="15.75">
      <c r="A475" s="307"/>
      <c r="B475" s="374" t="s">
        <v>606</v>
      </c>
      <c r="C475" s="290"/>
      <c r="F475" s="258">
        <f t="shared" si="21"/>
        <v>0</v>
      </c>
      <c r="G475" s="258">
        <v>0</v>
      </c>
      <c r="H475" s="258">
        <v>0</v>
      </c>
      <c r="M475" s="368"/>
    </row>
    <row r="476" spans="1:13" ht="15.75">
      <c r="A476" s="307"/>
      <c r="B476" s="374" t="s">
        <v>511</v>
      </c>
      <c r="C476" s="290"/>
      <c r="F476" s="258">
        <f t="shared" si="21"/>
        <v>0</v>
      </c>
      <c r="G476" s="258">
        <v>0</v>
      </c>
      <c r="H476" s="258">
        <v>0</v>
      </c>
      <c r="M476" s="368"/>
    </row>
    <row r="477" spans="1:13" ht="15.75">
      <c r="A477" s="307"/>
      <c r="B477" s="365" t="s">
        <v>512</v>
      </c>
      <c r="C477" s="290"/>
      <c r="F477" s="258">
        <f t="shared" si="21"/>
        <v>0</v>
      </c>
      <c r="G477" s="258">
        <v>0</v>
      </c>
      <c r="H477" s="258">
        <v>0</v>
      </c>
      <c r="M477" s="372"/>
    </row>
    <row r="478" spans="1:13" ht="15.75">
      <c r="A478" s="307"/>
      <c r="B478" s="374" t="s">
        <v>513</v>
      </c>
      <c r="C478" s="290"/>
      <c r="F478" s="258">
        <f t="shared" si="21"/>
        <v>0</v>
      </c>
      <c r="G478" s="258">
        <v>0</v>
      </c>
      <c r="H478" s="258">
        <v>0</v>
      </c>
      <c r="M478" s="368"/>
    </row>
    <row r="479" spans="1:13" ht="15.75">
      <c r="A479" s="307"/>
      <c r="B479" s="374" t="s">
        <v>514</v>
      </c>
      <c r="C479" s="290"/>
      <c r="F479" s="258">
        <f t="shared" si="21"/>
        <v>0</v>
      </c>
      <c r="G479" s="258">
        <v>0</v>
      </c>
      <c r="H479" s="258">
        <v>0</v>
      </c>
      <c r="M479" s="372"/>
    </row>
    <row r="480" spans="1:13" ht="15.75">
      <c r="A480" s="307"/>
      <c r="B480" s="365" t="s">
        <v>515</v>
      </c>
      <c r="C480" s="290"/>
      <c r="F480" s="258">
        <f t="shared" si="21"/>
        <v>0</v>
      </c>
      <c r="G480" s="258">
        <v>0</v>
      </c>
      <c r="H480" s="258">
        <v>0</v>
      </c>
      <c r="M480" s="368"/>
    </row>
    <row r="481" spans="1:13" ht="15.75">
      <c r="A481" s="307"/>
      <c r="B481" s="374" t="s">
        <v>516</v>
      </c>
      <c r="C481" s="290"/>
      <c r="F481" s="258">
        <f t="shared" si="21"/>
        <v>0</v>
      </c>
      <c r="G481" s="258">
        <v>0</v>
      </c>
      <c r="H481" s="258">
        <v>0</v>
      </c>
      <c r="M481" s="368"/>
    </row>
    <row r="482" spans="1:13" ht="15.75">
      <c r="A482" s="308"/>
      <c r="B482" s="365" t="s">
        <v>517</v>
      </c>
      <c r="C482" s="293"/>
      <c r="F482" s="258">
        <f t="shared" si="21"/>
        <v>0</v>
      </c>
      <c r="G482" s="258">
        <v>0</v>
      </c>
      <c r="H482" s="258">
        <v>0</v>
      </c>
      <c r="M482" s="368"/>
    </row>
    <row r="483" spans="1:13" ht="15.75">
      <c r="A483" s="308"/>
      <c r="B483" s="365" t="s">
        <v>518</v>
      </c>
      <c r="C483" s="293"/>
      <c r="F483" s="258">
        <f t="shared" si="21"/>
        <v>2</v>
      </c>
      <c r="G483" s="258">
        <v>0</v>
      </c>
      <c r="H483" s="258">
        <v>2113</v>
      </c>
      <c r="M483" s="368"/>
    </row>
    <row r="484" spans="1:13" ht="15.75">
      <c r="A484" s="308"/>
      <c r="B484" s="365" t="s">
        <v>704</v>
      </c>
      <c r="C484" s="293"/>
      <c r="F484" s="258">
        <f t="shared" si="21"/>
        <v>-20967</v>
      </c>
      <c r="G484" s="258">
        <v>0</v>
      </c>
      <c r="H484" s="258">
        <v>-20967443</v>
      </c>
      <c r="M484" s="375"/>
    </row>
    <row r="485" spans="1:13" ht="15.75">
      <c r="A485" s="309"/>
      <c r="B485" s="365" t="s">
        <v>519</v>
      </c>
      <c r="C485" s="293"/>
      <c r="F485" s="258">
        <f t="shared" si="21"/>
        <v>0</v>
      </c>
      <c r="G485" s="258">
        <v>0</v>
      </c>
      <c r="H485" s="258">
        <v>0</v>
      </c>
      <c r="M485" s="368"/>
    </row>
    <row r="486" spans="1:13" ht="15.75">
      <c r="A486" s="308"/>
      <c r="B486" s="372" t="s">
        <v>520</v>
      </c>
      <c r="C486" s="305"/>
      <c r="F486" s="258">
        <f t="shared" si="21"/>
        <v>0</v>
      </c>
      <c r="G486" s="258">
        <v>0</v>
      </c>
      <c r="H486" s="258">
        <v>-444</v>
      </c>
      <c r="M486" s="374"/>
    </row>
    <row r="487" spans="1:13" ht="15.75">
      <c r="A487" s="309"/>
      <c r="B487" s="365" t="s">
        <v>607</v>
      </c>
      <c r="C487" s="293"/>
      <c r="F487" s="258">
        <f t="shared" si="21"/>
        <v>0</v>
      </c>
      <c r="G487" s="258">
        <v>0</v>
      </c>
      <c r="H487" s="258">
        <v>154</v>
      </c>
      <c r="M487" s="368"/>
    </row>
    <row r="488" spans="1:13" ht="15.75">
      <c r="A488" s="308"/>
      <c r="B488" s="372" t="s">
        <v>521</v>
      </c>
      <c r="C488" s="305"/>
      <c r="F488" s="258">
        <f t="shared" si="21"/>
        <v>0</v>
      </c>
      <c r="G488" s="258">
        <v>0</v>
      </c>
      <c r="H488" s="258">
        <v>0</v>
      </c>
      <c r="M488" s="374"/>
    </row>
    <row r="489" spans="1:13" ht="15.75">
      <c r="A489" s="308"/>
      <c r="B489" s="365" t="s">
        <v>522</v>
      </c>
      <c r="C489" s="293"/>
      <c r="F489" s="258">
        <f t="shared" si="21"/>
        <v>1</v>
      </c>
      <c r="G489" s="258">
        <v>0</v>
      </c>
      <c r="H489" s="258">
        <v>1013</v>
      </c>
      <c r="M489" s="374"/>
    </row>
    <row r="490" spans="1:13" ht="15.75">
      <c r="A490" s="308"/>
      <c r="B490" s="365" t="s">
        <v>523</v>
      </c>
      <c r="C490" s="293"/>
      <c r="F490" s="258">
        <f t="shared" si="21"/>
        <v>0</v>
      </c>
      <c r="G490" s="258">
        <v>0</v>
      </c>
      <c r="H490" s="258">
        <v>-204</v>
      </c>
      <c r="M490" s="374"/>
    </row>
    <row r="491" spans="1:13" ht="15.75">
      <c r="A491" s="308"/>
      <c r="B491" s="365" t="s">
        <v>524</v>
      </c>
      <c r="C491" s="293"/>
      <c r="F491" s="258">
        <f t="shared" si="21"/>
        <v>1</v>
      </c>
      <c r="G491" s="258">
        <v>0</v>
      </c>
      <c r="H491" s="258">
        <v>643</v>
      </c>
      <c r="M491" s="375"/>
    </row>
    <row r="492" spans="1:13" ht="15.75">
      <c r="A492" s="308"/>
      <c r="B492" s="365" t="s">
        <v>525</v>
      </c>
      <c r="C492" s="293"/>
      <c r="F492" s="258">
        <f t="shared" si="21"/>
        <v>0</v>
      </c>
      <c r="G492" s="258">
        <v>0</v>
      </c>
      <c r="H492" s="258">
        <v>-138</v>
      </c>
      <c r="M492" s="368"/>
    </row>
    <row r="493" spans="1:13" ht="15.75">
      <c r="A493" s="308"/>
      <c r="B493" s="374" t="s">
        <v>526</v>
      </c>
      <c r="C493" s="293"/>
      <c r="F493" s="258">
        <f t="shared" si="21"/>
        <v>0</v>
      </c>
      <c r="G493" s="258">
        <v>0</v>
      </c>
      <c r="H493" s="258">
        <v>0</v>
      </c>
      <c r="M493" s="374"/>
    </row>
    <row r="494" spans="1:13" ht="15.75">
      <c r="A494" s="308"/>
      <c r="B494" s="365" t="s">
        <v>527</v>
      </c>
      <c r="C494" s="293"/>
      <c r="F494" s="258">
        <f t="shared" si="21"/>
        <v>0</v>
      </c>
      <c r="G494" s="258">
        <v>0</v>
      </c>
      <c r="H494" s="258">
        <v>0</v>
      </c>
      <c r="M494" s="368"/>
    </row>
    <row r="495" spans="1:13" ht="15.75">
      <c r="A495" s="308"/>
      <c r="B495" s="374" t="s">
        <v>528</v>
      </c>
      <c r="C495" s="293"/>
      <c r="F495" s="258">
        <f t="shared" si="21"/>
        <v>0</v>
      </c>
      <c r="G495" s="258">
        <v>0</v>
      </c>
      <c r="H495" s="258">
        <v>0</v>
      </c>
      <c r="M495" s="374"/>
    </row>
    <row r="496" spans="1:13" ht="15.75">
      <c r="A496" s="308"/>
      <c r="B496" s="365" t="s">
        <v>529</v>
      </c>
      <c r="C496" s="293"/>
      <c r="F496" s="258">
        <f t="shared" si="21"/>
        <v>0</v>
      </c>
      <c r="G496" s="258">
        <v>0</v>
      </c>
      <c r="H496" s="258">
        <v>0</v>
      </c>
      <c r="M496" s="374"/>
    </row>
    <row r="497" spans="1:13" ht="15.75">
      <c r="A497" s="308"/>
      <c r="B497" s="374" t="s">
        <v>530</v>
      </c>
      <c r="C497" s="293"/>
      <c r="F497" s="258">
        <f t="shared" si="21"/>
        <v>0</v>
      </c>
      <c r="G497" s="258">
        <v>0</v>
      </c>
      <c r="H497" s="258">
        <v>0</v>
      </c>
      <c r="M497" s="374"/>
    </row>
    <row r="498" spans="1:13" ht="15.75">
      <c r="A498" s="308"/>
      <c r="B498" s="374" t="s">
        <v>531</v>
      </c>
      <c r="C498" s="293"/>
      <c r="F498" s="258">
        <f t="shared" si="21"/>
        <v>-819</v>
      </c>
      <c r="G498" s="258">
        <v>0</v>
      </c>
      <c r="H498" s="258">
        <v>-819082</v>
      </c>
      <c r="M498" s="374"/>
    </row>
    <row r="499" spans="1:13" ht="15.75">
      <c r="A499" s="308"/>
      <c r="B499" s="374" t="s">
        <v>692</v>
      </c>
      <c r="C499" s="293"/>
      <c r="F499" s="258">
        <f t="shared" si="21"/>
        <v>0</v>
      </c>
      <c r="G499" s="258">
        <v>0</v>
      </c>
      <c r="H499" s="258">
        <v>0</v>
      </c>
      <c r="M499" s="374"/>
    </row>
    <row r="500" spans="1:13" ht="15.75">
      <c r="A500" s="308"/>
      <c r="B500" s="374" t="s">
        <v>940</v>
      </c>
      <c r="C500" s="293"/>
      <c r="F500" s="258">
        <f t="shared" si="21"/>
        <v>-26430</v>
      </c>
      <c r="G500" s="258">
        <v>0</v>
      </c>
      <c r="H500" s="258">
        <v>-26429940</v>
      </c>
      <c r="M500" s="374"/>
    </row>
    <row r="501" spans="1:13" ht="15.75">
      <c r="A501" s="308"/>
      <c r="B501" s="374" t="s">
        <v>941</v>
      </c>
      <c r="C501" s="293"/>
      <c r="F501" s="258">
        <f t="shared" si="21"/>
        <v>5550</v>
      </c>
      <c r="G501" s="258">
        <v>0</v>
      </c>
      <c r="H501" s="258">
        <v>5550287</v>
      </c>
      <c r="M501" s="374"/>
    </row>
    <row r="502" spans="1:13" ht="15.75">
      <c r="A502" s="307"/>
      <c r="B502" s="374" t="s">
        <v>705</v>
      </c>
      <c r="C502" s="293"/>
      <c r="F502" s="258">
        <f t="shared" si="21"/>
        <v>0</v>
      </c>
      <c r="G502" s="258">
        <v>0</v>
      </c>
      <c r="H502" s="258">
        <v>0</v>
      </c>
      <c r="M502" s="374"/>
    </row>
    <row r="503" spans="1:13" ht="15.75">
      <c r="A503" s="307"/>
      <c r="B503" s="365" t="s">
        <v>706</v>
      </c>
      <c r="C503" s="293"/>
      <c r="F503" s="258">
        <f t="shared" si="21"/>
        <v>-9685</v>
      </c>
      <c r="G503" s="258">
        <v>0</v>
      </c>
      <c r="H503" s="258">
        <v>-9685128</v>
      </c>
      <c r="M503" s="374"/>
    </row>
    <row r="504" spans="1:13" ht="15.75">
      <c r="A504" s="307"/>
      <c r="B504" s="374" t="s">
        <v>707</v>
      </c>
      <c r="C504" s="293"/>
      <c r="F504" s="258">
        <f t="shared" si="21"/>
        <v>4289</v>
      </c>
      <c r="G504" s="258">
        <v>0</v>
      </c>
      <c r="H504" s="258">
        <v>4289452</v>
      </c>
      <c r="M504" s="374"/>
    </row>
    <row r="505" spans="1:13" ht="15.75">
      <c r="B505" s="365" t="s">
        <v>708</v>
      </c>
      <c r="C505" s="293"/>
      <c r="F505" s="258">
        <f t="shared" si="21"/>
        <v>0</v>
      </c>
      <c r="G505" s="258">
        <v>0</v>
      </c>
      <c r="H505" s="258">
        <v>0</v>
      </c>
    </row>
    <row r="506" spans="1:13" ht="15.75">
      <c r="B506" s="374" t="s">
        <v>709</v>
      </c>
      <c r="C506" s="293"/>
      <c r="F506" s="258">
        <f t="shared" si="21"/>
        <v>1873</v>
      </c>
      <c r="G506" s="258">
        <v>0</v>
      </c>
      <c r="H506" s="258">
        <v>1873257</v>
      </c>
    </row>
    <row r="507" spans="1:13" ht="15.75">
      <c r="B507" s="374" t="s">
        <v>710</v>
      </c>
      <c r="C507" s="293"/>
      <c r="F507" s="258">
        <f t="shared" si="21"/>
        <v>-797</v>
      </c>
      <c r="G507" s="258">
        <v>0</v>
      </c>
      <c r="H507" s="258">
        <v>-796867</v>
      </c>
    </row>
    <row r="508" spans="1:13" ht="15.75">
      <c r="B508" s="374" t="s">
        <v>711</v>
      </c>
      <c r="C508" s="293"/>
      <c r="F508" s="258">
        <f t="shared" si="21"/>
        <v>9717</v>
      </c>
      <c r="G508" s="258">
        <v>0</v>
      </c>
      <c r="H508" s="258">
        <v>9717350</v>
      </c>
    </row>
    <row r="509" spans="1:13" ht="15.75">
      <c r="B509" s="374" t="s">
        <v>712</v>
      </c>
      <c r="C509" s="293"/>
      <c r="F509" s="258">
        <f t="shared" si="21"/>
        <v>-1318</v>
      </c>
      <c r="G509" s="258">
        <v>0</v>
      </c>
      <c r="H509" s="258">
        <v>-1318477</v>
      </c>
    </row>
    <row r="510" spans="1:13" ht="15.75">
      <c r="B510" s="374" t="s">
        <v>713</v>
      </c>
      <c r="C510" s="293"/>
      <c r="F510" s="258">
        <f t="shared" si="21"/>
        <v>-9838</v>
      </c>
      <c r="G510" s="258">
        <v>0</v>
      </c>
      <c r="H510" s="258">
        <v>-9838493</v>
      </c>
    </row>
    <row r="511" spans="1:13" ht="15.75">
      <c r="B511" s="374" t="s">
        <v>714</v>
      </c>
      <c r="C511" s="293"/>
      <c r="F511" s="258">
        <f t="shared" si="21"/>
        <v>2066</v>
      </c>
      <c r="G511" s="258">
        <v>0</v>
      </c>
      <c r="H511" s="258">
        <v>2066084</v>
      </c>
    </row>
    <row r="512" spans="1:13" ht="15.75">
      <c r="B512" s="374" t="s">
        <v>715</v>
      </c>
      <c r="C512" s="293"/>
      <c r="F512" s="258">
        <f t="shared" si="21"/>
        <v>-1755</v>
      </c>
      <c r="G512" s="258">
        <v>0</v>
      </c>
      <c r="H512" s="258">
        <v>-1755166</v>
      </c>
    </row>
    <row r="513" spans="2:8" ht="15.75">
      <c r="B513" s="374" t="s">
        <v>532</v>
      </c>
      <c r="C513" s="293"/>
      <c r="F513" s="258">
        <f t="shared" si="21"/>
        <v>-517</v>
      </c>
      <c r="G513" s="258">
        <v>0</v>
      </c>
      <c r="H513" s="258">
        <v>-516619</v>
      </c>
    </row>
    <row r="514" spans="2:8" ht="15.75">
      <c r="B514" s="374" t="s">
        <v>533</v>
      </c>
      <c r="C514" s="293"/>
      <c r="F514" s="258">
        <f t="shared" ref="F514:F515" si="22">ROUND(H514/1000,0)</f>
        <v>51595</v>
      </c>
      <c r="G514" s="258">
        <v>1</v>
      </c>
      <c r="H514" s="258">
        <v>51594923</v>
      </c>
    </row>
    <row r="515" spans="2:8" ht="15.75">
      <c r="B515" s="374" t="s">
        <v>534</v>
      </c>
      <c r="C515" s="293"/>
      <c r="F515" s="258">
        <f t="shared" si="22"/>
        <v>0</v>
      </c>
      <c r="G515" s="258">
        <v>2</v>
      </c>
      <c r="H515" s="258">
        <v>0</v>
      </c>
    </row>
    <row r="516" spans="2:8" ht="12.75">
      <c r="B516" s="290" t="s">
        <v>535</v>
      </c>
      <c r="C516" s="290"/>
      <c r="F516" s="258">
        <f t="shared" si="21"/>
        <v>27379</v>
      </c>
      <c r="G516" s="258">
        <v>0</v>
      </c>
      <c r="H516" s="258">
        <v>27378510</v>
      </c>
    </row>
    <row r="517" spans="2:8" ht="12.75">
      <c r="B517" s="290"/>
      <c r="C517" s="290"/>
      <c r="F517" s="258">
        <f t="shared" si="21"/>
        <v>0</v>
      </c>
      <c r="G517" s="258">
        <v>0</v>
      </c>
    </row>
    <row r="518" spans="2:8" ht="12.75">
      <c r="B518" s="290" t="s">
        <v>536</v>
      </c>
      <c r="C518" s="290"/>
      <c r="F518" s="258">
        <f t="shared" si="21"/>
        <v>1824656</v>
      </c>
      <c r="G518" s="258">
        <v>0</v>
      </c>
      <c r="H518" s="258">
        <v>1824655645</v>
      </c>
    </row>
    <row r="519" spans="2:8">
      <c r="G519" s="258">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75"/>
  <sheetViews>
    <sheetView topLeftCell="A40" workbookViewId="0">
      <selection sqref="A1:H1"/>
    </sheetView>
  </sheetViews>
  <sheetFormatPr defaultColWidth="10.5703125" defaultRowHeight="12.75"/>
  <cols>
    <col min="1" max="1" width="8.42578125" style="1117" customWidth="1"/>
    <col min="2" max="2" width="18.5703125" style="85" customWidth="1"/>
    <col min="3" max="4" width="10.5703125" style="63" customWidth="1"/>
    <col min="5" max="5" width="10.140625" style="63" customWidth="1"/>
    <col min="6" max="6" width="14.5703125" style="66" customWidth="1"/>
    <col min="7" max="7" width="13.5703125" style="63" bestFit="1" customWidth="1"/>
    <col min="8" max="8" width="2.140625" style="63" customWidth="1"/>
    <col min="9" max="9" width="18.42578125" style="63" customWidth="1"/>
    <col min="10" max="10" width="19.140625" style="63" customWidth="1"/>
    <col min="11" max="11" width="10.85546875" style="63" bestFit="1" customWidth="1"/>
    <col min="12" max="16384" width="10.5703125" style="63"/>
  </cols>
  <sheetData>
    <row r="1" spans="1:9">
      <c r="A1" s="1394" t="s">
        <v>115</v>
      </c>
      <c r="B1" s="1394"/>
      <c r="C1" s="1394"/>
      <c r="D1" s="1394"/>
      <c r="E1" s="1394"/>
      <c r="F1" s="1394"/>
      <c r="G1" s="1394"/>
      <c r="H1" s="1394"/>
    </row>
    <row r="2" spans="1:9">
      <c r="A2" s="1394" t="s">
        <v>549</v>
      </c>
      <c r="B2" s="1394"/>
      <c r="C2" s="1394"/>
      <c r="D2" s="1394"/>
      <c r="E2" s="1394"/>
      <c r="F2" s="1394"/>
      <c r="G2" s="1394"/>
      <c r="H2" s="1394"/>
    </row>
    <row r="3" spans="1:9">
      <c r="A3" s="1394" t="s">
        <v>163</v>
      </c>
      <c r="B3" s="1394"/>
      <c r="C3" s="1394"/>
      <c r="D3" s="1394"/>
      <c r="E3" s="1394"/>
      <c r="F3" s="1394"/>
      <c r="G3" s="1394"/>
      <c r="H3" s="1394"/>
    </row>
    <row r="4" spans="1:9">
      <c r="A4" s="1395" t="str">
        <f>'ADJ DETAIL-INPUT'!A3</f>
        <v>TWELVE MONTHS ENDED SEPTEMBER 30, 2021</v>
      </c>
      <c r="B4" s="1395"/>
      <c r="C4" s="1395"/>
      <c r="D4" s="1395"/>
      <c r="E4" s="1395"/>
      <c r="F4" s="1395"/>
      <c r="G4" s="1395"/>
      <c r="H4" s="1395"/>
    </row>
    <row r="5" spans="1:9">
      <c r="A5" s="1396" t="s">
        <v>142</v>
      </c>
      <c r="B5" s="1396"/>
      <c r="C5" s="1396"/>
      <c r="D5" s="1396"/>
      <c r="E5" s="1396"/>
      <c r="F5" s="1396"/>
      <c r="G5" s="1396"/>
      <c r="H5" s="1396"/>
    </row>
    <row r="6" spans="1:9" ht="13.5" thickBot="1">
      <c r="A6" s="1116"/>
      <c r="B6" s="327"/>
      <c r="C6" s="64"/>
      <c r="D6" s="65"/>
      <c r="E6" s="65"/>
      <c r="F6" s="65"/>
      <c r="I6" s="67" t="s">
        <v>550</v>
      </c>
    </row>
    <row r="7" spans="1:9" ht="13.5" thickBot="1">
      <c r="C7" s="66"/>
      <c r="D7" s="66"/>
      <c r="E7" s="1391" t="s">
        <v>549</v>
      </c>
      <c r="F7" s="1392"/>
      <c r="G7" s="1393"/>
      <c r="I7" s="67" t="s">
        <v>551</v>
      </c>
    </row>
    <row r="8" spans="1:9">
      <c r="C8" s="66"/>
      <c r="D8" s="66"/>
      <c r="E8" s="326">
        <f>'ADJ DETAIL-INPUT'!V9</f>
        <v>2.139999999999997</v>
      </c>
      <c r="F8" s="345"/>
      <c r="G8" s="345"/>
      <c r="I8" s="67"/>
    </row>
    <row r="9" spans="1:9">
      <c r="C9" s="66"/>
      <c r="D9" s="66"/>
      <c r="E9" s="68" t="s">
        <v>25</v>
      </c>
      <c r="F9" s="67" t="s">
        <v>580</v>
      </c>
      <c r="I9" s="67" t="s">
        <v>552</v>
      </c>
    </row>
    <row r="10" spans="1:9">
      <c r="B10" s="328" t="s">
        <v>143</v>
      </c>
      <c r="C10" s="66"/>
      <c r="D10" s="66"/>
      <c r="E10" s="332" t="s">
        <v>260</v>
      </c>
      <c r="F10" s="69" t="s">
        <v>144</v>
      </c>
      <c r="G10" s="69" t="s">
        <v>33</v>
      </c>
      <c r="I10" s="69" t="str">
        <f>F10</f>
        <v>Adjustments</v>
      </c>
    </row>
    <row r="11" spans="1:9">
      <c r="A11" s="1115">
        <f>'ADJ SUMMARY'!A10</f>
        <v>1</v>
      </c>
      <c r="B11" s="85" t="str">
        <f>'ADJ SUMMARY'!C10</f>
        <v>Results of Operations</v>
      </c>
      <c r="C11" s="66"/>
      <c r="D11" s="66"/>
      <c r="E11" s="331">
        <f>'ADJ SUMMARY'!E10</f>
        <v>1824656</v>
      </c>
      <c r="F11" s="325"/>
      <c r="G11" s="63">
        <f>SUM(E11:F11)</f>
        <v>1824656</v>
      </c>
      <c r="I11" s="331">
        <f>ROUND(E11*$E$66*-$F$73,0)+(E70*0.21)</f>
        <v>525.48999999999978</v>
      </c>
    </row>
    <row r="12" spans="1:9">
      <c r="A12" s="1115">
        <f>'ADJ SUMMARY'!A11</f>
        <v>1.01</v>
      </c>
      <c r="B12" s="329" t="str">
        <f>'ADJ SUMMARY'!C11</f>
        <v>Deferred FIT Rate Base</v>
      </c>
      <c r="C12" s="66"/>
      <c r="D12" s="66"/>
      <c r="E12" s="70"/>
      <c r="F12" s="331">
        <f>'ADJ SUMMARY'!E11</f>
        <v>-680</v>
      </c>
      <c r="G12" s="63">
        <f>SUM(E12:F12)</f>
        <v>-680</v>
      </c>
      <c r="I12" s="331">
        <f t="shared" ref="I12:I43" si="0">ROUND(F12*$E$66*-$F$73,0)</f>
        <v>4</v>
      </c>
    </row>
    <row r="13" spans="1:9">
      <c r="A13" s="1115">
        <f>'ADJ SUMMARY'!A12</f>
        <v>1.02</v>
      </c>
      <c r="B13" s="329" t="str">
        <f>'ADJ SUMMARY'!C12</f>
        <v>Deferred Debits and Credits</v>
      </c>
      <c r="C13" s="66"/>
      <c r="D13" s="66"/>
      <c r="E13" s="70"/>
      <c r="F13" s="331">
        <f>'ADJ SUMMARY'!E12</f>
        <v>19</v>
      </c>
      <c r="G13" s="63">
        <f t="shared" ref="G13:G26" si="1">SUM(E13:F13)</f>
        <v>19</v>
      </c>
      <c r="I13" s="331">
        <f t="shared" si="0"/>
        <v>0</v>
      </c>
    </row>
    <row r="14" spans="1:9">
      <c r="A14" s="1115">
        <f>'ADJ SUMMARY'!A13</f>
        <v>1.03</v>
      </c>
      <c r="B14" s="329" t="str">
        <f>'ADJ SUMMARY'!C13</f>
        <v>Working Capital</v>
      </c>
      <c r="C14" s="66"/>
      <c r="D14" s="66"/>
      <c r="E14" s="70"/>
      <c r="F14" s="331">
        <f>'ADJ SUMMARY'!E13</f>
        <v>-295</v>
      </c>
      <c r="G14" s="63">
        <f t="shared" si="1"/>
        <v>-295</v>
      </c>
      <c r="I14" s="331">
        <f t="shared" si="0"/>
        <v>2</v>
      </c>
    </row>
    <row r="15" spans="1:9">
      <c r="A15" s="1115">
        <f>'ADJ SUMMARY'!A14</f>
        <v>2.0099999999999998</v>
      </c>
      <c r="B15" s="329" t="str">
        <f>'ADJ SUMMARY'!C14</f>
        <v>Eliminate B &amp; O Taxes</v>
      </c>
      <c r="C15" s="66"/>
      <c r="D15" s="66"/>
      <c r="E15" s="70"/>
      <c r="F15" s="331">
        <f>'ADJ SUMMARY'!E14</f>
        <v>0</v>
      </c>
      <c r="G15" s="63">
        <f t="shared" si="1"/>
        <v>0</v>
      </c>
      <c r="I15" s="331">
        <f t="shared" si="0"/>
        <v>0</v>
      </c>
    </row>
    <row r="16" spans="1:9">
      <c r="A16" s="1115">
        <f>'ADJ SUMMARY'!A15</f>
        <v>2.0199999999999996</v>
      </c>
      <c r="B16" s="329" t="str">
        <f>'ADJ SUMMARY'!C15</f>
        <v>Restate Property Tax</v>
      </c>
      <c r="C16" s="66"/>
      <c r="D16" s="66"/>
      <c r="E16" s="70"/>
      <c r="F16" s="331">
        <f>'ADJ SUMMARY'!E15</f>
        <v>0</v>
      </c>
      <c r="G16" s="63">
        <f t="shared" si="1"/>
        <v>0</v>
      </c>
      <c r="I16" s="331">
        <f t="shared" si="0"/>
        <v>0</v>
      </c>
    </row>
    <row r="17" spans="1:9">
      <c r="A17" s="1115">
        <f>'ADJ SUMMARY'!A16</f>
        <v>2.0299999999999994</v>
      </c>
      <c r="B17" s="329" t="str">
        <f>'ADJ SUMMARY'!C16</f>
        <v>Uncollect. Expense</v>
      </c>
      <c r="C17" s="66"/>
      <c r="D17" s="66"/>
      <c r="E17" s="70"/>
      <c r="F17" s="331">
        <f>'ADJ SUMMARY'!E16</f>
        <v>0</v>
      </c>
      <c r="G17" s="63">
        <f t="shared" si="1"/>
        <v>0</v>
      </c>
      <c r="I17" s="331">
        <f t="shared" si="0"/>
        <v>0</v>
      </c>
    </row>
    <row r="18" spans="1:9">
      <c r="A18" s="1115">
        <f>'ADJ SUMMARY'!A17</f>
        <v>2.0399999999999991</v>
      </c>
      <c r="B18" s="329" t="str">
        <f>'ADJ SUMMARY'!C17</f>
        <v>Regulatory Expense</v>
      </c>
      <c r="C18" s="66"/>
      <c r="D18" s="66"/>
      <c r="E18" s="70"/>
      <c r="F18" s="331">
        <f>'ADJ SUMMARY'!E17</f>
        <v>0</v>
      </c>
      <c r="G18" s="63">
        <f t="shared" si="1"/>
        <v>0</v>
      </c>
      <c r="I18" s="331">
        <f t="shared" si="0"/>
        <v>0</v>
      </c>
    </row>
    <row r="19" spans="1:9">
      <c r="A19" s="1115">
        <f>'ADJ SUMMARY'!A18</f>
        <v>2.0499999999999989</v>
      </c>
      <c r="B19" s="329" t="str">
        <f>'ADJ SUMMARY'!C18</f>
        <v>Injuries and Damages</v>
      </c>
      <c r="C19" s="66"/>
      <c r="D19" s="66"/>
      <c r="E19" s="70"/>
      <c r="F19" s="331">
        <f>'ADJ SUMMARY'!E18</f>
        <v>0</v>
      </c>
      <c r="G19" s="63">
        <f t="shared" si="1"/>
        <v>0</v>
      </c>
      <c r="I19" s="331">
        <f t="shared" si="0"/>
        <v>0</v>
      </c>
    </row>
    <row r="20" spans="1:9">
      <c r="A20" s="1115">
        <f>'ADJ SUMMARY'!A19</f>
        <v>2.0599999999999987</v>
      </c>
      <c r="B20" s="329" t="str">
        <f>'ADJ SUMMARY'!C19</f>
        <v>FIT/DFIT/ ITC Expense</v>
      </c>
      <c r="C20" s="66"/>
      <c r="D20" s="66"/>
      <c r="E20" s="70"/>
      <c r="F20" s="331">
        <f>'ADJ SUMMARY'!E19</f>
        <v>0</v>
      </c>
      <c r="G20" s="63">
        <f t="shared" si="1"/>
        <v>0</v>
      </c>
      <c r="I20" s="331">
        <f t="shared" si="0"/>
        <v>0</v>
      </c>
    </row>
    <row r="21" spans="1:9">
      <c r="A21" s="1115">
        <f>'ADJ SUMMARY'!A20</f>
        <v>2.0699999999999985</v>
      </c>
      <c r="B21" s="329" t="str">
        <f>'ADJ SUMMARY'!C20</f>
        <v>Office Space Charges to Non-Utility</v>
      </c>
      <c r="C21" s="66"/>
      <c r="D21" s="66"/>
      <c r="E21" s="70"/>
      <c r="F21" s="331">
        <f>'ADJ SUMMARY'!E20</f>
        <v>0</v>
      </c>
      <c r="G21" s="63">
        <f t="shared" si="1"/>
        <v>0</v>
      </c>
      <c r="I21" s="331">
        <f t="shared" si="0"/>
        <v>0</v>
      </c>
    </row>
    <row r="22" spans="1:9">
      <c r="A22" s="1115">
        <f>'ADJ SUMMARY'!A21</f>
        <v>2.0799999999999983</v>
      </c>
      <c r="B22" s="329" t="str">
        <f>'ADJ SUMMARY'!C21</f>
        <v>Restate Excise Taxes</v>
      </c>
      <c r="C22" s="66"/>
      <c r="D22" s="66"/>
      <c r="E22" s="70"/>
      <c r="F22" s="331">
        <f>'ADJ SUMMARY'!E21</f>
        <v>0</v>
      </c>
      <c r="G22" s="63">
        <f t="shared" si="1"/>
        <v>0</v>
      </c>
      <c r="I22" s="331">
        <f t="shared" si="0"/>
        <v>0</v>
      </c>
    </row>
    <row r="23" spans="1:9">
      <c r="A23" s="1115">
        <f>'ADJ SUMMARY'!A22</f>
        <v>2.0899999999999981</v>
      </c>
      <c r="B23" s="329" t="str">
        <f>'ADJ SUMMARY'!C22</f>
        <v>Net Gains &amp; Losses</v>
      </c>
      <c r="C23" s="66"/>
      <c r="D23" s="66"/>
      <c r="E23" s="70"/>
      <c r="F23" s="331">
        <f>'ADJ SUMMARY'!E22</f>
        <v>0</v>
      </c>
      <c r="G23" s="63">
        <f t="shared" si="1"/>
        <v>0</v>
      </c>
      <c r="I23" s="331">
        <f t="shared" si="0"/>
        <v>0</v>
      </c>
    </row>
    <row r="24" spans="1:9">
      <c r="A24" s="1115">
        <f>'ADJ SUMMARY'!A23</f>
        <v>2.0999999999999979</v>
      </c>
      <c r="B24" s="329" t="str">
        <f>'ADJ SUMMARY'!C23</f>
        <v>Weather Normalization</v>
      </c>
      <c r="C24" s="66"/>
      <c r="D24" s="66"/>
      <c r="E24" s="70"/>
      <c r="F24" s="331">
        <f>'ADJ SUMMARY'!E23</f>
        <v>0</v>
      </c>
      <c r="G24" s="63">
        <f t="shared" si="1"/>
        <v>0</v>
      </c>
      <c r="I24" s="331">
        <f t="shared" si="0"/>
        <v>0</v>
      </c>
    </row>
    <row r="25" spans="1:9">
      <c r="A25" s="1115">
        <f>'ADJ SUMMARY'!A24</f>
        <v>2.1099999999999977</v>
      </c>
      <c r="B25" s="329" t="str">
        <f>'ADJ SUMMARY'!C24</f>
        <v>Eliminate Adder Schedules</v>
      </c>
      <c r="C25" s="66"/>
      <c r="D25" s="66"/>
      <c r="E25" s="70"/>
      <c r="F25" s="331">
        <f>'ADJ SUMMARY'!E24</f>
        <v>0</v>
      </c>
      <c r="G25" s="63">
        <f t="shared" si="1"/>
        <v>0</v>
      </c>
      <c r="I25" s="331">
        <f t="shared" si="0"/>
        <v>0</v>
      </c>
    </row>
    <row r="26" spans="1:9">
      <c r="A26" s="1115">
        <f>'ADJ SUMMARY'!A25</f>
        <v>2.1199999999999974</v>
      </c>
      <c r="B26" s="329" t="str">
        <f>'ADJ SUMMARY'!C25</f>
        <v>Misc. Restating Non-Util / Non- Recurring Expenses</v>
      </c>
      <c r="C26" s="66"/>
      <c r="D26" s="66"/>
      <c r="E26" s="70"/>
      <c r="F26" s="331">
        <f>'ADJ SUMMARY'!E25</f>
        <v>0</v>
      </c>
      <c r="G26" s="63">
        <f t="shared" si="1"/>
        <v>0</v>
      </c>
      <c r="I26" s="331">
        <f t="shared" si="0"/>
        <v>0</v>
      </c>
    </row>
    <row r="27" spans="1:9">
      <c r="A27" s="1115">
        <f>'ADJ SUMMARY'!A26</f>
        <v>2.1299999999999972</v>
      </c>
      <c r="B27" s="329" t="str">
        <f>'ADJ SUMMARY'!C26</f>
        <v>Restating Incentives</v>
      </c>
      <c r="C27" s="66"/>
      <c r="D27" s="66"/>
      <c r="E27" s="70"/>
      <c r="F27" s="331">
        <f>'ADJ SUMMARY'!E26</f>
        <v>0</v>
      </c>
      <c r="G27" s="63">
        <f t="shared" ref="G27:G36" si="2">SUM(E27:F27)</f>
        <v>0</v>
      </c>
      <c r="I27" s="331">
        <f t="shared" si="0"/>
        <v>0</v>
      </c>
    </row>
    <row r="28" spans="1:9">
      <c r="A28" s="1115">
        <f>'ADJ SUMMARY'!A27</f>
        <v>2.139999999999997</v>
      </c>
      <c r="B28" s="329" t="str">
        <f>'ADJ SUMMARY'!C27</f>
        <v>Restate Debt Interest</v>
      </c>
      <c r="C28" s="66"/>
      <c r="D28" s="66"/>
      <c r="E28" s="70"/>
      <c r="F28" s="331">
        <f>'ADJ SUMMARY'!E27</f>
        <v>0</v>
      </c>
      <c r="G28" s="63">
        <f t="shared" si="2"/>
        <v>0</v>
      </c>
      <c r="I28" s="331">
        <f t="shared" si="0"/>
        <v>0</v>
      </c>
    </row>
    <row r="29" spans="1:9">
      <c r="A29" s="1115">
        <f>'ADJ SUMMARY'!A28</f>
        <v>2.1499999999999968</v>
      </c>
      <c r="B29" s="329" t="str">
        <f>'ADJ SUMMARY'!C28</f>
        <v>Restate 09.2021 AMA Rate Base to EOP</v>
      </c>
      <c r="C29" s="66"/>
      <c r="D29" s="66"/>
      <c r="E29" s="70"/>
      <c r="F29" s="331">
        <f>'ADJ SUMMARY'!E28</f>
        <v>74189</v>
      </c>
      <c r="G29" s="63">
        <f t="shared" si="2"/>
        <v>74189</v>
      </c>
      <c r="I29" s="331">
        <f t="shared" si="0"/>
        <v>-385</v>
      </c>
    </row>
    <row r="30" spans="1:9">
      <c r="A30" s="1115">
        <f>'ADJ SUMMARY'!A29</f>
        <v>2.1599999999999966</v>
      </c>
      <c r="B30" s="329" t="str">
        <f>'ADJ SUMMARY'!C29</f>
        <v>Eliminate WA Power Cost Defer</v>
      </c>
      <c r="C30" s="66"/>
      <c r="D30" s="66"/>
      <c r="E30" s="70"/>
      <c r="F30" s="331">
        <f>'ADJ SUMMARY'!E29</f>
        <v>0</v>
      </c>
      <c r="G30" s="63">
        <f t="shared" si="2"/>
        <v>0</v>
      </c>
      <c r="I30" s="331">
        <f t="shared" si="0"/>
        <v>0</v>
      </c>
    </row>
    <row r="31" spans="1:9">
      <c r="A31" s="1115">
        <f>'ADJ SUMMARY'!A30</f>
        <v>2.1699999999999964</v>
      </c>
      <c r="B31" s="329" t="str">
        <f>'ADJ SUMMARY'!C30</f>
        <v>Nez Perce Settlement Adjustment</v>
      </c>
      <c r="C31" s="66"/>
      <c r="D31" s="66"/>
      <c r="E31" s="70"/>
      <c r="F31" s="331">
        <f>'ADJ SUMMARY'!E30</f>
        <v>0</v>
      </c>
      <c r="G31" s="63">
        <f t="shared" si="2"/>
        <v>0</v>
      </c>
      <c r="I31" s="331">
        <f t="shared" si="0"/>
        <v>0</v>
      </c>
    </row>
    <row r="32" spans="1:9">
      <c r="A32" s="1115">
        <f>'ADJ SUMMARY'!A31</f>
        <v>2.1799999999999962</v>
      </c>
      <c r="B32" s="329" t="str">
        <f>'ADJ SUMMARY'!C31</f>
        <v>Normalize CS2/Colstrip Major Maint</v>
      </c>
      <c r="C32" s="66"/>
      <c r="D32" s="66"/>
      <c r="E32" s="70"/>
      <c r="F32" s="331">
        <f>'ADJ SUMMARY'!E31</f>
        <v>0</v>
      </c>
      <c r="G32" s="63">
        <f t="shared" si="2"/>
        <v>0</v>
      </c>
      <c r="I32" s="331">
        <f t="shared" si="0"/>
        <v>0</v>
      </c>
    </row>
    <row r="33" spans="1:9">
      <c r="A33" s="1115">
        <f>'ADJ SUMMARY'!A32</f>
        <v>2.1899999999999959</v>
      </c>
      <c r="B33" s="329" t="str">
        <f>'ADJ SUMMARY'!C32</f>
        <v>Authorized Power Supply</v>
      </c>
      <c r="C33" s="66"/>
      <c r="D33" s="66"/>
      <c r="E33" s="70"/>
      <c r="F33" s="331">
        <f>'ADJ SUMMARY'!E32</f>
        <v>0</v>
      </c>
      <c r="G33" s="63">
        <f t="shared" si="2"/>
        <v>0</v>
      </c>
      <c r="I33" s="331">
        <f t="shared" si="0"/>
        <v>0</v>
      </c>
    </row>
    <row r="34" spans="1:9">
      <c r="A34" s="1115">
        <f>'ADJ SUMMARY'!A33</f>
        <v>2.1999999999999957</v>
      </c>
      <c r="B34" s="329" t="str">
        <f>'ADJ SUMMARY'!C33</f>
        <v>Restate 09.2021 Tax Credit Regulatory Liability to EOP</v>
      </c>
      <c r="C34" s="66"/>
      <c r="D34" s="66"/>
      <c r="E34" s="70"/>
      <c r="F34" s="331">
        <f>'ADJ SUMMARY'!E33</f>
        <v>-24902</v>
      </c>
      <c r="G34" s="63">
        <f t="shared" si="2"/>
        <v>-24902</v>
      </c>
      <c r="I34" s="331">
        <f t="shared" si="0"/>
        <v>129</v>
      </c>
    </row>
    <row r="35" spans="1:9">
      <c r="A35" s="1115" t="str">
        <f>'ADJ SUMMARY'!A36</f>
        <v>3.00P</v>
      </c>
      <c r="B35" s="329" t="str">
        <f>'ADJ SUMMARY'!C36</f>
        <v>Pro Forma Power Supply</v>
      </c>
      <c r="C35" s="66"/>
      <c r="D35" s="66"/>
      <c r="E35" s="70"/>
      <c r="F35" s="331">
        <f>'ADJ SUMMARY'!E36</f>
        <v>0</v>
      </c>
      <c r="G35" s="63">
        <f t="shared" si="2"/>
        <v>0</v>
      </c>
      <c r="I35" s="331">
        <f t="shared" si="0"/>
        <v>0</v>
      </c>
    </row>
    <row r="36" spans="1:9">
      <c r="A36" s="1115" t="str">
        <f>'ADJ SUMMARY'!A37</f>
        <v>3.00T</v>
      </c>
      <c r="B36" s="329" t="str">
        <f>'ADJ SUMMARY'!C37</f>
        <v>Pro Forma Transmission Revenue/Expense</v>
      </c>
      <c r="C36" s="66"/>
      <c r="D36" s="66"/>
      <c r="E36" s="70"/>
      <c r="F36" s="331">
        <f>'ADJ SUMMARY'!E37</f>
        <v>0</v>
      </c>
      <c r="G36" s="63">
        <f t="shared" si="2"/>
        <v>0</v>
      </c>
      <c r="I36" s="331">
        <f t="shared" si="0"/>
        <v>0</v>
      </c>
    </row>
    <row r="37" spans="1:9">
      <c r="A37" s="1115">
        <f>'ADJ SUMMARY'!A38</f>
        <v>3.01</v>
      </c>
      <c r="B37" s="329" t="str">
        <f>'ADJ SUMMARY'!C38</f>
        <v>Pro Forma Revenue Normalization</v>
      </c>
      <c r="C37" s="66"/>
      <c r="D37" s="66"/>
      <c r="E37" s="70"/>
      <c r="F37" s="331">
        <f>'ADJ SUMMARY'!E38</f>
        <v>0</v>
      </c>
      <c r="G37" s="63">
        <f t="shared" ref="G37:G59" si="3">SUM(E37:F37)</f>
        <v>0</v>
      </c>
      <c r="I37" s="331">
        <f t="shared" si="0"/>
        <v>0</v>
      </c>
    </row>
    <row r="38" spans="1:9">
      <c r="A38" s="1115">
        <f>'ADJ SUMMARY'!A39</f>
        <v>3.0199999999999996</v>
      </c>
      <c r="B38" s="329" t="str">
        <f>'ADJ SUMMARY'!C39</f>
        <v>Pro Forma Def. Debits, Credits &amp; Regulatory Amorts</v>
      </c>
      <c r="C38" s="66"/>
      <c r="D38" s="66"/>
      <c r="E38" s="70"/>
      <c r="F38" s="331">
        <f>'ADJ SUMMARY'!E39</f>
        <v>-27</v>
      </c>
      <c r="G38" s="63">
        <f t="shared" si="3"/>
        <v>-27</v>
      </c>
      <c r="I38" s="331">
        <f t="shared" si="0"/>
        <v>0</v>
      </c>
    </row>
    <row r="39" spans="1:9">
      <c r="A39" s="1115">
        <f>'ADJ SUMMARY'!A40</f>
        <v>3.0299999999999994</v>
      </c>
      <c r="B39" s="329" t="str">
        <f>'ADJ SUMMARY'!C40</f>
        <v>Pro Forma 2023 ARAM DFIT</v>
      </c>
      <c r="C39" s="66"/>
      <c r="D39" s="66"/>
      <c r="E39" s="70"/>
      <c r="F39" s="331">
        <f>'ADJ SUMMARY'!E40</f>
        <v>0</v>
      </c>
      <c r="G39" s="63">
        <f t="shared" si="3"/>
        <v>0</v>
      </c>
      <c r="I39" s="331">
        <f t="shared" si="0"/>
        <v>0</v>
      </c>
    </row>
    <row r="40" spans="1:9">
      <c r="A40" s="1115">
        <f>'ADJ SUMMARY'!A41</f>
        <v>3.0399999999999991</v>
      </c>
      <c r="B40" s="329" t="str">
        <f>'ADJ SUMMARY'!C41</f>
        <v>Pro Forma AMI Amortization</v>
      </c>
      <c r="C40" s="66"/>
      <c r="D40" s="66"/>
      <c r="E40" s="70"/>
      <c r="F40" s="331">
        <f>'ADJ SUMMARY'!E41</f>
        <v>30417</v>
      </c>
      <c r="G40" s="63">
        <f t="shared" si="3"/>
        <v>30417</v>
      </c>
      <c r="I40" s="331">
        <f t="shared" si="0"/>
        <v>-158</v>
      </c>
    </row>
    <row r="41" spans="1:9">
      <c r="A41" s="1115">
        <f>'ADJ SUMMARY'!A42</f>
        <v>3.0499999999999989</v>
      </c>
      <c r="B41" s="329" t="str">
        <f>'ADJ SUMMARY'!C42</f>
        <v>Pro Forma Colstrip Trust Fund &amp; Other Amortizations</v>
      </c>
      <c r="C41" s="66"/>
      <c r="D41" s="66"/>
      <c r="E41" s="70"/>
      <c r="F41" s="331">
        <f>'ADJ SUMMARY'!E42</f>
        <v>0</v>
      </c>
      <c r="G41" s="63">
        <f t="shared" si="3"/>
        <v>0</v>
      </c>
      <c r="I41" s="331">
        <f t="shared" si="0"/>
        <v>0</v>
      </c>
    </row>
    <row r="42" spans="1:9">
      <c r="A42" s="1115">
        <f>'ADJ SUMMARY'!A43</f>
        <v>3.0599999999999987</v>
      </c>
      <c r="B42" s="329" t="str">
        <f>'ADJ SUMMARY'!C43</f>
        <v>Pro Forma CETA Labor Exp</v>
      </c>
      <c r="C42" s="66"/>
      <c r="D42" s="66"/>
      <c r="E42" s="70"/>
      <c r="F42" s="331">
        <f>'ADJ SUMMARY'!E43</f>
        <v>0</v>
      </c>
      <c r="G42" s="63">
        <f t="shared" si="3"/>
        <v>0</v>
      </c>
      <c r="I42" s="331">
        <f t="shared" si="0"/>
        <v>0</v>
      </c>
    </row>
    <row r="43" spans="1:9">
      <c r="A43" s="1115">
        <f>'ADJ SUMMARY'!A44</f>
        <v>3.0699999999999985</v>
      </c>
      <c r="B43" s="329" t="str">
        <f>'ADJ SUMMARY'!C44</f>
        <v>Pro Forma Non-Exec Labor &amp; Union Incentive</v>
      </c>
      <c r="C43" s="66"/>
      <c r="D43" s="66"/>
      <c r="E43" s="70"/>
      <c r="F43" s="331">
        <f>'ADJ SUMMARY'!E44</f>
        <v>0</v>
      </c>
      <c r="G43" s="63">
        <f t="shared" si="3"/>
        <v>0</v>
      </c>
      <c r="I43" s="331">
        <f t="shared" si="0"/>
        <v>0</v>
      </c>
    </row>
    <row r="44" spans="1:9">
      <c r="A44" s="1115">
        <f>'ADJ SUMMARY'!A45</f>
        <v>3.0799999999999983</v>
      </c>
      <c r="B44" s="329" t="str">
        <f>'ADJ SUMMARY'!C45</f>
        <v>Pro Forma Labor Exec</v>
      </c>
      <c r="C44" s="66"/>
      <c r="D44" s="66"/>
      <c r="E44" s="70"/>
      <c r="F44" s="331">
        <f>'ADJ SUMMARY'!E45</f>
        <v>0</v>
      </c>
      <c r="G44" s="63">
        <f t="shared" si="3"/>
        <v>0</v>
      </c>
      <c r="I44" s="331">
        <f t="shared" ref="I44:I63" si="4">ROUND(F44*$E$66*-$F$73,0)</f>
        <v>0</v>
      </c>
    </row>
    <row r="45" spans="1:9">
      <c r="A45" s="1115">
        <f>'ADJ SUMMARY'!A46</f>
        <v>3.0899999999999981</v>
      </c>
      <c r="B45" s="329" t="str">
        <f>'ADJ SUMMARY'!C46</f>
        <v>Pro Forma Employee Benefits</v>
      </c>
      <c r="C45" s="66"/>
      <c r="D45" s="66"/>
      <c r="E45" s="70"/>
      <c r="F45" s="331">
        <f>'ADJ SUMMARY'!E46</f>
        <v>0</v>
      </c>
      <c r="G45" s="63">
        <f t="shared" si="3"/>
        <v>0</v>
      </c>
      <c r="I45" s="331">
        <f t="shared" si="4"/>
        <v>0</v>
      </c>
    </row>
    <row r="46" spans="1:9">
      <c r="A46" s="1115">
        <f>'ADJ SUMMARY'!A47</f>
        <v>3.0999999999999979</v>
      </c>
      <c r="B46" s="329" t="str">
        <f>'ADJ SUMMARY'!C47</f>
        <v>Remove LIRAP Labor</v>
      </c>
      <c r="C46" s="66"/>
      <c r="D46" s="66"/>
      <c r="E46" s="70"/>
      <c r="F46" s="331">
        <f>'ADJ SUMMARY'!E47</f>
        <v>0</v>
      </c>
      <c r="G46" s="63">
        <f t="shared" si="3"/>
        <v>0</v>
      </c>
      <c r="I46" s="331">
        <f t="shared" si="4"/>
        <v>0</v>
      </c>
    </row>
    <row r="47" spans="1:9">
      <c r="A47" s="1115">
        <f>'ADJ SUMMARY'!A48</f>
        <v>3.1099999999999977</v>
      </c>
      <c r="B47" s="329" t="str">
        <f>'ADJ SUMMARY'!C48</f>
        <v>Pro Forma Property Tax</v>
      </c>
      <c r="C47" s="66"/>
      <c r="D47" s="66"/>
      <c r="E47" s="70"/>
      <c r="F47" s="331">
        <f>'ADJ SUMMARY'!E48</f>
        <v>0</v>
      </c>
      <c r="G47" s="63">
        <f t="shared" si="3"/>
        <v>0</v>
      </c>
      <c r="I47" s="331">
        <f t="shared" si="4"/>
        <v>0</v>
      </c>
    </row>
    <row r="48" spans="1:9">
      <c r="A48" s="1115">
        <f>'ADJ SUMMARY'!A49</f>
        <v>3.1199999999999974</v>
      </c>
      <c r="B48" s="329" t="str">
        <f>'ADJ SUMMARY'!C49</f>
        <v>Pro Forma Insurance Expense</v>
      </c>
      <c r="C48" s="66"/>
      <c r="D48" s="66"/>
      <c r="E48" s="70"/>
      <c r="F48" s="331">
        <f>'ADJ SUMMARY'!E49</f>
        <v>0</v>
      </c>
      <c r="G48" s="63">
        <f t="shared" si="3"/>
        <v>0</v>
      </c>
      <c r="I48" s="331">
        <f t="shared" si="4"/>
        <v>0</v>
      </c>
    </row>
    <row r="49" spans="1:16">
      <c r="A49" s="1115">
        <f>'ADJ SUMMARY'!A50</f>
        <v>3.1299999999999972</v>
      </c>
      <c r="B49" s="329" t="str">
        <f>'ADJ SUMMARY'!C50</f>
        <v>Pro Forma IS/IT Expense</v>
      </c>
      <c r="C49" s="66"/>
      <c r="D49" s="66"/>
      <c r="E49" s="70"/>
      <c r="F49" s="331">
        <f>'ADJ SUMMARY'!E50</f>
        <v>0</v>
      </c>
      <c r="G49" s="63">
        <f t="shared" si="3"/>
        <v>0</v>
      </c>
      <c r="I49" s="331">
        <f t="shared" si="4"/>
        <v>0</v>
      </c>
    </row>
    <row r="50" spans="1:16">
      <c r="A50" s="1115">
        <f>'ADJ SUMMARY'!A51</f>
        <v>3.139999999999997</v>
      </c>
      <c r="B50" s="329" t="str">
        <f>'ADJ SUMMARY'!C51</f>
        <v>Pro Forma Misc O&amp;M Exp</v>
      </c>
      <c r="C50" s="66"/>
      <c r="D50" s="66"/>
      <c r="E50" s="70"/>
      <c r="F50" s="331">
        <f>'ADJ SUMMARY'!E51</f>
        <v>0</v>
      </c>
      <c r="G50" s="63">
        <f t="shared" si="3"/>
        <v>0</v>
      </c>
      <c r="I50" s="331">
        <f t="shared" si="4"/>
        <v>0</v>
      </c>
    </row>
    <row r="51" spans="1:16">
      <c r="A51" s="1115">
        <f>'ADJ SUMMARY'!A52</f>
        <v>3.1499999999999968</v>
      </c>
      <c r="B51" s="329" t="str">
        <f>'ADJ SUMMARY'!C52</f>
        <v>Pro Form 09.2021 EOP Rate Base to 12.31.2021 EOP</v>
      </c>
      <c r="C51" s="66"/>
      <c r="D51" s="66"/>
      <c r="E51" s="70"/>
      <c r="F51" s="331">
        <f>'ADJ SUMMARY'!E52</f>
        <v>34833.699738448624</v>
      </c>
      <c r="G51" s="63">
        <f t="shared" si="3"/>
        <v>34833.699738448624</v>
      </c>
      <c r="I51" s="331">
        <f t="shared" si="4"/>
        <v>-181</v>
      </c>
    </row>
    <row r="52" spans="1:16">
      <c r="A52" s="1115">
        <f>'ADJ SUMMARY'!A53</f>
        <v>3.1599999999999966</v>
      </c>
      <c r="B52" s="329" t="str">
        <f>'ADJ SUMMARY'!C53</f>
        <v>Transportation Electrification Return (Kicker)</v>
      </c>
      <c r="C52" s="66"/>
      <c r="D52" s="66"/>
      <c r="E52" s="70"/>
      <c r="F52" s="331">
        <f>'ADJ SUMMARY'!E53</f>
        <v>0</v>
      </c>
      <c r="G52" s="63">
        <f t="shared" si="3"/>
        <v>0</v>
      </c>
      <c r="I52" s="331">
        <f t="shared" si="4"/>
        <v>0</v>
      </c>
    </row>
    <row r="53" spans="1:16">
      <c r="A53" s="1115">
        <f>'ADJ SUMMARY'!A54</f>
        <v>3.1699999999999964</v>
      </c>
      <c r="B53" s="329" t="str">
        <f>'ADJ SUMMARY'!C54</f>
        <v>Pro Forma EIM Capital 2021- 2022 Additions &amp; Exp</v>
      </c>
      <c r="C53" s="66"/>
      <c r="D53" s="66"/>
      <c r="E53" s="70"/>
      <c r="F53" s="331">
        <f>'ADJ SUMMARY'!E54</f>
        <v>6302</v>
      </c>
      <c r="G53" s="63">
        <f t="shared" si="3"/>
        <v>6302</v>
      </c>
      <c r="I53" s="331">
        <f t="shared" si="4"/>
        <v>-33</v>
      </c>
    </row>
    <row r="54" spans="1:16">
      <c r="A54" s="1115">
        <f>'ADJ SUMMARY'!A55</f>
        <v>3.1799999999999962</v>
      </c>
      <c r="B54" s="329" t="str">
        <f>'ADJ SUMMARY'!C55</f>
        <v>Pro Form 12.2021 EOP Wildfire Additions</v>
      </c>
      <c r="C54" s="66"/>
      <c r="D54" s="66"/>
      <c r="E54" s="70"/>
      <c r="F54" s="331">
        <f>'ADJ SUMMARY'!E55</f>
        <v>2497</v>
      </c>
      <c r="G54" s="63">
        <f t="shared" si="3"/>
        <v>2497</v>
      </c>
      <c r="I54" s="331">
        <f t="shared" si="4"/>
        <v>-13</v>
      </c>
    </row>
    <row r="55" spans="1:16">
      <c r="A55" s="1115">
        <f>'ADJ SUMMARY'!A56</f>
        <v>3.1899999999999959</v>
      </c>
      <c r="B55" s="329" t="str">
        <f>'ADJ SUMMARY'!C56</f>
        <v>Pro Form 12.2021 EOP Colstrip Adds &amp; Amortization</v>
      </c>
      <c r="C55" s="66"/>
      <c r="D55" s="66"/>
      <c r="E55" s="70"/>
      <c r="F55" s="331">
        <f>'ADJ SUMMARY'!E56</f>
        <v>-3063</v>
      </c>
      <c r="G55" s="63">
        <f t="shared" si="3"/>
        <v>-3063</v>
      </c>
      <c r="I55" s="331">
        <f t="shared" si="4"/>
        <v>16</v>
      </c>
    </row>
    <row r="56" spans="1:16">
      <c r="A56" s="1115">
        <f>'ADJ SUMMARY'!A57</f>
        <v>4.01</v>
      </c>
      <c r="B56" s="329" t="str">
        <f>'ADJ SUMMARY'!C57</f>
        <v>Provisional Capital Groups 2022 Adds EOP</v>
      </c>
      <c r="C56" s="66"/>
      <c r="D56" s="66"/>
      <c r="E56" s="70"/>
      <c r="F56" s="331">
        <f>'ADJ SUMMARY'!E57</f>
        <v>78398.318394927875</v>
      </c>
      <c r="G56" s="63">
        <f t="shared" si="3"/>
        <v>78398.318394927875</v>
      </c>
      <c r="I56" s="331">
        <f t="shared" si="4"/>
        <v>-407</v>
      </c>
    </row>
    <row r="57" spans="1:16">
      <c r="A57" s="1115">
        <f>'ADJ SUMMARY'!A58</f>
        <v>4.0199999999999996</v>
      </c>
      <c r="B57" s="329" t="str">
        <f>'ADJ SUMMARY'!C58</f>
        <v>Provisional Capital Groups 2023 Adds AMA</v>
      </c>
      <c r="C57" s="66"/>
      <c r="D57" s="66"/>
      <c r="E57" s="70"/>
      <c r="F57" s="331">
        <f>'ADJ SUMMARY'!E58</f>
        <v>14180.659197463938</v>
      </c>
      <c r="G57" s="63">
        <f t="shared" si="3"/>
        <v>14180.659197463938</v>
      </c>
      <c r="I57" s="331">
        <f t="shared" si="4"/>
        <v>-74</v>
      </c>
    </row>
    <row r="58" spans="1:16">
      <c r="A58" s="1115">
        <f>'ADJ SUMMARY'!A59</f>
        <v>4.0299999999999994</v>
      </c>
      <c r="B58" s="329" t="str">
        <f>'ADJ SUMMARY'!C59</f>
        <v>2022-2023 Capital O&amp;M Offsets &amp; Revenue</v>
      </c>
      <c r="C58" s="66"/>
      <c r="D58" s="66"/>
      <c r="E58" s="70"/>
      <c r="F58" s="331">
        <f>'ADJ SUMMARY'!E59</f>
        <v>0</v>
      </c>
      <c r="G58" s="63">
        <f t="shared" si="3"/>
        <v>0</v>
      </c>
      <c r="I58" s="331">
        <f t="shared" si="4"/>
        <v>0</v>
      </c>
    </row>
    <row r="59" spans="1:16">
      <c r="A59" s="1115">
        <f>'ADJ SUMMARY'!A60</f>
        <v>4.0399999999999991</v>
      </c>
      <c r="B59" s="329" t="str">
        <f>'ADJ SUMMARY'!C60</f>
        <v>Provisional Wildfire 2022 Cap EOP &amp; O&amp;M</v>
      </c>
      <c r="C59" s="66"/>
      <c r="D59" s="66"/>
      <c r="E59" s="70"/>
      <c r="F59" s="331">
        <f>'ADJ SUMMARY'!E60</f>
        <v>13806</v>
      </c>
      <c r="G59" s="63">
        <f t="shared" si="3"/>
        <v>13806</v>
      </c>
      <c r="I59" s="331">
        <f t="shared" si="4"/>
        <v>-72</v>
      </c>
    </row>
    <row r="60" spans="1:16">
      <c r="A60" s="1115">
        <f>'ADJ SUMMARY'!A61</f>
        <v>4.0499999999999989</v>
      </c>
      <c r="B60" s="329" t="str">
        <f>'ADJ SUMMARY'!C61</f>
        <v>Provisional Wildfire 2023 Cap Adds AMA</v>
      </c>
      <c r="C60" s="66"/>
      <c r="D60" s="66"/>
      <c r="E60" s="70"/>
      <c r="F60" s="331">
        <f>'ADJ SUMMARY'!E61</f>
        <v>7135</v>
      </c>
      <c r="G60" s="63">
        <f t="shared" ref="G60:G63" si="5">SUM(E60:F60)</f>
        <v>7135</v>
      </c>
      <c r="I60" s="331">
        <f t="shared" si="4"/>
        <v>-37</v>
      </c>
    </row>
    <row r="61" spans="1:16">
      <c r="A61" s="1115">
        <f>'ADJ SUMMARY'!A62</f>
        <v>4.0599999999999987</v>
      </c>
      <c r="B61" s="329" t="str">
        <f>'ADJ SUMMARY'!C62</f>
        <v>Provisional Colstrip 2022 Cap Adds EOP</v>
      </c>
      <c r="C61" s="66"/>
      <c r="D61" s="66"/>
      <c r="E61" s="70"/>
      <c r="F61" s="331">
        <f>'ADJ SUMMARY'!E62</f>
        <v>-9874</v>
      </c>
      <c r="G61" s="63">
        <f t="shared" si="5"/>
        <v>-9874</v>
      </c>
      <c r="I61" s="331">
        <f t="shared" si="4"/>
        <v>51</v>
      </c>
    </row>
    <row r="62" spans="1:16">
      <c r="A62" s="1115">
        <f>'ADJ SUMMARY'!A63</f>
        <v>4.0699999999999985</v>
      </c>
      <c r="B62" s="329" t="str">
        <f>'ADJ SUMMARY'!C63</f>
        <v>Provisional Colstrip 2023 Cap Adds AMA</v>
      </c>
      <c r="C62" s="66"/>
      <c r="D62" s="66"/>
      <c r="E62" s="70"/>
      <c r="F62" s="331">
        <f>'ADJ SUMMARY'!E63</f>
        <v>-4874</v>
      </c>
      <c r="G62" s="63">
        <f t="shared" si="5"/>
        <v>-4874</v>
      </c>
      <c r="I62" s="331">
        <f t="shared" si="4"/>
        <v>25</v>
      </c>
    </row>
    <row r="63" spans="1:16">
      <c r="A63" s="1115">
        <f>'ADJ SUMMARY'!A64</f>
        <v>4.0799999999999983</v>
      </c>
      <c r="B63" s="329" t="str">
        <f>'ADJ SUMMARY'!C64</f>
        <v>Provisional EIM 2023 Cap Cap Adds AMA</v>
      </c>
      <c r="C63" s="66"/>
      <c r="D63" s="66"/>
      <c r="E63" s="440"/>
      <c r="F63" s="598">
        <f>'ADJ SUMMARY'!E64</f>
        <v>-902</v>
      </c>
      <c r="G63" s="441">
        <f t="shared" si="5"/>
        <v>-902</v>
      </c>
      <c r="H63" s="441"/>
      <c r="I63" s="598">
        <f t="shared" si="4"/>
        <v>5</v>
      </c>
    </row>
    <row r="64" spans="1:16">
      <c r="B64" s="329" t="s">
        <v>584</v>
      </c>
      <c r="C64" s="66"/>
      <c r="D64" s="66"/>
      <c r="E64" s="99">
        <f>SUM(E11:E63)</f>
        <v>1824656</v>
      </c>
      <c r="F64" s="99">
        <f>SUM(F11:F63)</f>
        <v>217160.67733084044</v>
      </c>
      <c r="G64" s="99">
        <f>SUM(G11:G63)</f>
        <v>2041816.6773308404</v>
      </c>
      <c r="H64" s="70"/>
      <c r="I64" s="99"/>
      <c r="K64" s="442">
        <f>G64-'ADJ SUMMARY'!E65</f>
        <v>0</v>
      </c>
      <c r="L64" s="344" t="s">
        <v>577</v>
      </c>
      <c r="P64" s="146"/>
    </row>
    <row r="65" spans="1:11" ht="5.25" customHeight="1">
      <c r="C65" s="66"/>
      <c r="D65" s="66"/>
      <c r="E65" s="99"/>
      <c r="F65" s="99"/>
      <c r="G65" s="99"/>
    </row>
    <row r="66" spans="1:11">
      <c r="B66" s="85" t="s">
        <v>164</v>
      </c>
      <c r="C66" s="66"/>
      <c r="D66" s="66"/>
      <c r="E66" s="254">
        <f>'RR Summary'!N12</f>
        <v>2.47E-2</v>
      </c>
      <c r="F66" s="254">
        <f>E66-I66</f>
        <v>2.47E-2</v>
      </c>
      <c r="G66" s="106"/>
      <c r="I66" s="254"/>
    </row>
    <row r="67" spans="1:11" ht="6" customHeight="1">
      <c r="C67" s="66"/>
      <c r="D67" s="66"/>
      <c r="E67" s="99"/>
      <c r="F67" s="99"/>
      <c r="G67" s="99"/>
    </row>
    <row r="68" spans="1:11">
      <c r="B68" s="85" t="s">
        <v>145</v>
      </c>
      <c r="C68" s="66"/>
      <c r="D68" s="66"/>
      <c r="E68" s="99">
        <f>E64*E66</f>
        <v>45069.003199999999</v>
      </c>
      <c r="F68" s="99">
        <f>F64*F66</f>
        <v>5363.8687300717584</v>
      </c>
      <c r="G68" s="99">
        <f>SUM(E68:F68)</f>
        <v>50432.871930071757</v>
      </c>
      <c r="I68" s="99">
        <f>SUM(I11:I63)</f>
        <v>-602.51000000000022</v>
      </c>
    </row>
    <row r="69" spans="1:11">
      <c r="C69" s="66"/>
      <c r="D69" s="66"/>
      <c r="E69" s="99"/>
      <c r="F69" s="99"/>
      <c r="G69" s="99"/>
      <c r="I69" s="99"/>
    </row>
    <row r="70" spans="1:11">
      <c r="B70" s="85" t="s">
        <v>548</v>
      </c>
      <c r="C70" s="66"/>
      <c r="D70" s="682" t="s">
        <v>890</v>
      </c>
      <c r="E70" s="807">
        <v>47569</v>
      </c>
      <c r="F70" s="333"/>
      <c r="G70" s="106">
        <f>SUM(E70:F70)</f>
        <v>47569</v>
      </c>
      <c r="I70" s="333"/>
    </row>
    <row r="71" spans="1:11" ht="5.25" customHeight="1">
      <c r="C71" s="66"/>
      <c r="D71" s="66"/>
      <c r="E71" s="99"/>
      <c r="F71" s="99"/>
      <c r="G71" s="99"/>
      <c r="I71" s="99"/>
    </row>
    <row r="72" spans="1:11">
      <c r="B72" s="85" t="s">
        <v>147</v>
      </c>
      <c r="C72" s="66"/>
      <c r="D72" s="66"/>
      <c r="E72" s="99">
        <f>E68-E70</f>
        <v>-2499.9968000000008</v>
      </c>
      <c r="F72" s="99">
        <f>F68-F70</f>
        <v>5363.8687300717584</v>
      </c>
      <c r="G72" s="99">
        <f>SUM(E72:F72)</f>
        <v>2863.8719300717576</v>
      </c>
      <c r="I72" s="99"/>
    </row>
    <row r="73" spans="1:11" ht="18" customHeight="1">
      <c r="B73" s="85" t="s">
        <v>148</v>
      </c>
      <c r="D73" s="66"/>
      <c r="E73" s="335">
        <v>0.21</v>
      </c>
      <c r="F73" s="335">
        <v>0.21</v>
      </c>
      <c r="G73" s="106"/>
      <c r="I73" s="335"/>
    </row>
    <row r="74" spans="1:11" ht="5.25" customHeight="1" thickBot="1">
      <c r="D74" s="66"/>
      <c r="E74" s="99"/>
      <c r="F74" s="99"/>
      <c r="G74" s="99"/>
      <c r="I74" s="99"/>
    </row>
    <row r="75" spans="1:11" ht="13.5" thickBot="1">
      <c r="B75" s="85" t="s">
        <v>149</v>
      </c>
      <c r="D75" s="66"/>
      <c r="E75" s="347">
        <f>ROUND(E72*-E73,0)</f>
        <v>525</v>
      </c>
      <c r="F75" s="131">
        <f>ROUND(F72*-F73,0)</f>
        <v>-1126</v>
      </c>
      <c r="G75" s="131">
        <f>SUM(E75:F75)</f>
        <v>-601</v>
      </c>
      <c r="I75" s="131">
        <f>I68</f>
        <v>-602.51000000000022</v>
      </c>
      <c r="J75" s="346" t="s">
        <v>581</v>
      </c>
      <c r="K75" s="63">
        <f>'ADJ DETAIL-INPUT'!BH52+'ADJ DETAIL-INPUT'!V51-I75</f>
        <v>-3.7159693150692874</v>
      </c>
    </row>
    <row r="76" spans="1:11" ht="13.5" thickTop="1">
      <c r="D76" s="66"/>
      <c r="E76" s="348">
        <f>E8</f>
        <v>2.139999999999997</v>
      </c>
      <c r="F76" s="105"/>
      <c r="G76" s="105"/>
      <c r="I76" s="105"/>
    </row>
    <row r="77" spans="1:11" ht="13.5" thickBot="1">
      <c r="E77" s="349" t="s">
        <v>25</v>
      </c>
      <c r="F77" s="334"/>
    </row>
    <row r="78" spans="1:11" hidden="1">
      <c r="A78" s="1118" t="s">
        <v>232</v>
      </c>
      <c r="B78" s="330" t="s">
        <v>231</v>
      </c>
    </row>
    <row r="79" spans="1:11" hidden="1">
      <c r="B79" s="328" t="s">
        <v>146</v>
      </c>
    </row>
    <row r="80" spans="1:11" hidden="1">
      <c r="B80" s="85" t="s">
        <v>150</v>
      </c>
      <c r="C80" s="118">
        <v>2430</v>
      </c>
      <c r="H80" s="63" t="s">
        <v>225</v>
      </c>
    </row>
    <row r="81" spans="2:8" hidden="1">
      <c r="B81" s="85" t="s">
        <v>151</v>
      </c>
      <c r="C81" s="117">
        <v>2935</v>
      </c>
      <c r="H81" s="63" t="s">
        <v>225</v>
      </c>
    </row>
    <row r="82" spans="2:8" hidden="1">
      <c r="B82" s="85" t="s">
        <v>152</v>
      </c>
      <c r="C82" s="71">
        <f>C80+C81</f>
        <v>5365</v>
      </c>
    </row>
    <row r="83" spans="2:8" hidden="1">
      <c r="C83" s="70"/>
    </row>
    <row r="84" spans="2:8" hidden="1">
      <c r="C84" s="75"/>
      <c r="D84" s="67"/>
      <c r="E84" s="67" t="s">
        <v>153</v>
      </c>
    </row>
    <row r="85" spans="2:8" hidden="1">
      <c r="C85" s="69" t="s">
        <v>125</v>
      </c>
      <c r="D85" s="69" t="s">
        <v>154</v>
      </c>
      <c r="E85" s="69" t="s">
        <v>31</v>
      </c>
    </row>
    <row r="86" spans="2:8" hidden="1">
      <c r="B86" s="85" t="s">
        <v>155</v>
      </c>
      <c r="C86" s="86" t="e">
        <f>#REF!</f>
        <v>#REF!</v>
      </c>
      <c r="D86" s="87" t="e">
        <f>ROUND(C86/$C$89,4)</f>
        <v>#REF!</v>
      </c>
      <c r="E86" s="86" t="e">
        <f>D86*E89</f>
        <v>#REF!</v>
      </c>
      <c r="F86" s="122"/>
    </row>
    <row r="87" spans="2:8" hidden="1">
      <c r="B87" s="85" t="s">
        <v>156</v>
      </c>
      <c r="C87" s="88" t="e">
        <f>#REF!</f>
        <v>#REF!</v>
      </c>
      <c r="D87" s="87" t="e">
        <f>ROUND(C87/$C$89,4)</f>
        <v>#REF!</v>
      </c>
      <c r="E87" s="88" t="e">
        <f>D87*E89</f>
        <v>#REF!</v>
      </c>
    </row>
    <row r="88" spans="2:8" hidden="1">
      <c r="B88" s="85" t="s">
        <v>157</v>
      </c>
      <c r="C88" s="88" t="e">
        <f>#REF!</f>
        <v>#REF!</v>
      </c>
      <c r="D88" s="87" t="e">
        <f>ROUND(C88/$C$89,4)-0.0001</f>
        <v>#REF!</v>
      </c>
      <c r="E88" s="88" t="e">
        <f>E89*D88</f>
        <v>#REF!</v>
      </c>
    </row>
    <row r="89" spans="2:8" hidden="1">
      <c r="B89" s="85" t="s">
        <v>158</v>
      </c>
      <c r="C89" s="89" t="e">
        <f>C86+C87+C88</f>
        <v>#REF!</v>
      </c>
      <c r="D89" s="90" t="e">
        <f>D86+D87+D88</f>
        <v>#REF!</v>
      </c>
      <c r="E89" s="89">
        <f>C82</f>
        <v>5365</v>
      </c>
    </row>
    <row r="90" spans="2:8" hidden="1">
      <c r="C90" s="91"/>
      <c r="D90" s="91"/>
      <c r="E90" s="91"/>
    </row>
    <row r="91" spans="2:8" hidden="1">
      <c r="B91" s="85" t="s">
        <v>159</v>
      </c>
      <c r="C91" s="86" t="e">
        <f>#REF!</f>
        <v>#REF!</v>
      </c>
      <c r="D91" s="87" t="e">
        <f>C91/C93</f>
        <v>#REF!</v>
      </c>
      <c r="E91" s="86" t="e">
        <f>D91*E93</f>
        <v>#REF!</v>
      </c>
    </row>
    <row r="92" spans="2:8" hidden="1">
      <c r="B92" s="85" t="s">
        <v>160</v>
      </c>
      <c r="C92" s="91" t="e">
        <f>#REF!</f>
        <v>#REF!</v>
      </c>
      <c r="D92" s="87" t="e">
        <f>C92/C93</f>
        <v>#REF!</v>
      </c>
      <c r="E92" s="91" t="e">
        <f>D92*E93</f>
        <v>#REF!</v>
      </c>
    </row>
    <row r="93" spans="2:8" hidden="1">
      <c r="B93" s="85" t="s">
        <v>158</v>
      </c>
      <c r="C93" s="89" t="e">
        <f>C91+C92</f>
        <v>#REF!</v>
      </c>
      <c r="D93" s="90" t="e">
        <f>D91+D92</f>
        <v>#REF!</v>
      </c>
      <c r="E93" s="89" t="e">
        <f>E86</f>
        <v>#REF!</v>
      </c>
    </row>
    <row r="94" spans="2:8" hidden="1">
      <c r="C94" s="91"/>
      <c r="D94" s="91"/>
      <c r="E94" s="91"/>
    </row>
    <row r="95" spans="2:8" hidden="1">
      <c r="B95" s="85" t="s">
        <v>161</v>
      </c>
      <c r="C95" s="86" t="e">
        <f>#REF!</f>
        <v>#REF!</v>
      </c>
      <c r="D95" s="92" t="e">
        <f>C95/C97</f>
        <v>#REF!</v>
      </c>
      <c r="E95" s="86" t="e">
        <f>E97*D95</f>
        <v>#REF!</v>
      </c>
    </row>
    <row r="96" spans="2:8" hidden="1">
      <c r="B96" s="85" t="s">
        <v>162</v>
      </c>
      <c r="C96" s="91" t="e">
        <f>#REF!</f>
        <v>#REF!</v>
      </c>
      <c r="D96" s="93" t="e">
        <f>C96/C97</f>
        <v>#REF!</v>
      </c>
      <c r="E96" s="91" t="e">
        <f>E97*D96</f>
        <v>#REF!</v>
      </c>
    </row>
    <row r="97" spans="1:6" hidden="1">
      <c r="B97" s="85" t="s">
        <v>158</v>
      </c>
      <c r="C97" s="89" t="e">
        <f>SUM(C95:C96)</f>
        <v>#REF!</v>
      </c>
      <c r="D97" s="94" t="e">
        <f>SUM(D95:D96)</f>
        <v>#REF!</v>
      </c>
      <c r="E97" s="89" t="e">
        <f>E87</f>
        <v>#REF!</v>
      </c>
    </row>
    <row r="98" spans="1:6" hidden="1">
      <c r="A98" s="1119" t="str">
        <f>A1</f>
        <v>AVISTA UTILITIES</v>
      </c>
      <c r="C98" s="61"/>
      <c r="D98" s="62"/>
      <c r="E98" s="61"/>
      <c r="F98" s="62"/>
    </row>
    <row r="99" spans="1:6" hidden="1">
      <c r="A99" s="1119" t="str">
        <f>A2</f>
        <v>Restate Debt Interest</v>
      </c>
      <c r="C99" s="61"/>
      <c r="D99" s="62"/>
      <c r="E99" s="61"/>
      <c r="F99" s="62"/>
    </row>
    <row r="100" spans="1:6" hidden="1">
      <c r="A100" s="1119" t="s">
        <v>165</v>
      </c>
      <c r="C100" s="61"/>
      <c r="D100" s="62"/>
      <c r="E100" s="61"/>
      <c r="F100" s="62"/>
    </row>
    <row r="101" spans="1:6" hidden="1">
      <c r="A101" s="1120" t="str">
        <f>A4</f>
        <v>TWELVE MONTHS ENDED SEPTEMBER 30, 2021</v>
      </c>
      <c r="C101" s="64"/>
      <c r="D101" s="62"/>
      <c r="E101" s="64"/>
      <c r="F101" s="62"/>
    </row>
    <row r="102" spans="1:6" hidden="1">
      <c r="A102" s="1117" t="s">
        <v>142</v>
      </c>
      <c r="C102" s="61"/>
      <c r="D102" s="62"/>
      <c r="E102" s="62"/>
      <c r="F102" s="62"/>
    </row>
    <row r="103" spans="1:6" hidden="1">
      <c r="C103" s="66"/>
      <c r="D103" s="66"/>
      <c r="E103" s="68"/>
      <c r="F103" s="67" t="s">
        <v>24</v>
      </c>
    </row>
    <row r="104" spans="1:6" hidden="1">
      <c r="B104" s="328" t="s">
        <v>143</v>
      </c>
      <c r="C104" s="66"/>
      <c r="D104" s="66"/>
      <c r="E104" s="68"/>
      <c r="F104" s="69" t="s">
        <v>144</v>
      </c>
    </row>
    <row r="105" spans="1:6" hidden="1">
      <c r="A105" s="1117" t="e">
        <f>'ADJ SUMMARY'!#REF!</f>
        <v>#REF!</v>
      </c>
      <c r="B105" s="85" t="e">
        <f>'ADJ SUMMARY'!#REF!</f>
        <v>#REF!</v>
      </c>
      <c r="C105" s="66"/>
      <c r="D105" s="66"/>
      <c r="E105" s="70"/>
      <c r="F105" s="120" t="e">
        <f>'ADJ SUMMARY'!#REF!</f>
        <v>#REF!</v>
      </c>
    </row>
    <row r="106" spans="1:6" hidden="1">
      <c r="A106" s="1117" t="e">
        <f>'ADJ SUMMARY'!#REF!</f>
        <v>#REF!</v>
      </c>
      <c r="B106" s="85" t="e">
        <f>'ADJ SUMMARY'!#REF!</f>
        <v>#REF!</v>
      </c>
      <c r="C106" s="66"/>
      <c r="D106" s="66"/>
      <c r="E106" s="70"/>
      <c r="F106" s="120" t="e">
        <f>'ADJ SUMMARY'!#REF!</f>
        <v>#REF!</v>
      </c>
    </row>
    <row r="107" spans="1:6" hidden="1">
      <c r="A107" s="1117" t="e">
        <f>'ADJ SUMMARY'!#REF!</f>
        <v>#REF!</v>
      </c>
      <c r="B107" s="85" t="e">
        <f>'ADJ SUMMARY'!#REF!</f>
        <v>#REF!</v>
      </c>
      <c r="C107" s="66"/>
      <c r="D107" s="66"/>
      <c r="E107" s="70"/>
      <c r="F107" s="120" t="e">
        <f>'ADJ SUMMARY'!#REF!</f>
        <v>#REF!</v>
      </c>
    </row>
    <row r="108" spans="1:6" hidden="1">
      <c r="A108" s="1117" t="e">
        <f>'ADJ SUMMARY'!#REF!</f>
        <v>#REF!</v>
      </c>
      <c r="B108" s="85" t="e">
        <f>'ADJ SUMMARY'!#REF!</f>
        <v>#REF!</v>
      </c>
      <c r="C108" s="66"/>
      <c r="D108" s="66"/>
      <c r="E108" s="70"/>
      <c r="F108" s="120" t="e">
        <f>'ADJ SUMMARY'!#REF!</f>
        <v>#REF!</v>
      </c>
    </row>
    <row r="109" spans="1:6" hidden="1">
      <c r="A109" s="1117" t="e">
        <f>'ADJ SUMMARY'!#REF!</f>
        <v>#REF!</v>
      </c>
      <c r="B109" s="85" t="e">
        <f>'ADJ SUMMARY'!#REF!</f>
        <v>#REF!</v>
      </c>
      <c r="C109" s="66"/>
      <c r="D109" s="66"/>
      <c r="E109" s="70"/>
      <c r="F109" s="120" t="e">
        <f>'ADJ SUMMARY'!#REF!</f>
        <v>#REF!</v>
      </c>
    </row>
    <row r="110" spans="1:6" hidden="1">
      <c r="A110" s="1117" t="e">
        <f>'ADJ SUMMARY'!#REF!</f>
        <v>#REF!</v>
      </c>
      <c r="B110" s="85" t="e">
        <f>'ADJ SUMMARY'!#REF!</f>
        <v>#REF!</v>
      </c>
      <c r="C110" s="66"/>
      <c r="D110" s="66"/>
      <c r="E110" s="70"/>
      <c r="F110" s="120" t="e">
        <f>'ADJ SUMMARY'!#REF!</f>
        <v>#REF!</v>
      </c>
    </row>
    <row r="111" spans="1:6" hidden="1">
      <c r="A111" s="1117" t="e">
        <f>'ADJ SUMMARY'!#REF!</f>
        <v>#REF!</v>
      </c>
      <c r="B111" s="85" t="e">
        <f>'ADJ SUMMARY'!#REF!</f>
        <v>#REF!</v>
      </c>
      <c r="C111" s="66"/>
      <c r="D111" s="66"/>
      <c r="E111" s="70"/>
      <c r="F111" s="120" t="e">
        <f>'ADJ SUMMARY'!#REF!</f>
        <v>#REF!</v>
      </c>
    </row>
    <row r="112" spans="1:6" hidden="1">
      <c r="A112" s="1117" t="e">
        <f>'ADJ SUMMARY'!#REF!</f>
        <v>#REF!</v>
      </c>
      <c r="B112" s="85" t="e">
        <f>'ADJ SUMMARY'!#REF!</f>
        <v>#REF!</v>
      </c>
      <c r="C112" s="66"/>
      <c r="D112" s="66"/>
      <c r="E112" s="70"/>
      <c r="F112" s="120" t="e">
        <f>'ADJ SUMMARY'!#REF!</f>
        <v>#REF!</v>
      </c>
    </row>
    <row r="113" spans="1:6" hidden="1">
      <c r="A113" s="1117" t="e">
        <f>'ADJ SUMMARY'!#REF!</f>
        <v>#REF!</v>
      </c>
      <c r="B113" s="85" t="e">
        <f>'ADJ SUMMARY'!#REF!</f>
        <v>#REF!</v>
      </c>
      <c r="C113" s="66"/>
      <c r="D113" s="66"/>
      <c r="E113" s="70"/>
      <c r="F113" s="120" t="e">
        <f>'ADJ SUMMARY'!#REF!</f>
        <v>#REF!</v>
      </c>
    </row>
    <row r="114" spans="1:6" hidden="1">
      <c r="A114" s="1117" t="e">
        <f>'ADJ SUMMARY'!#REF!</f>
        <v>#REF!</v>
      </c>
      <c r="B114" s="85" t="e">
        <f>'ADJ SUMMARY'!#REF!</f>
        <v>#REF!</v>
      </c>
      <c r="C114" s="66"/>
      <c r="D114" s="66"/>
      <c r="E114" s="70"/>
      <c r="F114" s="120" t="e">
        <f>'ADJ SUMMARY'!#REF!</f>
        <v>#REF!</v>
      </c>
    </row>
    <row r="115" spans="1:6" hidden="1">
      <c r="A115" s="1117" t="e">
        <f>'ADJ SUMMARY'!#REF!</f>
        <v>#REF!</v>
      </c>
      <c r="B115" s="85" t="e">
        <f>'ADJ SUMMARY'!#REF!</f>
        <v>#REF!</v>
      </c>
      <c r="C115" s="66"/>
      <c r="D115" s="66"/>
      <c r="E115" s="70"/>
      <c r="F115" s="120" t="e">
        <f>'ADJ SUMMARY'!#REF!</f>
        <v>#REF!</v>
      </c>
    </row>
    <row r="116" spans="1:6" hidden="1">
      <c r="A116" s="1117" t="e">
        <f>'ADJ SUMMARY'!#REF!</f>
        <v>#REF!</v>
      </c>
      <c r="B116" s="85" t="e">
        <f>'ADJ SUMMARY'!#REF!</f>
        <v>#REF!</v>
      </c>
      <c r="C116" s="66"/>
      <c r="D116" s="66"/>
      <c r="E116" s="70"/>
      <c r="F116" s="120" t="e">
        <f>'ADJ SUMMARY'!#REF!</f>
        <v>#REF!</v>
      </c>
    </row>
    <row r="117" spans="1:6" hidden="1">
      <c r="A117" s="1117" t="e">
        <f>'ADJ SUMMARY'!#REF!</f>
        <v>#REF!</v>
      </c>
      <c r="B117" s="85" t="e">
        <f>'ADJ SUMMARY'!#REF!</f>
        <v>#REF!</v>
      </c>
      <c r="C117" s="66"/>
      <c r="D117" s="66"/>
      <c r="E117" s="70"/>
      <c r="F117" s="120" t="e">
        <f>'ADJ SUMMARY'!#REF!</f>
        <v>#REF!</v>
      </c>
    </row>
    <row r="118" spans="1:6" hidden="1">
      <c r="A118" s="1117" t="e">
        <f>'ADJ SUMMARY'!#REF!</f>
        <v>#REF!</v>
      </c>
      <c r="B118" s="85" t="e">
        <f>'ADJ SUMMARY'!#REF!</f>
        <v>#REF!</v>
      </c>
      <c r="C118" s="66"/>
      <c r="D118" s="66"/>
      <c r="E118" s="70"/>
      <c r="F118" s="120" t="e">
        <f>'ADJ SUMMARY'!#REF!</f>
        <v>#REF!</v>
      </c>
    </row>
    <row r="119" spans="1:6" hidden="1">
      <c r="A119" s="1117" t="e">
        <f>'ADJ SUMMARY'!#REF!</f>
        <v>#REF!</v>
      </c>
      <c r="B119" s="85" t="e">
        <f>'ADJ SUMMARY'!#REF!</f>
        <v>#REF!</v>
      </c>
      <c r="C119" s="66"/>
      <c r="D119" s="66"/>
      <c r="E119" s="70"/>
      <c r="F119" s="120" t="e">
        <f>'ADJ SUMMARY'!#REF!</f>
        <v>#REF!</v>
      </c>
    </row>
    <row r="120" spans="1:6" hidden="1">
      <c r="A120" s="1117" t="e">
        <f>'ADJ SUMMARY'!#REF!</f>
        <v>#REF!</v>
      </c>
      <c r="B120" s="85" t="e">
        <f>'ADJ SUMMARY'!#REF!</f>
        <v>#REF!</v>
      </c>
      <c r="C120" s="66"/>
      <c r="D120" s="66"/>
      <c r="E120" s="70"/>
      <c r="F120" s="120" t="e">
        <f>'ADJ SUMMARY'!#REF!</f>
        <v>#REF!</v>
      </c>
    </row>
    <row r="121" spans="1:6" hidden="1">
      <c r="A121" s="1117" t="e">
        <f>'ADJ SUMMARY'!#REF!</f>
        <v>#REF!</v>
      </c>
      <c r="B121" s="85" t="e">
        <f>'ADJ SUMMARY'!#REF!</f>
        <v>#REF!</v>
      </c>
      <c r="C121" s="66"/>
      <c r="D121" s="66"/>
      <c r="E121" s="70"/>
      <c r="F121" s="120" t="e">
        <f>'ADJ SUMMARY'!#REF!</f>
        <v>#REF!</v>
      </c>
    </row>
    <row r="122" spans="1:6" hidden="1">
      <c r="A122" s="1117" t="e">
        <f>'ADJ SUMMARY'!#REF!</f>
        <v>#REF!</v>
      </c>
      <c r="B122" s="85" t="e">
        <f>'ADJ SUMMARY'!#REF!</f>
        <v>#REF!</v>
      </c>
      <c r="C122" s="66"/>
      <c r="D122" s="66"/>
      <c r="E122" s="70"/>
      <c r="F122" s="120" t="e">
        <f>'ADJ SUMMARY'!#REF!</f>
        <v>#REF!</v>
      </c>
    </row>
    <row r="123" spans="1:6" hidden="1">
      <c r="A123" s="1117" t="e">
        <f>'ADJ SUMMARY'!#REF!</f>
        <v>#REF!</v>
      </c>
      <c r="B123" s="85" t="e">
        <f>'ADJ SUMMARY'!#REF!</f>
        <v>#REF!</v>
      </c>
      <c r="C123" s="66"/>
      <c r="D123" s="66"/>
      <c r="E123" s="70"/>
      <c r="F123" s="120" t="e">
        <f>'ADJ SUMMARY'!#REF!</f>
        <v>#REF!</v>
      </c>
    </row>
    <row r="124" spans="1:6" hidden="1">
      <c r="A124" s="1117" t="e">
        <f>'ADJ SUMMARY'!#REF!</f>
        <v>#REF!</v>
      </c>
      <c r="B124" s="85" t="e">
        <f>'ADJ SUMMARY'!#REF!</f>
        <v>#REF!</v>
      </c>
      <c r="C124" s="66"/>
      <c r="D124" s="66"/>
      <c r="E124" s="70"/>
      <c r="F124" s="120" t="e">
        <f>'ADJ SUMMARY'!#REF!</f>
        <v>#REF!</v>
      </c>
    </row>
    <row r="125" spans="1:6" hidden="1">
      <c r="A125" s="1117" t="e">
        <f>'ADJ SUMMARY'!#REF!</f>
        <v>#REF!</v>
      </c>
      <c r="B125" s="85" t="e">
        <f>'ADJ SUMMARY'!#REF!</f>
        <v>#REF!</v>
      </c>
      <c r="C125" s="66"/>
      <c r="D125" s="66"/>
      <c r="E125" s="70"/>
      <c r="F125" s="120" t="e">
        <f>'ADJ SUMMARY'!#REF!</f>
        <v>#REF!</v>
      </c>
    </row>
    <row r="126" spans="1:6" ht="5.25" hidden="1" customHeight="1">
      <c r="C126" s="66"/>
      <c r="D126" s="66"/>
      <c r="E126" s="70"/>
      <c r="F126" s="120"/>
    </row>
    <row r="127" spans="1:6" ht="13.5" hidden="1" customHeight="1">
      <c r="A127" s="1117" t="e">
        <f>'ADJ SUMMARY'!#REF!</f>
        <v>#REF!</v>
      </c>
      <c r="B127" s="85" t="e">
        <f>'ADJ SUMMARY'!#REF!</f>
        <v>#REF!</v>
      </c>
      <c r="C127" s="66"/>
      <c r="D127" s="66"/>
      <c r="E127" s="70"/>
      <c r="F127" s="120" t="e">
        <f>'ADJ SUMMARY'!#REF!</f>
        <v>#REF!</v>
      </c>
    </row>
    <row r="128" spans="1:6" hidden="1">
      <c r="A128" s="1117" t="e">
        <f>'ADJ SUMMARY'!#REF!</f>
        <v>#REF!</v>
      </c>
      <c r="B128" s="85" t="e">
        <f>'ADJ SUMMARY'!#REF!</f>
        <v>#REF!</v>
      </c>
      <c r="C128" s="66"/>
      <c r="D128" s="66"/>
      <c r="E128" s="70"/>
      <c r="F128" s="120" t="e">
        <f>'ADJ SUMMARY'!#REF!</f>
        <v>#REF!</v>
      </c>
    </row>
    <row r="129" spans="1:7" hidden="1">
      <c r="A129" s="1117" t="e">
        <f>'ADJ SUMMARY'!#REF!</f>
        <v>#REF!</v>
      </c>
      <c r="B129" s="85" t="e">
        <f>'ADJ SUMMARY'!#REF!</f>
        <v>#REF!</v>
      </c>
      <c r="C129" s="66"/>
      <c r="D129" s="66"/>
      <c r="E129" s="70"/>
      <c r="F129" s="120" t="e">
        <f>'ADJ SUMMARY'!#REF!</f>
        <v>#REF!</v>
      </c>
    </row>
    <row r="130" spans="1:7" hidden="1">
      <c r="A130" s="1117" t="e">
        <f>'ADJ SUMMARY'!#REF!</f>
        <v>#REF!</v>
      </c>
      <c r="B130" s="85" t="e">
        <f>'ADJ SUMMARY'!#REF!</f>
        <v>#REF!</v>
      </c>
      <c r="C130" s="66"/>
      <c r="D130" s="66"/>
      <c r="E130" s="70"/>
      <c r="F130" s="120" t="e">
        <f>'ADJ SUMMARY'!#REF!</f>
        <v>#REF!</v>
      </c>
    </row>
    <row r="131" spans="1:7" hidden="1">
      <c r="A131" s="1117" t="e">
        <f>'ADJ SUMMARY'!#REF!</f>
        <v>#REF!</v>
      </c>
      <c r="B131" s="85" t="e">
        <f>'ADJ SUMMARY'!#REF!</f>
        <v>#REF!</v>
      </c>
      <c r="C131" s="66"/>
      <c r="D131" s="66"/>
      <c r="E131" s="70"/>
      <c r="F131" s="120" t="e">
        <f>'ADJ SUMMARY'!#REF!</f>
        <v>#REF!</v>
      </c>
    </row>
    <row r="132" spans="1:7" hidden="1">
      <c r="A132" s="1117" t="e">
        <f>'ADJ SUMMARY'!#REF!</f>
        <v>#REF!</v>
      </c>
      <c r="B132" s="85" t="e">
        <f>'ADJ SUMMARY'!#REF!</f>
        <v>#REF!</v>
      </c>
      <c r="C132" s="66"/>
      <c r="D132" s="66"/>
      <c r="E132" s="70"/>
      <c r="F132" s="120" t="e">
        <f>'ADJ SUMMARY'!#REF!</f>
        <v>#REF!</v>
      </c>
    </row>
    <row r="133" spans="1:7" hidden="1">
      <c r="A133" s="1117" t="e">
        <f>'ADJ SUMMARY'!#REF!</f>
        <v>#REF!</v>
      </c>
      <c r="B133" s="85" t="e">
        <f>'ADJ SUMMARY'!#REF!</f>
        <v>#REF!</v>
      </c>
      <c r="C133" s="66"/>
      <c r="D133" s="66"/>
      <c r="E133" s="70"/>
      <c r="F133" s="120" t="e">
        <f>'ADJ SUMMARY'!#REF!</f>
        <v>#REF!</v>
      </c>
    </row>
    <row r="134" spans="1:7" hidden="1">
      <c r="A134" s="1117" t="e">
        <f>'ADJ SUMMARY'!#REF!</f>
        <v>#REF!</v>
      </c>
      <c r="B134" s="85" t="e">
        <f>'ADJ SUMMARY'!#REF!</f>
        <v>#REF!</v>
      </c>
      <c r="C134" s="66"/>
      <c r="D134" s="66"/>
      <c r="E134" s="70"/>
      <c r="F134" s="120" t="e">
        <f>'ADJ SUMMARY'!#REF!</f>
        <v>#REF!</v>
      </c>
    </row>
    <row r="135" spans="1:7" hidden="1">
      <c r="A135" s="1117" t="e">
        <f>'ADJ SUMMARY'!#REF!</f>
        <v>#REF!</v>
      </c>
      <c r="B135" s="85" t="e">
        <f>'ADJ SUMMARY'!#REF!</f>
        <v>#REF!</v>
      </c>
      <c r="C135" s="66"/>
      <c r="D135" s="66"/>
      <c r="E135" s="70"/>
      <c r="F135" s="120" t="e">
        <f>'ADJ SUMMARY'!#REF!</f>
        <v>#REF!</v>
      </c>
    </row>
    <row r="136" spans="1:7" hidden="1">
      <c r="A136" s="1117" t="e">
        <f>'ADJ SUMMARY'!#REF!</f>
        <v>#REF!</v>
      </c>
      <c r="B136" s="85" t="e">
        <f>'ADJ SUMMARY'!#REF!</f>
        <v>#REF!</v>
      </c>
      <c r="C136" s="66"/>
      <c r="D136" s="66"/>
      <c r="E136" s="70"/>
      <c r="F136" s="120" t="e">
        <f>'ADJ SUMMARY'!#REF!</f>
        <v>#REF!</v>
      </c>
    </row>
    <row r="137" spans="1:7" hidden="1">
      <c r="A137" s="1117" t="e">
        <f>'ADJ SUMMARY'!#REF!</f>
        <v>#REF!</v>
      </c>
      <c r="B137" s="85" t="e">
        <f>'ADJ SUMMARY'!#REF!</f>
        <v>#REF!</v>
      </c>
      <c r="C137" s="66"/>
      <c r="D137" s="66"/>
      <c r="E137" s="70"/>
      <c r="F137" s="120" t="e">
        <f>'ADJ SUMMARY'!#REF!</f>
        <v>#REF!</v>
      </c>
    </row>
    <row r="138" spans="1:7" hidden="1">
      <c r="A138" s="1117" t="e">
        <f>'ADJ SUMMARY'!#REF!</f>
        <v>#REF!</v>
      </c>
      <c r="B138" s="85" t="e">
        <f>'ADJ SUMMARY'!#REF!</f>
        <v>#REF!</v>
      </c>
      <c r="C138" s="66"/>
      <c r="D138" s="66"/>
      <c r="E138" s="70"/>
      <c r="F138" s="120" t="e">
        <f>'ADJ SUMMARY'!#REF!</f>
        <v>#REF!</v>
      </c>
    </row>
    <row r="139" spans="1:7" hidden="1">
      <c r="A139" s="1117" t="e">
        <f>'ADJ SUMMARY'!#REF!</f>
        <v>#REF!</v>
      </c>
      <c r="B139" s="85" t="e">
        <f>'ADJ SUMMARY'!#REF!</f>
        <v>#REF!</v>
      </c>
      <c r="C139" s="66"/>
      <c r="D139" s="66"/>
      <c r="E139" s="70"/>
      <c r="F139" s="120" t="e">
        <f>'ADJ SUMMARY'!#REF!</f>
        <v>#REF!</v>
      </c>
    </row>
    <row r="140" spans="1:7" hidden="1">
      <c r="A140" s="1117" t="e">
        <f>'ADJ SUMMARY'!#REF!</f>
        <v>#REF!</v>
      </c>
      <c r="B140" s="85" t="e">
        <f>'ADJ SUMMARY'!#REF!</f>
        <v>#REF!</v>
      </c>
      <c r="C140" s="66"/>
      <c r="D140" s="66"/>
      <c r="E140" s="70"/>
      <c r="F140" s="120" t="e">
        <f>'ADJ SUMMARY'!#REF!</f>
        <v>#REF!</v>
      </c>
    </row>
    <row r="141" spans="1:7" ht="13.5" hidden="1" customHeight="1">
      <c r="A141" s="1117" t="e">
        <f>'ADJ SUMMARY'!#REF!</f>
        <v>#REF!</v>
      </c>
      <c r="B141" s="85" t="e">
        <f>'ADJ SUMMARY'!#REF!</f>
        <v>#REF!</v>
      </c>
      <c r="C141" s="66"/>
      <c r="D141" s="66"/>
      <c r="E141" s="70"/>
      <c r="F141" s="120" t="e">
        <f>'ADJ SUMMARY'!#REF!</f>
        <v>#REF!</v>
      </c>
    </row>
    <row r="142" spans="1:7" ht="0.75" hidden="1" customHeight="1">
      <c r="A142" s="1117" t="e">
        <f>'ADJ SUMMARY'!#REF!</f>
        <v>#REF!</v>
      </c>
      <c r="B142" s="85" t="e">
        <f>'ADJ SUMMARY'!#REF!</f>
        <v>#REF!</v>
      </c>
      <c r="C142" s="66"/>
      <c r="D142" s="66"/>
      <c r="E142" s="70"/>
      <c r="F142" s="120" t="e">
        <f>'ADJ SUMMARY'!#REF!</f>
        <v>#REF!</v>
      </c>
    </row>
    <row r="143" spans="1:7" ht="13.5" hidden="1" customHeight="1">
      <c r="B143" s="85" t="s">
        <v>182</v>
      </c>
      <c r="C143" s="66"/>
      <c r="D143" s="66"/>
      <c r="E143" s="70"/>
      <c r="F143" s="71" t="e">
        <f>SUM(F105:F142)</f>
        <v>#REF!</v>
      </c>
    </row>
    <row r="144" spans="1:7" hidden="1">
      <c r="C144" s="66"/>
      <c r="D144" s="66"/>
      <c r="E144" s="66"/>
      <c r="F144" s="63"/>
      <c r="G144" s="132"/>
    </row>
    <row r="145" spans="2:9" hidden="1">
      <c r="B145" s="85" t="str">
        <f>B66</f>
        <v>Weighted Average Cost of Debt</v>
      </c>
      <c r="C145" s="82"/>
      <c r="D145" s="82"/>
      <c r="E145" s="83"/>
      <c r="F145" s="156" t="e">
        <f>'RR Summary'!#REF!</f>
        <v>#REF!</v>
      </c>
      <c r="H145" s="157" t="s">
        <v>229</v>
      </c>
      <c r="I145" s="91"/>
    </row>
    <row r="146" spans="2:9" hidden="1">
      <c r="C146" s="66"/>
      <c r="D146" s="66"/>
      <c r="F146" s="63"/>
    </row>
    <row r="147" spans="2:9" hidden="1">
      <c r="B147" s="85" t="s">
        <v>145</v>
      </c>
      <c r="C147" s="66"/>
      <c r="D147" s="66"/>
      <c r="E147" s="70"/>
      <c r="F147" s="70" t="e">
        <f>F143*F145</f>
        <v>#REF!</v>
      </c>
    </row>
    <row r="148" spans="2:9" hidden="1">
      <c r="C148" s="66"/>
      <c r="D148" s="66"/>
      <c r="E148" s="66"/>
      <c r="F148" s="63"/>
    </row>
    <row r="149" spans="2:9" hidden="1">
      <c r="B149" s="85" t="s">
        <v>233</v>
      </c>
      <c r="C149" s="66"/>
      <c r="D149" s="66"/>
      <c r="F149" s="139">
        <v>21469</v>
      </c>
      <c r="H149" s="141" t="s">
        <v>236</v>
      </c>
    </row>
    <row r="150" spans="2:9" hidden="1">
      <c r="C150" s="66"/>
      <c r="D150" s="66"/>
      <c r="E150" s="66"/>
      <c r="F150" s="63"/>
    </row>
    <row r="151" spans="2:9" hidden="1">
      <c r="B151" s="85" t="s">
        <v>147</v>
      </c>
      <c r="C151" s="66"/>
      <c r="D151" s="66"/>
      <c r="E151" s="70"/>
      <c r="F151" s="70" t="e">
        <f>F147-F149</f>
        <v>#REF!</v>
      </c>
    </row>
    <row r="152" spans="2:9" hidden="1">
      <c r="B152" s="85" t="s">
        <v>148</v>
      </c>
      <c r="D152" s="66"/>
      <c r="E152" s="73"/>
      <c r="F152" s="74">
        <v>0.35</v>
      </c>
    </row>
    <row r="153" spans="2:9" hidden="1">
      <c r="D153" s="66"/>
      <c r="E153" s="66"/>
      <c r="F153" s="63"/>
    </row>
    <row r="154" spans="2:9" hidden="1">
      <c r="B154" s="85" t="s">
        <v>149</v>
      </c>
      <c r="D154" s="66"/>
      <c r="E154" s="70"/>
      <c r="F154" s="70" t="e">
        <f>F151*-F152</f>
        <v>#REF!</v>
      </c>
      <c r="G154" s="70"/>
    </row>
    <row r="155" spans="2:9" ht="13.5" hidden="1" thickTop="1">
      <c r="D155" s="66"/>
      <c r="E155" s="70"/>
      <c r="F155" s="84"/>
    </row>
    <row r="156" spans="2:9" hidden="1">
      <c r="F156" s="63"/>
    </row>
    <row r="157" spans="2:9" hidden="1">
      <c r="B157" s="328" t="s">
        <v>146</v>
      </c>
      <c r="F157" s="63"/>
    </row>
    <row r="158" spans="2:9" hidden="1">
      <c r="B158" s="85" t="s">
        <v>150</v>
      </c>
      <c r="C158" s="70">
        <f>C80</f>
        <v>2430</v>
      </c>
      <c r="F158" s="63"/>
    </row>
    <row r="159" spans="2:9" hidden="1">
      <c r="B159" s="85" t="s">
        <v>151</v>
      </c>
      <c r="C159" s="63">
        <f>C81</f>
        <v>2935</v>
      </c>
      <c r="F159" s="63"/>
    </row>
    <row r="160" spans="2:9" hidden="1">
      <c r="B160" s="85" t="s">
        <v>152</v>
      </c>
      <c r="C160" s="71">
        <f>C158+C159</f>
        <v>5365</v>
      </c>
      <c r="F160" s="63"/>
    </row>
    <row r="161" spans="2:6" hidden="1">
      <c r="C161" s="70"/>
      <c r="F161" s="63"/>
    </row>
    <row r="162" spans="2:6" hidden="1">
      <c r="C162" s="75"/>
      <c r="D162" s="67"/>
      <c r="E162" s="67" t="s">
        <v>153</v>
      </c>
      <c r="F162" s="63"/>
    </row>
    <row r="163" spans="2:6" hidden="1">
      <c r="C163" s="69" t="s">
        <v>125</v>
      </c>
      <c r="D163" s="69" t="s">
        <v>154</v>
      </c>
      <c r="E163" s="69" t="s">
        <v>31</v>
      </c>
      <c r="F163" s="63"/>
    </row>
    <row r="164" spans="2:6" hidden="1">
      <c r="B164" s="85" t="s">
        <v>155</v>
      </c>
      <c r="C164" s="70" t="e">
        <f>$C$86</f>
        <v>#REF!</v>
      </c>
      <c r="D164" s="72" t="e">
        <f>C164/C167</f>
        <v>#REF!</v>
      </c>
      <c r="E164" s="70" t="e">
        <f>D164*E167</f>
        <v>#REF!</v>
      </c>
      <c r="F164" s="63"/>
    </row>
    <row r="165" spans="2:6" hidden="1">
      <c r="B165" s="85" t="s">
        <v>156</v>
      </c>
      <c r="C165" s="63" t="e">
        <f>$C$87</f>
        <v>#REF!</v>
      </c>
      <c r="D165" s="81" t="e">
        <f>C165/C167</f>
        <v>#REF!</v>
      </c>
      <c r="E165" s="76" t="e">
        <f>D165*E167</f>
        <v>#REF!</v>
      </c>
      <c r="F165" s="63"/>
    </row>
    <row r="166" spans="2:6" hidden="1">
      <c r="B166" s="85" t="s">
        <v>157</v>
      </c>
      <c r="C166" s="63" t="e">
        <f>$C$88</f>
        <v>#REF!</v>
      </c>
      <c r="D166" s="81" t="e">
        <f>C166/C167</f>
        <v>#REF!</v>
      </c>
      <c r="E166" s="76" t="e">
        <f>E167*D166</f>
        <v>#REF!</v>
      </c>
      <c r="F166" s="63"/>
    </row>
    <row r="167" spans="2:6" hidden="1">
      <c r="B167" s="85" t="s">
        <v>158</v>
      </c>
      <c r="C167" s="71" t="e">
        <f>C164+C165+C166</f>
        <v>#REF!</v>
      </c>
      <c r="D167" s="77" t="e">
        <f>D164+D165+D166</f>
        <v>#REF!</v>
      </c>
      <c r="E167" s="71">
        <f>C160</f>
        <v>5365</v>
      </c>
      <c r="F167" s="63"/>
    </row>
    <row r="168" spans="2:6" hidden="1">
      <c r="F168" s="63"/>
    </row>
    <row r="169" spans="2:6" hidden="1">
      <c r="B169" s="85" t="s">
        <v>159</v>
      </c>
      <c r="C169" s="70" t="e">
        <f>$C$91</f>
        <v>#REF!</v>
      </c>
      <c r="D169" s="72" t="e">
        <f>C169/C171</f>
        <v>#REF!</v>
      </c>
      <c r="E169" s="70" t="e">
        <f>D169*E171</f>
        <v>#REF!</v>
      </c>
      <c r="F169" s="63"/>
    </row>
    <row r="170" spans="2:6" hidden="1">
      <c r="B170" s="85" t="s">
        <v>160</v>
      </c>
      <c r="C170" s="63" t="e">
        <f>$C$92</f>
        <v>#REF!</v>
      </c>
      <c r="D170" s="72" t="e">
        <f>C170/C171</f>
        <v>#REF!</v>
      </c>
      <c r="E170" s="63" t="e">
        <f>D170*E171</f>
        <v>#REF!</v>
      </c>
      <c r="F170" s="63"/>
    </row>
    <row r="171" spans="2:6" hidden="1">
      <c r="B171" s="85" t="s">
        <v>158</v>
      </c>
      <c r="C171" s="71" t="e">
        <f>C169+C170</f>
        <v>#REF!</v>
      </c>
      <c r="D171" s="77" t="e">
        <f>D169+D170</f>
        <v>#REF!</v>
      </c>
      <c r="E171" s="71" t="e">
        <f>E164</f>
        <v>#REF!</v>
      </c>
      <c r="F171" s="63"/>
    </row>
    <row r="172" spans="2:6" hidden="1">
      <c r="F172" s="63"/>
    </row>
    <row r="173" spans="2:6" hidden="1">
      <c r="B173" s="85" t="s">
        <v>161</v>
      </c>
      <c r="C173" s="70" t="e">
        <f>$C$95</f>
        <v>#REF!</v>
      </c>
      <c r="D173" s="78" t="e">
        <f>C173/C175</f>
        <v>#REF!</v>
      </c>
      <c r="E173" s="70" t="e">
        <f>E175*D173</f>
        <v>#REF!</v>
      </c>
      <c r="F173" s="63"/>
    </row>
    <row r="174" spans="2:6" hidden="1">
      <c r="B174" s="85" t="s">
        <v>162</v>
      </c>
      <c r="C174" s="63" t="e">
        <f>C$96</f>
        <v>#REF!</v>
      </c>
      <c r="D174" s="79" t="e">
        <f>C174/C175</f>
        <v>#REF!</v>
      </c>
      <c r="E174" s="63" t="e">
        <f>E175*D174</f>
        <v>#REF!</v>
      </c>
      <c r="F174" s="63"/>
    </row>
    <row r="175" spans="2:6" hidden="1">
      <c r="B175" s="85" t="s">
        <v>158</v>
      </c>
      <c r="C175" s="71" t="e">
        <f>SUM(C173:C174)</f>
        <v>#REF!</v>
      </c>
      <c r="D175" s="80" t="e">
        <f>SUM(D173:D174)</f>
        <v>#REF!</v>
      </c>
      <c r="E175" s="71" t="e">
        <f>E165</f>
        <v>#REF!</v>
      </c>
      <c r="F175" s="6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3" orientation="portrait" r:id="rId1"/>
  <headerFooter alignWithMargins="0"/>
  <rowBreaks count="1" manualBreakCount="1">
    <brk id="97" max="16383" man="1"/>
  </rowBreaks>
  <colBreaks count="1" manualBreakCount="1">
    <brk id="9" max="62"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B5ABA-6EE6-4F7A-B1CE-465914CAEB35}">
  <dimension ref="A1:P187"/>
  <sheetViews>
    <sheetView topLeftCell="A44" workbookViewId="0">
      <selection activeCell="N68" sqref="N68"/>
    </sheetView>
  </sheetViews>
  <sheetFormatPr defaultColWidth="10.5703125" defaultRowHeight="12.75"/>
  <cols>
    <col min="1" max="1" width="8.42578125" style="1117" customWidth="1"/>
    <col min="2" max="2" width="18.5703125" style="85" customWidth="1"/>
    <col min="3" max="4" width="10.5703125" style="63" customWidth="1"/>
    <col min="5" max="5" width="10.140625" style="63" customWidth="1"/>
    <col min="6" max="6" width="14.5703125" style="66" customWidth="1"/>
    <col min="7" max="7" width="13.5703125" style="63" bestFit="1" customWidth="1"/>
    <col min="8" max="8" width="2.140625" style="63" customWidth="1"/>
    <col min="9" max="9" width="18.42578125" style="63" customWidth="1"/>
    <col min="10" max="10" width="19.140625" style="63" customWidth="1"/>
    <col min="11" max="11" width="10.85546875" style="63" bestFit="1" customWidth="1"/>
    <col min="12" max="16384" width="10.5703125" style="63"/>
  </cols>
  <sheetData>
    <row r="1" spans="1:9">
      <c r="A1" s="1394" t="s">
        <v>115</v>
      </c>
      <c r="B1" s="1394"/>
      <c r="C1" s="1394"/>
      <c r="D1" s="1394"/>
      <c r="E1" s="1394"/>
      <c r="F1" s="1394"/>
      <c r="G1" s="1394"/>
      <c r="H1" s="1394"/>
    </row>
    <row r="2" spans="1:9">
      <c r="A2" s="1394" t="s">
        <v>549</v>
      </c>
      <c r="B2" s="1394"/>
      <c r="C2" s="1394"/>
      <c r="D2" s="1394"/>
      <c r="E2" s="1394"/>
      <c r="F2" s="1394"/>
      <c r="G2" s="1394"/>
      <c r="H2" s="1394"/>
    </row>
    <row r="3" spans="1:9">
      <c r="A3" s="1394" t="s">
        <v>163</v>
      </c>
      <c r="B3" s="1394"/>
      <c r="C3" s="1394"/>
      <c r="D3" s="1394"/>
      <c r="E3" s="1394"/>
      <c r="F3" s="1394"/>
      <c r="G3" s="1394"/>
      <c r="H3" s="1394"/>
    </row>
    <row r="4" spans="1:9">
      <c r="A4" s="1395" t="str">
        <f>'ADJ DETAIL-INPUT'!A3</f>
        <v>TWELVE MONTHS ENDED SEPTEMBER 30, 2021</v>
      </c>
      <c r="B4" s="1395"/>
      <c r="C4" s="1395"/>
      <c r="D4" s="1395"/>
      <c r="E4" s="1395"/>
      <c r="F4" s="1395"/>
      <c r="G4" s="1395"/>
      <c r="H4" s="1395"/>
    </row>
    <row r="5" spans="1:9">
      <c r="A5" s="1396" t="s">
        <v>142</v>
      </c>
      <c r="B5" s="1396"/>
      <c r="C5" s="1396"/>
      <c r="D5" s="1396"/>
      <c r="E5" s="1396"/>
      <c r="F5" s="1396"/>
      <c r="G5" s="1396"/>
      <c r="H5" s="1396"/>
    </row>
    <row r="6" spans="1:9" ht="13.5" thickBot="1">
      <c r="A6" s="1116"/>
      <c r="B6" s="327"/>
      <c r="C6" s="64"/>
      <c r="D6" s="65"/>
      <c r="E6" s="65"/>
      <c r="F6" s="65"/>
      <c r="I6" s="67" t="s">
        <v>550</v>
      </c>
    </row>
    <row r="7" spans="1:9" ht="13.5" thickBot="1">
      <c r="C7" s="66"/>
      <c r="D7" s="66"/>
      <c r="E7" s="1391" t="s">
        <v>549</v>
      </c>
      <c r="F7" s="1392"/>
      <c r="G7" s="1393"/>
      <c r="I7" s="67" t="s">
        <v>551</v>
      </c>
    </row>
    <row r="8" spans="1:9">
      <c r="C8" s="66"/>
      <c r="D8" s="66"/>
      <c r="E8" s="326">
        <f>'ADJ DETAIL-INPUT'!V9</f>
        <v>2.139999999999997</v>
      </c>
      <c r="F8" s="345"/>
      <c r="G8" s="345"/>
      <c r="I8" s="67"/>
    </row>
    <row r="9" spans="1:9">
      <c r="C9" s="66"/>
      <c r="D9" s="66"/>
      <c r="E9" s="68" t="s">
        <v>25</v>
      </c>
      <c r="F9" s="67" t="s">
        <v>580</v>
      </c>
      <c r="I9" s="67" t="s">
        <v>552</v>
      </c>
    </row>
    <row r="10" spans="1:9">
      <c r="B10" s="328" t="s">
        <v>143</v>
      </c>
      <c r="C10" s="66"/>
      <c r="D10" s="66"/>
      <c r="E10" s="332" t="s">
        <v>260</v>
      </c>
      <c r="F10" s="69" t="s">
        <v>144</v>
      </c>
      <c r="G10" s="69" t="s">
        <v>33</v>
      </c>
      <c r="I10" s="69" t="str">
        <f>F10</f>
        <v>Adjustments</v>
      </c>
    </row>
    <row r="11" spans="1:9">
      <c r="A11" s="1115">
        <f>'ADJ SUMMARY'!A10</f>
        <v>1</v>
      </c>
      <c r="B11" s="85" t="str">
        <f>'ADJ SUMMARY'!C10</f>
        <v>Results of Operations</v>
      </c>
      <c r="C11" s="66"/>
      <c r="D11" s="66"/>
      <c r="E11" s="331">
        <f>'ADJ SUMMARY'!E10</f>
        <v>1824656</v>
      </c>
      <c r="F11" s="325"/>
      <c r="G11" s="63">
        <f>SUM(E11:F11)</f>
        <v>1824656</v>
      </c>
      <c r="I11" s="331">
        <f>ROUND(E11*$E$78*-$F$85,0)+(E82*0.21)</f>
        <v>525.48999999999978</v>
      </c>
    </row>
    <row r="12" spans="1:9">
      <c r="A12" s="1115">
        <f>'ADJ SUMMARY'!A11</f>
        <v>1.01</v>
      </c>
      <c r="B12" s="329" t="str">
        <f>'ADJ SUMMARY'!C11</f>
        <v>Deferred FIT Rate Base</v>
      </c>
      <c r="C12" s="66"/>
      <c r="D12" s="66"/>
      <c r="E12" s="70"/>
      <c r="F12" s="331">
        <f>'ADJ SUMMARY'!E11</f>
        <v>-680</v>
      </c>
      <c r="G12" s="63">
        <f>SUM(E12:F12)</f>
        <v>-680</v>
      </c>
      <c r="I12" s="331">
        <f t="shared" ref="I12:I43" si="0">ROUND(F12*$E$78*-$F$85,0)</f>
        <v>4</v>
      </c>
    </row>
    <row r="13" spans="1:9">
      <c r="A13" s="1115">
        <f>'ADJ SUMMARY'!A12</f>
        <v>1.02</v>
      </c>
      <c r="B13" s="329" t="str">
        <f>'ADJ SUMMARY'!C12</f>
        <v>Deferred Debits and Credits</v>
      </c>
      <c r="C13" s="66"/>
      <c r="D13" s="66"/>
      <c r="E13" s="70"/>
      <c r="F13" s="331">
        <f>'ADJ SUMMARY'!E12</f>
        <v>19</v>
      </c>
      <c r="G13" s="63">
        <f t="shared" ref="G13:G26" si="1">SUM(E13:F13)</f>
        <v>19</v>
      </c>
      <c r="I13" s="331">
        <f t="shared" si="0"/>
        <v>0</v>
      </c>
    </row>
    <row r="14" spans="1:9">
      <c r="A14" s="1115">
        <f>'ADJ SUMMARY'!A13</f>
        <v>1.03</v>
      </c>
      <c r="B14" s="329" t="str">
        <f>'ADJ SUMMARY'!C13</f>
        <v>Working Capital</v>
      </c>
      <c r="C14" s="66"/>
      <c r="D14" s="66"/>
      <c r="E14" s="70"/>
      <c r="F14" s="331">
        <f>'ADJ SUMMARY'!E13</f>
        <v>-295</v>
      </c>
      <c r="G14" s="63">
        <f t="shared" si="1"/>
        <v>-295</v>
      </c>
      <c r="I14" s="331">
        <f t="shared" si="0"/>
        <v>2</v>
      </c>
    </row>
    <row r="15" spans="1:9">
      <c r="A15" s="1115">
        <f>'ADJ SUMMARY'!A14</f>
        <v>2.0099999999999998</v>
      </c>
      <c r="B15" s="329" t="str">
        <f>'ADJ SUMMARY'!C14</f>
        <v>Eliminate B &amp; O Taxes</v>
      </c>
      <c r="C15" s="66"/>
      <c r="D15" s="66"/>
      <c r="E15" s="70"/>
      <c r="F15" s="331">
        <f>'ADJ SUMMARY'!E14</f>
        <v>0</v>
      </c>
      <c r="G15" s="63">
        <f t="shared" si="1"/>
        <v>0</v>
      </c>
      <c r="I15" s="331">
        <f t="shared" si="0"/>
        <v>0</v>
      </c>
    </row>
    <row r="16" spans="1:9">
      <c r="A16" s="1115">
        <f>'ADJ SUMMARY'!A15</f>
        <v>2.0199999999999996</v>
      </c>
      <c r="B16" s="329" t="str">
        <f>'ADJ SUMMARY'!C15</f>
        <v>Restate Property Tax</v>
      </c>
      <c r="C16" s="66"/>
      <c r="D16" s="66"/>
      <c r="E16" s="70"/>
      <c r="F16" s="331">
        <f>'ADJ SUMMARY'!E15</f>
        <v>0</v>
      </c>
      <c r="G16" s="63">
        <f t="shared" si="1"/>
        <v>0</v>
      </c>
      <c r="I16" s="331">
        <f t="shared" si="0"/>
        <v>0</v>
      </c>
    </row>
    <row r="17" spans="1:9">
      <c r="A17" s="1115">
        <f>'ADJ SUMMARY'!A16</f>
        <v>2.0299999999999994</v>
      </c>
      <c r="B17" s="329" t="str">
        <f>'ADJ SUMMARY'!C16</f>
        <v>Uncollect. Expense</v>
      </c>
      <c r="C17" s="66"/>
      <c r="D17" s="66"/>
      <c r="E17" s="70"/>
      <c r="F17" s="331">
        <f>'ADJ SUMMARY'!E16</f>
        <v>0</v>
      </c>
      <c r="G17" s="63">
        <f t="shared" si="1"/>
        <v>0</v>
      </c>
      <c r="I17" s="331">
        <f t="shared" si="0"/>
        <v>0</v>
      </c>
    </row>
    <row r="18" spans="1:9">
      <c r="A18" s="1115">
        <f>'ADJ SUMMARY'!A17</f>
        <v>2.0399999999999991</v>
      </c>
      <c r="B18" s="329" t="str">
        <f>'ADJ SUMMARY'!C17</f>
        <v>Regulatory Expense</v>
      </c>
      <c r="C18" s="66"/>
      <c r="D18" s="66"/>
      <c r="E18" s="70"/>
      <c r="F18" s="331">
        <f>'ADJ SUMMARY'!E17</f>
        <v>0</v>
      </c>
      <c r="G18" s="63">
        <f t="shared" si="1"/>
        <v>0</v>
      </c>
      <c r="I18" s="331">
        <f t="shared" si="0"/>
        <v>0</v>
      </c>
    </row>
    <row r="19" spans="1:9">
      <c r="A19" s="1115">
        <f>'ADJ SUMMARY'!A18</f>
        <v>2.0499999999999989</v>
      </c>
      <c r="B19" s="329" t="str">
        <f>'ADJ SUMMARY'!C18</f>
        <v>Injuries and Damages</v>
      </c>
      <c r="C19" s="66"/>
      <c r="D19" s="66"/>
      <c r="E19" s="70"/>
      <c r="F19" s="331">
        <f>'ADJ SUMMARY'!E18</f>
        <v>0</v>
      </c>
      <c r="G19" s="63">
        <f t="shared" si="1"/>
        <v>0</v>
      </c>
      <c r="I19" s="331">
        <f t="shared" si="0"/>
        <v>0</v>
      </c>
    </row>
    <row r="20" spans="1:9">
      <c r="A20" s="1115">
        <f>'ADJ SUMMARY'!A19</f>
        <v>2.0599999999999987</v>
      </c>
      <c r="B20" s="329" t="str">
        <f>'ADJ SUMMARY'!C19</f>
        <v>FIT/DFIT/ ITC Expense</v>
      </c>
      <c r="C20" s="66"/>
      <c r="D20" s="66"/>
      <c r="E20" s="70"/>
      <c r="F20" s="331">
        <f>'ADJ SUMMARY'!E19</f>
        <v>0</v>
      </c>
      <c r="G20" s="63">
        <f t="shared" si="1"/>
        <v>0</v>
      </c>
      <c r="I20" s="331">
        <f t="shared" si="0"/>
        <v>0</v>
      </c>
    </row>
    <row r="21" spans="1:9">
      <c r="A21" s="1115">
        <f>'ADJ SUMMARY'!A20</f>
        <v>2.0699999999999985</v>
      </c>
      <c r="B21" s="329" t="str">
        <f>'ADJ SUMMARY'!C20</f>
        <v>Office Space Charges to Non-Utility</v>
      </c>
      <c r="C21" s="66"/>
      <c r="D21" s="66"/>
      <c r="E21" s="70"/>
      <c r="F21" s="331">
        <f>'ADJ SUMMARY'!E20</f>
        <v>0</v>
      </c>
      <c r="G21" s="63">
        <f t="shared" si="1"/>
        <v>0</v>
      </c>
      <c r="I21" s="331">
        <f t="shared" si="0"/>
        <v>0</v>
      </c>
    </row>
    <row r="22" spans="1:9">
      <c r="A22" s="1115">
        <f>'ADJ SUMMARY'!A21</f>
        <v>2.0799999999999983</v>
      </c>
      <c r="B22" s="329" t="str">
        <f>'ADJ SUMMARY'!C21</f>
        <v>Restate Excise Taxes</v>
      </c>
      <c r="C22" s="66"/>
      <c r="D22" s="66"/>
      <c r="E22" s="70"/>
      <c r="F22" s="331">
        <f>'ADJ SUMMARY'!E21</f>
        <v>0</v>
      </c>
      <c r="G22" s="63">
        <f t="shared" si="1"/>
        <v>0</v>
      </c>
      <c r="I22" s="331">
        <f t="shared" si="0"/>
        <v>0</v>
      </c>
    </row>
    <row r="23" spans="1:9">
      <c r="A23" s="1115">
        <f>'ADJ SUMMARY'!A22</f>
        <v>2.0899999999999981</v>
      </c>
      <c r="B23" s="329" t="str">
        <f>'ADJ SUMMARY'!C22</f>
        <v>Net Gains &amp; Losses</v>
      </c>
      <c r="C23" s="66"/>
      <c r="D23" s="66"/>
      <c r="E23" s="70"/>
      <c r="F23" s="331">
        <f>'ADJ SUMMARY'!E22</f>
        <v>0</v>
      </c>
      <c r="G23" s="63">
        <f t="shared" si="1"/>
        <v>0</v>
      </c>
      <c r="I23" s="331">
        <f t="shared" si="0"/>
        <v>0</v>
      </c>
    </row>
    <row r="24" spans="1:9">
      <c r="A24" s="1115">
        <f>'ADJ SUMMARY'!A23</f>
        <v>2.0999999999999979</v>
      </c>
      <c r="B24" s="329" t="str">
        <f>'ADJ SUMMARY'!C23</f>
        <v>Weather Normalization</v>
      </c>
      <c r="C24" s="66"/>
      <c r="D24" s="66"/>
      <c r="E24" s="70"/>
      <c r="F24" s="331">
        <f>'ADJ SUMMARY'!E23</f>
        <v>0</v>
      </c>
      <c r="G24" s="63">
        <f t="shared" si="1"/>
        <v>0</v>
      </c>
      <c r="I24" s="331">
        <f t="shared" si="0"/>
        <v>0</v>
      </c>
    </row>
    <row r="25" spans="1:9">
      <c r="A25" s="1115">
        <f>'ADJ SUMMARY'!A24</f>
        <v>2.1099999999999977</v>
      </c>
      <c r="B25" s="329" t="str">
        <f>'ADJ SUMMARY'!C24</f>
        <v>Eliminate Adder Schedules</v>
      </c>
      <c r="C25" s="66"/>
      <c r="D25" s="66"/>
      <c r="E25" s="70"/>
      <c r="F25" s="331">
        <f>'ADJ SUMMARY'!E24</f>
        <v>0</v>
      </c>
      <c r="G25" s="63">
        <f t="shared" si="1"/>
        <v>0</v>
      </c>
      <c r="I25" s="331">
        <f t="shared" si="0"/>
        <v>0</v>
      </c>
    </row>
    <row r="26" spans="1:9">
      <c r="A26" s="1115">
        <f>'ADJ SUMMARY'!A25</f>
        <v>2.1199999999999974</v>
      </c>
      <c r="B26" s="329" t="str">
        <f>'ADJ SUMMARY'!C25</f>
        <v>Misc. Restating Non-Util / Non- Recurring Expenses</v>
      </c>
      <c r="C26" s="66"/>
      <c r="D26" s="66"/>
      <c r="E26" s="70"/>
      <c r="F26" s="331">
        <f>'ADJ SUMMARY'!E25</f>
        <v>0</v>
      </c>
      <c r="G26" s="63">
        <f t="shared" si="1"/>
        <v>0</v>
      </c>
      <c r="I26" s="331">
        <f t="shared" si="0"/>
        <v>0</v>
      </c>
    </row>
    <row r="27" spans="1:9">
      <c r="A27" s="1115">
        <f>'ADJ SUMMARY'!A26</f>
        <v>2.1299999999999972</v>
      </c>
      <c r="B27" s="329" t="str">
        <f>'ADJ SUMMARY'!C26</f>
        <v>Restating Incentives</v>
      </c>
      <c r="C27" s="66"/>
      <c r="D27" s="66"/>
      <c r="E27" s="70"/>
      <c r="F27" s="331">
        <f>'ADJ SUMMARY'!E26</f>
        <v>0</v>
      </c>
      <c r="G27" s="63">
        <f t="shared" ref="G27:G59" si="2">SUM(E27:F27)</f>
        <v>0</v>
      </c>
      <c r="I27" s="331">
        <f t="shared" si="0"/>
        <v>0</v>
      </c>
    </row>
    <row r="28" spans="1:9">
      <c r="A28" s="1115">
        <f>'ADJ SUMMARY'!A27</f>
        <v>2.139999999999997</v>
      </c>
      <c r="B28" s="329" t="str">
        <f>'ADJ SUMMARY'!C27</f>
        <v>Restate Debt Interest</v>
      </c>
      <c r="C28" s="66"/>
      <c r="D28" s="66"/>
      <c r="E28" s="70"/>
      <c r="F28" s="331">
        <f>'ADJ SUMMARY'!E27</f>
        <v>0</v>
      </c>
      <c r="G28" s="63">
        <f t="shared" si="2"/>
        <v>0</v>
      </c>
      <c r="I28" s="331">
        <f t="shared" si="0"/>
        <v>0</v>
      </c>
    </row>
    <row r="29" spans="1:9">
      <c r="A29" s="1115">
        <f>'ADJ SUMMARY'!A28</f>
        <v>2.1499999999999968</v>
      </c>
      <c r="B29" s="329" t="str">
        <f>'ADJ SUMMARY'!C28</f>
        <v>Restate 09.2021 AMA Rate Base to EOP</v>
      </c>
      <c r="C29" s="66"/>
      <c r="D29" s="66"/>
      <c r="E29" s="70"/>
      <c r="F29" s="331">
        <f>'ADJ SUMMARY'!E28</f>
        <v>74189</v>
      </c>
      <c r="G29" s="63">
        <f t="shared" si="2"/>
        <v>74189</v>
      </c>
      <c r="I29" s="331">
        <f t="shared" si="0"/>
        <v>-385</v>
      </c>
    </row>
    <row r="30" spans="1:9">
      <c r="A30" s="1115">
        <f>'ADJ SUMMARY'!A29</f>
        <v>2.1599999999999966</v>
      </c>
      <c r="B30" s="329" t="str">
        <f>'ADJ SUMMARY'!C29</f>
        <v>Eliminate WA Power Cost Defer</v>
      </c>
      <c r="C30" s="66"/>
      <c r="D30" s="66"/>
      <c r="E30" s="70"/>
      <c r="F30" s="331">
        <f>'ADJ SUMMARY'!E29</f>
        <v>0</v>
      </c>
      <c r="G30" s="63">
        <f t="shared" si="2"/>
        <v>0</v>
      </c>
      <c r="I30" s="331">
        <f t="shared" si="0"/>
        <v>0</v>
      </c>
    </row>
    <row r="31" spans="1:9">
      <c r="A31" s="1115">
        <f>'ADJ SUMMARY'!A30</f>
        <v>2.1699999999999964</v>
      </c>
      <c r="B31" s="329" t="str">
        <f>'ADJ SUMMARY'!C30</f>
        <v>Nez Perce Settlement Adjustment</v>
      </c>
      <c r="C31" s="66"/>
      <c r="D31" s="66"/>
      <c r="E31" s="70"/>
      <c r="F31" s="331">
        <f>'ADJ SUMMARY'!E30</f>
        <v>0</v>
      </c>
      <c r="G31" s="63">
        <f t="shared" si="2"/>
        <v>0</v>
      </c>
      <c r="I31" s="331">
        <f t="shared" si="0"/>
        <v>0</v>
      </c>
    </row>
    <row r="32" spans="1:9">
      <c r="A32" s="1115">
        <f>'ADJ SUMMARY'!A31</f>
        <v>2.1799999999999962</v>
      </c>
      <c r="B32" s="329" t="str">
        <f>'ADJ SUMMARY'!C31</f>
        <v>Normalize CS2/Colstrip Major Maint</v>
      </c>
      <c r="C32" s="66"/>
      <c r="D32" s="66"/>
      <c r="E32" s="70"/>
      <c r="F32" s="331">
        <f>'ADJ SUMMARY'!E31</f>
        <v>0</v>
      </c>
      <c r="G32" s="63">
        <f t="shared" si="2"/>
        <v>0</v>
      </c>
      <c r="I32" s="331">
        <f t="shared" si="0"/>
        <v>0</v>
      </c>
    </row>
    <row r="33" spans="1:9">
      <c r="A33" s="1115">
        <f>'ADJ SUMMARY'!A32</f>
        <v>2.1899999999999959</v>
      </c>
      <c r="B33" s="329" t="str">
        <f>'ADJ SUMMARY'!C32</f>
        <v>Authorized Power Supply</v>
      </c>
      <c r="C33" s="66"/>
      <c r="D33" s="66"/>
      <c r="E33" s="70"/>
      <c r="F33" s="331">
        <f>'ADJ SUMMARY'!E32</f>
        <v>0</v>
      </c>
      <c r="G33" s="63">
        <f t="shared" si="2"/>
        <v>0</v>
      </c>
      <c r="I33" s="331">
        <f t="shared" si="0"/>
        <v>0</v>
      </c>
    </row>
    <row r="34" spans="1:9">
      <c r="A34" s="1115">
        <f>'ADJ SUMMARY'!A33</f>
        <v>2.1999999999999957</v>
      </c>
      <c r="B34" s="329" t="str">
        <f>'ADJ SUMMARY'!C33</f>
        <v>Restate 09.2021 Tax Credit Regulatory Liability to EOP</v>
      </c>
      <c r="C34" s="66"/>
      <c r="D34" s="66"/>
      <c r="E34" s="70"/>
      <c r="F34" s="331">
        <f>'ADJ SUMMARY'!E33</f>
        <v>-24902</v>
      </c>
      <c r="G34" s="63">
        <f t="shared" si="2"/>
        <v>-24902</v>
      </c>
      <c r="I34" s="331">
        <f t="shared" si="0"/>
        <v>129</v>
      </c>
    </row>
    <row r="35" spans="1:9">
      <c r="A35" s="1115" t="str">
        <f>'ADJ SUMMARY'!A36</f>
        <v>3.00P</v>
      </c>
      <c r="B35" s="329" t="str">
        <f>'ADJ SUMMARY'!C36</f>
        <v>Pro Forma Power Supply</v>
      </c>
      <c r="C35" s="66"/>
      <c r="D35" s="66"/>
      <c r="E35" s="70"/>
      <c r="F35" s="331">
        <f>'ADJ SUMMARY'!E36</f>
        <v>0</v>
      </c>
      <c r="G35" s="63">
        <f t="shared" si="2"/>
        <v>0</v>
      </c>
      <c r="I35" s="331">
        <f t="shared" si="0"/>
        <v>0</v>
      </c>
    </row>
    <row r="36" spans="1:9">
      <c r="A36" s="1115" t="str">
        <f>'ADJ SUMMARY'!A37</f>
        <v>3.00T</v>
      </c>
      <c r="B36" s="329" t="str">
        <f>'ADJ SUMMARY'!C37</f>
        <v>Pro Forma Transmission Revenue/Expense</v>
      </c>
      <c r="C36" s="66"/>
      <c r="D36" s="66"/>
      <c r="E36" s="70"/>
      <c r="F36" s="331">
        <f>'ADJ SUMMARY'!E37</f>
        <v>0</v>
      </c>
      <c r="G36" s="63">
        <f t="shared" si="2"/>
        <v>0</v>
      </c>
      <c r="I36" s="331">
        <f t="shared" si="0"/>
        <v>0</v>
      </c>
    </row>
    <row r="37" spans="1:9">
      <c r="A37" s="1115">
        <f>'ADJ SUMMARY'!A38</f>
        <v>3.01</v>
      </c>
      <c r="B37" s="329" t="str">
        <f>'ADJ SUMMARY'!C38</f>
        <v>Pro Forma Revenue Normalization</v>
      </c>
      <c r="C37" s="66"/>
      <c r="D37" s="66"/>
      <c r="E37" s="70"/>
      <c r="F37" s="331">
        <f>'ADJ SUMMARY'!E38</f>
        <v>0</v>
      </c>
      <c r="G37" s="63">
        <f t="shared" si="2"/>
        <v>0</v>
      </c>
      <c r="I37" s="331">
        <f t="shared" si="0"/>
        <v>0</v>
      </c>
    </row>
    <row r="38" spans="1:9">
      <c r="A38" s="1115">
        <f>'ADJ SUMMARY'!A39</f>
        <v>3.0199999999999996</v>
      </c>
      <c r="B38" s="329" t="str">
        <f>'ADJ SUMMARY'!C39</f>
        <v>Pro Forma Def. Debits, Credits &amp; Regulatory Amorts</v>
      </c>
      <c r="C38" s="66"/>
      <c r="D38" s="66"/>
      <c r="E38" s="70"/>
      <c r="F38" s="331">
        <f>'ADJ SUMMARY'!E39</f>
        <v>-27</v>
      </c>
      <c r="G38" s="63">
        <f t="shared" si="2"/>
        <v>-27</v>
      </c>
      <c r="I38" s="331">
        <f t="shared" si="0"/>
        <v>0</v>
      </c>
    </row>
    <row r="39" spans="1:9">
      <c r="A39" s="1115">
        <f>'ADJ SUMMARY'!A40</f>
        <v>3.0299999999999994</v>
      </c>
      <c r="B39" s="329" t="str">
        <f>'ADJ SUMMARY'!C40</f>
        <v>Pro Forma 2023 ARAM DFIT</v>
      </c>
      <c r="C39" s="66"/>
      <c r="D39" s="66"/>
      <c r="E39" s="70"/>
      <c r="F39" s="331">
        <f>'ADJ SUMMARY'!E40</f>
        <v>0</v>
      </c>
      <c r="G39" s="63">
        <f t="shared" si="2"/>
        <v>0</v>
      </c>
      <c r="I39" s="331">
        <f t="shared" si="0"/>
        <v>0</v>
      </c>
    </row>
    <row r="40" spans="1:9">
      <c r="A40" s="1115">
        <f>'ADJ SUMMARY'!A41</f>
        <v>3.0399999999999991</v>
      </c>
      <c r="B40" s="329" t="str">
        <f>'ADJ SUMMARY'!C41</f>
        <v>Pro Forma AMI Amortization</v>
      </c>
      <c r="C40" s="66"/>
      <c r="D40" s="66"/>
      <c r="E40" s="70"/>
      <c r="F40" s="331">
        <f>'ADJ SUMMARY'!E41</f>
        <v>30417</v>
      </c>
      <c r="G40" s="63">
        <f t="shared" si="2"/>
        <v>30417</v>
      </c>
      <c r="I40" s="331">
        <f t="shared" si="0"/>
        <v>-158</v>
      </c>
    </row>
    <row r="41" spans="1:9">
      <c r="A41" s="1115">
        <f>'ADJ SUMMARY'!A42</f>
        <v>3.0499999999999989</v>
      </c>
      <c r="B41" s="329" t="str">
        <f>'ADJ SUMMARY'!C42</f>
        <v>Pro Forma Colstrip Trust Fund &amp; Other Amortizations</v>
      </c>
      <c r="C41" s="66"/>
      <c r="D41" s="66"/>
      <c r="E41" s="70"/>
      <c r="F41" s="331">
        <f>'ADJ SUMMARY'!E42</f>
        <v>0</v>
      </c>
      <c r="G41" s="63">
        <f t="shared" si="2"/>
        <v>0</v>
      </c>
      <c r="I41" s="331">
        <f t="shared" si="0"/>
        <v>0</v>
      </c>
    </row>
    <row r="42" spans="1:9">
      <c r="A42" s="1115">
        <f>'ADJ SUMMARY'!A43</f>
        <v>3.0599999999999987</v>
      </c>
      <c r="B42" s="329" t="str">
        <f>'ADJ SUMMARY'!C43</f>
        <v>Pro Forma CETA Labor Exp</v>
      </c>
      <c r="C42" s="66"/>
      <c r="D42" s="66"/>
      <c r="E42" s="70"/>
      <c r="F42" s="331">
        <f>'ADJ SUMMARY'!E43</f>
        <v>0</v>
      </c>
      <c r="G42" s="63">
        <f t="shared" si="2"/>
        <v>0</v>
      </c>
      <c r="I42" s="331">
        <f t="shared" si="0"/>
        <v>0</v>
      </c>
    </row>
    <row r="43" spans="1:9">
      <c r="A43" s="1115">
        <f>'ADJ SUMMARY'!A44</f>
        <v>3.0699999999999985</v>
      </c>
      <c r="B43" s="329" t="str">
        <f>'ADJ SUMMARY'!C44</f>
        <v>Pro Forma Non-Exec Labor &amp; Union Incentive</v>
      </c>
      <c r="C43" s="66"/>
      <c r="D43" s="66"/>
      <c r="E43" s="70"/>
      <c r="F43" s="331">
        <f>'ADJ SUMMARY'!E44</f>
        <v>0</v>
      </c>
      <c r="G43" s="63">
        <f t="shared" si="2"/>
        <v>0</v>
      </c>
      <c r="I43" s="331">
        <f t="shared" si="0"/>
        <v>0</v>
      </c>
    </row>
    <row r="44" spans="1:9">
      <c r="A44" s="1115">
        <f>'ADJ SUMMARY'!A45</f>
        <v>3.0799999999999983</v>
      </c>
      <c r="B44" s="329" t="str">
        <f>'ADJ SUMMARY'!C45</f>
        <v>Pro Forma Labor Exec</v>
      </c>
      <c r="C44" s="66"/>
      <c r="D44" s="66"/>
      <c r="E44" s="70"/>
      <c r="F44" s="331">
        <f>'ADJ SUMMARY'!E45</f>
        <v>0</v>
      </c>
      <c r="G44" s="63">
        <f t="shared" si="2"/>
        <v>0</v>
      </c>
      <c r="I44" s="331">
        <f t="shared" ref="I44:I75" si="3">ROUND(F44*$E$78*-$F$85,0)</f>
        <v>0</v>
      </c>
    </row>
    <row r="45" spans="1:9">
      <c r="A45" s="1115">
        <f>'ADJ SUMMARY'!A46</f>
        <v>3.0899999999999981</v>
      </c>
      <c r="B45" s="329" t="str">
        <f>'ADJ SUMMARY'!C46</f>
        <v>Pro Forma Employee Benefits</v>
      </c>
      <c r="C45" s="66"/>
      <c r="D45" s="66"/>
      <c r="E45" s="70"/>
      <c r="F45" s="331">
        <f>'ADJ SUMMARY'!E46</f>
        <v>0</v>
      </c>
      <c r="G45" s="63">
        <f t="shared" si="2"/>
        <v>0</v>
      </c>
      <c r="I45" s="331">
        <f t="shared" si="3"/>
        <v>0</v>
      </c>
    </row>
    <row r="46" spans="1:9">
      <c r="A46" s="1115">
        <f>'ADJ SUMMARY'!A47</f>
        <v>3.0999999999999979</v>
      </c>
      <c r="B46" s="329" t="str">
        <f>'ADJ SUMMARY'!C47</f>
        <v>Remove LIRAP Labor</v>
      </c>
      <c r="C46" s="66"/>
      <c r="D46" s="66"/>
      <c r="E46" s="70"/>
      <c r="F46" s="331">
        <f>'ADJ SUMMARY'!E47</f>
        <v>0</v>
      </c>
      <c r="G46" s="63">
        <f t="shared" si="2"/>
        <v>0</v>
      </c>
      <c r="I46" s="331">
        <f t="shared" si="3"/>
        <v>0</v>
      </c>
    </row>
    <row r="47" spans="1:9">
      <c r="A47" s="1115">
        <f>'ADJ SUMMARY'!A48</f>
        <v>3.1099999999999977</v>
      </c>
      <c r="B47" s="329" t="str">
        <f>'ADJ SUMMARY'!C48</f>
        <v>Pro Forma Property Tax</v>
      </c>
      <c r="C47" s="66"/>
      <c r="D47" s="66"/>
      <c r="E47" s="70"/>
      <c r="F47" s="331">
        <f>'ADJ SUMMARY'!E48</f>
        <v>0</v>
      </c>
      <c r="G47" s="63">
        <f t="shared" si="2"/>
        <v>0</v>
      </c>
      <c r="I47" s="331">
        <f t="shared" si="3"/>
        <v>0</v>
      </c>
    </row>
    <row r="48" spans="1:9">
      <c r="A48" s="1115">
        <f>'ADJ SUMMARY'!A49</f>
        <v>3.1199999999999974</v>
      </c>
      <c r="B48" s="329" t="str">
        <f>'ADJ SUMMARY'!C49</f>
        <v>Pro Forma Insurance Expense</v>
      </c>
      <c r="C48" s="66"/>
      <c r="D48" s="66"/>
      <c r="E48" s="70"/>
      <c r="F48" s="331">
        <f>'ADJ SUMMARY'!E49</f>
        <v>0</v>
      </c>
      <c r="G48" s="63">
        <f t="shared" si="2"/>
        <v>0</v>
      </c>
      <c r="I48" s="331">
        <f t="shared" si="3"/>
        <v>0</v>
      </c>
    </row>
    <row r="49" spans="1:9">
      <c r="A49" s="1115">
        <f>'ADJ SUMMARY'!A50</f>
        <v>3.1299999999999972</v>
      </c>
      <c r="B49" s="329" t="str">
        <f>'ADJ SUMMARY'!C50</f>
        <v>Pro Forma IS/IT Expense</v>
      </c>
      <c r="C49" s="66"/>
      <c r="D49" s="66"/>
      <c r="E49" s="70"/>
      <c r="F49" s="331">
        <f>'ADJ SUMMARY'!E50</f>
        <v>0</v>
      </c>
      <c r="G49" s="63">
        <f t="shared" si="2"/>
        <v>0</v>
      </c>
      <c r="I49" s="331">
        <f t="shared" si="3"/>
        <v>0</v>
      </c>
    </row>
    <row r="50" spans="1:9">
      <c r="A50" s="1115">
        <f>'ADJ SUMMARY'!A51</f>
        <v>3.139999999999997</v>
      </c>
      <c r="B50" s="329" t="str">
        <f>'ADJ SUMMARY'!C51</f>
        <v>Pro Forma Misc O&amp;M Exp</v>
      </c>
      <c r="C50" s="66"/>
      <c r="D50" s="66"/>
      <c r="E50" s="70"/>
      <c r="F50" s="331">
        <f>'ADJ SUMMARY'!E51</f>
        <v>0</v>
      </c>
      <c r="G50" s="63">
        <f t="shared" si="2"/>
        <v>0</v>
      </c>
      <c r="I50" s="331">
        <f t="shared" si="3"/>
        <v>0</v>
      </c>
    </row>
    <row r="51" spans="1:9">
      <c r="A51" s="1115">
        <f>'ADJ SUMMARY'!A52</f>
        <v>3.1499999999999968</v>
      </c>
      <c r="B51" s="329" t="str">
        <f>'ADJ SUMMARY'!C52</f>
        <v>Pro Form 09.2021 EOP Rate Base to 12.31.2021 EOP</v>
      </c>
      <c r="C51" s="66"/>
      <c r="D51" s="66"/>
      <c r="E51" s="70"/>
      <c r="F51" s="331">
        <f>'ADJ SUMMARY'!E52</f>
        <v>34833.699738448624</v>
      </c>
      <c r="G51" s="63">
        <f t="shared" si="2"/>
        <v>34833.699738448624</v>
      </c>
      <c r="I51" s="331">
        <f t="shared" si="3"/>
        <v>-181</v>
      </c>
    </row>
    <row r="52" spans="1:9">
      <c r="A52" s="1115">
        <f>'ADJ SUMMARY'!A53</f>
        <v>3.1599999999999966</v>
      </c>
      <c r="B52" s="329" t="str">
        <f>'ADJ SUMMARY'!C53</f>
        <v>Transportation Electrification Return (Kicker)</v>
      </c>
      <c r="C52" s="66"/>
      <c r="D52" s="66"/>
      <c r="E52" s="70"/>
      <c r="F52" s="331">
        <f>'ADJ SUMMARY'!E53</f>
        <v>0</v>
      </c>
      <c r="G52" s="63">
        <f t="shared" si="2"/>
        <v>0</v>
      </c>
      <c r="I52" s="331">
        <f t="shared" si="3"/>
        <v>0</v>
      </c>
    </row>
    <row r="53" spans="1:9">
      <c r="A53" s="1115">
        <f>'ADJ SUMMARY'!A54</f>
        <v>3.1699999999999964</v>
      </c>
      <c r="B53" s="329" t="str">
        <f>'ADJ SUMMARY'!C54</f>
        <v>Pro Forma EIM Capital 2021- 2022 Additions &amp; Exp</v>
      </c>
      <c r="C53" s="66"/>
      <c r="D53" s="66"/>
      <c r="E53" s="70"/>
      <c r="F53" s="331">
        <f>'ADJ SUMMARY'!E54</f>
        <v>6302</v>
      </c>
      <c r="G53" s="63">
        <f t="shared" si="2"/>
        <v>6302</v>
      </c>
      <c r="I53" s="331">
        <f t="shared" si="3"/>
        <v>-33</v>
      </c>
    </row>
    <row r="54" spans="1:9">
      <c r="A54" s="1115">
        <f>'ADJ SUMMARY'!A55</f>
        <v>3.1799999999999962</v>
      </c>
      <c r="B54" s="329" t="str">
        <f>'ADJ SUMMARY'!C55</f>
        <v>Pro Form 12.2021 EOP Wildfire Additions</v>
      </c>
      <c r="C54" s="66"/>
      <c r="D54" s="66"/>
      <c r="E54" s="70"/>
      <c r="F54" s="331">
        <f>'ADJ SUMMARY'!E55</f>
        <v>2497</v>
      </c>
      <c r="G54" s="63">
        <f t="shared" si="2"/>
        <v>2497</v>
      </c>
      <c r="I54" s="331">
        <f t="shared" si="3"/>
        <v>-13</v>
      </c>
    </row>
    <row r="55" spans="1:9">
      <c r="A55" s="1115">
        <f>'ADJ SUMMARY'!A56</f>
        <v>3.1899999999999959</v>
      </c>
      <c r="B55" s="329" t="str">
        <f>'ADJ SUMMARY'!C56</f>
        <v>Pro Form 12.2021 EOP Colstrip Adds &amp; Amortization</v>
      </c>
      <c r="C55" s="66"/>
      <c r="D55" s="66"/>
      <c r="E55" s="70"/>
      <c r="F55" s="331">
        <f>'ADJ SUMMARY'!E56</f>
        <v>-3063</v>
      </c>
      <c r="G55" s="63">
        <f t="shared" si="2"/>
        <v>-3063</v>
      </c>
      <c r="I55" s="331">
        <f t="shared" si="3"/>
        <v>16</v>
      </c>
    </row>
    <row r="56" spans="1:9">
      <c r="A56" s="1115">
        <f>'ADJ SUMMARY'!A57</f>
        <v>4.01</v>
      </c>
      <c r="B56" s="329" t="str">
        <f>'ADJ SUMMARY'!C57</f>
        <v>Provisional Capital Groups 2022 Adds EOP</v>
      </c>
      <c r="C56" s="66"/>
      <c r="D56" s="66"/>
      <c r="E56" s="70"/>
      <c r="F56" s="331">
        <f>'ADJ SUMMARY'!E57</f>
        <v>78398.318394927875</v>
      </c>
      <c r="G56" s="63">
        <f t="shared" si="2"/>
        <v>78398.318394927875</v>
      </c>
      <c r="I56" s="331">
        <f t="shared" si="3"/>
        <v>-407</v>
      </c>
    </row>
    <row r="57" spans="1:9">
      <c r="A57" s="1115">
        <f>'ADJ SUMMARY'!A58</f>
        <v>4.0199999999999996</v>
      </c>
      <c r="B57" s="329" t="str">
        <f>'ADJ SUMMARY'!C58</f>
        <v>Provisional Capital Groups 2023 Adds AMA</v>
      </c>
      <c r="C57" s="66"/>
      <c r="D57" s="66"/>
      <c r="E57" s="70"/>
      <c r="F57" s="331">
        <f>'ADJ SUMMARY'!E58</f>
        <v>14180.659197463938</v>
      </c>
      <c r="G57" s="63">
        <f t="shared" si="2"/>
        <v>14180.659197463938</v>
      </c>
      <c r="I57" s="331">
        <f t="shared" si="3"/>
        <v>-74</v>
      </c>
    </row>
    <row r="58" spans="1:9">
      <c r="A58" s="1115">
        <f>'ADJ SUMMARY'!A59</f>
        <v>4.0299999999999994</v>
      </c>
      <c r="B58" s="329" t="str">
        <f>'ADJ SUMMARY'!C59</f>
        <v>2022-2023 Capital O&amp;M Offsets &amp; Revenue</v>
      </c>
      <c r="C58" s="66"/>
      <c r="D58" s="66"/>
      <c r="E58" s="70"/>
      <c r="F58" s="331">
        <f>'ADJ SUMMARY'!E59</f>
        <v>0</v>
      </c>
      <c r="G58" s="63">
        <f t="shared" si="2"/>
        <v>0</v>
      </c>
      <c r="I58" s="331">
        <f t="shared" si="3"/>
        <v>0</v>
      </c>
    </row>
    <row r="59" spans="1:9">
      <c r="A59" s="1115">
        <f>'ADJ SUMMARY'!A60</f>
        <v>4.0399999999999991</v>
      </c>
      <c r="B59" s="329" t="str">
        <f>'ADJ SUMMARY'!C60</f>
        <v>Provisional Wildfire 2022 Cap EOP &amp; O&amp;M</v>
      </c>
      <c r="C59" s="66"/>
      <c r="D59" s="66"/>
      <c r="E59" s="70"/>
      <c r="F59" s="331">
        <f>'ADJ SUMMARY'!E60</f>
        <v>13806</v>
      </c>
      <c r="G59" s="63">
        <f t="shared" si="2"/>
        <v>13806</v>
      </c>
      <c r="I59" s="331">
        <f t="shared" si="3"/>
        <v>-72</v>
      </c>
    </row>
    <row r="60" spans="1:9">
      <c r="A60" s="1115">
        <f>'ADJ SUMMARY'!A61</f>
        <v>4.0499999999999989</v>
      </c>
      <c r="B60" s="329" t="str">
        <f>'ADJ SUMMARY'!C61</f>
        <v>Provisional Wildfire 2023 Cap Adds AMA</v>
      </c>
      <c r="C60" s="66"/>
      <c r="D60" s="66"/>
      <c r="E60" s="70"/>
      <c r="F60" s="331">
        <f>'ADJ SUMMARY'!E61</f>
        <v>7135</v>
      </c>
      <c r="G60" s="63">
        <f t="shared" ref="G60:G63" si="4">SUM(E60:F60)</f>
        <v>7135</v>
      </c>
      <c r="I60" s="331">
        <f t="shared" si="3"/>
        <v>-37</v>
      </c>
    </row>
    <row r="61" spans="1:9">
      <c r="A61" s="1115">
        <f>'ADJ SUMMARY'!A62</f>
        <v>4.0599999999999987</v>
      </c>
      <c r="B61" s="329" t="str">
        <f>'ADJ SUMMARY'!C62</f>
        <v>Provisional Colstrip 2022 Cap Adds EOP</v>
      </c>
      <c r="C61" s="66"/>
      <c r="D61" s="66"/>
      <c r="E61" s="70"/>
      <c r="F61" s="331">
        <f>'ADJ SUMMARY'!E62</f>
        <v>-9874</v>
      </c>
      <c r="G61" s="63">
        <f t="shared" si="4"/>
        <v>-9874</v>
      </c>
      <c r="I61" s="331">
        <f t="shared" si="3"/>
        <v>51</v>
      </c>
    </row>
    <row r="62" spans="1:9">
      <c r="A62" s="1115">
        <f>'ADJ SUMMARY'!A63</f>
        <v>4.0699999999999985</v>
      </c>
      <c r="B62" s="329" t="str">
        <f>'ADJ SUMMARY'!C63</f>
        <v>Provisional Colstrip 2023 Cap Adds AMA</v>
      </c>
      <c r="C62" s="66"/>
      <c r="D62" s="66"/>
      <c r="E62" s="70"/>
      <c r="F62" s="331">
        <f>'ADJ SUMMARY'!E63</f>
        <v>-4874</v>
      </c>
      <c r="G62" s="63">
        <f t="shared" si="4"/>
        <v>-4874</v>
      </c>
      <c r="I62" s="331">
        <f t="shared" si="3"/>
        <v>25</v>
      </c>
    </row>
    <row r="63" spans="1:9" ht="13.5" customHeight="1">
      <c r="A63" s="1115">
        <f>'ADJ SUMMARY'!A64</f>
        <v>4.0799999999999983</v>
      </c>
      <c r="B63" s="329" t="str">
        <f>'ADJ SUMMARY'!C64</f>
        <v>Provisional EIM 2023 Cap Cap Adds AMA</v>
      </c>
      <c r="C63" s="66"/>
      <c r="D63" s="66"/>
      <c r="E63" s="70"/>
      <c r="F63" s="331">
        <f>'ADJ SUMMARY'!E64</f>
        <v>-902</v>
      </c>
      <c r="G63" s="63">
        <f t="shared" si="4"/>
        <v>-902</v>
      </c>
      <c r="I63" s="331">
        <f t="shared" si="3"/>
        <v>5</v>
      </c>
    </row>
    <row r="64" spans="1:9" ht="13.5" customHeight="1">
      <c r="A64" s="1115">
        <f>'ADJ SUMMARY'!A69</f>
        <v>5</v>
      </c>
      <c r="B64" s="329" t="str">
        <f>'ADJ SUMMARY'!C69</f>
        <v>Pro Forma 2024 ARAM DFIT</v>
      </c>
      <c r="C64" s="66"/>
      <c r="D64" s="66"/>
      <c r="E64" s="70"/>
      <c r="F64" s="331">
        <f>'ADJ SUMMARY'!E69</f>
        <v>0</v>
      </c>
      <c r="G64" s="63">
        <f t="shared" ref="G64:G75" si="5">SUM(E64:F64)</f>
        <v>0</v>
      </c>
      <c r="I64" s="331">
        <f t="shared" si="3"/>
        <v>0</v>
      </c>
    </row>
    <row r="65" spans="1:16" ht="13.5" customHeight="1">
      <c r="A65" s="1115">
        <f>'ADJ SUMMARY'!A70</f>
        <v>5.01</v>
      </c>
      <c r="B65" s="329" t="str">
        <f>'ADJ SUMMARY'!C70</f>
        <v>Pro Forma 2024 AMI Amortization</v>
      </c>
      <c r="C65" s="66"/>
      <c r="D65" s="66"/>
      <c r="E65" s="70"/>
      <c r="F65" s="331">
        <f>'ADJ SUMMARY'!E70</f>
        <v>-2992</v>
      </c>
      <c r="G65" s="63">
        <f t="shared" si="5"/>
        <v>-2992</v>
      </c>
      <c r="I65" s="331">
        <f t="shared" si="3"/>
        <v>16</v>
      </c>
    </row>
    <row r="66" spans="1:16" ht="13.5" customHeight="1">
      <c r="A66" s="1115">
        <f>'ADJ SUMMARY'!A71</f>
        <v>5.0199999999999996</v>
      </c>
      <c r="B66" s="329" t="str">
        <f>'ADJ SUMMARY'!C71</f>
        <v>Pro Forma Non-Exec Labor &amp; Union Incentive</v>
      </c>
      <c r="C66" s="66"/>
      <c r="D66" s="66"/>
      <c r="E66" s="70"/>
      <c r="F66" s="331">
        <f>'ADJ SUMMARY'!E71</f>
        <v>0</v>
      </c>
      <c r="G66" s="63">
        <f t="shared" si="5"/>
        <v>0</v>
      </c>
      <c r="I66" s="331">
        <f t="shared" si="3"/>
        <v>0</v>
      </c>
    </row>
    <row r="67" spans="1:16" ht="13.5" customHeight="1">
      <c r="A67" s="1115">
        <f>'ADJ SUMMARY'!A72</f>
        <v>5.0299999999999994</v>
      </c>
      <c r="B67" s="329" t="str">
        <f>'ADJ SUMMARY'!C72</f>
        <v>Pro Forma Employee Benefits</v>
      </c>
      <c r="C67" s="66"/>
      <c r="D67" s="66"/>
      <c r="E67" s="70"/>
      <c r="F67" s="331">
        <f>'ADJ SUMMARY'!E72</f>
        <v>0</v>
      </c>
      <c r="G67" s="63">
        <f t="shared" si="5"/>
        <v>0</v>
      </c>
      <c r="I67" s="331">
        <f t="shared" si="3"/>
        <v>0</v>
      </c>
    </row>
    <row r="68" spans="1:16" ht="13.5" customHeight="1">
      <c r="A68" s="1115">
        <f>'ADJ SUMMARY'!A73</f>
        <v>5.0399999999999991</v>
      </c>
      <c r="B68" s="329" t="str">
        <f>'ADJ SUMMARY'!C73</f>
        <v>Pro Forma Property Tax</v>
      </c>
      <c r="C68" s="66"/>
      <c r="D68" s="66"/>
      <c r="E68" s="70"/>
      <c r="F68" s="331">
        <f>'ADJ SUMMARY'!E73</f>
        <v>0</v>
      </c>
      <c r="G68" s="63">
        <f t="shared" si="5"/>
        <v>0</v>
      </c>
      <c r="I68" s="331">
        <f t="shared" si="3"/>
        <v>0</v>
      </c>
    </row>
    <row r="69" spans="1:16" ht="13.5" customHeight="1">
      <c r="A69" s="1115">
        <f>'ADJ SUMMARY'!A74</f>
        <v>5.0499999999999989</v>
      </c>
      <c r="B69" s="329" t="str">
        <f>'ADJ SUMMARY'!C74</f>
        <v>Pro Forma Insurance Expense</v>
      </c>
      <c r="C69" s="66"/>
      <c r="D69" s="66"/>
      <c r="E69" s="70"/>
      <c r="F69" s="331">
        <f>'ADJ SUMMARY'!E74</f>
        <v>0</v>
      </c>
      <c r="G69" s="63">
        <f t="shared" si="5"/>
        <v>0</v>
      </c>
      <c r="I69" s="331">
        <f t="shared" si="3"/>
        <v>0</v>
      </c>
    </row>
    <row r="70" spans="1:16" ht="13.5" customHeight="1">
      <c r="A70" s="1115">
        <f>'ADJ SUMMARY'!A75</f>
        <v>5.0599999999999987</v>
      </c>
      <c r="B70" s="329" t="str">
        <f>'ADJ SUMMARY'!C75</f>
        <v>Transportation Electrification Return (Kicker)</v>
      </c>
      <c r="C70" s="66"/>
      <c r="D70" s="66"/>
      <c r="E70" s="70"/>
      <c r="F70" s="331">
        <f>'ADJ SUMMARY'!E75</f>
        <v>0</v>
      </c>
      <c r="G70" s="63">
        <f t="shared" si="5"/>
        <v>0</v>
      </c>
      <c r="I70" s="331">
        <f t="shared" si="3"/>
        <v>0</v>
      </c>
    </row>
    <row r="71" spans="1:16" ht="13.5" customHeight="1">
      <c r="A71" s="1115">
        <f>'ADJ SUMMARY'!A76</f>
        <v>5.0699999999999985</v>
      </c>
      <c r="B71" s="329" t="str">
        <f>'ADJ SUMMARY'!C76</f>
        <v>Pro Forma Misc O&amp;M Exp</v>
      </c>
      <c r="C71" s="66"/>
      <c r="D71" s="66"/>
      <c r="E71" s="70"/>
      <c r="F71" s="331">
        <f>'ADJ SUMMARY'!E76</f>
        <v>0</v>
      </c>
      <c r="G71" s="63">
        <f t="shared" si="5"/>
        <v>0</v>
      </c>
      <c r="I71" s="331">
        <f t="shared" si="3"/>
        <v>0</v>
      </c>
    </row>
    <row r="72" spans="1:16" ht="13.5" customHeight="1">
      <c r="A72" s="1115">
        <f>'ADJ SUMMARY'!A77</f>
        <v>5.0799999999999983</v>
      </c>
      <c r="B72" s="329" t="str">
        <f>'ADJ SUMMARY'!C77</f>
        <v>Provisional Capital Groups 2024 Adds AMA</v>
      </c>
      <c r="C72" s="66"/>
      <c r="D72" s="66"/>
      <c r="E72" s="70"/>
      <c r="F72" s="331">
        <f>'ADJ SUMMARY'!E77</f>
        <v>76786.318394927875</v>
      </c>
      <c r="G72" s="63">
        <f t="shared" si="5"/>
        <v>76786.318394927875</v>
      </c>
      <c r="I72" s="331">
        <f t="shared" si="3"/>
        <v>-398</v>
      </c>
    </row>
    <row r="73" spans="1:16" ht="13.5" customHeight="1">
      <c r="A73" s="1115">
        <f>'ADJ SUMMARY'!A78</f>
        <v>5.0899999999999981</v>
      </c>
      <c r="B73" s="329" t="str">
        <f>'ADJ SUMMARY'!C78</f>
        <v>Prov. 2024 Capital O&amp;M Offsets &amp; Revnues</v>
      </c>
      <c r="C73" s="66"/>
      <c r="D73" s="66"/>
      <c r="E73" s="70"/>
      <c r="F73" s="331">
        <f>'ADJ SUMMARY'!E78</f>
        <v>0</v>
      </c>
      <c r="G73" s="63">
        <f t="shared" si="5"/>
        <v>0</v>
      </c>
      <c r="I73" s="331">
        <f t="shared" si="3"/>
        <v>0</v>
      </c>
    </row>
    <row r="74" spans="1:16" ht="13.5" customHeight="1">
      <c r="A74" s="1115">
        <f>'ADJ SUMMARY'!A79</f>
        <v>5.0999999999999979</v>
      </c>
      <c r="B74" s="329" t="str">
        <f>'ADJ SUMMARY'!C79</f>
        <v>Provisional Wildfire 2024 Cap Adds AMA</v>
      </c>
      <c r="C74" s="66"/>
      <c r="D74" s="66"/>
      <c r="E74" s="70"/>
      <c r="F74" s="331">
        <f>'ADJ SUMMARY'!E79</f>
        <v>15690</v>
      </c>
      <c r="G74" s="63">
        <f t="shared" si="5"/>
        <v>15690</v>
      </c>
      <c r="I74" s="331">
        <f t="shared" si="3"/>
        <v>-81</v>
      </c>
    </row>
    <row r="75" spans="1:16" ht="13.5" customHeight="1">
      <c r="A75" s="1115">
        <f>'ADJ SUMMARY'!A80</f>
        <v>5.1099999999999977</v>
      </c>
      <c r="B75" s="329" t="str">
        <f>'ADJ SUMMARY'!C80</f>
        <v>Provisional Colstrip 2024 Cap Adds AMA</v>
      </c>
      <c r="C75" s="66"/>
      <c r="D75" s="66"/>
      <c r="E75" s="440"/>
      <c r="F75" s="598">
        <f>'ADJ SUMMARY'!E80</f>
        <v>-9747</v>
      </c>
      <c r="G75" s="441">
        <f t="shared" si="5"/>
        <v>-9747</v>
      </c>
      <c r="H75" s="441"/>
      <c r="I75" s="598">
        <f t="shared" si="3"/>
        <v>51</v>
      </c>
    </row>
    <row r="76" spans="1:16">
      <c r="B76" s="329" t="s">
        <v>584</v>
      </c>
      <c r="C76" s="66"/>
      <c r="D76" s="66"/>
      <c r="E76" s="99">
        <f>SUM(E11:E63)</f>
        <v>1824656</v>
      </c>
      <c r="F76" s="99">
        <f>SUM(F11:F75)</f>
        <v>296897.99572576833</v>
      </c>
      <c r="G76" s="99">
        <f>SUM(G11:G75)</f>
        <v>2121553.9957257682</v>
      </c>
      <c r="H76" s="70"/>
      <c r="I76" s="99"/>
      <c r="K76" s="442">
        <f>G76-'ADJ SUMMARY'!E65</f>
        <v>79737.318394927774</v>
      </c>
      <c r="L76" s="344" t="s">
        <v>577</v>
      </c>
      <c r="P76" s="146"/>
    </row>
    <row r="77" spans="1:16" ht="5.25" customHeight="1">
      <c r="C77" s="66"/>
      <c r="D77" s="66"/>
      <c r="E77" s="99"/>
      <c r="F77" s="99"/>
      <c r="G77" s="99"/>
    </row>
    <row r="78" spans="1:16">
      <c r="B78" s="85" t="s">
        <v>164</v>
      </c>
      <c r="C78" s="66"/>
      <c r="D78" s="66"/>
      <c r="E78" s="254">
        <f>'RR Summary'!N12</f>
        <v>2.47E-2</v>
      </c>
      <c r="F78" s="254">
        <f>E78-I78</f>
        <v>2.47E-2</v>
      </c>
      <c r="G78" s="106"/>
      <c r="I78" s="254"/>
    </row>
    <row r="79" spans="1:16" ht="6" customHeight="1">
      <c r="C79" s="66"/>
      <c r="D79" s="66"/>
      <c r="E79" s="99"/>
      <c r="F79" s="99"/>
      <c r="G79" s="99"/>
    </row>
    <row r="80" spans="1:16">
      <c r="B80" s="85" t="s">
        <v>145</v>
      </c>
      <c r="C80" s="66"/>
      <c r="D80" s="66"/>
      <c r="E80" s="99">
        <f>E76*E78</f>
        <v>45069.003199999999</v>
      </c>
      <c r="F80" s="99">
        <f>F76*F78</f>
        <v>7333.3804944264775</v>
      </c>
      <c r="G80" s="99">
        <f>SUM(E80:F80)</f>
        <v>52402.383694426477</v>
      </c>
      <c r="I80" s="99">
        <f>SUM(I11:I63)</f>
        <v>-602.51000000000022</v>
      </c>
    </row>
    <row r="81" spans="1:11">
      <c r="C81" s="66"/>
      <c r="D81" s="66"/>
      <c r="E81" s="99"/>
      <c r="F81" s="99"/>
      <c r="G81" s="99"/>
      <c r="I81" s="99"/>
    </row>
    <row r="82" spans="1:11">
      <c r="B82" s="85" t="s">
        <v>548</v>
      </c>
      <c r="C82" s="66"/>
      <c r="D82" s="682" t="s">
        <v>890</v>
      </c>
      <c r="E82" s="807">
        <v>47569</v>
      </c>
      <c r="F82" s="333"/>
      <c r="G82" s="106">
        <f>SUM(E82:F82)</f>
        <v>47569</v>
      </c>
      <c r="I82" s="333"/>
    </row>
    <row r="83" spans="1:11" ht="5.25" customHeight="1">
      <c r="C83" s="66"/>
      <c r="D83" s="66"/>
      <c r="E83" s="99"/>
      <c r="F83" s="99"/>
      <c r="G83" s="99"/>
      <c r="I83" s="99"/>
    </row>
    <row r="84" spans="1:11">
      <c r="B84" s="85" t="s">
        <v>147</v>
      </c>
      <c r="C84" s="66"/>
      <c r="D84" s="66"/>
      <c r="E84" s="99">
        <f>E80-E82</f>
        <v>-2499.9968000000008</v>
      </c>
      <c r="F84" s="99">
        <f>F80-F82</f>
        <v>7333.3804944264775</v>
      </c>
      <c r="G84" s="99">
        <f>SUM(E84:F84)</f>
        <v>4833.3836944264767</v>
      </c>
      <c r="I84" s="99"/>
    </row>
    <row r="85" spans="1:11" ht="18" customHeight="1">
      <c r="B85" s="85" t="s">
        <v>148</v>
      </c>
      <c r="D85" s="66"/>
      <c r="E85" s="335">
        <v>0.21</v>
      </c>
      <c r="F85" s="335">
        <v>0.21</v>
      </c>
      <c r="G85" s="106"/>
      <c r="I85" s="335"/>
    </row>
    <row r="86" spans="1:11" ht="5.25" customHeight="1" thickBot="1">
      <c r="D86" s="66"/>
      <c r="E86" s="99"/>
      <c r="F86" s="99"/>
      <c r="G86" s="99"/>
      <c r="I86" s="99"/>
    </row>
    <row r="87" spans="1:11" ht="13.5" thickBot="1">
      <c r="B87" s="85" t="s">
        <v>149</v>
      </c>
      <c r="D87" s="66"/>
      <c r="E87" s="347">
        <f>ROUND(E84*-E85,0)</f>
        <v>525</v>
      </c>
      <c r="F87" s="131">
        <f>ROUND(F84*-F85,0)</f>
        <v>-1540</v>
      </c>
      <c r="G87" s="131">
        <f>SUM(E87:F87)</f>
        <v>-1015</v>
      </c>
      <c r="I87" s="131">
        <f>I80</f>
        <v>-602.51000000000022</v>
      </c>
      <c r="J87" s="346" t="s">
        <v>581</v>
      </c>
      <c r="K87" s="63">
        <f>'ADJ DETAIL-INPUT'!BH52+'ADJ DETAIL-INPUT'!V51-I87</f>
        <v>-3.7159693150692874</v>
      </c>
    </row>
    <row r="88" spans="1:11" ht="13.5" thickTop="1">
      <c r="D88" s="66"/>
      <c r="E88" s="348">
        <f>E8</f>
        <v>2.139999999999997</v>
      </c>
      <c r="F88" s="105"/>
      <c r="G88" s="105"/>
      <c r="I88" s="105"/>
    </row>
    <row r="89" spans="1:11" ht="13.5" thickBot="1">
      <c r="E89" s="349" t="s">
        <v>25</v>
      </c>
      <c r="F89" s="334"/>
    </row>
    <row r="90" spans="1:11" hidden="1">
      <c r="A90" s="1118" t="s">
        <v>232</v>
      </c>
      <c r="B90" s="330" t="s">
        <v>231</v>
      </c>
    </row>
    <row r="91" spans="1:11" hidden="1">
      <c r="B91" s="328" t="s">
        <v>146</v>
      </c>
    </row>
    <row r="92" spans="1:11" hidden="1">
      <c r="B92" s="85" t="s">
        <v>150</v>
      </c>
      <c r="C92" s="118">
        <v>2430</v>
      </c>
      <c r="H92" s="63" t="s">
        <v>225</v>
      </c>
    </row>
    <row r="93" spans="1:11" hidden="1">
      <c r="B93" s="85" t="s">
        <v>151</v>
      </c>
      <c r="C93" s="117">
        <v>2935</v>
      </c>
      <c r="H93" s="63" t="s">
        <v>225</v>
      </c>
    </row>
    <row r="94" spans="1:11" hidden="1">
      <c r="B94" s="85" t="s">
        <v>152</v>
      </c>
      <c r="C94" s="71">
        <f>C92+C93</f>
        <v>5365</v>
      </c>
    </row>
    <row r="95" spans="1:11" hidden="1">
      <c r="C95" s="70"/>
    </row>
    <row r="96" spans="1:11" hidden="1">
      <c r="C96" s="75"/>
      <c r="D96" s="67"/>
      <c r="E96" s="67" t="s">
        <v>153</v>
      </c>
    </row>
    <row r="97" spans="1:6" hidden="1">
      <c r="C97" s="69" t="s">
        <v>125</v>
      </c>
      <c r="D97" s="69" t="s">
        <v>154</v>
      </c>
      <c r="E97" s="69" t="s">
        <v>31</v>
      </c>
    </row>
    <row r="98" spans="1:6" hidden="1">
      <c r="B98" s="85" t="s">
        <v>155</v>
      </c>
      <c r="C98" s="86" t="e">
        <f>#REF!</f>
        <v>#REF!</v>
      </c>
      <c r="D98" s="87" t="e">
        <f>ROUND(C98/$C$101,4)</f>
        <v>#REF!</v>
      </c>
      <c r="E98" s="86" t="e">
        <f>D98*E101</f>
        <v>#REF!</v>
      </c>
      <c r="F98" s="122"/>
    </row>
    <row r="99" spans="1:6" hidden="1">
      <c r="B99" s="85" t="s">
        <v>156</v>
      </c>
      <c r="C99" s="88" t="e">
        <f>#REF!</f>
        <v>#REF!</v>
      </c>
      <c r="D99" s="87" t="e">
        <f>ROUND(C99/$C$101,4)</f>
        <v>#REF!</v>
      </c>
      <c r="E99" s="88" t="e">
        <f>D99*E101</f>
        <v>#REF!</v>
      </c>
    </row>
    <row r="100" spans="1:6" hidden="1">
      <c r="B100" s="85" t="s">
        <v>157</v>
      </c>
      <c r="C100" s="88" t="e">
        <f>#REF!</f>
        <v>#REF!</v>
      </c>
      <c r="D100" s="87" t="e">
        <f>ROUND(C100/$C$101,4)-0.0001</f>
        <v>#REF!</v>
      </c>
      <c r="E100" s="88" t="e">
        <f>E101*D100</f>
        <v>#REF!</v>
      </c>
    </row>
    <row r="101" spans="1:6" hidden="1">
      <c r="B101" s="85" t="s">
        <v>158</v>
      </c>
      <c r="C101" s="89" t="e">
        <f>C98+C99+C100</f>
        <v>#REF!</v>
      </c>
      <c r="D101" s="90" t="e">
        <f>D98+D99+D100</f>
        <v>#REF!</v>
      </c>
      <c r="E101" s="89">
        <f>C94</f>
        <v>5365</v>
      </c>
    </row>
    <row r="102" spans="1:6" hidden="1">
      <c r="C102" s="91"/>
      <c r="D102" s="91"/>
      <c r="E102" s="91"/>
    </row>
    <row r="103" spans="1:6" hidden="1">
      <c r="B103" s="85" t="s">
        <v>159</v>
      </c>
      <c r="C103" s="86" t="e">
        <f>#REF!</f>
        <v>#REF!</v>
      </c>
      <c r="D103" s="87" t="e">
        <f>C103/C105</f>
        <v>#REF!</v>
      </c>
      <c r="E103" s="86" t="e">
        <f>D103*E105</f>
        <v>#REF!</v>
      </c>
    </row>
    <row r="104" spans="1:6" hidden="1">
      <c r="B104" s="85" t="s">
        <v>160</v>
      </c>
      <c r="C104" s="91" t="e">
        <f>#REF!</f>
        <v>#REF!</v>
      </c>
      <c r="D104" s="87" t="e">
        <f>C104/C105</f>
        <v>#REF!</v>
      </c>
      <c r="E104" s="91" t="e">
        <f>D104*E105</f>
        <v>#REF!</v>
      </c>
    </row>
    <row r="105" spans="1:6" hidden="1">
      <c r="B105" s="85" t="s">
        <v>158</v>
      </c>
      <c r="C105" s="89" t="e">
        <f>C103+C104</f>
        <v>#REF!</v>
      </c>
      <c r="D105" s="90" t="e">
        <f>D103+D104</f>
        <v>#REF!</v>
      </c>
      <c r="E105" s="89" t="e">
        <f>E98</f>
        <v>#REF!</v>
      </c>
    </row>
    <row r="106" spans="1:6" hidden="1">
      <c r="C106" s="91"/>
      <c r="D106" s="91"/>
      <c r="E106" s="91"/>
    </row>
    <row r="107" spans="1:6" hidden="1">
      <c r="B107" s="85" t="s">
        <v>161</v>
      </c>
      <c r="C107" s="86" t="e">
        <f>#REF!</f>
        <v>#REF!</v>
      </c>
      <c r="D107" s="92" t="e">
        <f>C107/C109</f>
        <v>#REF!</v>
      </c>
      <c r="E107" s="86" t="e">
        <f>E109*D107</f>
        <v>#REF!</v>
      </c>
    </row>
    <row r="108" spans="1:6" hidden="1">
      <c r="B108" s="85" t="s">
        <v>162</v>
      </c>
      <c r="C108" s="91" t="e">
        <f>#REF!</f>
        <v>#REF!</v>
      </c>
      <c r="D108" s="93" t="e">
        <f>C108/C109</f>
        <v>#REF!</v>
      </c>
      <c r="E108" s="91" t="e">
        <f>E109*D108</f>
        <v>#REF!</v>
      </c>
    </row>
    <row r="109" spans="1:6" hidden="1">
      <c r="B109" s="85" t="s">
        <v>158</v>
      </c>
      <c r="C109" s="89" t="e">
        <f>SUM(C107:C108)</f>
        <v>#REF!</v>
      </c>
      <c r="D109" s="94" t="e">
        <f>SUM(D107:D108)</f>
        <v>#REF!</v>
      </c>
      <c r="E109" s="89" t="e">
        <f>E99</f>
        <v>#REF!</v>
      </c>
    </row>
    <row r="110" spans="1:6" hidden="1">
      <c r="A110" s="1119" t="str">
        <f>A1</f>
        <v>AVISTA UTILITIES</v>
      </c>
      <c r="C110" s="61"/>
      <c r="D110" s="62"/>
      <c r="E110" s="61"/>
      <c r="F110" s="62"/>
    </row>
    <row r="111" spans="1:6" hidden="1">
      <c r="A111" s="1119" t="str">
        <f>A2</f>
        <v>Restate Debt Interest</v>
      </c>
      <c r="C111" s="61"/>
      <c r="D111" s="62"/>
      <c r="E111" s="61"/>
      <c r="F111" s="62"/>
    </row>
    <row r="112" spans="1:6" hidden="1">
      <c r="A112" s="1119" t="s">
        <v>165</v>
      </c>
      <c r="C112" s="61"/>
      <c r="D112" s="62"/>
      <c r="E112" s="61"/>
      <c r="F112" s="62"/>
    </row>
    <row r="113" spans="1:6" hidden="1">
      <c r="A113" s="1120" t="str">
        <f>A4</f>
        <v>TWELVE MONTHS ENDED SEPTEMBER 30, 2021</v>
      </c>
      <c r="C113" s="64"/>
      <c r="D113" s="62"/>
      <c r="E113" s="64"/>
      <c r="F113" s="62"/>
    </row>
    <row r="114" spans="1:6" hidden="1">
      <c r="A114" s="1117" t="s">
        <v>142</v>
      </c>
      <c r="C114" s="61"/>
      <c r="D114" s="62"/>
      <c r="E114" s="62"/>
      <c r="F114" s="62"/>
    </row>
    <row r="115" spans="1:6" hidden="1">
      <c r="C115" s="66"/>
      <c r="D115" s="66"/>
      <c r="E115" s="68"/>
      <c r="F115" s="67" t="s">
        <v>24</v>
      </c>
    </row>
    <row r="116" spans="1:6" hidden="1">
      <c r="B116" s="328" t="s">
        <v>143</v>
      </c>
      <c r="C116" s="66"/>
      <c r="D116" s="66"/>
      <c r="E116" s="68"/>
      <c r="F116" s="69" t="s">
        <v>144</v>
      </c>
    </row>
    <row r="117" spans="1:6" hidden="1">
      <c r="A117" s="1117" t="e">
        <f>'ADJ SUMMARY'!#REF!</f>
        <v>#REF!</v>
      </c>
      <c r="B117" s="85" t="e">
        <f>'ADJ SUMMARY'!#REF!</f>
        <v>#REF!</v>
      </c>
      <c r="C117" s="66"/>
      <c r="D117" s="66"/>
      <c r="E117" s="70"/>
      <c r="F117" s="120" t="e">
        <f>'ADJ SUMMARY'!#REF!</f>
        <v>#REF!</v>
      </c>
    </row>
    <row r="118" spans="1:6" hidden="1">
      <c r="A118" s="1117" t="e">
        <f>'ADJ SUMMARY'!#REF!</f>
        <v>#REF!</v>
      </c>
      <c r="B118" s="85" t="e">
        <f>'ADJ SUMMARY'!#REF!</f>
        <v>#REF!</v>
      </c>
      <c r="C118" s="66"/>
      <c r="D118" s="66"/>
      <c r="E118" s="70"/>
      <c r="F118" s="120" t="e">
        <f>'ADJ SUMMARY'!#REF!</f>
        <v>#REF!</v>
      </c>
    </row>
    <row r="119" spans="1:6" hidden="1">
      <c r="A119" s="1117" t="e">
        <f>'ADJ SUMMARY'!#REF!</f>
        <v>#REF!</v>
      </c>
      <c r="B119" s="85" t="e">
        <f>'ADJ SUMMARY'!#REF!</f>
        <v>#REF!</v>
      </c>
      <c r="C119" s="66"/>
      <c r="D119" s="66"/>
      <c r="E119" s="70"/>
      <c r="F119" s="120" t="e">
        <f>'ADJ SUMMARY'!#REF!</f>
        <v>#REF!</v>
      </c>
    </row>
    <row r="120" spans="1:6" hidden="1">
      <c r="A120" s="1117" t="e">
        <f>'ADJ SUMMARY'!#REF!</f>
        <v>#REF!</v>
      </c>
      <c r="B120" s="85" t="e">
        <f>'ADJ SUMMARY'!#REF!</f>
        <v>#REF!</v>
      </c>
      <c r="C120" s="66"/>
      <c r="D120" s="66"/>
      <c r="E120" s="70"/>
      <c r="F120" s="120" t="e">
        <f>'ADJ SUMMARY'!#REF!</f>
        <v>#REF!</v>
      </c>
    </row>
    <row r="121" spans="1:6" hidden="1">
      <c r="A121" s="1117" t="e">
        <f>'ADJ SUMMARY'!#REF!</f>
        <v>#REF!</v>
      </c>
      <c r="B121" s="85" t="e">
        <f>'ADJ SUMMARY'!#REF!</f>
        <v>#REF!</v>
      </c>
      <c r="C121" s="66"/>
      <c r="D121" s="66"/>
      <c r="E121" s="70"/>
      <c r="F121" s="120" t="e">
        <f>'ADJ SUMMARY'!#REF!</f>
        <v>#REF!</v>
      </c>
    </row>
    <row r="122" spans="1:6" hidden="1">
      <c r="A122" s="1117" t="e">
        <f>'ADJ SUMMARY'!#REF!</f>
        <v>#REF!</v>
      </c>
      <c r="B122" s="85" t="e">
        <f>'ADJ SUMMARY'!#REF!</f>
        <v>#REF!</v>
      </c>
      <c r="C122" s="66"/>
      <c r="D122" s="66"/>
      <c r="E122" s="70"/>
      <c r="F122" s="120" t="e">
        <f>'ADJ SUMMARY'!#REF!</f>
        <v>#REF!</v>
      </c>
    </row>
    <row r="123" spans="1:6" hidden="1">
      <c r="A123" s="1117" t="e">
        <f>'ADJ SUMMARY'!#REF!</f>
        <v>#REF!</v>
      </c>
      <c r="B123" s="85" t="e">
        <f>'ADJ SUMMARY'!#REF!</f>
        <v>#REF!</v>
      </c>
      <c r="C123" s="66"/>
      <c r="D123" s="66"/>
      <c r="E123" s="70"/>
      <c r="F123" s="120" t="e">
        <f>'ADJ SUMMARY'!#REF!</f>
        <v>#REF!</v>
      </c>
    </row>
    <row r="124" spans="1:6" hidden="1">
      <c r="A124" s="1117" t="e">
        <f>'ADJ SUMMARY'!#REF!</f>
        <v>#REF!</v>
      </c>
      <c r="B124" s="85" t="e">
        <f>'ADJ SUMMARY'!#REF!</f>
        <v>#REF!</v>
      </c>
      <c r="C124" s="66"/>
      <c r="D124" s="66"/>
      <c r="E124" s="70"/>
      <c r="F124" s="120" t="e">
        <f>'ADJ SUMMARY'!#REF!</f>
        <v>#REF!</v>
      </c>
    </row>
    <row r="125" spans="1:6" hidden="1">
      <c r="A125" s="1117" t="e">
        <f>'ADJ SUMMARY'!#REF!</f>
        <v>#REF!</v>
      </c>
      <c r="B125" s="85" t="e">
        <f>'ADJ SUMMARY'!#REF!</f>
        <v>#REF!</v>
      </c>
      <c r="C125" s="66"/>
      <c r="D125" s="66"/>
      <c r="E125" s="70"/>
      <c r="F125" s="120" t="e">
        <f>'ADJ SUMMARY'!#REF!</f>
        <v>#REF!</v>
      </c>
    </row>
    <row r="126" spans="1:6" hidden="1">
      <c r="A126" s="1117" t="e">
        <f>'ADJ SUMMARY'!#REF!</f>
        <v>#REF!</v>
      </c>
      <c r="B126" s="85" t="e">
        <f>'ADJ SUMMARY'!#REF!</f>
        <v>#REF!</v>
      </c>
      <c r="C126" s="66"/>
      <c r="D126" s="66"/>
      <c r="E126" s="70"/>
      <c r="F126" s="120" t="e">
        <f>'ADJ SUMMARY'!#REF!</f>
        <v>#REF!</v>
      </c>
    </row>
    <row r="127" spans="1:6" hidden="1">
      <c r="A127" s="1117" t="e">
        <f>'ADJ SUMMARY'!#REF!</f>
        <v>#REF!</v>
      </c>
      <c r="B127" s="85" t="e">
        <f>'ADJ SUMMARY'!#REF!</f>
        <v>#REF!</v>
      </c>
      <c r="C127" s="66"/>
      <c r="D127" s="66"/>
      <c r="E127" s="70"/>
      <c r="F127" s="120" t="e">
        <f>'ADJ SUMMARY'!#REF!</f>
        <v>#REF!</v>
      </c>
    </row>
    <row r="128" spans="1:6" hidden="1">
      <c r="A128" s="1117" t="e">
        <f>'ADJ SUMMARY'!#REF!</f>
        <v>#REF!</v>
      </c>
      <c r="B128" s="85" t="e">
        <f>'ADJ SUMMARY'!#REF!</f>
        <v>#REF!</v>
      </c>
      <c r="C128" s="66"/>
      <c r="D128" s="66"/>
      <c r="E128" s="70"/>
      <c r="F128" s="120" t="e">
        <f>'ADJ SUMMARY'!#REF!</f>
        <v>#REF!</v>
      </c>
    </row>
    <row r="129" spans="1:6" hidden="1">
      <c r="A129" s="1117" t="e">
        <f>'ADJ SUMMARY'!#REF!</f>
        <v>#REF!</v>
      </c>
      <c r="B129" s="85" t="e">
        <f>'ADJ SUMMARY'!#REF!</f>
        <v>#REF!</v>
      </c>
      <c r="C129" s="66"/>
      <c r="D129" s="66"/>
      <c r="E129" s="70"/>
      <c r="F129" s="120" t="e">
        <f>'ADJ SUMMARY'!#REF!</f>
        <v>#REF!</v>
      </c>
    </row>
    <row r="130" spans="1:6" hidden="1">
      <c r="A130" s="1117" t="e">
        <f>'ADJ SUMMARY'!#REF!</f>
        <v>#REF!</v>
      </c>
      <c r="B130" s="85" t="e">
        <f>'ADJ SUMMARY'!#REF!</f>
        <v>#REF!</v>
      </c>
      <c r="C130" s="66"/>
      <c r="D130" s="66"/>
      <c r="E130" s="70"/>
      <c r="F130" s="120" t="e">
        <f>'ADJ SUMMARY'!#REF!</f>
        <v>#REF!</v>
      </c>
    </row>
    <row r="131" spans="1:6" hidden="1">
      <c r="A131" s="1117" t="e">
        <f>'ADJ SUMMARY'!#REF!</f>
        <v>#REF!</v>
      </c>
      <c r="B131" s="85" t="e">
        <f>'ADJ SUMMARY'!#REF!</f>
        <v>#REF!</v>
      </c>
      <c r="C131" s="66"/>
      <c r="D131" s="66"/>
      <c r="E131" s="70"/>
      <c r="F131" s="120" t="e">
        <f>'ADJ SUMMARY'!#REF!</f>
        <v>#REF!</v>
      </c>
    </row>
    <row r="132" spans="1:6" hidden="1">
      <c r="A132" s="1117" t="e">
        <f>'ADJ SUMMARY'!#REF!</f>
        <v>#REF!</v>
      </c>
      <c r="B132" s="85" t="e">
        <f>'ADJ SUMMARY'!#REF!</f>
        <v>#REF!</v>
      </c>
      <c r="C132" s="66"/>
      <c r="D132" s="66"/>
      <c r="E132" s="70"/>
      <c r="F132" s="120" t="e">
        <f>'ADJ SUMMARY'!#REF!</f>
        <v>#REF!</v>
      </c>
    </row>
    <row r="133" spans="1:6" hidden="1">
      <c r="A133" s="1117" t="e">
        <f>'ADJ SUMMARY'!#REF!</f>
        <v>#REF!</v>
      </c>
      <c r="B133" s="85" t="e">
        <f>'ADJ SUMMARY'!#REF!</f>
        <v>#REF!</v>
      </c>
      <c r="C133" s="66"/>
      <c r="D133" s="66"/>
      <c r="E133" s="70"/>
      <c r="F133" s="120" t="e">
        <f>'ADJ SUMMARY'!#REF!</f>
        <v>#REF!</v>
      </c>
    </row>
    <row r="134" spans="1:6" hidden="1">
      <c r="A134" s="1117" t="e">
        <f>'ADJ SUMMARY'!#REF!</f>
        <v>#REF!</v>
      </c>
      <c r="B134" s="85" t="e">
        <f>'ADJ SUMMARY'!#REF!</f>
        <v>#REF!</v>
      </c>
      <c r="C134" s="66"/>
      <c r="D134" s="66"/>
      <c r="E134" s="70"/>
      <c r="F134" s="120" t="e">
        <f>'ADJ SUMMARY'!#REF!</f>
        <v>#REF!</v>
      </c>
    </row>
    <row r="135" spans="1:6" hidden="1">
      <c r="A135" s="1117" t="e">
        <f>'ADJ SUMMARY'!#REF!</f>
        <v>#REF!</v>
      </c>
      <c r="B135" s="85" t="e">
        <f>'ADJ SUMMARY'!#REF!</f>
        <v>#REF!</v>
      </c>
      <c r="C135" s="66"/>
      <c r="D135" s="66"/>
      <c r="E135" s="70"/>
      <c r="F135" s="120" t="e">
        <f>'ADJ SUMMARY'!#REF!</f>
        <v>#REF!</v>
      </c>
    </row>
    <row r="136" spans="1:6" hidden="1">
      <c r="A136" s="1117" t="e">
        <f>'ADJ SUMMARY'!#REF!</f>
        <v>#REF!</v>
      </c>
      <c r="B136" s="85" t="e">
        <f>'ADJ SUMMARY'!#REF!</f>
        <v>#REF!</v>
      </c>
      <c r="C136" s="66"/>
      <c r="D136" s="66"/>
      <c r="E136" s="70"/>
      <c r="F136" s="120" t="e">
        <f>'ADJ SUMMARY'!#REF!</f>
        <v>#REF!</v>
      </c>
    </row>
    <row r="137" spans="1:6" hidden="1">
      <c r="A137" s="1117" t="e">
        <f>'ADJ SUMMARY'!#REF!</f>
        <v>#REF!</v>
      </c>
      <c r="B137" s="85" t="e">
        <f>'ADJ SUMMARY'!#REF!</f>
        <v>#REF!</v>
      </c>
      <c r="C137" s="66"/>
      <c r="D137" s="66"/>
      <c r="E137" s="70"/>
      <c r="F137" s="120" t="e">
        <f>'ADJ SUMMARY'!#REF!</f>
        <v>#REF!</v>
      </c>
    </row>
    <row r="138" spans="1:6" ht="5.25" hidden="1" customHeight="1">
      <c r="C138" s="66"/>
      <c r="D138" s="66"/>
      <c r="E138" s="70"/>
      <c r="F138" s="120"/>
    </row>
    <row r="139" spans="1:6" ht="13.5" hidden="1" customHeight="1">
      <c r="A139" s="1117" t="e">
        <f>'ADJ SUMMARY'!#REF!</f>
        <v>#REF!</v>
      </c>
      <c r="B139" s="85" t="e">
        <f>'ADJ SUMMARY'!#REF!</f>
        <v>#REF!</v>
      </c>
      <c r="C139" s="66"/>
      <c r="D139" s="66"/>
      <c r="E139" s="70"/>
      <c r="F139" s="120" t="e">
        <f>'ADJ SUMMARY'!#REF!</f>
        <v>#REF!</v>
      </c>
    </row>
    <row r="140" spans="1:6" hidden="1">
      <c r="A140" s="1117" t="e">
        <f>'ADJ SUMMARY'!#REF!</f>
        <v>#REF!</v>
      </c>
      <c r="B140" s="85" t="e">
        <f>'ADJ SUMMARY'!#REF!</f>
        <v>#REF!</v>
      </c>
      <c r="C140" s="66"/>
      <c r="D140" s="66"/>
      <c r="E140" s="70"/>
      <c r="F140" s="120" t="e">
        <f>'ADJ SUMMARY'!#REF!</f>
        <v>#REF!</v>
      </c>
    </row>
    <row r="141" spans="1:6" hidden="1">
      <c r="A141" s="1117" t="e">
        <f>'ADJ SUMMARY'!#REF!</f>
        <v>#REF!</v>
      </c>
      <c r="B141" s="85" t="e">
        <f>'ADJ SUMMARY'!#REF!</f>
        <v>#REF!</v>
      </c>
      <c r="C141" s="66"/>
      <c r="D141" s="66"/>
      <c r="E141" s="70"/>
      <c r="F141" s="120" t="e">
        <f>'ADJ SUMMARY'!#REF!</f>
        <v>#REF!</v>
      </c>
    </row>
    <row r="142" spans="1:6" hidden="1">
      <c r="A142" s="1117" t="e">
        <f>'ADJ SUMMARY'!#REF!</f>
        <v>#REF!</v>
      </c>
      <c r="B142" s="85" t="e">
        <f>'ADJ SUMMARY'!#REF!</f>
        <v>#REF!</v>
      </c>
      <c r="C142" s="66"/>
      <c r="D142" s="66"/>
      <c r="E142" s="70"/>
      <c r="F142" s="120" t="e">
        <f>'ADJ SUMMARY'!#REF!</f>
        <v>#REF!</v>
      </c>
    </row>
    <row r="143" spans="1:6" hidden="1">
      <c r="A143" s="1117" t="e">
        <f>'ADJ SUMMARY'!#REF!</f>
        <v>#REF!</v>
      </c>
      <c r="B143" s="85" t="e">
        <f>'ADJ SUMMARY'!#REF!</f>
        <v>#REF!</v>
      </c>
      <c r="C143" s="66"/>
      <c r="D143" s="66"/>
      <c r="E143" s="70"/>
      <c r="F143" s="120" t="e">
        <f>'ADJ SUMMARY'!#REF!</f>
        <v>#REF!</v>
      </c>
    </row>
    <row r="144" spans="1:6" hidden="1">
      <c r="A144" s="1117" t="e">
        <f>'ADJ SUMMARY'!#REF!</f>
        <v>#REF!</v>
      </c>
      <c r="B144" s="85" t="e">
        <f>'ADJ SUMMARY'!#REF!</f>
        <v>#REF!</v>
      </c>
      <c r="C144" s="66"/>
      <c r="D144" s="66"/>
      <c r="E144" s="70"/>
      <c r="F144" s="120" t="e">
        <f>'ADJ SUMMARY'!#REF!</f>
        <v>#REF!</v>
      </c>
    </row>
    <row r="145" spans="1:9" hidden="1">
      <c r="A145" s="1117" t="e">
        <f>'ADJ SUMMARY'!#REF!</f>
        <v>#REF!</v>
      </c>
      <c r="B145" s="85" t="e">
        <f>'ADJ SUMMARY'!#REF!</f>
        <v>#REF!</v>
      </c>
      <c r="C145" s="66"/>
      <c r="D145" s="66"/>
      <c r="E145" s="70"/>
      <c r="F145" s="120" t="e">
        <f>'ADJ SUMMARY'!#REF!</f>
        <v>#REF!</v>
      </c>
    </row>
    <row r="146" spans="1:9" hidden="1">
      <c r="A146" s="1117" t="e">
        <f>'ADJ SUMMARY'!#REF!</f>
        <v>#REF!</v>
      </c>
      <c r="B146" s="85" t="e">
        <f>'ADJ SUMMARY'!#REF!</f>
        <v>#REF!</v>
      </c>
      <c r="C146" s="66"/>
      <c r="D146" s="66"/>
      <c r="E146" s="70"/>
      <c r="F146" s="120" t="e">
        <f>'ADJ SUMMARY'!#REF!</f>
        <v>#REF!</v>
      </c>
    </row>
    <row r="147" spans="1:9" hidden="1">
      <c r="A147" s="1117" t="e">
        <f>'ADJ SUMMARY'!#REF!</f>
        <v>#REF!</v>
      </c>
      <c r="B147" s="85" t="e">
        <f>'ADJ SUMMARY'!#REF!</f>
        <v>#REF!</v>
      </c>
      <c r="C147" s="66"/>
      <c r="D147" s="66"/>
      <c r="E147" s="70"/>
      <c r="F147" s="120" t="e">
        <f>'ADJ SUMMARY'!#REF!</f>
        <v>#REF!</v>
      </c>
    </row>
    <row r="148" spans="1:9" hidden="1">
      <c r="A148" s="1117" t="e">
        <f>'ADJ SUMMARY'!#REF!</f>
        <v>#REF!</v>
      </c>
      <c r="B148" s="85" t="e">
        <f>'ADJ SUMMARY'!#REF!</f>
        <v>#REF!</v>
      </c>
      <c r="C148" s="66"/>
      <c r="D148" s="66"/>
      <c r="E148" s="70"/>
      <c r="F148" s="120" t="e">
        <f>'ADJ SUMMARY'!#REF!</f>
        <v>#REF!</v>
      </c>
    </row>
    <row r="149" spans="1:9" hidden="1">
      <c r="A149" s="1117" t="e">
        <f>'ADJ SUMMARY'!#REF!</f>
        <v>#REF!</v>
      </c>
      <c r="B149" s="85" t="e">
        <f>'ADJ SUMMARY'!#REF!</f>
        <v>#REF!</v>
      </c>
      <c r="C149" s="66"/>
      <c r="D149" s="66"/>
      <c r="E149" s="70"/>
      <c r="F149" s="120" t="e">
        <f>'ADJ SUMMARY'!#REF!</f>
        <v>#REF!</v>
      </c>
    </row>
    <row r="150" spans="1:9" hidden="1">
      <c r="A150" s="1117" t="e">
        <f>'ADJ SUMMARY'!#REF!</f>
        <v>#REF!</v>
      </c>
      <c r="B150" s="85" t="e">
        <f>'ADJ SUMMARY'!#REF!</f>
        <v>#REF!</v>
      </c>
      <c r="C150" s="66"/>
      <c r="D150" s="66"/>
      <c r="E150" s="70"/>
      <c r="F150" s="120" t="e">
        <f>'ADJ SUMMARY'!#REF!</f>
        <v>#REF!</v>
      </c>
    </row>
    <row r="151" spans="1:9" hidden="1">
      <c r="A151" s="1117" t="e">
        <f>'ADJ SUMMARY'!#REF!</f>
        <v>#REF!</v>
      </c>
      <c r="B151" s="85" t="e">
        <f>'ADJ SUMMARY'!#REF!</f>
        <v>#REF!</v>
      </c>
      <c r="C151" s="66"/>
      <c r="D151" s="66"/>
      <c r="E151" s="70"/>
      <c r="F151" s="120" t="e">
        <f>'ADJ SUMMARY'!#REF!</f>
        <v>#REF!</v>
      </c>
    </row>
    <row r="152" spans="1:9" hidden="1">
      <c r="A152" s="1117" t="e">
        <f>'ADJ SUMMARY'!#REF!</f>
        <v>#REF!</v>
      </c>
      <c r="B152" s="85" t="e">
        <f>'ADJ SUMMARY'!#REF!</f>
        <v>#REF!</v>
      </c>
      <c r="C152" s="66"/>
      <c r="D152" s="66"/>
      <c r="E152" s="70"/>
      <c r="F152" s="120" t="e">
        <f>'ADJ SUMMARY'!#REF!</f>
        <v>#REF!</v>
      </c>
    </row>
    <row r="153" spans="1:9" ht="13.5" hidden="1" customHeight="1">
      <c r="A153" s="1117" t="e">
        <f>'ADJ SUMMARY'!#REF!</f>
        <v>#REF!</v>
      </c>
      <c r="B153" s="85" t="e">
        <f>'ADJ SUMMARY'!#REF!</f>
        <v>#REF!</v>
      </c>
      <c r="C153" s="66"/>
      <c r="D153" s="66"/>
      <c r="E153" s="70"/>
      <c r="F153" s="120" t="e">
        <f>'ADJ SUMMARY'!#REF!</f>
        <v>#REF!</v>
      </c>
    </row>
    <row r="154" spans="1:9" ht="0.75" hidden="1" customHeight="1">
      <c r="A154" s="1117" t="e">
        <f>'ADJ SUMMARY'!#REF!</f>
        <v>#REF!</v>
      </c>
      <c r="B154" s="85" t="e">
        <f>'ADJ SUMMARY'!#REF!</f>
        <v>#REF!</v>
      </c>
      <c r="C154" s="66"/>
      <c r="D154" s="66"/>
      <c r="E154" s="70"/>
      <c r="F154" s="120" t="e">
        <f>'ADJ SUMMARY'!#REF!</f>
        <v>#REF!</v>
      </c>
    </row>
    <row r="155" spans="1:9" ht="13.5" hidden="1" customHeight="1">
      <c r="B155" s="85" t="s">
        <v>182</v>
      </c>
      <c r="C155" s="66"/>
      <c r="D155" s="66"/>
      <c r="E155" s="70"/>
      <c r="F155" s="71" t="e">
        <f>SUM(F117:F154)</f>
        <v>#REF!</v>
      </c>
    </row>
    <row r="156" spans="1:9" hidden="1">
      <c r="C156" s="66"/>
      <c r="D156" s="66"/>
      <c r="E156" s="66"/>
      <c r="F156" s="63"/>
      <c r="G156" s="132"/>
    </row>
    <row r="157" spans="1:9" hidden="1">
      <c r="B157" s="85" t="str">
        <f>B78</f>
        <v>Weighted Average Cost of Debt</v>
      </c>
      <c r="C157" s="82"/>
      <c r="D157" s="82"/>
      <c r="E157" s="83"/>
      <c r="F157" s="156" t="e">
        <f>'RR Summary'!#REF!</f>
        <v>#REF!</v>
      </c>
      <c r="H157" s="157" t="s">
        <v>229</v>
      </c>
      <c r="I157" s="91"/>
    </row>
    <row r="158" spans="1:9" hidden="1">
      <c r="C158" s="66"/>
      <c r="D158" s="66"/>
      <c r="F158" s="63"/>
    </row>
    <row r="159" spans="1:9" hidden="1">
      <c r="B159" s="85" t="s">
        <v>145</v>
      </c>
      <c r="C159" s="66"/>
      <c r="D159" s="66"/>
      <c r="E159" s="70"/>
      <c r="F159" s="70" t="e">
        <f>F155*F157</f>
        <v>#REF!</v>
      </c>
    </row>
    <row r="160" spans="1:9" hidden="1">
      <c r="C160" s="66"/>
      <c r="D160" s="66"/>
      <c r="E160" s="66"/>
      <c r="F160" s="63"/>
    </row>
    <row r="161" spans="2:8" hidden="1">
      <c r="B161" s="85" t="s">
        <v>233</v>
      </c>
      <c r="C161" s="66"/>
      <c r="D161" s="66"/>
      <c r="F161" s="139">
        <v>21469</v>
      </c>
      <c r="H161" s="141" t="s">
        <v>236</v>
      </c>
    </row>
    <row r="162" spans="2:8" hidden="1">
      <c r="C162" s="66"/>
      <c r="D162" s="66"/>
      <c r="E162" s="66"/>
      <c r="F162" s="63"/>
    </row>
    <row r="163" spans="2:8" hidden="1">
      <c r="B163" s="85" t="s">
        <v>147</v>
      </c>
      <c r="C163" s="66"/>
      <c r="D163" s="66"/>
      <c r="E163" s="70"/>
      <c r="F163" s="70" t="e">
        <f>F159-F161</f>
        <v>#REF!</v>
      </c>
    </row>
    <row r="164" spans="2:8" hidden="1">
      <c r="B164" s="85" t="s">
        <v>148</v>
      </c>
      <c r="D164" s="66"/>
      <c r="E164" s="73"/>
      <c r="F164" s="74">
        <v>0.35</v>
      </c>
    </row>
    <row r="165" spans="2:8" hidden="1">
      <c r="D165" s="66"/>
      <c r="E165" s="66"/>
      <c r="F165" s="63"/>
    </row>
    <row r="166" spans="2:8" hidden="1">
      <c r="B166" s="85" t="s">
        <v>149</v>
      </c>
      <c r="D166" s="66"/>
      <c r="E166" s="70"/>
      <c r="F166" s="70" t="e">
        <f>F163*-F164</f>
        <v>#REF!</v>
      </c>
      <c r="G166" s="70"/>
    </row>
    <row r="167" spans="2:8" ht="13.5" hidden="1" thickTop="1">
      <c r="D167" s="66"/>
      <c r="E167" s="70"/>
      <c r="F167" s="84"/>
    </row>
    <row r="168" spans="2:8" hidden="1">
      <c r="F168" s="63"/>
    </row>
    <row r="169" spans="2:8" hidden="1">
      <c r="B169" s="328" t="s">
        <v>146</v>
      </c>
      <c r="F169" s="63"/>
    </row>
    <row r="170" spans="2:8" hidden="1">
      <c r="B170" s="85" t="s">
        <v>150</v>
      </c>
      <c r="C170" s="70">
        <f>C92</f>
        <v>2430</v>
      </c>
      <c r="F170" s="63"/>
    </row>
    <row r="171" spans="2:8" hidden="1">
      <c r="B171" s="85" t="s">
        <v>151</v>
      </c>
      <c r="C171" s="63">
        <f>C93</f>
        <v>2935</v>
      </c>
      <c r="F171" s="63"/>
    </row>
    <row r="172" spans="2:8" hidden="1">
      <c r="B172" s="85" t="s">
        <v>152</v>
      </c>
      <c r="C172" s="71">
        <f>C170+C171</f>
        <v>5365</v>
      </c>
      <c r="F172" s="63"/>
    </row>
    <row r="173" spans="2:8" hidden="1">
      <c r="C173" s="70"/>
      <c r="F173" s="63"/>
    </row>
    <row r="174" spans="2:8" hidden="1">
      <c r="C174" s="75"/>
      <c r="D174" s="67"/>
      <c r="E174" s="67" t="s">
        <v>153</v>
      </c>
      <c r="F174" s="63"/>
    </row>
    <row r="175" spans="2:8" hidden="1">
      <c r="C175" s="69" t="s">
        <v>125</v>
      </c>
      <c r="D175" s="69" t="s">
        <v>154</v>
      </c>
      <c r="E175" s="69" t="s">
        <v>31</v>
      </c>
      <c r="F175" s="63"/>
    </row>
    <row r="176" spans="2:8" hidden="1">
      <c r="B176" s="85" t="s">
        <v>155</v>
      </c>
      <c r="C176" s="70" t="e">
        <f>$C$98</f>
        <v>#REF!</v>
      </c>
      <c r="D176" s="72" t="e">
        <f>C176/C179</f>
        <v>#REF!</v>
      </c>
      <c r="E176" s="70" t="e">
        <f>D176*E179</f>
        <v>#REF!</v>
      </c>
      <c r="F176" s="63"/>
    </row>
    <row r="177" spans="2:6" hidden="1">
      <c r="B177" s="85" t="s">
        <v>156</v>
      </c>
      <c r="C177" s="63" t="e">
        <f>$C$99</f>
        <v>#REF!</v>
      </c>
      <c r="D177" s="81" t="e">
        <f>C177/C179</f>
        <v>#REF!</v>
      </c>
      <c r="E177" s="76" t="e">
        <f>D177*E179</f>
        <v>#REF!</v>
      </c>
      <c r="F177" s="63"/>
    </row>
    <row r="178" spans="2:6" hidden="1">
      <c r="B178" s="85" t="s">
        <v>157</v>
      </c>
      <c r="C178" s="63" t="e">
        <f>$C$100</f>
        <v>#REF!</v>
      </c>
      <c r="D178" s="81" t="e">
        <f>C178/C179</f>
        <v>#REF!</v>
      </c>
      <c r="E178" s="76" t="e">
        <f>E179*D178</f>
        <v>#REF!</v>
      </c>
      <c r="F178" s="63"/>
    </row>
    <row r="179" spans="2:6" hidden="1">
      <c r="B179" s="85" t="s">
        <v>158</v>
      </c>
      <c r="C179" s="71" t="e">
        <f>C176+C177+C178</f>
        <v>#REF!</v>
      </c>
      <c r="D179" s="77" t="e">
        <f>D176+D177+D178</f>
        <v>#REF!</v>
      </c>
      <c r="E179" s="71">
        <f>C172</f>
        <v>5365</v>
      </c>
      <c r="F179" s="63"/>
    </row>
    <row r="180" spans="2:6" hidden="1">
      <c r="F180" s="63"/>
    </row>
    <row r="181" spans="2:6" hidden="1">
      <c r="B181" s="85" t="s">
        <v>159</v>
      </c>
      <c r="C181" s="70" t="e">
        <f>$C$103</f>
        <v>#REF!</v>
      </c>
      <c r="D181" s="72" t="e">
        <f>C181/C183</f>
        <v>#REF!</v>
      </c>
      <c r="E181" s="70" t="e">
        <f>D181*E183</f>
        <v>#REF!</v>
      </c>
      <c r="F181" s="63"/>
    </row>
    <row r="182" spans="2:6" hidden="1">
      <c r="B182" s="85" t="s">
        <v>160</v>
      </c>
      <c r="C182" s="63" t="e">
        <f>$C$104</f>
        <v>#REF!</v>
      </c>
      <c r="D182" s="72" t="e">
        <f>C182/C183</f>
        <v>#REF!</v>
      </c>
      <c r="E182" s="63" t="e">
        <f>D182*E183</f>
        <v>#REF!</v>
      </c>
      <c r="F182" s="63"/>
    </row>
    <row r="183" spans="2:6" hidden="1">
      <c r="B183" s="85" t="s">
        <v>158</v>
      </c>
      <c r="C183" s="71" t="e">
        <f>C181+C182</f>
        <v>#REF!</v>
      </c>
      <c r="D183" s="77" t="e">
        <f>D181+D182</f>
        <v>#REF!</v>
      </c>
      <c r="E183" s="71" t="e">
        <f>E176</f>
        <v>#REF!</v>
      </c>
      <c r="F183" s="63"/>
    </row>
    <row r="184" spans="2:6" hidden="1">
      <c r="F184" s="63"/>
    </row>
    <row r="185" spans="2:6" hidden="1">
      <c r="B185" s="85" t="s">
        <v>161</v>
      </c>
      <c r="C185" s="70" t="e">
        <f>$C$107</f>
        <v>#REF!</v>
      </c>
      <c r="D185" s="78" t="e">
        <f>C185/C187</f>
        <v>#REF!</v>
      </c>
      <c r="E185" s="70" t="e">
        <f>E187*D185</f>
        <v>#REF!</v>
      </c>
      <c r="F185" s="63"/>
    </row>
    <row r="186" spans="2:6" hidden="1">
      <c r="B186" s="85" t="s">
        <v>162</v>
      </c>
      <c r="C186" s="63" t="e">
        <f>C$108</f>
        <v>#REF!</v>
      </c>
      <c r="D186" s="79" t="e">
        <f>C186/C187</f>
        <v>#REF!</v>
      </c>
      <c r="E186" s="63" t="e">
        <f>E187*D186</f>
        <v>#REF!</v>
      </c>
      <c r="F186" s="63"/>
    </row>
    <row r="187" spans="2:6" hidden="1">
      <c r="B187" s="85" t="s">
        <v>158</v>
      </c>
      <c r="C187" s="71" t="e">
        <f>SUM(C185:C186)</f>
        <v>#REF!</v>
      </c>
      <c r="D187" s="80" t="e">
        <f>SUM(D185:D186)</f>
        <v>#REF!</v>
      </c>
      <c r="E187" s="71" t="e">
        <f>E177</f>
        <v>#REF!</v>
      </c>
      <c r="F187" s="63"/>
    </row>
  </sheetData>
  <mergeCells count="6">
    <mergeCell ref="E7:G7"/>
    <mergeCell ref="A1:H1"/>
    <mergeCell ref="A2:H2"/>
    <mergeCell ref="A3:H3"/>
    <mergeCell ref="A4:H4"/>
    <mergeCell ref="A5:H5"/>
  </mergeCells>
  <printOptions horizontalCentered="1"/>
  <pageMargins left="0.75" right="0.75" top="0.5" bottom="0.5" header="0.5" footer="0.25"/>
  <pageSetup scale="83" orientation="portrait" r:id="rId1"/>
  <headerFooter alignWithMargins="0"/>
  <rowBreaks count="1" manualBreakCount="1">
    <brk id="109" max="16383" man="1"/>
  </rowBreaks>
  <colBreaks count="1" manualBreakCount="1">
    <brk id="9" max="62"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rgb="FFFF0000"/>
    <pageSetUpPr fitToPage="1"/>
  </sheetPr>
  <dimension ref="A1:AE153"/>
  <sheetViews>
    <sheetView workbookViewId="0">
      <selection sqref="A1:N1"/>
    </sheetView>
  </sheetViews>
  <sheetFormatPr defaultColWidth="9.140625" defaultRowHeight="12.75"/>
  <cols>
    <col min="1" max="1" width="8" style="312" customWidth="1"/>
    <col min="2" max="2" width="12.140625" style="25" customWidth="1"/>
    <col min="3" max="3" width="26" style="25" customWidth="1"/>
    <col min="4" max="4" width="13.140625" style="25" customWidth="1"/>
    <col min="5" max="5" width="13.85546875" style="25" customWidth="1"/>
    <col min="6" max="6" width="1.5703125" style="25" customWidth="1"/>
    <col min="7" max="7" width="11.42578125" style="25" customWidth="1"/>
    <col min="8" max="8" width="11.42578125" style="53" customWidth="1"/>
    <col min="9" max="9" width="2" style="25" customWidth="1"/>
    <col min="10" max="10" width="12.85546875" style="50" customWidth="1"/>
    <col min="11" max="11" width="12" style="25" customWidth="1"/>
    <col min="12" max="12" width="1.140625" style="25" customWidth="1"/>
    <col min="13" max="13" width="13.42578125" style="25" customWidth="1"/>
    <col min="14" max="14" width="9.42578125" style="25" customWidth="1"/>
    <col min="15" max="15" width="7.5703125" style="25" hidden="1" customWidth="1"/>
    <col min="16" max="16" width="7.5703125" style="218" hidden="1" customWidth="1"/>
    <col min="17" max="17" width="9.85546875" style="145" bestFit="1" customWidth="1"/>
    <col min="18" max="18" width="8.5703125" style="99" bestFit="1" customWidth="1"/>
    <col min="19" max="19" width="7.42578125" style="25" bestFit="1" customWidth="1"/>
    <col min="20" max="20" width="9.140625" style="25"/>
    <col min="21" max="21" width="13" style="707" customWidth="1"/>
    <col min="22" max="22" width="9.85546875" style="25" bestFit="1" customWidth="1"/>
    <col min="23" max="16384" width="9.140625" style="25"/>
  </cols>
  <sheetData>
    <row r="1" spans="1:22" ht="18.75">
      <c r="A1" s="1398" t="s">
        <v>88</v>
      </c>
      <c r="B1" s="1398"/>
      <c r="C1" s="1398"/>
      <c r="D1" s="1398"/>
      <c r="E1" s="1398"/>
      <c r="F1" s="1398"/>
      <c r="G1" s="1398"/>
      <c r="H1" s="1398"/>
      <c r="I1" s="1398"/>
      <c r="J1" s="1398"/>
      <c r="K1" s="1398"/>
      <c r="L1" s="1398"/>
      <c r="M1" s="1398"/>
      <c r="N1" s="1398"/>
    </row>
    <row r="2" spans="1:22" ht="21.75" customHeight="1">
      <c r="A2" s="1398" t="s">
        <v>115</v>
      </c>
      <c r="B2" s="1398"/>
      <c r="C2" s="1398"/>
      <c r="D2" s="1398"/>
      <c r="E2" s="1398"/>
      <c r="F2" s="1398"/>
      <c r="G2" s="1398"/>
      <c r="H2" s="1398"/>
      <c r="I2" s="1398"/>
      <c r="J2" s="1398"/>
      <c r="K2" s="1398"/>
      <c r="L2" s="1398"/>
      <c r="M2" s="1398"/>
      <c r="N2" s="1398"/>
      <c r="O2" s="222"/>
    </row>
    <row r="3" spans="1:22" ht="15.75" customHeight="1">
      <c r="A3" s="1398" t="s">
        <v>247</v>
      </c>
      <c r="B3" s="1398"/>
      <c r="C3" s="1398"/>
      <c r="D3" s="1398"/>
      <c r="E3" s="1398"/>
      <c r="F3" s="1398"/>
      <c r="G3" s="1398"/>
      <c r="H3" s="1398"/>
      <c r="I3" s="1398"/>
      <c r="J3" s="1398"/>
      <c r="K3" s="1398"/>
      <c r="L3" s="1398"/>
      <c r="M3" s="1398"/>
      <c r="N3" s="1398"/>
      <c r="O3" s="222"/>
    </row>
    <row r="4" spans="1:22" ht="15.75" customHeight="1">
      <c r="A4" s="1398" t="s">
        <v>244</v>
      </c>
      <c r="B4" s="1398"/>
      <c r="C4" s="1398"/>
      <c r="D4" s="1398"/>
      <c r="E4" s="1398"/>
      <c r="F4" s="1398"/>
      <c r="G4" s="1398"/>
      <c r="H4" s="1398"/>
      <c r="I4" s="1398"/>
      <c r="J4" s="1398"/>
      <c r="K4" s="1398"/>
      <c r="L4" s="1398"/>
      <c r="M4" s="1398"/>
      <c r="N4" s="1398"/>
      <c r="O4" s="222"/>
    </row>
    <row r="5" spans="1:22" s="27" customFormat="1">
      <c r="A5" s="312"/>
      <c r="B5" s="49"/>
      <c r="C5" s="49"/>
      <c r="D5" s="25"/>
      <c r="E5" s="149"/>
      <c r="F5" s="43"/>
      <c r="G5" s="25"/>
      <c r="H5" s="149"/>
      <c r="J5" s="25"/>
      <c r="K5" s="25"/>
      <c r="L5" s="25"/>
      <c r="M5" s="25"/>
      <c r="N5" s="25"/>
      <c r="O5" s="25"/>
      <c r="P5" s="218"/>
      <c r="Q5" s="137"/>
      <c r="R5" s="105"/>
      <c r="U5" s="708"/>
    </row>
    <row r="6" spans="1:22">
      <c r="B6" s="49"/>
      <c r="C6" s="49"/>
      <c r="H6" s="25"/>
      <c r="I6" s="29"/>
      <c r="J6" s="25"/>
      <c r="K6" s="27"/>
      <c r="L6" s="215"/>
      <c r="M6" s="1387" t="s">
        <v>240</v>
      </c>
      <c r="N6" s="1387"/>
      <c r="O6" s="221"/>
    </row>
    <row r="7" spans="1:22">
      <c r="B7" s="49"/>
      <c r="C7" s="49"/>
      <c r="D7" s="1400" t="s">
        <v>922</v>
      </c>
      <c r="E7" s="1400"/>
      <c r="G7" s="1400" t="s">
        <v>923</v>
      </c>
      <c r="H7" s="1400"/>
      <c r="I7" s="29"/>
      <c r="J7" s="1387" t="s">
        <v>241</v>
      </c>
      <c r="K7" s="1387"/>
      <c r="L7" s="27"/>
      <c r="M7" s="1387" t="s">
        <v>242</v>
      </c>
      <c r="N7" s="1387"/>
      <c r="O7" s="221"/>
    </row>
    <row r="8" spans="1:22">
      <c r="B8" s="49"/>
      <c r="C8" s="49"/>
      <c r="D8" s="1399" t="s">
        <v>78</v>
      </c>
      <c r="E8" s="1399"/>
      <c r="G8" s="1399" t="s">
        <v>78</v>
      </c>
      <c r="H8" s="1399"/>
      <c r="I8" s="29"/>
      <c r="J8" s="1399" t="s">
        <v>78</v>
      </c>
      <c r="K8" s="1399"/>
      <c r="L8" s="27"/>
      <c r="M8" s="28" t="s">
        <v>243</v>
      </c>
      <c r="N8" s="28" t="s">
        <v>24</v>
      </c>
      <c r="O8" s="221"/>
      <c r="U8" s="718"/>
    </row>
    <row r="9" spans="1:22">
      <c r="A9" s="313" t="s">
        <v>79</v>
      </c>
      <c r="B9" s="31" t="s">
        <v>80</v>
      </c>
      <c r="C9" s="28"/>
      <c r="D9" s="31" t="s">
        <v>81</v>
      </c>
      <c r="E9" s="31" t="s">
        <v>24</v>
      </c>
      <c r="F9" s="28"/>
      <c r="G9" s="31" t="s">
        <v>81</v>
      </c>
      <c r="H9" s="31" t="s">
        <v>24</v>
      </c>
      <c r="I9" s="29"/>
      <c r="J9" s="31" t="s">
        <v>81</v>
      </c>
      <c r="K9" s="31" t="s">
        <v>24</v>
      </c>
      <c r="M9" s="153">
        <f>'CF '!E24</f>
        <v>0.75529400000000002</v>
      </c>
      <c r="N9" s="179">
        <f>'RR Summary'!M15</f>
        <v>7.0300000000000001E-2</v>
      </c>
      <c r="O9" s="39"/>
      <c r="Q9" s="145" t="s">
        <v>667</v>
      </c>
      <c r="U9" s="719"/>
    </row>
    <row r="10" spans="1:22">
      <c r="A10" s="315">
        <f>'ADJ DETAIL-INPUT'!E$9</f>
        <v>1</v>
      </c>
      <c r="B10" s="49" t="str">
        <f>TRIM(CONCATENATE('ADJ DETAIL-INPUT'!E$7," ",'ADJ DETAIL-INPUT'!E$8," "))</f>
        <v>Results of Operations</v>
      </c>
      <c r="C10" s="50"/>
      <c r="D10" s="52">
        <v>106560</v>
      </c>
      <c r="E10" s="52">
        <v>1824656</v>
      </c>
      <c r="F10" s="50"/>
      <c r="G10" s="51">
        <f>'ADJ DETAIL-INPUT'!E$56</f>
        <v>106560</v>
      </c>
      <c r="H10" s="52">
        <f>'ADJ DETAIL-INPUT'!E$80</f>
        <v>1824656</v>
      </c>
      <c r="I10" s="53"/>
      <c r="J10" s="51">
        <f>G10-D10</f>
        <v>0</v>
      </c>
      <c r="K10" s="51">
        <f>H10-E10</f>
        <v>0</v>
      </c>
      <c r="L10" s="44"/>
      <c r="M10" s="172">
        <f>J10/$M$9*-1</f>
        <v>0</v>
      </c>
      <c r="N10" s="172">
        <f>K10*$N$9/$M$9</f>
        <v>0</v>
      </c>
      <c r="O10" s="172">
        <f>(H10*$N$9/$M$9)-(G10/$M$9)</f>
        <v>28748.165350181516</v>
      </c>
      <c r="P10" s="219">
        <f>SUM(M10:N10)</f>
        <v>0</v>
      </c>
      <c r="Q10" s="173">
        <f>SUM(M10:N10)</f>
        <v>0</v>
      </c>
    </row>
    <row r="11" spans="1:22" s="50" customFormat="1">
      <c r="A11" s="315">
        <f>'ADJ DETAIL-INPUT'!F$9</f>
        <v>1.01</v>
      </c>
      <c r="B11" s="49" t="str">
        <f>TRIM(CONCATENATE('ADJ DETAIL-INPUT'!F$6," ",'ADJ DETAIL-INPUT'!F$7," ",'ADJ DETAIL-INPUT'!F$8))</f>
        <v>Deferred FIT Rate Base</v>
      </c>
      <c r="D11" s="52">
        <v>-3.34152</v>
      </c>
      <c r="E11" s="52">
        <v>-680</v>
      </c>
      <c r="G11" s="52">
        <f>'ADJ DETAIL-INPUT'!F$56</f>
        <v>-3.5271599999999999</v>
      </c>
      <c r="H11" s="52">
        <f>'ADJ DETAIL-INPUT'!F$80</f>
        <v>-680</v>
      </c>
      <c r="I11" s="128"/>
      <c r="J11" s="51">
        <f t="shared" ref="J11:J13" si="0">G11-D11</f>
        <v>-0.18563999999999981</v>
      </c>
      <c r="K11" s="51">
        <f t="shared" ref="K11:K13" si="1">H11-E11</f>
        <v>0</v>
      </c>
      <c r="L11" s="44"/>
      <c r="M11" s="172">
        <f t="shared" ref="M11:M13" si="2">J11/$M$9*-1</f>
        <v>0.24578508501325286</v>
      </c>
      <c r="N11" s="172">
        <f t="shared" ref="N11:N13" si="3">K11*$N$9/$M$9</f>
        <v>0</v>
      </c>
      <c r="O11" s="172">
        <f>(H11*$N$9/$M$9)-(G11/$M$9)</f>
        <v>-58.621993554827661</v>
      </c>
      <c r="P11" s="219">
        <f>SUM(M11:N11)</f>
        <v>0.24578508501325286</v>
      </c>
      <c r="Q11" s="173">
        <f t="shared" ref="Q11:Q13" si="4">SUM(M11:N11)</f>
        <v>0.24578508501325286</v>
      </c>
      <c r="R11" s="133"/>
      <c r="U11" s="709"/>
    </row>
    <row r="12" spans="1:22" s="50" customFormat="1">
      <c r="A12" s="315">
        <f>'ADJ DETAIL-INPUT'!G$9</f>
        <v>1.02</v>
      </c>
      <c r="B12" s="49" t="str">
        <f>TRIM(CONCATENATE('ADJ DETAIL-INPUT'!G$6," ",'ADJ DETAIL-INPUT'!G$7," ",'ADJ DETAIL-INPUT'!G$8))</f>
        <v>Deferred Debits and Credits</v>
      </c>
      <c r="D12" s="52">
        <v>-0.69663399999999998</v>
      </c>
      <c r="E12" s="52">
        <v>19</v>
      </c>
      <c r="G12" s="52">
        <f>'ADJ DETAIL-INPUT'!G$56</f>
        <v>-0.69144700000000003</v>
      </c>
      <c r="H12" s="52">
        <f>'ADJ DETAIL-INPUT'!G$80</f>
        <v>19</v>
      </c>
      <c r="I12" s="128"/>
      <c r="J12" s="51">
        <f t="shared" si="0"/>
        <v>5.1869999999999417E-3</v>
      </c>
      <c r="K12" s="51">
        <f t="shared" si="1"/>
        <v>0</v>
      </c>
      <c r="L12" s="180"/>
      <c r="M12" s="172">
        <f t="shared" si="2"/>
        <v>-6.8675244341937598E-3</v>
      </c>
      <c r="N12" s="172">
        <f t="shared" si="3"/>
        <v>0</v>
      </c>
      <c r="O12" s="172">
        <f t="shared" ref="O12:O38" si="5">(H12*$N$9/$M$9)-(G12/$M$9)</f>
        <v>2.683917785656976</v>
      </c>
      <c r="P12" s="219">
        <f t="shared" ref="P12:P13" si="6">SUM(M12:N12)</f>
        <v>-6.8675244341937598E-3</v>
      </c>
      <c r="Q12" s="173">
        <f t="shared" si="4"/>
        <v>-6.8675244341937598E-3</v>
      </c>
      <c r="R12" s="133"/>
      <c r="S12" s="148"/>
      <c r="U12" s="709"/>
    </row>
    <row r="13" spans="1:22" ht="12.75" customHeight="1">
      <c r="A13" s="315">
        <f>'ADJ DETAIL-INPUT'!H$9</f>
        <v>1.03</v>
      </c>
      <c r="B13" s="1397" t="str">
        <f>TRIM(CONCATENATE('ADJ DETAIL-INPUT'!H$6," ",'ADJ DETAIL-INPUT'!H$7," ",'ADJ DETAIL-INPUT'!H$8))</f>
        <v>Working Capital</v>
      </c>
      <c r="C13" s="1397"/>
      <c r="D13" s="52">
        <v>-1.44963</v>
      </c>
      <c r="E13" s="52">
        <v>-295</v>
      </c>
      <c r="F13" s="50"/>
      <c r="G13" s="52">
        <f>'ADJ DETAIL-INPUT'!H$56</f>
        <v>-1.530165</v>
      </c>
      <c r="H13" s="52">
        <f>'ADJ DETAIL-INPUT'!H$80</f>
        <v>-295</v>
      </c>
      <c r="I13" s="59"/>
      <c r="J13" s="51">
        <f t="shared" si="0"/>
        <v>-8.0535000000000023E-2</v>
      </c>
      <c r="K13" s="51">
        <f t="shared" si="1"/>
        <v>0</v>
      </c>
      <c r="M13" s="172">
        <f t="shared" si="2"/>
        <v>0.10662735305722013</v>
      </c>
      <c r="N13" s="172">
        <f t="shared" si="3"/>
        <v>0</v>
      </c>
      <c r="O13" s="172">
        <f t="shared" si="5"/>
        <v>-25.431600145109059</v>
      </c>
      <c r="P13" s="219">
        <f t="shared" si="6"/>
        <v>0.10662735305722013</v>
      </c>
      <c r="Q13" s="173">
        <f t="shared" si="4"/>
        <v>0.10662735305722013</v>
      </c>
      <c r="R13" s="223"/>
      <c r="S13" s="591"/>
      <c r="V13" s="36"/>
    </row>
    <row r="14" spans="1:22">
      <c r="A14" s="316"/>
      <c r="B14" s="25" t="s">
        <v>83</v>
      </c>
      <c r="D14" s="37">
        <f>SUM(D10:D13)</f>
        <v>106554.51221599999</v>
      </c>
      <c r="E14" s="37">
        <f>SUM(E10:E13)</f>
        <v>1823700</v>
      </c>
      <c r="G14" s="37">
        <f>SUM(G10:G13)</f>
        <v>106554.25122799999</v>
      </c>
      <c r="H14" s="37">
        <f>SUM(H10:H13)</f>
        <v>1823700</v>
      </c>
      <c r="I14" s="57"/>
      <c r="J14" s="37">
        <f>SUM(J10:J13)</f>
        <v>-0.26098799999999989</v>
      </c>
      <c r="K14" s="37">
        <f>SUM(K10:K13)</f>
        <v>0</v>
      </c>
      <c r="L14" s="28"/>
      <c r="M14" s="37">
        <f>SUM(M10:M13)</f>
        <v>0.34554491363627926</v>
      </c>
      <c r="N14" s="37">
        <f>SUM(N10:N13)</f>
        <v>0</v>
      </c>
      <c r="O14" s="172">
        <f t="shared" si="5"/>
        <v>28666.795674267254</v>
      </c>
      <c r="S14" s="145"/>
    </row>
    <row r="15" spans="1:22">
      <c r="A15" s="314"/>
      <c r="G15" s="38"/>
      <c r="H15" s="38"/>
      <c r="I15" s="59"/>
      <c r="J15" s="34"/>
      <c r="K15" s="166"/>
      <c r="L15" s="28"/>
      <c r="O15" s="172">
        <f t="shared" si="5"/>
        <v>0</v>
      </c>
      <c r="S15" s="592"/>
      <c r="T15" s="50"/>
    </row>
    <row r="16" spans="1:22" s="44" customFormat="1">
      <c r="A16" s="315">
        <f>'ADJ DETAIL-INPUT'!I$9</f>
        <v>2.0099999999999998</v>
      </c>
      <c r="B16" s="49" t="str">
        <f>TRIM(CONCATENATE('ADJ DETAIL-INPUT'!I$6," ",'ADJ DETAIL-INPUT'!I$7," ",'ADJ DETAIL-INPUT'!I$8))</f>
        <v>Eliminate B &amp; O Taxes</v>
      </c>
      <c r="C16" s="50"/>
      <c r="D16" s="52">
        <v>7.11</v>
      </c>
      <c r="E16" s="52">
        <v>0</v>
      </c>
      <c r="F16" s="50"/>
      <c r="G16" s="52">
        <f>'ADJ DETAIL-INPUT'!I$56</f>
        <v>7.11</v>
      </c>
      <c r="H16" s="52">
        <f>'ADJ DETAIL-INPUT'!I$80</f>
        <v>0</v>
      </c>
      <c r="I16" s="59"/>
      <c r="J16" s="51">
        <f t="shared" ref="J16:J32" si="7">G16-D16</f>
        <v>0</v>
      </c>
      <c r="K16" s="51">
        <f t="shared" ref="K16:K32" si="8">H16-E16</f>
        <v>0</v>
      </c>
      <c r="L16" s="181"/>
      <c r="M16" s="172">
        <f t="shared" ref="M16:M32" si="9">J16/$M$9*-1</f>
        <v>0</v>
      </c>
      <c r="N16" s="172">
        <f t="shared" ref="N16:N32" si="10">K16*$N$9/$M$9</f>
        <v>0</v>
      </c>
      <c r="O16" s="172">
        <f t="shared" si="5"/>
        <v>-9.4135528681546532</v>
      </c>
      <c r="P16" s="219">
        <f t="shared" ref="P16:P25" si="11">SUM(M16:N16)</f>
        <v>0</v>
      </c>
      <c r="Q16" s="173">
        <f t="shared" ref="Q16:Q34" si="12">SUM(M16:N16)</f>
        <v>0</v>
      </c>
      <c r="R16" s="200"/>
      <c r="S16" s="593"/>
      <c r="T16" s="50"/>
      <c r="U16" s="710"/>
    </row>
    <row r="17" spans="1:31" s="44" customFormat="1">
      <c r="A17" s="315">
        <f>'ADJ DETAIL-INPUT'!J$9</f>
        <v>2.0199999999999996</v>
      </c>
      <c r="B17" s="49" t="str">
        <f>TRIM(CONCATENATE('ADJ DETAIL-INPUT'!J$6," ",'ADJ DETAIL-INPUT'!J$7," ",'ADJ DETAIL-INPUT'!J$8))</f>
        <v>Restate Property Tax</v>
      </c>
      <c r="C17" s="50"/>
      <c r="D17" s="52">
        <v>-1.58</v>
      </c>
      <c r="E17" s="52">
        <v>0</v>
      </c>
      <c r="F17" s="50"/>
      <c r="G17" s="52">
        <f>'ADJ DETAIL-INPUT'!J$56</f>
        <v>-1.58</v>
      </c>
      <c r="H17" s="52">
        <f>'ADJ DETAIL-INPUT'!J$80</f>
        <v>0</v>
      </c>
      <c r="I17" s="59"/>
      <c r="J17" s="51">
        <f t="shared" si="7"/>
        <v>0</v>
      </c>
      <c r="K17" s="51">
        <f t="shared" si="8"/>
        <v>0</v>
      </c>
      <c r="L17" s="181"/>
      <c r="M17" s="172">
        <f t="shared" si="9"/>
        <v>0</v>
      </c>
      <c r="N17" s="172">
        <f t="shared" si="10"/>
        <v>0</v>
      </c>
      <c r="O17" s="172">
        <f t="shared" ref="O17" si="13">(H17*$N$9/$M$9)-(G17/$M$9)</f>
        <v>2.0919006373677007</v>
      </c>
      <c r="P17" s="219">
        <f t="shared" ref="P17" si="14">SUM(M17:N17)</f>
        <v>0</v>
      </c>
      <c r="Q17" s="173">
        <f t="shared" si="12"/>
        <v>0</v>
      </c>
      <c r="R17" s="200"/>
      <c r="S17" s="593"/>
      <c r="T17" s="50"/>
      <c r="U17" s="710"/>
    </row>
    <row r="18" spans="1:31" s="44" customFormat="1">
      <c r="A18" s="315">
        <f>'ADJ DETAIL-INPUT'!K$9</f>
        <v>2.0299999999999994</v>
      </c>
      <c r="B18" s="49" t="str">
        <f>TRIM(CONCATENATE('ADJ DETAIL-INPUT'!K$6," ",'ADJ DETAIL-INPUT'!K$7," ",'ADJ DETAIL-INPUT'!K$8))</f>
        <v>Uncollect. Expense</v>
      </c>
      <c r="C18" s="50"/>
      <c r="D18" s="52">
        <v>-1241.8800000000001</v>
      </c>
      <c r="E18" s="52">
        <v>0</v>
      </c>
      <c r="F18" s="50"/>
      <c r="G18" s="52">
        <f>'ADJ DETAIL-INPUT'!K$56</f>
        <v>-1241.8800000000001</v>
      </c>
      <c r="H18" s="52">
        <f>'ADJ DETAIL-INPUT'!K$80</f>
        <v>0</v>
      </c>
      <c r="I18" s="59"/>
      <c r="J18" s="51">
        <f t="shared" si="7"/>
        <v>0</v>
      </c>
      <c r="K18" s="51">
        <f t="shared" si="8"/>
        <v>0</v>
      </c>
      <c r="L18" s="181"/>
      <c r="M18" s="172">
        <f t="shared" si="9"/>
        <v>0</v>
      </c>
      <c r="N18" s="172">
        <f t="shared" si="10"/>
        <v>0</v>
      </c>
      <c r="O18" s="172">
        <f t="shared" si="5"/>
        <v>1644.2339009710126</v>
      </c>
      <c r="P18" s="219">
        <f t="shared" si="11"/>
        <v>0</v>
      </c>
      <c r="Q18" s="173">
        <f t="shared" si="12"/>
        <v>0</v>
      </c>
      <c r="R18" s="200"/>
      <c r="S18" s="591"/>
      <c r="U18" s="710"/>
    </row>
    <row r="19" spans="1:31" s="44" customFormat="1">
      <c r="A19" s="315">
        <f>'ADJ DETAIL-INPUT'!L$9</f>
        <v>2.0399999999999991</v>
      </c>
      <c r="B19" s="49" t="str">
        <f>TRIM(CONCATENATE('ADJ DETAIL-INPUT'!L$6," ",'ADJ DETAIL-INPUT'!L$7," ",'ADJ DETAIL-INPUT'!L$8))</f>
        <v>Regulatory Expense</v>
      </c>
      <c r="C19" s="50"/>
      <c r="D19" s="52">
        <v>-33.18</v>
      </c>
      <c r="E19" s="52">
        <v>0</v>
      </c>
      <c r="F19" s="50"/>
      <c r="G19" s="52">
        <f>'ADJ DETAIL-INPUT'!L$56</f>
        <v>-33.18</v>
      </c>
      <c r="H19" s="52">
        <f>'ADJ DETAIL-INPUT'!L$80</f>
        <v>0</v>
      </c>
      <c r="I19" s="59"/>
      <c r="J19" s="51">
        <f t="shared" si="7"/>
        <v>0</v>
      </c>
      <c r="K19" s="51">
        <f t="shared" si="8"/>
        <v>0</v>
      </c>
      <c r="L19" s="181"/>
      <c r="M19" s="172">
        <f t="shared" si="9"/>
        <v>0</v>
      </c>
      <c r="N19" s="172">
        <f t="shared" si="10"/>
        <v>0</v>
      </c>
      <c r="O19" s="172">
        <f t="shared" si="5"/>
        <v>43.929913384721708</v>
      </c>
      <c r="P19" s="219">
        <f t="shared" si="11"/>
        <v>0</v>
      </c>
      <c r="Q19" s="173">
        <f t="shared" si="12"/>
        <v>0</v>
      </c>
      <c r="R19" s="200"/>
      <c r="S19" s="591"/>
      <c r="U19" s="710"/>
    </row>
    <row r="20" spans="1:31" s="44" customFormat="1">
      <c r="A20" s="315">
        <f>'ADJ DETAIL-INPUT'!M$9</f>
        <v>2.0499999999999989</v>
      </c>
      <c r="B20" s="49" t="str">
        <f>TRIM(CONCATENATE('ADJ DETAIL-INPUT'!M$6," ",'ADJ DETAIL-INPUT'!M$7," ",'ADJ DETAIL-INPUT'!M$8))</f>
        <v>Injuries and Damages</v>
      </c>
      <c r="C20" s="50"/>
      <c r="D20" s="52">
        <v>97.960000000000008</v>
      </c>
      <c r="E20" s="52">
        <v>0</v>
      </c>
      <c r="F20" s="50"/>
      <c r="G20" s="52">
        <f>'ADJ DETAIL-INPUT'!M$56</f>
        <v>97.960000000000008</v>
      </c>
      <c r="H20" s="52">
        <f>'ADJ DETAIL-INPUT'!M$80</f>
        <v>0</v>
      </c>
      <c r="I20" s="59"/>
      <c r="J20" s="51">
        <f t="shared" si="7"/>
        <v>0</v>
      </c>
      <c r="K20" s="51">
        <f t="shared" si="8"/>
        <v>0</v>
      </c>
      <c r="L20" s="181"/>
      <c r="M20" s="172">
        <f t="shared" si="9"/>
        <v>0</v>
      </c>
      <c r="N20" s="172">
        <f t="shared" si="10"/>
        <v>0</v>
      </c>
      <c r="O20" s="172">
        <f t="shared" si="5"/>
        <v>-129.69783951679744</v>
      </c>
      <c r="P20" s="219">
        <f t="shared" si="11"/>
        <v>0</v>
      </c>
      <c r="Q20" s="173">
        <f t="shared" si="12"/>
        <v>0</v>
      </c>
      <c r="R20" s="200"/>
      <c r="S20" s="591"/>
      <c r="U20" s="710"/>
      <c r="V20" s="484"/>
    </row>
    <row r="21" spans="1:31" s="126" customFormat="1">
      <c r="A21" s="315">
        <f>'ADJ DETAIL-INPUT'!N$9</f>
        <v>2.0599999999999987</v>
      </c>
      <c r="B21" s="49" t="str">
        <f>TRIM(CONCATENATE('ADJ DETAIL-INPUT'!N$6," ",'ADJ DETAIL-INPUT'!N$7," ",'ADJ DETAIL-INPUT'!N$8))</f>
        <v>FIT/DFIT/ ITC Expense</v>
      </c>
      <c r="C21" s="50"/>
      <c r="D21" s="52">
        <v>-813</v>
      </c>
      <c r="E21" s="52">
        <v>0</v>
      </c>
      <c r="F21" s="50"/>
      <c r="G21" s="52">
        <f>'ADJ DETAIL-INPUT'!N$56</f>
        <v>-813</v>
      </c>
      <c r="H21" s="52">
        <f>'ADJ DETAIL-INPUT'!N$80</f>
        <v>0</v>
      </c>
      <c r="I21" s="124"/>
      <c r="J21" s="51">
        <f t="shared" si="7"/>
        <v>0</v>
      </c>
      <c r="K21" s="51">
        <f t="shared" si="8"/>
        <v>0</v>
      </c>
      <c r="L21" s="125"/>
      <c r="M21" s="172">
        <f t="shared" si="9"/>
        <v>0</v>
      </c>
      <c r="N21" s="172">
        <f t="shared" si="10"/>
        <v>0</v>
      </c>
      <c r="O21" s="172">
        <f t="shared" si="5"/>
        <v>1076.402036822747</v>
      </c>
      <c r="P21" s="219">
        <f t="shared" si="11"/>
        <v>0</v>
      </c>
      <c r="Q21" s="173">
        <f t="shared" si="12"/>
        <v>0</v>
      </c>
      <c r="R21" s="201"/>
      <c r="S21" s="591"/>
      <c r="U21" s="590"/>
      <c r="V21" s="172"/>
    </row>
    <row r="22" spans="1:31">
      <c r="A22" s="315">
        <f>'ADJ DETAIL-INPUT'!O$9</f>
        <v>2.0699999999999985</v>
      </c>
      <c r="B22" s="49" t="str">
        <f>TRIM(CONCATENATE('ADJ DETAIL-INPUT'!O$6," ",'ADJ DETAIL-INPUT'!O$7," ",'ADJ DETAIL-INPUT'!O$8))</f>
        <v>Office Space Charges to Non-Utility</v>
      </c>
      <c r="C22" s="50"/>
      <c r="D22" s="52">
        <v>43.45</v>
      </c>
      <c r="E22" s="52">
        <v>0</v>
      </c>
      <c r="F22" s="50"/>
      <c r="G22" s="52">
        <f>'ADJ DETAIL-INPUT'!O$56</f>
        <v>43.45</v>
      </c>
      <c r="H22" s="52">
        <f>'ADJ DETAIL-INPUT'!O$80</f>
        <v>0</v>
      </c>
      <c r="I22" s="59"/>
      <c r="J22" s="51">
        <f t="shared" si="7"/>
        <v>0</v>
      </c>
      <c r="K22" s="51">
        <f t="shared" si="8"/>
        <v>0</v>
      </c>
      <c r="L22" s="28"/>
      <c r="M22" s="172">
        <f t="shared" si="9"/>
        <v>0</v>
      </c>
      <c r="N22" s="172">
        <f t="shared" si="10"/>
        <v>0</v>
      </c>
      <c r="O22" s="172">
        <f t="shared" si="5"/>
        <v>-57.52726752761177</v>
      </c>
      <c r="P22" s="219">
        <f t="shared" si="11"/>
        <v>0</v>
      </c>
      <c r="Q22" s="173">
        <f t="shared" si="12"/>
        <v>0</v>
      </c>
      <c r="S22" s="591"/>
      <c r="V22" s="36"/>
    </row>
    <row r="23" spans="1:31" s="126" customFormat="1">
      <c r="A23" s="315">
        <f>'ADJ DETAIL-INPUT'!P$9</f>
        <v>2.0799999999999983</v>
      </c>
      <c r="B23" s="49" t="str">
        <f>TRIM(CONCATENATE('ADJ DETAIL-INPUT'!P$6," ",'ADJ DETAIL-INPUT'!P$7," ",'ADJ DETAIL-INPUT'!P$8))</f>
        <v>Restate Excise Taxes</v>
      </c>
      <c r="C23" s="50"/>
      <c r="D23" s="52">
        <v>-14.22</v>
      </c>
      <c r="E23" s="52">
        <v>0</v>
      </c>
      <c r="F23" s="50"/>
      <c r="G23" s="52">
        <f>'ADJ DETAIL-INPUT'!P$56</f>
        <v>-14.22</v>
      </c>
      <c r="H23" s="52">
        <f>'ADJ DETAIL-INPUT'!P$80</f>
        <v>0</v>
      </c>
      <c r="I23" s="135"/>
      <c r="J23" s="51">
        <f t="shared" si="7"/>
        <v>0</v>
      </c>
      <c r="K23" s="51">
        <f t="shared" si="8"/>
        <v>0</v>
      </c>
      <c r="L23" s="125"/>
      <c r="M23" s="172">
        <f t="shared" si="9"/>
        <v>0</v>
      </c>
      <c r="N23" s="172">
        <f t="shared" si="10"/>
        <v>0</v>
      </c>
      <c r="O23" s="172">
        <f t="shared" si="5"/>
        <v>18.827105736309306</v>
      </c>
      <c r="P23" s="219">
        <f t="shared" si="11"/>
        <v>0</v>
      </c>
      <c r="Q23" s="173">
        <f t="shared" si="12"/>
        <v>0</v>
      </c>
      <c r="R23" s="201"/>
      <c r="S23" s="149"/>
      <c r="U23" s="590"/>
    </row>
    <row r="24" spans="1:31" s="126" customFormat="1">
      <c r="A24" s="315">
        <f>'ADJ DETAIL-INPUT'!Q$9</f>
        <v>2.0899999999999981</v>
      </c>
      <c r="B24" s="49" t="str">
        <f>TRIM(CONCATENATE('ADJ DETAIL-INPUT'!Q$6," ",'ADJ DETAIL-INPUT'!Q$7," ",'ADJ DETAIL-INPUT'!Q$8))</f>
        <v>Net Gains &amp; Losses</v>
      </c>
      <c r="C24" s="50"/>
      <c r="D24" s="52">
        <v>49.77</v>
      </c>
      <c r="E24" s="52">
        <v>0</v>
      </c>
      <c r="F24" s="50"/>
      <c r="G24" s="52">
        <f>'ADJ DETAIL-INPUT'!Q$56</f>
        <v>49.77</v>
      </c>
      <c r="H24" s="52">
        <f>'ADJ DETAIL-INPUT'!Q$80</f>
        <v>0</v>
      </c>
      <c r="I24" s="135"/>
      <c r="J24" s="51">
        <f t="shared" si="7"/>
        <v>0</v>
      </c>
      <c r="K24" s="51">
        <f t="shared" si="8"/>
        <v>0</v>
      </c>
      <c r="L24" s="125"/>
      <c r="M24" s="172">
        <f t="shared" si="9"/>
        <v>0</v>
      </c>
      <c r="N24" s="172">
        <f t="shared" si="10"/>
        <v>0</v>
      </c>
      <c r="O24" s="172">
        <f t="shared" si="5"/>
        <v>-65.894870077082572</v>
      </c>
      <c r="P24" s="219">
        <f t="shared" si="11"/>
        <v>0</v>
      </c>
      <c r="Q24" s="173">
        <f t="shared" si="12"/>
        <v>0</v>
      </c>
      <c r="R24" s="201"/>
      <c r="S24" s="591"/>
      <c r="T24" s="215"/>
      <c r="U24" s="590"/>
    </row>
    <row r="25" spans="1:31">
      <c r="A25" s="315">
        <f>'ADJ DETAIL-INPUT'!R$9</f>
        <v>2.0999999999999979</v>
      </c>
      <c r="B25" s="49" t="str">
        <f>TRIM(CONCATENATE('ADJ DETAIL-INPUT'!R$6," ",'ADJ DETAIL-INPUT'!R$7," ",'ADJ DETAIL-INPUT'!R$8))</f>
        <v>Weather Normalization</v>
      </c>
      <c r="C25" s="50"/>
      <c r="D25" s="52">
        <v>-1290.8600000000001</v>
      </c>
      <c r="E25" s="52">
        <v>0</v>
      </c>
      <c r="F25" s="50"/>
      <c r="G25" s="52">
        <f>'ADJ DETAIL-INPUT'!R$56</f>
        <v>-1290.8600000000001</v>
      </c>
      <c r="H25" s="52">
        <f>'ADJ DETAIL-INPUT'!R$80</f>
        <v>0</v>
      </c>
      <c r="I25" s="136"/>
      <c r="J25" s="51">
        <f t="shared" si="7"/>
        <v>0</v>
      </c>
      <c r="K25" s="51">
        <f t="shared" si="8"/>
        <v>0</v>
      </c>
      <c r="L25" s="28"/>
      <c r="M25" s="172">
        <f t="shared" si="9"/>
        <v>0</v>
      </c>
      <c r="N25" s="172">
        <f t="shared" si="10"/>
        <v>0</v>
      </c>
      <c r="O25" s="172">
        <f t="shared" si="5"/>
        <v>1709.0828207294114</v>
      </c>
      <c r="P25" s="219">
        <f t="shared" si="11"/>
        <v>0</v>
      </c>
      <c r="Q25" s="173">
        <f t="shared" si="12"/>
        <v>0</v>
      </c>
      <c r="S25" s="145"/>
      <c r="T25" s="216"/>
    </row>
    <row r="26" spans="1:31" s="126" customFormat="1">
      <c r="A26" s="315">
        <f>'ADJ DETAIL-INPUT'!S$9</f>
        <v>2.1099999999999977</v>
      </c>
      <c r="B26" s="49" t="str">
        <f>TRIM(CONCATENATE('ADJ DETAIL-INPUT'!S$6," ",'ADJ DETAIL-INPUT'!S$7," ",'ADJ DETAIL-INPUT'!S$8))</f>
        <v>Eliminate Adder Schedules</v>
      </c>
      <c r="C26" s="50"/>
      <c r="D26" s="52">
        <v>-0.79</v>
      </c>
      <c r="E26" s="52">
        <v>0</v>
      </c>
      <c r="F26" s="50"/>
      <c r="G26" s="52">
        <f>'ADJ DETAIL-INPUT'!S$56</f>
        <v>-0.79</v>
      </c>
      <c r="H26" s="52">
        <f>'ADJ DETAIL-INPUT'!T$80</f>
        <v>0</v>
      </c>
      <c r="I26" s="124"/>
      <c r="J26" s="51">
        <f t="shared" si="7"/>
        <v>0</v>
      </c>
      <c r="K26" s="51">
        <f t="shared" si="8"/>
        <v>0</v>
      </c>
      <c r="M26" s="172">
        <f t="shared" si="9"/>
        <v>0</v>
      </c>
      <c r="N26" s="172">
        <f t="shared" si="10"/>
        <v>0</v>
      </c>
      <c r="O26" s="172">
        <f t="shared" ref="O26" si="15">(H26*$N$9/$M$9)-(G26/$M$9)</f>
        <v>1.0459503186838504</v>
      </c>
      <c r="P26" s="219">
        <f t="shared" ref="P26" si="16">SUM(M26:N26)</f>
        <v>0</v>
      </c>
      <c r="Q26" s="173">
        <f t="shared" si="12"/>
        <v>0</v>
      </c>
      <c r="R26" s="201"/>
      <c r="S26" s="591"/>
      <c r="U26" s="590"/>
    </row>
    <row r="27" spans="1:31" s="126" customFormat="1">
      <c r="A27" s="315">
        <f>'ADJ DETAIL-INPUT'!T$9</f>
        <v>2.1199999999999974</v>
      </c>
      <c r="B27" s="49" t="str">
        <f>TRIM(CONCATENATE('ADJ DETAIL-INPUT'!T$6," ",'ADJ DETAIL-INPUT'!T$7," ",'ADJ DETAIL-INPUT'!T$8))</f>
        <v>Misc. Restating Non-Util / Non- Recurring Expenses</v>
      </c>
      <c r="C27" s="50"/>
      <c r="D27" s="52">
        <v>1137.5999999999999</v>
      </c>
      <c r="E27" s="52">
        <v>0</v>
      </c>
      <c r="F27" s="50"/>
      <c r="G27" s="52">
        <f>'ADJ DETAIL-INPUT'!T$56</f>
        <v>1137.5999999999999</v>
      </c>
      <c r="H27" s="52">
        <f>'ADJ DETAIL-INPUT'!T$80</f>
        <v>0</v>
      </c>
      <c r="I27" s="124"/>
      <c r="J27" s="51">
        <f t="shared" si="7"/>
        <v>0</v>
      </c>
      <c r="K27" s="51">
        <f t="shared" si="8"/>
        <v>0</v>
      </c>
      <c r="M27" s="172">
        <f t="shared" si="9"/>
        <v>0</v>
      </c>
      <c r="N27" s="172">
        <f t="shared" si="10"/>
        <v>0</v>
      </c>
      <c r="O27" s="172">
        <f t="shared" ref="O27:O32" si="17">(H27*$N$9/$M$9)-(G27/$M$9)</f>
        <v>-1506.1684589047443</v>
      </c>
      <c r="P27" s="219">
        <f t="shared" ref="P27:P32" si="18">SUM(M27:N27)</f>
        <v>0</v>
      </c>
      <c r="Q27" s="173">
        <f t="shared" si="12"/>
        <v>0</v>
      </c>
      <c r="R27" s="201"/>
      <c r="S27" s="591"/>
      <c r="T27" s="590"/>
      <c r="U27" s="711"/>
      <c r="V27" s="491"/>
      <c r="W27" s="491"/>
      <c r="X27" s="491"/>
      <c r="Y27" s="491"/>
      <c r="Z27" s="491"/>
      <c r="AA27" s="491"/>
      <c r="AB27" s="491"/>
      <c r="AC27" s="491"/>
      <c r="AD27" s="491"/>
      <c r="AE27" s="491"/>
    </row>
    <row r="28" spans="1:31" s="44" customFormat="1" ht="12" customHeight="1">
      <c r="A28" s="315">
        <f>'ADJ DETAIL-INPUT'!U$9</f>
        <v>2.1299999999999972</v>
      </c>
      <c r="B28" s="49" t="str">
        <f>TRIM(CONCATENATE('ADJ DETAIL-INPUT'!U$6," ",'ADJ DETAIL-INPUT'!U$7," ",'ADJ DETAIL-INPUT'!U$8))</f>
        <v>Restating Incentives</v>
      </c>
      <c r="C28" s="50"/>
      <c r="D28" s="52">
        <v>-2163.81</v>
      </c>
      <c r="E28" s="52">
        <v>0</v>
      </c>
      <c r="F28" s="50"/>
      <c r="G28" s="52">
        <f>'ADJ DETAIL-INPUT'!U$56</f>
        <v>-2163.81</v>
      </c>
      <c r="H28" s="52">
        <f>'ADJ DETAIL-INPUT'!U$80</f>
        <v>0</v>
      </c>
      <c r="I28" s="59"/>
      <c r="J28" s="51">
        <f t="shared" ref="J28" si="19">G28-D28</f>
        <v>0</v>
      </c>
      <c r="K28" s="51">
        <f t="shared" ref="K28" si="20">H28-E28</f>
        <v>0</v>
      </c>
      <c r="L28" s="181"/>
      <c r="M28" s="172">
        <f t="shared" ref="M28" si="21">J28/$M$9*-1</f>
        <v>0</v>
      </c>
      <c r="N28" s="172">
        <f t="shared" ref="N28" si="22">K28*$N$9/$M$9</f>
        <v>0</v>
      </c>
      <c r="O28" s="172">
        <f t="shared" si="17"/>
        <v>2864.8579228750659</v>
      </c>
      <c r="P28" s="219">
        <f t="shared" si="18"/>
        <v>0</v>
      </c>
      <c r="Q28" s="173">
        <f>SUM(M28:N28)</f>
        <v>0</v>
      </c>
      <c r="R28" s="200"/>
      <c r="S28" s="591"/>
      <c r="T28" s="590"/>
      <c r="U28" s="711"/>
      <c r="V28" s="45"/>
      <c r="W28" s="45"/>
      <c r="X28" s="45"/>
      <c r="Y28" s="45"/>
      <c r="Z28" s="45"/>
      <c r="AA28" s="45"/>
      <c r="AB28" s="45"/>
      <c r="AC28" s="45"/>
      <c r="AD28" s="45"/>
      <c r="AE28" s="45"/>
    </row>
    <row r="29" spans="1:31" s="149" customFormat="1">
      <c r="A29" s="317">
        <f>'ADJ DETAIL-INPUT'!V$9</f>
        <v>2.139999999999997</v>
      </c>
      <c r="B29" s="147" t="str">
        <f>TRIM(CONCATENATE('ADJ DETAIL-INPUT'!V$6," ",'ADJ DETAIL-INPUT'!V$7," ",'ADJ DETAIL-INPUT'!V$8))</f>
        <v>Restate Debt Interest</v>
      </c>
      <c r="C29" s="148"/>
      <c r="D29" s="52">
        <v>-1023</v>
      </c>
      <c r="E29" s="52">
        <v>0</v>
      </c>
      <c r="F29" s="148"/>
      <c r="G29" s="134">
        <f>'ADJ DETAIL-INPUT'!V$56</f>
        <v>-525</v>
      </c>
      <c r="H29" s="134">
        <f>'ADJ DETAIL-INPUT'!V$80</f>
        <v>0</v>
      </c>
      <c r="I29" s="170"/>
      <c r="J29" s="51">
        <f>G29-D29</f>
        <v>498</v>
      </c>
      <c r="K29" s="51">
        <f>H29-E29</f>
        <v>0</v>
      </c>
      <c r="L29" s="182"/>
      <c r="M29" s="172">
        <f>J29/$M$9*-1</f>
        <v>-659.34589709437648</v>
      </c>
      <c r="N29" s="172">
        <f>K29*$N$9/$M$9</f>
        <v>0</v>
      </c>
      <c r="O29" s="172">
        <f t="shared" si="17"/>
        <v>695.09356621395114</v>
      </c>
      <c r="P29" s="219">
        <f t="shared" si="18"/>
        <v>-659.34589709437648</v>
      </c>
      <c r="Q29" s="173">
        <f>SUM(M29:N29)</f>
        <v>-659.34589709437648</v>
      </c>
      <c r="R29" s="161"/>
      <c r="S29" s="591"/>
      <c r="T29" s="590"/>
      <c r="U29" s="711"/>
      <c r="V29" s="352"/>
      <c r="W29" s="137"/>
      <c r="X29" s="137"/>
      <c r="Y29" s="137"/>
      <c r="Z29" s="137"/>
      <c r="AA29" s="137"/>
      <c r="AB29" s="137"/>
      <c r="AC29" s="380"/>
      <c r="AD29" s="380"/>
      <c r="AE29" s="380"/>
    </row>
    <row r="30" spans="1:31" s="149" customFormat="1">
      <c r="A30" s="317">
        <f>'ADJ DETAIL-INPUT'!W$9</f>
        <v>2.1499999999999968</v>
      </c>
      <c r="B30" s="147" t="str">
        <f>TRIM(CONCATENATE('ADJ DETAIL-INPUT'!W$6," ",'ADJ DETAIL-INPUT'!W$7," ",'ADJ DETAIL-INPUT'!W$8))</f>
        <v>Restate 09.2021 AMA Rate Base to EOP</v>
      </c>
      <c r="C30" s="148"/>
      <c r="D30" s="52">
        <v>364.56474600000001</v>
      </c>
      <c r="E30" s="52">
        <v>74189</v>
      </c>
      <c r="F30" s="148"/>
      <c r="G30" s="134">
        <f>'ADJ DETAIL-INPUT'!W$56</f>
        <v>384.81834299999997</v>
      </c>
      <c r="H30" s="134">
        <f>'ADJ DETAIL-INPUT'!W$80</f>
        <v>74189</v>
      </c>
      <c r="I30" s="170"/>
      <c r="J30" s="51">
        <f t="shared" ref="J30" si="23">G30-D30</f>
        <v>20.253596999999957</v>
      </c>
      <c r="K30" s="51">
        <f t="shared" ref="K30" si="24">H30-E30</f>
        <v>0</v>
      </c>
      <c r="L30" s="182"/>
      <c r="M30" s="172">
        <f t="shared" ref="M30" si="25">J30/$M$9*-1</f>
        <v>-26.815514223600289</v>
      </c>
      <c r="N30" s="172">
        <f t="shared" ref="N30" si="26">K30*$N$9/$M$9</f>
        <v>0</v>
      </c>
      <c r="O30" s="172">
        <f t="shared" si="17"/>
        <v>6395.7457056457488</v>
      </c>
      <c r="P30" s="219">
        <f t="shared" si="18"/>
        <v>-26.815514223600289</v>
      </c>
      <c r="Q30" s="173">
        <f>SUM(M30:N30)</f>
        <v>-26.815514223600289</v>
      </c>
      <c r="R30" s="401"/>
      <c r="S30" s="591"/>
      <c r="U30" s="712"/>
      <c r="V30" s="492"/>
      <c r="W30" s="137"/>
      <c r="X30" s="492"/>
      <c r="Y30" s="137"/>
      <c r="Z30" s="493"/>
      <c r="AA30" s="137"/>
      <c r="AB30" s="137"/>
      <c r="AC30" s="380"/>
      <c r="AD30" s="380"/>
      <c r="AE30" s="380"/>
    </row>
    <row r="31" spans="1:31" s="44" customFormat="1">
      <c r="A31" s="315">
        <f>'ADJ DETAIL-INPUT'!X$9</f>
        <v>2.1599999999999966</v>
      </c>
      <c r="B31" s="49" t="str">
        <f>TRIM(CONCATENATE('ADJ DETAIL-INPUT'!X$6," ",'ADJ DETAIL-INPUT'!X$7," ",'ADJ DETAIL-INPUT'!X$8))</f>
        <v>Eliminate WA Power Cost Defer</v>
      </c>
      <c r="C31" s="50"/>
      <c r="D31" s="52">
        <v>1679</v>
      </c>
      <c r="E31" s="52">
        <v>0</v>
      </c>
      <c r="F31" s="50"/>
      <c r="G31" s="52">
        <f>'ADJ DETAIL-INPUT'!X$56</f>
        <v>1679</v>
      </c>
      <c r="H31" s="52">
        <f>'ADJ DETAIL-INPUT'!X$80</f>
        <v>0</v>
      </c>
      <c r="I31" s="59"/>
      <c r="J31" s="51">
        <f t="shared" si="7"/>
        <v>0</v>
      </c>
      <c r="K31" s="51">
        <f t="shared" si="8"/>
        <v>0</v>
      </c>
      <c r="L31" s="181"/>
      <c r="M31" s="172">
        <f t="shared" si="9"/>
        <v>0</v>
      </c>
      <c r="N31" s="172">
        <f t="shared" si="10"/>
        <v>0</v>
      </c>
      <c r="O31" s="172">
        <f t="shared" si="17"/>
        <v>-2222.9754241394739</v>
      </c>
      <c r="P31" s="219">
        <f t="shared" si="18"/>
        <v>0</v>
      </c>
      <c r="Q31" s="173">
        <f t="shared" si="12"/>
        <v>0</v>
      </c>
      <c r="R31" s="200"/>
      <c r="S31" s="158"/>
      <c r="T31" s="590"/>
      <c r="U31" s="711"/>
      <c r="V31" s="45"/>
      <c r="W31" s="45"/>
      <c r="X31" s="45"/>
      <c r="Y31" s="45"/>
      <c r="Z31" s="45"/>
      <c r="AA31" s="45"/>
      <c r="AB31" s="45"/>
      <c r="AC31" s="45"/>
      <c r="AD31" s="45"/>
      <c r="AE31" s="45"/>
    </row>
    <row r="32" spans="1:31" s="44" customFormat="1" ht="12" customHeight="1">
      <c r="A32" s="315">
        <f>'ADJ DETAIL-INPUT'!Y$9</f>
        <v>2.1699999999999964</v>
      </c>
      <c r="B32" s="49" t="str">
        <f>TRIM(CONCATENATE('ADJ DETAIL-INPUT'!Y$6," ",'ADJ DETAIL-INPUT'!Y$7," ",'ADJ DETAIL-INPUT'!Y$8))</f>
        <v>Nez Perce Settlement Adjustment</v>
      </c>
      <c r="C32" s="50"/>
      <c r="D32" s="52">
        <v>4.74</v>
      </c>
      <c r="E32" s="52">
        <v>0</v>
      </c>
      <c r="F32" s="50"/>
      <c r="G32" s="52">
        <f>'ADJ DETAIL-INPUT'!Y$56</f>
        <v>4.74</v>
      </c>
      <c r="H32" s="52">
        <f>'ADJ DETAIL-INPUT'!Y$80</f>
        <v>0</v>
      </c>
      <c r="I32" s="59"/>
      <c r="J32" s="51">
        <f t="shared" si="7"/>
        <v>0</v>
      </c>
      <c r="K32" s="51">
        <f t="shared" si="8"/>
        <v>0</v>
      </c>
      <c r="L32" s="181"/>
      <c r="M32" s="172">
        <f t="shared" si="9"/>
        <v>0</v>
      </c>
      <c r="N32" s="172">
        <f t="shared" si="10"/>
        <v>0</v>
      </c>
      <c r="O32" s="172">
        <f t="shared" si="17"/>
        <v>-6.2757019121031012</v>
      </c>
      <c r="P32" s="219">
        <f t="shared" si="18"/>
        <v>0</v>
      </c>
      <c r="Q32" s="173">
        <f t="shared" si="12"/>
        <v>0</v>
      </c>
      <c r="R32" s="200"/>
      <c r="S32" s="591"/>
      <c r="T32" s="590"/>
      <c r="U32" s="711"/>
      <c r="V32" s="45"/>
      <c r="W32" s="45"/>
      <c r="X32" s="45"/>
      <c r="Y32" s="45"/>
      <c r="Z32" s="45"/>
      <c r="AA32" s="45"/>
      <c r="AB32" s="45"/>
      <c r="AC32" s="45"/>
      <c r="AD32" s="45"/>
      <c r="AE32" s="45"/>
    </row>
    <row r="33" spans="1:31">
      <c r="A33" s="436">
        <f>'ADJ DETAIL-INPUT'!Z$9</f>
        <v>2.1799999999999962</v>
      </c>
      <c r="B33" s="358" t="str">
        <f>TRIM(CONCATENATE('ADJ DETAIL-INPUT'!Z$6," ",'ADJ DETAIL-INPUT'!Z$7," ",'ADJ DETAIL-INPUT'!Z$8))</f>
        <v>Normalize CS2/Colstrip Major Maint</v>
      </c>
      <c r="C33" s="167"/>
      <c r="D33" s="52">
        <v>1338.26</v>
      </c>
      <c r="E33" s="52">
        <v>0</v>
      </c>
      <c r="F33" s="129"/>
      <c r="G33" s="109">
        <f>'ADJ DETAIL-INPUT'!Z$56</f>
        <v>1338.26</v>
      </c>
      <c r="H33" s="109">
        <f>'ADJ DETAIL-INPUT'!Z$80</f>
        <v>0</v>
      </c>
      <c r="I33" s="59"/>
      <c r="J33" s="51">
        <f>G33-D33</f>
        <v>0</v>
      </c>
      <c r="K33" s="51">
        <f>H33-E33</f>
        <v>0</v>
      </c>
      <c r="L33" s="29"/>
      <c r="M33" s="172">
        <f>J33/$M$9*-1</f>
        <v>0</v>
      </c>
      <c r="N33" s="172">
        <f>K33*$N$9/$M$9</f>
        <v>0</v>
      </c>
      <c r="O33" s="172">
        <f t="shared" ref="O33" si="27">(H33*$N$9/$M$9)-(G33/$M$9)</f>
        <v>-1771.8398398504423</v>
      </c>
      <c r="P33" s="219">
        <f t="shared" ref="P33" si="28">SUM(M33:N33)</f>
        <v>0</v>
      </c>
      <c r="Q33" s="173">
        <f t="shared" si="12"/>
        <v>0</v>
      </c>
      <c r="R33" s="161"/>
      <c r="S33" s="591"/>
      <c r="U33" s="708"/>
      <c r="V33" s="27"/>
      <c r="W33" s="27"/>
      <c r="X33" s="27"/>
      <c r="Y33" s="27"/>
      <c r="Z33" s="27"/>
      <c r="AA33" s="27"/>
      <c r="AB33" s="27"/>
      <c r="AC33" s="27"/>
      <c r="AD33" s="27"/>
      <c r="AE33" s="27"/>
    </row>
    <row r="34" spans="1:31" s="149" customFormat="1">
      <c r="A34" s="317">
        <f>'ADJ DETAIL-INPUT'!AA$9</f>
        <v>2.1899999999999959</v>
      </c>
      <c r="B34" s="147" t="str">
        <f>TRIM(CONCATENATE('ADJ DETAIL-INPUT'!AA$6," ",'ADJ DETAIL-INPUT'!AA$7," ",'ADJ DETAIL-INPUT'!AA$8))</f>
        <v>Authorized Power Supply</v>
      </c>
      <c r="C34" s="148"/>
      <c r="D34" s="52">
        <v>4323.67</v>
      </c>
      <c r="E34" s="52">
        <v>0</v>
      </c>
      <c r="F34" s="148"/>
      <c r="G34" s="134">
        <f>'ADJ DETAIL-INPUT'!AA$56</f>
        <v>4323.67</v>
      </c>
      <c r="H34" s="134">
        <f>'ADJ DETAIL-INPUT'!AA$80</f>
        <v>0</v>
      </c>
      <c r="I34" s="170"/>
      <c r="J34" s="51">
        <f t="shared" ref="J34" si="29">G34-D34</f>
        <v>0</v>
      </c>
      <c r="K34" s="51">
        <f t="shared" ref="K34" si="30">H34-E34</f>
        <v>0</v>
      </c>
      <c r="L34" s="182"/>
      <c r="M34" s="172">
        <f t="shared" ref="M34" si="31">J34/$M$9*-1</f>
        <v>0</v>
      </c>
      <c r="N34" s="172">
        <f t="shared" ref="N34" si="32">K34*$N$9/$M$9</f>
        <v>0</v>
      </c>
      <c r="O34" s="172">
        <f>(H34*$N$9/$M$9)-(G34/$M$9)</f>
        <v>-5724.4860941567122</v>
      </c>
      <c r="P34" s="219">
        <f>SUM(M34:N34)</f>
        <v>0</v>
      </c>
      <c r="Q34" s="173">
        <f t="shared" si="12"/>
        <v>0</v>
      </c>
      <c r="R34" s="401"/>
      <c r="S34" s="591"/>
      <c r="U34" s="712"/>
      <c r="V34" s="137"/>
      <c r="W34" s="137"/>
      <c r="X34" s="137"/>
      <c r="Y34" s="137"/>
      <c r="Z34" s="137"/>
      <c r="AA34" s="137"/>
      <c r="AB34" s="137"/>
      <c r="AC34" s="380"/>
      <c r="AD34" s="380"/>
      <c r="AE34" s="380"/>
    </row>
    <row r="35" spans="1:31" s="149" customFormat="1">
      <c r="A35" s="317">
        <f>'ADJ DETAIL-INPUT'!AB$9</f>
        <v>2.1999999999999957</v>
      </c>
      <c r="B35" s="147" t="str">
        <f>TRIM(CONCATENATE('ADJ DETAIL-INPUT'!AB$6," ",'ADJ DETAIL-INPUT'!AB$7," ",'ADJ DETAIL-INPUT'!AB$8))</f>
        <v>Restate 09.2021 Tax Credit Regulatory Liability to EOP</v>
      </c>
      <c r="C35" s="148"/>
      <c r="D35" s="52">
        <v>-122.36842800000001</v>
      </c>
      <c r="E35" s="52">
        <v>-24902</v>
      </c>
      <c r="F35" s="148"/>
      <c r="G35" s="134">
        <f>'ADJ DETAIL-INPUT'!AB$56</f>
        <v>-129.166674</v>
      </c>
      <c r="H35" s="134">
        <f>'ADJ DETAIL-INPUT'!AB$80</f>
        <v>-24902</v>
      </c>
      <c r="I35" s="170"/>
      <c r="J35" s="51">
        <f t="shared" ref="J35" si="33">G35-D35</f>
        <v>-6.7982459999999918</v>
      </c>
      <c r="K35" s="51">
        <f t="shared" ref="K35" si="34">H35-E35</f>
        <v>0</v>
      </c>
      <c r="L35" s="182"/>
      <c r="M35" s="172">
        <f t="shared" ref="M35" si="35">J35/$M$9*-1</f>
        <v>9.0007943926470908</v>
      </c>
      <c r="N35" s="172">
        <f t="shared" ref="N35" si="36">K35*$N$9/$M$9</f>
        <v>0</v>
      </c>
      <c r="O35" s="172">
        <f>(H35*$N$9/$M$9)-(G35/$M$9)</f>
        <v>-2146.7718875034093</v>
      </c>
      <c r="P35" s="219">
        <f>SUM(M35:N35)</f>
        <v>9.0007943926470908</v>
      </c>
      <c r="Q35" s="173">
        <f t="shared" ref="Q35" si="37">SUM(M35:N35)</f>
        <v>9.0007943926470908</v>
      </c>
      <c r="R35" s="1140"/>
      <c r="S35" s="591"/>
      <c r="U35" s="712"/>
      <c r="V35" s="137"/>
      <c r="W35" s="137"/>
      <c r="X35" s="137"/>
      <c r="Y35" s="137"/>
      <c r="Z35" s="137"/>
      <c r="AA35" s="137"/>
      <c r="AB35" s="137"/>
      <c r="AC35" s="380"/>
      <c r="AD35" s="380"/>
      <c r="AE35" s="380"/>
    </row>
    <row r="36" spans="1:31" s="107" customFormat="1" ht="3.75" customHeight="1">
      <c r="A36" s="318"/>
      <c r="B36" s="49"/>
      <c r="C36" s="50"/>
      <c r="D36" s="189"/>
      <c r="E36" s="189"/>
      <c r="F36" s="50"/>
      <c r="G36" s="121"/>
      <c r="H36" s="121"/>
      <c r="I36" s="59"/>
      <c r="J36" s="191"/>
      <c r="K36" s="621"/>
      <c r="L36" s="183"/>
      <c r="M36" s="192"/>
      <c r="N36" s="192"/>
      <c r="O36" s="172"/>
      <c r="P36" s="218"/>
      <c r="Q36" s="212"/>
      <c r="R36" s="227"/>
      <c r="S36" s="591"/>
      <c r="U36" s="708"/>
      <c r="V36" s="488"/>
      <c r="W36" s="27"/>
      <c r="X36" s="488"/>
      <c r="Y36" s="27"/>
      <c r="Z36" s="488"/>
      <c r="AA36" s="27"/>
      <c r="AB36" s="27"/>
      <c r="AC36" s="494"/>
      <c r="AD36" s="494"/>
      <c r="AE36" s="494"/>
    </row>
    <row r="37" spans="1:31" ht="13.5" thickBot="1">
      <c r="A37" s="319"/>
      <c r="B37" s="25" t="s">
        <v>84</v>
      </c>
      <c r="D37" s="42">
        <f>SUM(D14:D36)</f>
        <v>108895.94853400001</v>
      </c>
      <c r="E37" s="42">
        <f>SUM(E14:E36)</f>
        <v>1872987</v>
      </c>
      <c r="G37" s="42">
        <f>SUM(G14:G36)</f>
        <v>109407.14289700003</v>
      </c>
      <c r="H37" s="42">
        <f>SUM(H14:H36)</f>
        <v>1872987</v>
      </c>
      <c r="I37" s="57"/>
      <c r="J37" s="42">
        <f>SUM(J14:J36)</f>
        <v>511.1943629999999</v>
      </c>
      <c r="K37" s="622">
        <f>SUM(K14:K36)</f>
        <v>0</v>
      </c>
      <c r="L37" s="28"/>
      <c r="M37" s="42">
        <f>SUM(M14:M36)</f>
        <v>-676.81507201169336</v>
      </c>
      <c r="N37" s="42">
        <f>SUM(N14:N36)</f>
        <v>0</v>
      </c>
      <c r="O37" s="172">
        <f t="shared" si="5"/>
        <v>29477.055561145709</v>
      </c>
      <c r="R37" s="161"/>
      <c r="S37" s="214"/>
      <c r="U37" s="708"/>
      <c r="V37" s="33"/>
      <c r="W37" s="27"/>
      <c r="X37" s="33"/>
      <c r="Y37" s="27"/>
      <c r="Z37" s="488"/>
      <c r="AA37" s="27"/>
      <c r="AB37" s="27"/>
      <c r="AC37" s="27"/>
      <c r="AD37" s="27"/>
      <c r="AE37" s="27"/>
    </row>
    <row r="38" spans="1:31" ht="14.25" customHeight="1" thickTop="1">
      <c r="A38" s="1148" t="s">
        <v>1110</v>
      </c>
      <c r="B38" s="145"/>
      <c r="C38" s="145"/>
      <c r="D38" s="145"/>
      <c r="E38" s="145"/>
      <c r="G38" s="119"/>
      <c r="H38" s="33"/>
      <c r="I38" s="57"/>
      <c r="J38" s="34"/>
      <c r="K38" s="623"/>
      <c r="L38" s="28"/>
      <c r="O38" s="172">
        <f t="shared" si="5"/>
        <v>0</v>
      </c>
      <c r="R38" s="624"/>
      <c r="S38" s="123"/>
      <c r="U38" s="713"/>
      <c r="V38" s="33"/>
      <c r="W38" s="27"/>
      <c r="X38" s="33"/>
      <c r="Y38" s="27"/>
      <c r="Z38" s="488"/>
      <c r="AA38" s="27"/>
      <c r="AB38" s="27"/>
      <c r="AC38" s="27"/>
      <c r="AD38" s="27"/>
      <c r="AE38" s="27"/>
    </row>
    <row r="39" spans="1:31">
      <c r="A39" s="317" t="str">
        <f>'ADJ DETAIL-INPUT'!AD$9</f>
        <v>3.00P</v>
      </c>
      <c r="B39" s="147" t="str">
        <f>TRIM(CONCATENATE('ADJ DETAIL-INPUT'!AD$6," ",'ADJ DETAIL-INPUT'!AD$7," ",'ADJ DETAIL-INPUT'!AD$8))</f>
        <v>Pro Forma Power Supply</v>
      </c>
      <c r="C39" s="148"/>
      <c r="D39" s="52">
        <v>16242.400000000001</v>
      </c>
      <c r="E39" s="52">
        <v>0</v>
      </c>
      <c r="F39" s="50"/>
      <c r="G39" s="52">
        <f>'ADJ DETAIL-INPUT'!AD$56</f>
        <v>16242.400000000001</v>
      </c>
      <c r="H39" s="52">
        <f>'ADJ DETAIL-INPUT'!AD$80</f>
        <v>0</v>
      </c>
      <c r="I39" s="59"/>
      <c r="J39" s="51">
        <f t="shared" ref="J39:J61" si="38">G39-D39</f>
        <v>0</v>
      </c>
      <c r="K39" s="51">
        <f t="shared" ref="K39:K61" si="39">H39-E39</f>
        <v>0</v>
      </c>
      <c r="L39" s="28"/>
      <c r="M39" s="172">
        <f t="shared" ref="M39:M61" si="40">J39/$M$9*-1</f>
        <v>0</v>
      </c>
      <c r="N39" s="172">
        <f t="shared" ref="N39:N61" si="41">K39*$N$9/$M$9</f>
        <v>0</v>
      </c>
      <c r="O39" s="172">
        <f t="shared" ref="O39:O49" si="42">(H39*$N$9/$M$9)-(G39/$M$9)</f>
        <v>-21504.738552139963</v>
      </c>
      <c r="P39" s="219">
        <f t="shared" ref="P39:P49" si="43">SUM(M39:N39)</f>
        <v>0</v>
      </c>
      <c r="Q39" s="173">
        <f t="shared" ref="Q39:Q61" si="44">SUM(M39:N39)</f>
        <v>0</v>
      </c>
      <c r="R39" s="161"/>
      <c r="S39" s="138"/>
      <c r="U39" s="708"/>
      <c r="V39" s="27"/>
      <c r="W39" s="27"/>
      <c r="X39" s="33"/>
      <c r="Y39" s="27"/>
      <c r="Z39" s="488"/>
      <c r="AA39" s="27"/>
      <c r="AB39" s="27"/>
      <c r="AC39" s="27"/>
      <c r="AD39" s="27"/>
      <c r="AE39" s="27"/>
    </row>
    <row r="40" spans="1:31">
      <c r="A40" s="317" t="str">
        <f>'ADJ DETAIL-INPUT'!AE$9</f>
        <v>3.00T</v>
      </c>
      <c r="B40" s="147" t="str">
        <f>TRIM(CONCATENATE('ADJ DETAIL-INPUT'!AE$6," ",'ADJ DETAIL-INPUT'!AE$7," ",'ADJ DETAIL-INPUT'!AE$8))</f>
        <v>Pro Forma Transmission Revenue/Expense</v>
      </c>
      <c r="C40" s="148"/>
      <c r="D40" s="150">
        <v>8375.58</v>
      </c>
      <c r="E40" s="150">
        <v>0</v>
      </c>
      <c r="F40" s="148"/>
      <c r="G40" s="150">
        <f>'ADJ DETAIL-INPUT'!AE$56</f>
        <v>8375.58</v>
      </c>
      <c r="H40" s="150">
        <f>'ADJ DETAIL-INPUT'!AE$80</f>
        <v>0</v>
      </c>
      <c r="I40" s="379"/>
      <c r="J40" s="213">
        <f t="shared" ref="J40" si="45">G40-D40</f>
        <v>0</v>
      </c>
      <c r="K40" s="213">
        <f t="shared" ref="K40" si="46">H40-E40</f>
        <v>0</v>
      </c>
      <c r="L40" s="625"/>
      <c r="M40" s="626">
        <f t="shared" ref="M40" si="47">J40/$M$9*-1</f>
        <v>0</v>
      </c>
      <c r="N40" s="626">
        <f t="shared" ref="N40" si="48">K40*$N$9/$M$9</f>
        <v>0</v>
      </c>
      <c r="O40" s="626">
        <f t="shared" ref="O40" si="49">(H40*$N$9/$M$9)-(G40/$M$9)</f>
        <v>-11089.16527868618</v>
      </c>
      <c r="P40" s="219">
        <f t="shared" ref="P40" si="50">SUM(M40:N40)</f>
        <v>0</v>
      </c>
      <c r="Q40" s="173">
        <f t="shared" ref="Q40" si="51">SUM(M40:N40)</f>
        <v>0</v>
      </c>
      <c r="R40" s="401"/>
      <c r="S40" s="214"/>
      <c r="U40" s="708"/>
      <c r="V40" s="27"/>
      <c r="W40" s="27"/>
      <c r="X40" s="33"/>
      <c r="Y40" s="27"/>
      <c r="Z40" s="488"/>
      <c r="AA40" s="27"/>
      <c r="AB40" s="27"/>
      <c r="AC40" s="27"/>
      <c r="AD40" s="27"/>
      <c r="AE40" s="27"/>
    </row>
    <row r="41" spans="1:31">
      <c r="A41" s="317">
        <f>'ADJ DETAIL-INPUT'!AF$9</f>
        <v>3.01</v>
      </c>
      <c r="B41" s="147" t="str">
        <f>TRIM(CONCATENATE('ADJ DETAIL-INPUT'!AF$6," ",'ADJ DETAIL-INPUT'!AF$7," ",'ADJ DETAIL-INPUT'!AF$8))</f>
        <v>Pro Forma Revenue Normalization</v>
      </c>
      <c r="C41" s="148"/>
      <c r="D41" s="52">
        <v>10040.9</v>
      </c>
      <c r="E41" s="52">
        <v>0</v>
      </c>
      <c r="F41" s="50"/>
      <c r="G41" s="52">
        <f>'ADJ DETAIL-INPUT'!AF$56</f>
        <v>10040.9</v>
      </c>
      <c r="H41" s="52">
        <f>'ADJ DETAIL-INPUT'!AF$80</f>
        <v>0</v>
      </c>
      <c r="I41" s="59"/>
      <c r="J41" s="51">
        <f t="shared" ref="J41" si="52">G41-D41</f>
        <v>0</v>
      </c>
      <c r="K41" s="51">
        <f t="shared" ref="K41" si="53">H41-E41</f>
        <v>0</v>
      </c>
      <c r="L41" s="616"/>
      <c r="M41" s="172">
        <f t="shared" ref="M41" si="54">J41/$M$9*-1</f>
        <v>0</v>
      </c>
      <c r="N41" s="172">
        <f t="shared" ref="N41" si="55">K41*$N$9/$M$9</f>
        <v>0</v>
      </c>
      <c r="O41" s="172">
        <f t="shared" ref="O41" si="56">(H41*$N$9/$M$9)-(G41/$M$9)</f>
        <v>-13294.028550471736</v>
      </c>
      <c r="P41" s="219">
        <f t="shared" ref="P41" si="57">SUM(M41:N41)</f>
        <v>0</v>
      </c>
      <c r="Q41" s="173">
        <f t="shared" ref="Q41" si="58">SUM(M41:N41)</f>
        <v>0</v>
      </c>
      <c r="R41" s="401"/>
      <c r="S41" s="214"/>
      <c r="U41" s="708"/>
      <c r="V41" s="27"/>
      <c r="W41" s="27"/>
      <c r="X41" s="33"/>
      <c r="Y41" s="27"/>
      <c r="Z41" s="488"/>
      <c r="AA41" s="27"/>
      <c r="AB41" s="27"/>
      <c r="AC41" s="27"/>
      <c r="AD41" s="27"/>
      <c r="AE41" s="27"/>
    </row>
    <row r="42" spans="1:31">
      <c r="A42" s="317">
        <f>'ADJ DETAIL-INPUT'!AG$9</f>
        <v>3.0199999999999996</v>
      </c>
      <c r="B42" s="49" t="str">
        <f>TRIM(CONCATENATE('ADJ DETAIL-INPUT'!AG$6," ",'ADJ DETAIL-INPUT'!AG$7," ",'ADJ DETAIL-INPUT'!AG$8))</f>
        <v>Pro Forma Def. Debits, Credits &amp; Regulatory Amorts</v>
      </c>
      <c r="C42" s="50"/>
      <c r="D42" s="52">
        <v>-906.26267800000005</v>
      </c>
      <c r="E42" s="52">
        <v>-27</v>
      </c>
      <c r="F42" s="50"/>
      <c r="G42" s="52">
        <f>'ADJ DETAIL-INPUT'!AG$56</f>
        <v>-906.27004899999997</v>
      </c>
      <c r="H42" s="52">
        <f>'ADJ DETAIL-INPUT'!AG$80</f>
        <v>-27</v>
      </c>
      <c r="I42" s="59"/>
      <c r="J42" s="51">
        <f t="shared" ref="J42:K44" si="59">G42-D42</f>
        <v>-7.3709999999209685E-3</v>
      </c>
      <c r="K42" s="51">
        <f t="shared" si="59"/>
        <v>0</v>
      </c>
      <c r="M42" s="172">
        <f>J42/$M$9*-1</f>
        <v>9.7591136695392364E-3</v>
      </c>
      <c r="N42" s="172">
        <f>K42*$N$9/$M$9</f>
        <v>0</v>
      </c>
      <c r="O42" s="172">
        <f>(H42*$N$9/$M$9)-(G42/$M$9)</f>
        <v>1197.3773775509933</v>
      </c>
      <c r="P42" s="219">
        <f>SUM(M42:N42)</f>
        <v>9.7591136695392364E-3</v>
      </c>
      <c r="Q42" s="173">
        <f>SUM(M42:N42)</f>
        <v>9.7591136695392364E-3</v>
      </c>
      <c r="R42" s="199"/>
      <c r="S42" s="217"/>
      <c r="U42" s="599"/>
      <c r="V42" s="27"/>
      <c r="W42" s="27"/>
      <c r="X42" s="27"/>
      <c r="Y42" s="27"/>
      <c r="Z42" s="27"/>
      <c r="AA42" s="27"/>
      <c r="AB42" s="27"/>
      <c r="AC42" s="27"/>
      <c r="AD42" s="27"/>
      <c r="AE42" s="27"/>
    </row>
    <row r="43" spans="1:31">
      <c r="A43" s="317">
        <f>'ADJ DETAIL-INPUT'!AH$9</f>
        <v>3.0299999999999994</v>
      </c>
      <c r="B43" s="49" t="str">
        <f>TRIM(CONCATENATE('ADJ DETAIL-INPUT'!AH$6," ",'ADJ DETAIL-INPUT'!AH$7," ",'ADJ DETAIL-INPUT'!AH$8))</f>
        <v>Pro Forma 2023 ARAM DFIT</v>
      </c>
      <c r="C43" s="50"/>
      <c r="D43" s="52">
        <v>-634</v>
      </c>
      <c r="E43" s="52">
        <v>0</v>
      </c>
      <c r="F43" s="50"/>
      <c r="G43" s="52">
        <f>'ADJ DETAIL-INPUT'!AH$56</f>
        <v>-634</v>
      </c>
      <c r="H43" s="52">
        <f>'ADJ DETAIL-INPUT'!AH$80</f>
        <v>0</v>
      </c>
      <c r="I43" s="59"/>
      <c r="J43" s="51">
        <f t="shared" si="59"/>
        <v>0</v>
      </c>
      <c r="K43" s="51">
        <f t="shared" si="59"/>
        <v>0</v>
      </c>
      <c r="M43" s="172">
        <f>J43/$M$9*-1</f>
        <v>0</v>
      </c>
      <c r="N43" s="172">
        <f>K43*$N$9/$M$9</f>
        <v>0</v>
      </c>
      <c r="O43" s="172">
        <f>(H43*$N$9/$M$9)-(G43/$M$9)</f>
        <v>839.40823043741909</v>
      </c>
      <c r="P43" s="219">
        <f>SUM(M43:N43)</f>
        <v>0</v>
      </c>
      <c r="Q43" s="173">
        <f>SUM(M43:N43)</f>
        <v>0</v>
      </c>
      <c r="R43" s="199"/>
      <c r="S43" s="217"/>
      <c r="U43" s="599"/>
      <c r="V43" s="27"/>
      <c r="W43" s="27"/>
      <c r="X43" s="27"/>
      <c r="Y43" s="27"/>
      <c r="Z43" s="27"/>
      <c r="AA43" s="27"/>
      <c r="AB43" s="27"/>
      <c r="AC43" s="27"/>
      <c r="AD43" s="27"/>
      <c r="AE43" s="27"/>
    </row>
    <row r="44" spans="1:31" s="145" customFormat="1" ht="11.25" customHeight="1">
      <c r="A44" s="317">
        <f>'ADJ DETAIL-INPUT'!AI$9</f>
        <v>3.0399999999999991</v>
      </c>
      <c r="B44" s="147" t="str">
        <f>TRIM(CONCATENATE('ADJ DETAIL-INPUT'!AI$6," ",'ADJ DETAIL-INPUT'!AI$7," ",'ADJ DETAIL-INPUT'!AI$8))</f>
        <v>Pro Forma AMI Amortization</v>
      </c>
      <c r="C44" s="148"/>
      <c r="D44" s="52">
        <v>-8347.9708620000001</v>
      </c>
      <c r="E44" s="52">
        <v>30417</v>
      </c>
      <c r="F44" s="148"/>
      <c r="G44" s="150">
        <f>'ADJ DETAIL-INPUT'!AI$56</f>
        <v>-8339.6670210000011</v>
      </c>
      <c r="H44" s="150">
        <f>'ADJ DETAIL-INPUT'!AI$80</f>
        <v>30417</v>
      </c>
      <c r="I44" s="171"/>
      <c r="J44" s="51">
        <f t="shared" si="59"/>
        <v>8.3038409999990108</v>
      </c>
      <c r="K44" s="51">
        <f t="shared" si="59"/>
        <v>0</v>
      </c>
      <c r="L44" s="474"/>
      <c r="M44" s="172">
        <f>J44/$M$9*-1</f>
        <v>-10.99418372183416</v>
      </c>
      <c r="N44" s="172">
        <f>K44*$N$9/$M$9</f>
        <v>0</v>
      </c>
      <c r="O44" s="172">
        <f>(H44*$N$9/$M$9)-(G44/$M$9)</f>
        <v>13872.719922308401</v>
      </c>
      <c r="P44" s="219">
        <f>SUM(M44:N44)</f>
        <v>-10.99418372183416</v>
      </c>
      <c r="Q44" s="173">
        <f>SUM(M44:N44)</f>
        <v>-10.99418372183416</v>
      </c>
      <c r="R44" s="401"/>
      <c r="S44" s="214"/>
      <c r="U44" s="352"/>
      <c r="V44" s="33"/>
      <c r="W44" s="137"/>
      <c r="X44" s="47"/>
      <c r="Y44" s="137"/>
      <c r="Z44" s="137"/>
      <c r="AA44" s="137"/>
      <c r="AB44" s="137"/>
      <c r="AC44" s="137"/>
      <c r="AD44" s="137"/>
      <c r="AE44" s="137"/>
    </row>
    <row r="45" spans="1:31">
      <c r="A45" s="436">
        <f>'ADJ DETAIL-INPUT'!AJ$9</f>
        <v>3.0499999999999989</v>
      </c>
      <c r="B45" s="358" t="str">
        <f>TRIM(CONCATENATE('ADJ DETAIL-INPUT'!AJ$6," ",'ADJ DETAIL-INPUT'!AJ$7," ",'ADJ DETAIL-INPUT'!AJ$8))</f>
        <v>Pro Forma Colstrip Trust Fund &amp; Other Amortizations</v>
      </c>
      <c r="C45" s="167"/>
      <c r="D45" s="52">
        <v>-694.80500000000006</v>
      </c>
      <c r="E45" s="52">
        <v>0</v>
      </c>
      <c r="F45" s="129"/>
      <c r="G45" s="109">
        <f>'ADJ DETAIL-INPUT'!AJ$56</f>
        <v>-694.80500000000006</v>
      </c>
      <c r="H45" s="109">
        <f>'ADJ DETAIL-INPUT'!AJ$80</f>
        <v>0</v>
      </c>
      <c r="I45" s="59"/>
      <c r="J45" s="51">
        <f t="shared" ref="J45" si="60">G45-D45</f>
        <v>0</v>
      </c>
      <c r="K45" s="51">
        <f t="shared" ref="K45" si="61">H45-E45</f>
        <v>0</v>
      </c>
      <c r="L45" s="27"/>
      <c r="M45" s="172">
        <f t="shared" ref="M45" si="62">J45/$M$9*-1</f>
        <v>0</v>
      </c>
      <c r="N45" s="172">
        <f t="shared" ref="N45" si="63">K45*$N$9/$M$9</f>
        <v>0</v>
      </c>
      <c r="O45" s="172">
        <f t="shared" ref="O45" si="64">(H45*$N$9/$M$9)-(G45/$M$9)</f>
        <v>919.91330528244634</v>
      </c>
      <c r="P45" s="219">
        <f t="shared" ref="P45" si="65">SUM(M45:N45)</f>
        <v>0</v>
      </c>
      <c r="Q45" s="173">
        <f>SUM(M45:N45)</f>
        <v>0</v>
      </c>
      <c r="R45" s="199"/>
      <c r="S45" s="217"/>
      <c r="V45" s="138"/>
    </row>
    <row r="46" spans="1:31">
      <c r="A46" s="436">
        <f>'ADJ DETAIL-INPUT'!AK$9</f>
        <v>3.0599999999999987</v>
      </c>
      <c r="B46" s="358" t="str">
        <f>TRIM(CONCATENATE('ADJ DETAIL-INPUT'!AK$6," ",'ADJ DETAIL-INPUT'!AK$7," ",'ADJ DETAIL-INPUT'!AK$8))</f>
        <v>Pro Forma CETA Labor Exp</v>
      </c>
      <c r="C46" s="167"/>
      <c r="D46" s="52">
        <v>-282.02999999999997</v>
      </c>
      <c r="E46" s="52">
        <v>0</v>
      </c>
      <c r="F46" s="129"/>
      <c r="G46" s="109">
        <f>'ADJ DETAIL-INPUT'!AK$56</f>
        <v>-282.02999999999997</v>
      </c>
      <c r="H46" s="109">
        <f>'ADJ DETAIL-INPUT'!AK$80</f>
        <v>0</v>
      </c>
      <c r="I46" s="59"/>
      <c r="J46" s="51">
        <f t="shared" ref="J46" si="66">G46-D46</f>
        <v>0</v>
      </c>
      <c r="K46" s="51">
        <f t="shared" ref="K46" si="67">H46-E46</f>
        <v>0</v>
      </c>
      <c r="L46" s="27"/>
      <c r="M46" s="172">
        <f t="shared" ref="M46" si="68">J46/$M$9*-1</f>
        <v>0</v>
      </c>
      <c r="N46" s="172">
        <f t="shared" ref="N46" si="69">K46*$N$9/$M$9</f>
        <v>0</v>
      </c>
      <c r="O46" s="172">
        <f t="shared" ref="O46" si="70">(H46*$N$9/$M$9)-(G46/$M$9)</f>
        <v>373.40426377013449</v>
      </c>
      <c r="P46" s="219">
        <f t="shared" ref="P46" si="71">SUM(M46:N46)</f>
        <v>0</v>
      </c>
      <c r="Q46" s="173">
        <f>SUM(M46:N46)</f>
        <v>0</v>
      </c>
      <c r="R46" s="199"/>
      <c r="S46" s="217"/>
      <c r="U46" s="1143"/>
      <c r="V46" s="138"/>
    </row>
    <row r="47" spans="1:31">
      <c r="A47" s="317">
        <f>'ADJ DETAIL-INPUT'!AL$9</f>
        <v>3.0699999999999985</v>
      </c>
      <c r="B47" s="147" t="str">
        <f>TRIM(CONCATENATE('ADJ DETAIL-INPUT'!AL$6," ",'ADJ DETAIL-INPUT'!AL$7," ",'ADJ DETAIL-INPUT'!AL$8))</f>
        <v>Pro Forma Non-Exec Labor &amp; Union Incentive</v>
      </c>
      <c r="C47" s="148"/>
      <c r="D47" s="52">
        <v>-4849.8099999999995</v>
      </c>
      <c r="E47" s="52">
        <v>0</v>
      </c>
      <c r="F47" s="50"/>
      <c r="G47" s="52">
        <f>'ADJ DETAIL-INPUT'!AL$56</f>
        <v>-4849.8099999999995</v>
      </c>
      <c r="H47" s="52">
        <f>'ADJ DETAIL-INPUT'!AL$80</f>
        <v>0</v>
      </c>
      <c r="I47" s="59"/>
      <c r="J47" s="51">
        <f t="shared" si="38"/>
        <v>0</v>
      </c>
      <c r="K47" s="51">
        <f t="shared" si="39"/>
        <v>0</v>
      </c>
      <c r="L47" s="28"/>
      <c r="M47" s="172">
        <f t="shared" si="40"/>
        <v>0</v>
      </c>
      <c r="N47" s="172">
        <f t="shared" si="41"/>
        <v>0</v>
      </c>
      <c r="O47" s="172">
        <f t="shared" si="42"/>
        <v>6421.089006400156</v>
      </c>
      <c r="P47" s="219">
        <f t="shared" si="43"/>
        <v>0</v>
      </c>
      <c r="Q47" s="173">
        <f t="shared" si="44"/>
        <v>0</v>
      </c>
      <c r="R47" s="161"/>
      <c r="S47" s="214"/>
      <c r="U47" s="708"/>
      <c r="V47" s="488"/>
      <c r="W47" s="27"/>
      <c r="X47" s="488"/>
      <c r="Y47" s="27"/>
      <c r="Z47" s="488"/>
      <c r="AA47" s="27"/>
      <c r="AB47" s="27"/>
      <c r="AC47" s="27"/>
      <c r="AD47" s="27"/>
      <c r="AE47" s="27"/>
    </row>
    <row r="48" spans="1:31" ht="12" customHeight="1">
      <c r="A48" s="317">
        <f>'ADJ DETAIL-INPUT'!AM$9</f>
        <v>3.0799999999999983</v>
      </c>
      <c r="B48" s="147" t="str">
        <f>TRIM(CONCATENATE('ADJ DETAIL-INPUT'!AM$6," ",'ADJ DETAIL-INPUT'!AM$7," ",'ADJ DETAIL-INPUT'!AM$8))</f>
        <v>Pro Forma Labor Exec</v>
      </c>
      <c r="C48" s="148"/>
      <c r="D48" s="52">
        <v>-50.56</v>
      </c>
      <c r="E48" s="52">
        <v>0</v>
      </c>
      <c r="F48" s="50"/>
      <c r="G48" s="52">
        <f>'ADJ DETAIL-INPUT'!AM$56</f>
        <v>-50.56</v>
      </c>
      <c r="H48" s="52">
        <f>'ADJ DETAIL-INPUT'!AM$80</f>
        <v>0</v>
      </c>
      <c r="I48" s="59"/>
      <c r="J48" s="51">
        <f t="shared" si="38"/>
        <v>0</v>
      </c>
      <c r="K48" s="51">
        <f t="shared" si="39"/>
        <v>0</v>
      </c>
      <c r="L48" s="28"/>
      <c r="M48" s="172">
        <f t="shared" si="40"/>
        <v>0</v>
      </c>
      <c r="N48" s="172">
        <f t="shared" si="41"/>
        <v>0</v>
      </c>
      <c r="O48" s="172">
        <f t="shared" si="42"/>
        <v>66.940820395766423</v>
      </c>
      <c r="P48" s="219">
        <f t="shared" si="43"/>
        <v>0</v>
      </c>
      <c r="Q48" s="173">
        <f t="shared" si="44"/>
        <v>0</v>
      </c>
      <c r="R48" s="161"/>
      <c r="S48" s="214"/>
      <c r="U48" s="708"/>
      <c r="V48" s="27"/>
      <c r="W48" s="27"/>
      <c r="X48" s="27"/>
      <c r="Y48" s="27"/>
      <c r="Z48" s="27"/>
      <c r="AA48" s="27"/>
      <c r="AB48" s="27"/>
      <c r="AC48" s="27"/>
      <c r="AD48" s="27"/>
      <c r="AE48" s="27"/>
    </row>
    <row r="49" spans="1:31">
      <c r="A49" s="317">
        <f>'ADJ DETAIL-INPUT'!AN$9</f>
        <v>3.0899999999999981</v>
      </c>
      <c r="B49" s="147" t="str">
        <f>TRIM(CONCATENATE('ADJ DETAIL-INPUT'!AN$6," ",'ADJ DETAIL-INPUT'!AN$7," ",'ADJ DETAIL-INPUT'!AN$8))</f>
        <v>Pro Forma Employee Benefits</v>
      </c>
      <c r="C49" s="148"/>
      <c r="D49" s="52">
        <v>311.26</v>
      </c>
      <c r="E49" s="52">
        <v>0</v>
      </c>
      <c r="F49" s="50"/>
      <c r="G49" s="52">
        <f>'ADJ DETAIL-INPUT'!AN$56</f>
        <v>311.26</v>
      </c>
      <c r="H49" s="52">
        <f>'ADJ DETAIL-INPUT'!AN$80</f>
        <v>0</v>
      </c>
      <c r="I49" s="59"/>
      <c r="J49" s="51">
        <f t="shared" si="38"/>
        <v>0</v>
      </c>
      <c r="K49" s="51">
        <f t="shared" si="39"/>
        <v>0</v>
      </c>
      <c r="M49" s="172">
        <f t="shared" si="40"/>
        <v>0</v>
      </c>
      <c r="N49" s="172">
        <f t="shared" si="41"/>
        <v>0</v>
      </c>
      <c r="O49" s="172">
        <f t="shared" si="42"/>
        <v>-412.10442556143698</v>
      </c>
      <c r="P49" s="219">
        <f t="shared" si="43"/>
        <v>0</v>
      </c>
      <c r="Q49" s="173">
        <f t="shared" si="44"/>
        <v>0</v>
      </c>
      <c r="R49" s="199"/>
      <c r="S49" s="217"/>
      <c r="U49" s="599"/>
      <c r="V49" s="33"/>
      <c r="W49" s="27"/>
      <c r="X49" s="33"/>
      <c r="Y49" s="27"/>
      <c r="Z49" s="27"/>
      <c r="AA49" s="27"/>
      <c r="AB49" s="27"/>
      <c r="AC49" s="27"/>
      <c r="AD49" s="27"/>
      <c r="AE49" s="27"/>
    </row>
    <row r="50" spans="1:31">
      <c r="A50" s="317">
        <f>'ADJ DETAIL-INPUT'!AO$9</f>
        <v>3.0999999999999979</v>
      </c>
      <c r="B50" s="147" t="str">
        <f>TRIM(CONCATENATE('ADJ DETAIL-INPUT'!AO$6," ",'ADJ DETAIL-INPUT'!AO$7," ",'ADJ DETAIL-INPUT'!AO$8))</f>
        <v>Remove LIRAP Labor</v>
      </c>
      <c r="C50" s="148"/>
      <c r="D50" s="52">
        <v>54.859180000000009</v>
      </c>
      <c r="E50" s="52">
        <v>0</v>
      </c>
      <c r="F50" s="50"/>
      <c r="G50" s="52">
        <f>'ADJ DETAIL-INPUT'!AO$56</f>
        <v>54.859180000000009</v>
      </c>
      <c r="H50" s="52">
        <f>'ADJ DETAIL-INPUT'!AO$80</f>
        <v>0</v>
      </c>
      <c r="I50" s="59"/>
      <c r="J50" s="51">
        <f t="shared" ref="J50" si="72">G50-D50</f>
        <v>0</v>
      </c>
      <c r="K50" s="51">
        <f t="shared" ref="K50" si="73">H50-E50</f>
        <v>0</v>
      </c>
      <c r="M50" s="172">
        <f t="shared" ref="M50" si="74">J50/$M$9*-1</f>
        <v>0</v>
      </c>
      <c r="N50" s="172">
        <f t="shared" ref="N50" si="75">K50*$N$9/$M$9</f>
        <v>0</v>
      </c>
      <c r="O50" s="172">
        <f t="shared" ref="O50" si="76">(H50*$N$9/$M$9)-(G50/$M$9)</f>
        <v>-72.632882030043945</v>
      </c>
      <c r="P50" s="219">
        <f t="shared" ref="P50" si="77">SUM(M50:N50)</f>
        <v>0</v>
      </c>
      <c r="Q50" s="173">
        <f t="shared" ref="Q50" si="78">SUM(M50:N50)</f>
        <v>0</v>
      </c>
      <c r="R50" s="199"/>
      <c r="S50" s="217"/>
      <c r="U50" s="599"/>
      <c r="V50" s="33"/>
      <c r="W50" s="27"/>
      <c r="X50" s="33"/>
      <c r="Y50" s="27"/>
      <c r="Z50" s="27"/>
      <c r="AA50" s="27"/>
      <c r="AB50" s="27"/>
      <c r="AC50" s="27"/>
      <c r="AD50" s="27"/>
      <c r="AE50" s="27"/>
    </row>
    <row r="51" spans="1:31" s="44" customFormat="1">
      <c r="A51" s="317">
        <f>'ADJ DETAIL-INPUT'!AP$9</f>
        <v>3.1099999999999977</v>
      </c>
      <c r="B51" s="49" t="str">
        <f>TRIM(CONCATENATE('ADJ DETAIL-INPUT'!AP$6," ",'ADJ DETAIL-INPUT'!AP$7," ",'ADJ DETAIL-INPUT'!AP$8))</f>
        <v>Pro Forma Property Tax</v>
      </c>
      <c r="C51" s="50"/>
      <c r="D51" s="52">
        <v>-759.98</v>
      </c>
      <c r="E51" s="52">
        <v>0</v>
      </c>
      <c r="F51" s="50"/>
      <c r="G51" s="52">
        <f>'ADJ DETAIL-INPUT'!AP$56</f>
        <v>-759.98</v>
      </c>
      <c r="H51" s="52">
        <f>'ADJ DETAIL-INPUT'!AP$80</f>
        <v>0</v>
      </c>
      <c r="I51" s="59"/>
      <c r="J51" s="51">
        <f>G51-D51</f>
        <v>0</v>
      </c>
      <c r="K51" s="51">
        <f>H51-E51</f>
        <v>0</v>
      </c>
      <c r="L51" s="181"/>
      <c r="M51" s="172">
        <f>J51/$M$9*-1</f>
        <v>0</v>
      </c>
      <c r="N51" s="172">
        <f>K51*$N$9/$M$9</f>
        <v>0</v>
      </c>
      <c r="O51" s="172">
        <f>(H51*$N$9/$M$9)-(G51/$M$9)</f>
        <v>1006.204206573864</v>
      </c>
      <c r="P51" s="219">
        <f>SUM(M51:N51)</f>
        <v>0</v>
      </c>
      <c r="Q51" s="173">
        <f>SUM(M51:N51)</f>
        <v>0</v>
      </c>
      <c r="R51" s="200"/>
      <c r="S51" s="214"/>
      <c r="U51" s="715"/>
      <c r="V51" s="33"/>
      <c r="W51" s="45"/>
      <c r="X51" s="45"/>
      <c r="Y51" s="45"/>
      <c r="Z51" s="45"/>
      <c r="AA51" s="45"/>
      <c r="AB51" s="45"/>
      <c r="AC51" s="45"/>
      <c r="AD51" s="45"/>
      <c r="AE51" s="45"/>
    </row>
    <row r="52" spans="1:31" s="149" customFormat="1">
      <c r="A52" s="317">
        <f>'ADJ DETAIL-INPUT'!AQ$9</f>
        <v>3.1199999999999974</v>
      </c>
      <c r="B52" s="147" t="str">
        <f>TRIM(CONCATENATE('ADJ DETAIL-INPUT'!AQ$6," ",'ADJ DETAIL-INPUT'!AQ$7," ",'ADJ DETAIL-INPUT'!AQ$8))</f>
        <v>Pro Forma Insurance Expense</v>
      </c>
      <c r="C52" s="148"/>
      <c r="D52" s="52">
        <v>-3390.6800000000003</v>
      </c>
      <c r="E52" s="52">
        <v>0</v>
      </c>
      <c r="F52" s="148"/>
      <c r="G52" s="134">
        <f>'ADJ DETAIL-INPUT'!AQ$56</f>
        <v>-3390.6800000000003</v>
      </c>
      <c r="H52" s="134">
        <f>'ADJ DETAIL-INPUT'!AQ$80</f>
        <v>0</v>
      </c>
      <c r="I52" s="170"/>
      <c r="J52" s="51">
        <f>G52-D52</f>
        <v>0</v>
      </c>
      <c r="K52" s="51">
        <f>H52-E52</f>
        <v>0</v>
      </c>
      <c r="L52" s="182"/>
      <c r="M52" s="172">
        <f>J52/$M$9*-1</f>
        <v>0</v>
      </c>
      <c r="N52" s="172">
        <f>K52*$N$9/$M$9</f>
        <v>0</v>
      </c>
      <c r="O52" s="172">
        <f>(H52*$N$9/$M$9)-(G52/$M$9)</f>
        <v>4489.2187677910852</v>
      </c>
      <c r="P52" s="219">
        <f>SUM(M52:N52)</f>
        <v>0</v>
      </c>
      <c r="Q52" s="173">
        <f t="shared" si="44"/>
        <v>0</v>
      </c>
      <c r="R52" s="202"/>
      <c r="S52" s="214"/>
      <c r="U52" s="599"/>
      <c r="V52" s="33"/>
      <c r="W52" s="380"/>
      <c r="X52" s="380"/>
      <c r="Y52" s="380"/>
      <c r="Z52" s="380"/>
      <c r="AA52" s="380"/>
      <c r="AB52" s="380"/>
      <c r="AC52" s="380"/>
      <c r="AD52" s="380"/>
      <c r="AE52" s="380"/>
    </row>
    <row r="53" spans="1:31" s="44" customFormat="1">
      <c r="A53" s="317">
        <f>'ADJ DETAIL-INPUT'!AR$9</f>
        <v>3.1299999999999972</v>
      </c>
      <c r="B53" s="49" t="str">
        <f>TRIM(CONCATENATE('ADJ DETAIL-INPUT'!AR$6," ",'ADJ DETAIL-INPUT'!AR$7," ",'ADJ DETAIL-INPUT'!AR$8))</f>
        <v>Pro Forma IS/IT Expense</v>
      </c>
      <c r="C53" s="50"/>
      <c r="D53" s="52">
        <v>-996.98</v>
      </c>
      <c r="E53" s="52">
        <v>0</v>
      </c>
      <c r="F53" s="50"/>
      <c r="G53" s="52">
        <f>'ADJ DETAIL-INPUT'!AR$56</f>
        <v>-996.98</v>
      </c>
      <c r="H53" s="52">
        <f>'ADJ DETAIL-INPUT'!AR$80</f>
        <v>0</v>
      </c>
      <c r="I53" s="59"/>
      <c r="J53" s="51">
        <f t="shared" ref="J53" si="79">G53-D53</f>
        <v>0</v>
      </c>
      <c r="K53" s="51">
        <f t="shared" ref="K53" si="80">H53-E53</f>
        <v>0</v>
      </c>
      <c r="L53" s="181"/>
      <c r="M53" s="172">
        <f t="shared" ref="M53" si="81">J53/$M$9*-1</f>
        <v>0</v>
      </c>
      <c r="N53" s="172">
        <f t="shared" ref="N53" si="82">K53*$N$9/$M$9</f>
        <v>0</v>
      </c>
      <c r="O53" s="172">
        <f>(H53*$N$9/$M$9)-(G53/$M$9)</f>
        <v>1319.989302179019</v>
      </c>
      <c r="P53" s="219">
        <f>SUM(M53:N53)</f>
        <v>0</v>
      </c>
      <c r="Q53" s="173">
        <f t="shared" si="44"/>
        <v>0</v>
      </c>
      <c r="R53" s="200"/>
      <c r="S53" s="214"/>
      <c r="U53" s="714"/>
      <c r="V53" s="45"/>
      <c r="W53" s="45"/>
      <c r="X53" s="206"/>
      <c r="Y53" s="45"/>
      <c r="Z53" s="45"/>
      <c r="AA53" s="45"/>
      <c r="AB53" s="45"/>
      <c r="AC53" s="45"/>
      <c r="AD53" s="45"/>
      <c r="AE53" s="45"/>
    </row>
    <row r="54" spans="1:31" s="44" customFormat="1">
      <c r="A54" s="317">
        <f>'ADJ DETAIL-INPUT'!AS$9</f>
        <v>3.139999999999997</v>
      </c>
      <c r="B54" s="49" t="str">
        <f>TRIM(CONCATENATE('ADJ DETAIL-INPUT'!AS$6," ",'ADJ DETAIL-INPUT'!AS$7," ",'ADJ DETAIL-INPUT'!AS$8))</f>
        <v>Pro Forma Misc O&amp;M Exp</v>
      </c>
      <c r="C54" s="50"/>
      <c r="D54" s="52">
        <v>-7720.47408</v>
      </c>
      <c r="E54" s="52">
        <v>0</v>
      </c>
      <c r="F54" s="50"/>
      <c r="G54" s="52">
        <f>'ADJ DETAIL-INPUT'!AS$56</f>
        <v>-7720.47408</v>
      </c>
      <c r="H54" s="52">
        <f>'ADJ DETAIL-INPUT'!AS$80</f>
        <v>0</v>
      </c>
      <c r="I54" s="59"/>
      <c r="J54" s="51">
        <f t="shared" ref="J54:J55" si="83">G54-D54</f>
        <v>0</v>
      </c>
      <c r="K54" s="51">
        <f t="shared" ref="K54:K55" si="84">H54-E54</f>
        <v>0</v>
      </c>
      <c r="L54" s="181"/>
      <c r="M54" s="172">
        <f t="shared" ref="M54:M55" si="85">J54/$M$9*-1</f>
        <v>0</v>
      </c>
      <c r="N54" s="172">
        <f t="shared" ref="N54:N55" si="86">K54*$N$9/$M$9</f>
        <v>0</v>
      </c>
      <c r="O54" s="172">
        <f t="shared" ref="O54:O55" si="87">(H54*$N$9/$M$9)-(G54/$M$9)</f>
        <v>10221.813068818235</v>
      </c>
      <c r="P54" s="219">
        <f t="shared" ref="P54:P55" si="88">SUM(M54:N54)</f>
        <v>0</v>
      </c>
      <c r="Q54" s="173">
        <f t="shared" ref="Q54:Q55" si="89">SUM(M54:N54)</f>
        <v>0</v>
      </c>
      <c r="R54" s="200"/>
      <c r="S54" s="214"/>
      <c r="U54" s="714"/>
      <c r="V54" s="45"/>
      <c r="W54" s="45"/>
      <c r="X54" s="206"/>
      <c r="Y54" s="45"/>
      <c r="Z54" s="45"/>
      <c r="AA54" s="45"/>
      <c r="AB54" s="45"/>
      <c r="AC54" s="45"/>
      <c r="AD54" s="45"/>
      <c r="AE54" s="45"/>
    </row>
    <row r="55" spans="1:31" s="44" customFormat="1">
      <c r="A55" s="317">
        <f>'ADJ DETAIL-INPUT'!AT$9</f>
        <v>3.1499999999999968</v>
      </c>
      <c r="B55" s="49" t="str">
        <f>TRIM(CONCATENATE('ADJ DETAIL-INPUT'!AT$6," ",'ADJ DETAIL-INPUT'!AT$7," ",'ADJ DETAIL-INPUT'!AT$8))</f>
        <v>Pro Form 09.2021 EOP Rate Base to 12.31.2021 EOP</v>
      </c>
      <c r="C55" s="50"/>
      <c r="D55" s="52">
        <v>-1539.1771994852634</v>
      </c>
      <c r="E55" s="52">
        <v>34833.699738448624</v>
      </c>
      <c r="F55" s="50"/>
      <c r="G55" s="52">
        <f>'ADJ DETAIL-INPUT'!AT$56</f>
        <v>-1529.6675994566672</v>
      </c>
      <c r="H55" s="52">
        <f>'ADJ DETAIL-INPUT'!AT$80</f>
        <v>34833.699738448624</v>
      </c>
      <c r="I55" s="59"/>
      <c r="J55" s="51">
        <f t="shared" si="83"/>
        <v>9.5096000285961964</v>
      </c>
      <c r="K55" s="51">
        <f t="shared" si="84"/>
        <v>0</v>
      </c>
      <c r="L55" s="181"/>
      <c r="M55" s="172">
        <f t="shared" si="85"/>
        <v>-12.590593899324231</v>
      </c>
      <c r="N55" s="172">
        <f t="shared" si="86"/>
        <v>0</v>
      </c>
      <c r="O55" s="172">
        <f t="shared" si="87"/>
        <v>5267.4543834183842</v>
      </c>
      <c r="P55" s="219">
        <f t="shared" si="88"/>
        <v>-12.590593899324231</v>
      </c>
      <c r="Q55" s="173">
        <f t="shared" si="89"/>
        <v>-12.590593899324231</v>
      </c>
      <c r="R55" s="200"/>
      <c r="S55" s="214"/>
      <c r="U55" s="714"/>
      <c r="V55" s="45"/>
      <c r="W55" s="45"/>
      <c r="X55" s="206"/>
      <c r="Y55" s="45"/>
      <c r="Z55" s="45"/>
      <c r="AA55" s="45"/>
      <c r="AB55" s="45"/>
      <c r="AC55" s="45"/>
      <c r="AD55" s="45"/>
      <c r="AE55" s="45"/>
    </row>
    <row r="56" spans="1:31">
      <c r="A56" s="436">
        <f>'ADJ DETAIL-INPUT'!AU$9</f>
        <v>3.1599999999999966</v>
      </c>
      <c r="B56" s="358" t="str">
        <f>TRIM(CONCATENATE('ADJ DETAIL-INPUT'!AU$6," ",'ADJ DETAIL-INPUT'!AU$7," ",'ADJ DETAIL-INPUT'!AU$8))</f>
        <v>Transportation Electrification Return (Kicker)</v>
      </c>
      <c r="C56" s="167"/>
      <c r="D56" s="52">
        <v>-49</v>
      </c>
      <c r="E56" s="52">
        <v>0</v>
      </c>
      <c r="F56" s="129"/>
      <c r="G56" s="109">
        <f>'ADJ DETAIL-INPUT'!AU$56</f>
        <v>-48.980000000000004</v>
      </c>
      <c r="H56" s="109">
        <f>'ADJ DETAIL-INPUT'!AU$80</f>
        <v>0</v>
      </c>
      <c r="I56" s="59"/>
      <c r="J56" s="51">
        <f>G56-D56</f>
        <v>1.9999999999996021E-2</v>
      </c>
      <c r="K56" s="51">
        <f>H56-E56</f>
        <v>0</v>
      </c>
      <c r="L56" s="27"/>
      <c r="M56" s="172">
        <f>J56/$M$9*-1</f>
        <v>-2.6479754903383345E-2</v>
      </c>
      <c r="N56" s="172">
        <f>K56*$N$9/$M$9</f>
        <v>0</v>
      </c>
      <c r="O56" s="172">
        <f>(H56*$N$9/$M$9)-(G56/$M$9)</f>
        <v>64.848919758398722</v>
      </c>
      <c r="P56" s="219">
        <f>SUM(M56:N56)</f>
        <v>-2.6479754903383345E-2</v>
      </c>
      <c r="Q56" s="173">
        <f>SUM(M56:N56)</f>
        <v>-2.6479754903383345E-2</v>
      </c>
      <c r="R56" s="199"/>
      <c r="S56" s="217"/>
      <c r="V56" s="138"/>
    </row>
    <row r="57" spans="1:31" s="145" customFormat="1" ht="11.25" customHeight="1">
      <c r="A57" s="317">
        <f>'ADJ DETAIL-INPUT'!AV$9</f>
        <v>3.1699999999999964</v>
      </c>
      <c r="B57" s="147" t="str">
        <f>TRIM(CONCATENATE('ADJ DETAIL-INPUT'!AV$6," ",'ADJ DETAIL-INPUT'!AV$7," ",'ADJ DETAIL-INPUT'!AV$8))</f>
        <v>Pro Forma EIM Capital 2021- 2022 Additions &amp; Exp</v>
      </c>
      <c r="C57" s="148"/>
      <c r="D57" s="52">
        <v>-1723.6219719999999</v>
      </c>
      <c r="E57" s="52">
        <v>6302</v>
      </c>
      <c r="F57" s="148"/>
      <c r="G57" s="150">
        <f>'ADJ DETAIL-INPUT'!AV$56</f>
        <v>-1721.9015260000001</v>
      </c>
      <c r="H57" s="150">
        <f>'ADJ DETAIL-INPUT'!AV$80</f>
        <v>6302</v>
      </c>
      <c r="I57" s="171"/>
      <c r="J57" s="51">
        <f>G57-D57</f>
        <v>1.7204459999998107</v>
      </c>
      <c r="K57" s="51">
        <f>H57-E57</f>
        <v>0</v>
      </c>
      <c r="L57" s="474"/>
      <c r="M57" s="172">
        <f>J57/$M$9*-1</f>
        <v>-2.277849420225516</v>
      </c>
      <c r="N57" s="172">
        <f>K57*$N$9/$M$9</f>
        <v>0</v>
      </c>
      <c r="O57" s="172">
        <f>(H57*$N$9/$M$9)-(G57/$M$9)</f>
        <v>2866.3436039476019</v>
      </c>
      <c r="P57" s="219">
        <f>SUM(M57:N57)</f>
        <v>-2.277849420225516</v>
      </c>
      <c r="Q57" s="173">
        <f>SUM(M57:N57)</f>
        <v>-2.277849420225516</v>
      </c>
      <c r="R57" s="401"/>
      <c r="S57" s="214"/>
      <c r="U57" s="352"/>
      <c r="V57" s="33"/>
      <c r="W57" s="137"/>
      <c r="X57" s="47"/>
      <c r="Y57" s="137"/>
      <c r="Z57" s="137"/>
      <c r="AA57" s="137"/>
      <c r="AB57" s="137"/>
      <c r="AC57" s="137"/>
      <c r="AD57" s="137"/>
      <c r="AE57" s="137"/>
    </row>
    <row r="58" spans="1:31" s="145" customFormat="1" ht="11.25" customHeight="1">
      <c r="A58" s="317">
        <f>'ADJ DETAIL-INPUT'!AW$9</f>
        <v>3.1799999999999962</v>
      </c>
      <c r="B58" s="147" t="str">
        <f>TRIM(CONCATENATE('ADJ DETAIL-INPUT'!AW$6," ",'ADJ DETAIL-INPUT'!AW$7," ",'ADJ DETAIL-INPUT'!AW$8))</f>
        <v>Pro Form 12.2021 EOP Wildfire Additions</v>
      </c>
      <c r="C58" s="148"/>
      <c r="D58" s="52">
        <v>6.7402580000000007</v>
      </c>
      <c r="E58" s="52">
        <v>2497</v>
      </c>
      <c r="F58" s="148"/>
      <c r="G58" s="150">
        <f>'ADJ DETAIL-INPUT'!AW$56</f>
        <v>7.4219390000000001</v>
      </c>
      <c r="H58" s="150">
        <f>'ADJ DETAIL-INPUT'!AW$80</f>
        <v>2497</v>
      </c>
      <c r="I58" s="171"/>
      <c r="J58" s="51">
        <f t="shared" ref="J58:J59" si="90">G58-D58</f>
        <v>0.68168099999999932</v>
      </c>
      <c r="K58" s="51">
        <f t="shared" ref="K58:K59" si="91">H58-E58</f>
        <v>0</v>
      </c>
      <c r="L58" s="681"/>
      <c r="M58" s="172">
        <f t="shared" ref="M58:M59" si="92">J58/$M$9*-1</f>
        <v>-0.90253729011484174</v>
      </c>
      <c r="N58" s="172">
        <f t="shared" ref="N58:N59" si="93">K58*$N$9/$M$9</f>
        <v>0</v>
      </c>
      <c r="O58" s="172">
        <f t="shared" ref="O58:O59" si="94">(H58*$N$9/$M$9)-(G58/$M$9)</f>
        <v>222.58506091667613</v>
      </c>
      <c r="P58" s="219">
        <f t="shared" ref="P58:P59" si="95">SUM(M58:N58)</f>
        <v>-0.90253729011484174</v>
      </c>
      <c r="Q58" s="173">
        <f t="shared" ref="Q58:Q59" si="96">SUM(M58:N58)</f>
        <v>-0.90253729011484174</v>
      </c>
      <c r="R58" s="1140"/>
      <c r="S58" s="214"/>
      <c r="U58" s="1142"/>
      <c r="V58" s="33"/>
      <c r="W58" s="137"/>
      <c r="X58" s="47"/>
      <c r="Y58" s="137"/>
      <c r="Z58" s="137"/>
      <c r="AA58" s="137"/>
      <c r="AB58" s="137"/>
      <c r="AC58" s="137"/>
      <c r="AD58" s="137"/>
      <c r="AE58" s="137"/>
    </row>
    <row r="59" spans="1:31" s="145" customFormat="1" ht="11.25" customHeight="1">
      <c r="A59" s="317">
        <f>'ADJ DETAIL-INPUT'!AX$9</f>
        <v>3.1899999999999959</v>
      </c>
      <c r="B59" s="147" t="str">
        <f>TRIM(CONCATENATE('ADJ DETAIL-INPUT'!AX$6," ",'ADJ DETAIL-INPUT'!AX$7," ",'ADJ DETAIL-INPUT'!AX$8))</f>
        <v>Pro Form 12.2021 EOP Colstrip Adds &amp; Amortization</v>
      </c>
      <c r="C59" s="148"/>
      <c r="D59" s="52">
        <v>-359.40313000000003</v>
      </c>
      <c r="E59" s="52">
        <v>-3045</v>
      </c>
      <c r="F59" s="148"/>
      <c r="G59" s="150">
        <f>'ADJ DETAIL-INPUT'!AX$56</f>
        <v>-473.29778099999999</v>
      </c>
      <c r="H59" s="150">
        <f>'ADJ DETAIL-INPUT'!AX$80</f>
        <v>-3063</v>
      </c>
      <c r="I59" s="171"/>
      <c r="J59" s="51">
        <f t="shared" si="90"/>
        <v>-113.89465099999995</v>
      </c>
      <c r="K59" s="51">
        <f t="shared" si="91"/>
        <v>-18</v>
      </c>
      <c r="L59" s="681"/>
      <c r="M59" s="172">
        <f t="shared" si="92"/>
        <v>150.79512216434918</v>
      </c>
      <c r="N59" s="172">
        <f t="shared" si="93"/>
        <v>-1.6753740927373977</v>
      </c>
      <c r="O59" s="172">
        <f t="shared" si="94"/>
        <v>341.54763707907119</v>
      </c>
      <c r="P59" s="219">
        <f t="shared" si="95"/>
        <v>149.11974807161178</v>
      </c>
      <c r="Q59" s="173">
        <f t="shared" si="96"/>
        <v>149.11974807161178</v>
      </c>
      <c r="R59" s="1140"/>
      <c r="S59" s="214"/>
      <c r="U59" s="1142"/>
      <c r="V59" s="33"/>
      <c r="W59" s="137"/>
      <c r="X59" s="47"/>
      <c r="Y59" s="137"/>
      <c r="Z59" s="137"/>
      <c r="AA59" s="137"/>
      <c r="AB59" s="137"/>
      <c r="AC59" s="137"/>
      <c r="AD59" s="137"/>
      <c r="AE59" s="137"/>
    </row>
    <row r="60" spans="1:31" s="145" customFormat="1" ht="11.25" customHeight="1">
      <c r="A60" s="317">
        <f>'ADJ DETAIL-INPUT'!AY$9</f>
        <v>4.01</v>
      </c>
      <c r="B60" s="147" t="str">
        <f>TRIM(CONCATENATE('ADJ DETAIL-INPUT'!AY$6," ",'ADJ DETAIL-INPUT'!AY$7," ",'ADJ DETAIL-INPUT'!AY$8))</f>
        <v>Provisional Capital Groups 2022 Adds EOP</v>
      </c>
      <c r="C60" s="148"/>
      <c r="D60" s="52">
        <v>-1704.3006634073245</v>
      </c>
      <c r="E60" s="52">
        <v>78398.318394927875</v>
      </c>
      <c r="F60" s="148"/>
      <c r="G60" s="150">
        <f>'ADJ DETAIL-INPUT'!AY$56</f>
        <v>-1682.8979224855093</v>
      </c>
      <c r="H60" s="150">
        <f>'ADJ DETAIL-INPUT'!AY$80</f>
        <v>78398.318394927875</v>
      </c>
      <c r="I60" s="171"/>
      <c r="J60" s="51">
        <f t="shared" ref="J60" si="97">G60-D60</f>
        <v>21.402740921815166</v>
      </c>
      <c r="K60" s="51">
        <f t="shared" ref="K60" si="98">H60-E60</f>
        <v>0</v>
      </c>
      <c r="L60" s="681"/>
      <c r="M60" s="172">
        <f t="shared" ref="M60" si="99">J60/$M$9*-1</f>
        <v>-28.336966693519564</v>
      </c>
      <c r="N60" s="172">
        <f t="shared" ref="N60" si="100">K60*$N$9/$M$9</f>
        <v>0</v>
      </c>
      <c r="O60" s="172">
        <f t="shared" ref="O60" si="101">(H60*$N$9/$M$9)-(G60/$M$9)</f>
        <v>9525.1646453552385</v>
      </c>
      <c r="P60" s="219">
        <f t="shared" ref="P60" si="102">SUM(M60:N60)</f>
        <v>-28.336966693519564</v>
      </c>
      <c r="Q60" s="173">
        <f t="shared" ref="Q60" si="103">SUM(M60:N60)</f>
        <v>-28.336966693519564</v>
      </c>
      <c r="R60" s="401"/>
      <c r="S60" s="214"/>
      <c r="U60" s="352"/>
      <c r="V60" s="33"/>
      <c r="W60" s="137"/>
      <c r="X60" s="47"/>
      <c r="Y60" s="137"/>
      <c r="Z60" s="137"/>
      <c r="AA60" s="137"/>
      <c r="AB60" s="137"/>
      <c r="AC60" s="137"/>
      <c r="AD60" s="137"/>
      <c r="AE60" s="137"/>
    </row>
    <row r="61" spans="1:31" s="145" customFormat="1" ht="11.25" customHeight="1">
      <c r="A61" s="317">
        <f>'ADJ DETAIL-INPUT'!AZ$9</f>
        <v>4.0199999999999996</v>
      </c>
      <c r="B61" s="147" t="str">
        <f>TRIM(CONCATENATE('ADJ DETAIL-INPUT'!AZ$6," ",'ADJ DETAIL-INPUT'!AZ$7," ",'ADJ DETAIL-INPUT'!AZ$8))</f>
        <v>Provisional Capital Groups 2023 Adds AMA</v>
      </c>
      <c r="C61" s="148"/>
      <c r="D61" s="52">
        <v>-1812.8862407036622</v>
      </c>
      <c r="E61" s="52">
        <v>14180.659197463938</v>
      </c>
      <c r="F61" s="148"/>
      <c r="G61" s="150">
        <f>'ADJ DETAIL-INPUT'!AZ$56</f>
        <v>-1809.0149207427544</v>
      </c>
      <c r="H61" s="150">
        <f>'ADJ DETAIL-INPUT'!AZ$80</f>
        <v>14180.659197463938</v>
      </c>
      <c r="I61" s="171"/>
      <c r="J61" s="51">
        <f t="shared" si="38"/>
        <v>3.8713199609078401</v>
      </c>
      <c r="K61" s="51">
        <f t="shared" si="39"/>
        <v>0</v>
      </c>
      <c r="L61" s="40"/>
      <c r="M61" s="172">
        <f t="shared" si="40"/>
        <v>-5.1255801858717795</v>
      </c>
      <c r="N61" s="172">
        <f t="shared" si="41"/>
        <v>0</v>
      </c>
      <c r="O61" s="172">
        <f t="shared" ref="O61" si="104">(H61*$N$9/$M$9)-(G61/$M$9)</f>
        <v>3714.9974213014657</v>
      </c>
      <c r="P61" s="219">
        <f t="shared" ref="P61" si="105">SUM(M61:N61)</f>
        <v>-5.1255801858717795</v>
      </c>
      <c r="Q61" s="173">
        <f t="shared" si="44"/>
        <v>-5.1255801858717795</v>
      </c>
      <c r="R61" s="161"/>
      <c r="S61" s="214"/>
      <c r="U61" s="1142"/>
      <c r="V61" s="33"/>
      <c r="W61" s="137"/>
      <c r="X61" s="47"/>
      <c r="Y61" s="137"/>
      <c r="Z61" s="137"/>
      <c r="AA61" s="137"/>
      <c r="AB61" s="137"/>
      <c r="AC61" s="137"/>
      <c r="AD61" s="137"/>
      <c r="AE61" s="137"/>
    </row>
    <row r="62" spans="1:31">
      <c r="A62" s="436">
        <f>'ADJ DETAIL-INPUT'!BA$9</f>
        <v>4.0299999999999994</v>
      </c>
      <c r="B62" s="358" t="str">
        <f>TRIM(CONCATENATE('ADJ DETAIL-INPUT'!BA$6," ",'ADJ DETAIL-INPUT'!BA$7," ",'ADJ DETAIL-INPUT'!BA$8))</f>
        <v>2022-2023 Capital O&amp;M Offsets &amp; Revenue</v>
      </c>
      <c r="C62" s="167"/>
      <c r="D62" s="52">
        <v>6173.85</v>
      </c>
      <c r="E62" s="52">
        <v>0</v>
      </c>
      <c r="F62" s="129"/>
      <c r="G62" s="109">
        <f>'ADJ DETAIL-INPUT'!BA$56</f>
        <v>6173.85</v>
      </c>
      <c r="H62" s="109">
        <f>'ADJ DETAIL-INPUT'!BA$80</f>
        <v>0</v>
      </c>
      <c r="I62" s="59"/>
      <c r="J62" s="51">
        <f>G62-D62</f>
        <v>0</v>
      </c>
      <c r="K62" s="51">
        <f>H62-E62</f>
        <v>0</v>
      </c>
      <c r="L62" s="27"/>
      <c r="M62" s="172">
        <f>J62/$M$9*-1</f>
        <v>0</v>
      </c>
      <c r="N62" s="172">
        <f>K62*$N$9/$M$9</f>
        <v>0</v>
      </c>
      <c r="O62" s="172">
        <f t="shared" ref="O62" si="106">(H62*$N$9/$M$9)-(G62/$M$9)</f>
        <v>-8174.1017405142902</v>
      </c>
      <c r="P62" s="219">
        <f t="shared" ref="P62" si="107">SUM(M62:N62)</f>
        <v>0</v>
      </c>
      <c r="Q62" s="173">
        <f>SUM(M62:N62)</f>
        <v>0</v>
      </c>
      <c r="R62" s="199"/>
      <c r="S62" s="217"/>
      <c r="U62" s="1141"/>
      <c r="V62" s="488"/>
      <c r="W62" s="27"/>
      <c r="X62" s="27"/>
      <c r="Y62" s="27"/>
      <c r="Z62" s="27"/>
      <c r="AA62" s="27"/>
      <c r="AB62" s="27"/>
      <c r="AC62" s="27"/>
      <c r="AD62" s="27"/>
      <c r="AE62" s="27"/>
    </row>
    <row r="63" spans="1:31" s="145" customFormat="1" ht="11.25" customHeight="1">
      <c r="A63" s="317">
        <f>'ADJ DETAIL-INPUT'!BB$9</f>
        <v>4.0399999999999991</v>
      </c>
      <c r="B63" s="147" t="str">
        <f>TRIM(CONCATENATE('ADJ DETAIL-INPUT'!BB$6," ",'ADJ DETAIL-INPUT'!BB$7," ",'ADJ DETAIL-INPUT'!BB$8))</f>
        <v>Provisional Wildfire 2022 Cap EOP &amp; O&amp;M</v>
      </c>
      <c r="C63" s="148"/>
      <c r="D63" s="52">
        <v>-2511.5073160000002</v>
      </c>
      <c r="E63" s="52">
        <v>13806</v>
      </c>
      <c r="F63" s="148"/>
      <c r="G63" s="150">
        <f>'ADJ DETAIL-INPUT'!BB$56</f>
        <v>-2507.7382779999998</v>
      </c>
      <c r="H63" s="150">
        <f>'ADJ DETAIL-INPUT'!BB$80</f>
        <v>13806</v>
      </c>
      <c r="I63" s="171"/>
      <c r="J63" s="51">
        <f t="shared" ref="J63" si="108">G63-D63</f>
        <v>3.7690380000003643</v>
      </c>
      <c r="K63" s="51">
        <f t="shared" ref="K63" si="109">H63-E63</f>
        <v>0</v>
      </c>
      <c r="L63" s="474"/>
      <c r="M63" s="172">
        <f t="shared" ref="M63" si="110">J63/$M$9*-1</f>
        <v>-4.9901601230783825</v>
      </c>
      <c r="N63" s="172">
        <f t="shared" ref="N63" si="111">K63*$N$9/$M$9</f>
        <v>0</v>
      </c>
      <c r="O63" s="172">
        <f t="shared" ref="O63" si="112">(H63*$N$9/$M$9)-(G63/$M$9)</f>
        <v>4605.2266772938747</v>
      </c>
      <c r="P63" s="219">
        <f t="shared" ref="P63" si="113">SUM(M63:N63)</f>
        <v>-4.9901601230783825</v>
      </c>
      <c r="Q63" s="173">
        <f t="shared" ref="Q63" si="114">SUM(M63:N63)</f>
        <v>-4.9901601230783825</v>
      </c>
      <c r="R63" s="401"/>
      <c r="S63" s="214"/>
      <c r="U63" s="1142"/>
      <c r="V63" s="33"/>
      <c r="W63" s="137"/>
      <c r="X63" s="47"/>
      <c r="Y63" s="137"/>
      <c r="Z63" s="137"/>
      <c r="AA63" s="137"/>
      <c r="AB63" s="137"/>
      <c r="AC63" s="137"/>
      <c r="AD63" s="137"/>
      <c r="AE63" s="137"/>
    </row>
    <row r="64" spans="1:31">
      <c r="A64" s="436">
        <f>'ADJ DETAIL-INPUT'!BC$9</f>
        <v>4.0499999999999989</v>
      </c>
      <c r="B64" s="358" t="str">
        <f>TRIM(CONCATENATE('ADJ DETAIL-INPUT'!BC$6," ",'ADJ DETAIL-INPUT'!BC$7," ",'ADJ DETAIL-INPUT'!BC$8))</f>
        <v>Provisional Wildfire 2023 Cap Adds AMA</v>
      </c>
      <c r="C64" s="167"/>
      <c r="D64" s="52">
        <v>-298.31861000000004</v>
      </c>
      <c r="E64" s="52">
        <v>7135</v>
      </c>
      <c r="F64" s="129"/>
      <c r="G64" s="109">
        <f>'ADJ DETAIL-INPUT'!BC$56</f>
        <v>-296.37075500000003</v>
      </c>
      <c r="H64" s="109">
        <f>'ADJ DETAIL-INPUT'!BC$80</f>
        <v>7135</v>
      </c>
      <c r="I64" s="59"/>
      <c r="J64" s="51">
        <f t="shared" ref="J64" si="115">G64-D64</f>
        <v>1.9478550000000041</v>
      </c>
      <c r="K64" s="51">
        <f t="shared" ref="K64" si="116">H64-E64</f>
        <v>0</v>
      </c>
      <c r="L64" s="27"/>
      <c r="M64" s="172">
        <f t="shared" ref="M64" si="117">J64/$M$9*-1</f>
        <v>-2.5789361493670069</v>
      </c>
      <c r="N64" s="172">
        <f t="shared" ref="N64" si="118">K64*$N$9/$M$9</f>
        <v>0</v>
      </c>
      <c r="O64" s="172">
        <f t="shared" ref="O64" si="119">(H64*$N$9/$M$9)-(G64/$M$9)</f>
        <v>1056.4909227400192</v>
      </c>
      <c r="P64" s="219">
        <f t="shared" ref="P64" si="120">SUM(M64:N64)</f>
        <v>-2.5789361493670069</v>
      </c>
      <c r="Q64" s="173">
        <f>SUM(M64:N64)</f>
        <v>-2.5789361493670069</v>
      </c>
      <c r="R64" s="199"/>
      <c r="S64" s="217"/>
      <c r="U64" s="1141"/>
      <c r="V64" s="138"/>
    </row>
    <row r="65" spans="1:31">
      <c r="A65" s="436">
        <f>'ADJ DETAIL-INPUT'!BD$9</f>
        <v>4.0599999999999987</v>
      </c>
      <c r="B65" s="358" t="str">
        <f>TRIM(CONCATENATE('ADJ DETAIL-INPUT'!BD$6," ",'ADJ DETAIL-INPUT'!BD$7," ",'ADJ DETAIL-INPUT'!BD$8))</f>
        <v>Provisional Colstrip 2022 Cap Adds EOP</v>
      </c>
      <c r="C65" s="167"/>
      <c r="D65" s="52">
        <v>-894.44063400000005</v>
      </c>
      <c r="E65" s="52">
        <v>-5981</v>
      </c>
      <c r="F65" s="129"/>
      <c r="G65" s="109">
        <f>'ADJ DETAIL-INPUT'!BD$56</f>
        <v>-796.18643799999995</v>
      </c>
      <c r="H65" s="109">
        <f>'ADJ DETAIL-INPUT'!BD$80</f>
        <v>-9874</v>
      </c>
      <c r="I65" s="59"/>
      <c r="J65" s="51">
        <f t="shared" ref="J65" si="121">G65-D65</f>
        <v>98.254196000000093</v>
      </c>
      <c r="K65" s="51">
        <f t="shared" ref="K65" si="122">H65-E65</f>
        <v>-3893</v>
      </c>
      <c r="L65" s="27"/>
      <c r="M65" s="172">
        <f t="shared" ref="M65" si="123">J65/$M$9*-1</f>
        <v>-130.08735141547541</v>
      </c>
      <c r="N65" s="172">
        <f t="shared" ref="N65" si="124">K65*$N$9/$M$9</f>
        <v>-362.34618572370493</v>
      </c>
      <c r="O65" s="172">
        <f t="shared" ref="O65" si="125">(H65*$N$9/$M$9)-(G65/$M$9)</f>
        <v>135.10532057715272</v>
      </c>
      <c r="P65" s="219">
        <f t="shared" ref="P65" si="126">SUM(M65:N65)</f>
        <v>-492.43353713918032</v>
      </c>
      <c r="Q65" s="173">
        <f>SUM(M65:N65)</f>
        <v>-492.43353713918032</v>
      </c>
      <c r="R65" s="199"/>
      <c r="S65" s="217"/>
      <c r="U65" s="1141"/>
      <c r="V65" s="138"/>
    </row>
    <row r="66" spans="1:31">
      <c r="A66" s="436">
        <f>'ADJ DETAIL-INPUT'!BE$9</f>
        <v>4.0699999999999985</v>
      </c>
      <c r="B66" s="358" t="str">
        <f>TRIM(CONCATENATE('ADJ DETAIL-INPUT'!BE$6," ",'ADJ DETAIL-INPUT'!BE$7," ",'ADJ DETAIL-INPUT'!BE$8))</f>
        <v>Provisional Colstrip 2023 Cap Adds AMA</v>
      </c>
      <c r="C66" s="167"/>
      <c r="D66" s="52">
        <v>-574.005898</v>
      </c>
      <c r="E66" s="52">
        <v>-4757</v>
      </c>
      <c r="F66" s="129"/>
      <c r="G66" s="109">
        <f>'ADJ DETAIL-INPUT'!BE$56</f>
        <v>101.118562</v>
      </c>
      <c r="H66" s="109">
        <f>'ADJ DETAIL-INPUT'!BE$80</f>
        <v>-4874</v>
      </c>
      <c r="I66" s="59"/>
      <c r="J66" s="51">
        <f>G66-D66</f>
        <v>675.12446</v>
      </c>
      <c r="K66" s="51">
        <f>H66-E66</f>
        <v>-117</v>
      </c>
      <c r="L66" s="29"/>
      <c r="M66" s="172">
        <f>J66/$M$9*-1</f>
        <v>-893.85651150412946</v>
      </c>
      <c r="N66" s="172">
        <f>K66*$N$9/$M$9</f>
        <v>-10.889931602793084</v>
      </c>
      <c r="O66" s="172">
        <f>(H66*$N$9/$M$9)-(G66/$M$9)</f>
        <v>-587.53381067504836</v>
      </c>
      <c r="P66" s="219">
        <f>SUM(M66:N66)</f>
        <v>-904.74644310692258</v>
      </c>
      <c r="Q66" s="173">
        <f>SUM(M66:N66)</f>
        <v>-904.74644310692258</v>
      </c>
      <c r="R66" s="161"/>
      <c r="S66" s="214"/>
      <c r="U66" s="1141"/>
      <c r="V66" s="488"/>
      <c r="W66" s="27"/>
      <c r="X66" s="27"/>
      <c r="Y66" s="27"/>
      <c r="Z66" s="27"/>
      <c r="AA66" s="27"/>
      <c r="AB66" s="27"/>
      <c r="AC66" s="27"/>
      <c r="AD66" s="27"/>
      <c r="AE66" s="27"/>
    </row>
    <row r="67" spans="1:31">
      <c r="A67" s="436">
        <f>'ADJ DETAIL-INPUT'!BF$9</f>
        <v>4.0799999999999983</v>
      </c>
      <c r="B67" s="358" t="str">
        <f>TRIM(CONCATENATE('ADJ DETAIL-INPUT'!BF$6," ",'ADJ DETAIL-INPUT'!BF$7," ",'ADJ DETAIL-INPUT'!BF$8))</f>
        <v>Provisional EIM 2023 Cap Cap Adds AMA</v>
      </c>
      <c r="C67" s="167"/>
      <c r="D67" s="52">
        <v>-368.62242800000001</v>
      </c>
      <c r="E67" s="52">
        <v>-902</v>
      </c>
      <c r="F67" s="129"/>
      <c r="G67" s="109">
        <f>'ADJ DETAIL-INPUT'!BF$56</f>
        <v>-368.868674</v>
      </c>
      <c r="H67" s="109">
        <f>'ADJ DETAIL-INPUT'!BF$80</f>
        <v>-902</v>
      </c>
      <c r="I67" s="59"/>
      <c r="J67" s="51">
        <f>G67-D67</f>
        <v>-0.24624599999998509</v>
      </c>
      <c r="K67" s="51">
        <f>H67-E67</f>
        <v>0</v>
      </c>
      <c r="L67" s="29"/>
      <c r="M67" s="172">
        <f>J67/$M$9*-1</f>
        <v>0.3260266862969719</v>
      </c>
      <c r="N67" s="172">
        <f>K67*$N$9/$M$9</f>
        <v>0</v>
      </c>
      <c r="O67" s="172">
        <f>(H67*$N$9/$M$9)-(G67/$M$9)</f>
        <v>404.4227466390571</v>
      </c>
      <c r="P67" s="219">
        <f>SUM(M67:N67)</f>
        <v>0.3260266862969719</v>
      </c>
      <c r="Q67" s="173">
        <f>SUM(M67:N67)</f>
        <v>0.3260266862969719</v>
      </c>
      <c r="R67" s="1140"/>
      <c r="S67" s="214"/>
      <c r="U67" s="1141"/>
      <c r="V67" s="488"/>
      <c r="W67" s="27"/>
      <c r="X67" s="27"/>
      <c r="Y67" s="27"/>
      <c r="Z67" s="27"/>
      <c r="AA67" s="27"/>
      <c r="AB67" s="27"/>
      <c r="AC67" s="27"/>
      <c r="AD67" s="27"/>
      <c r="AE67" s="27"/>
    </row>
    <row r="68" spans="1:31" ht="5.25" customHeight="1">
      <c r="A68" s="320"/>
      <c r="B68" s="95"/>
      <c r="C68" s="27"/>
      <c r="D68" s="27"/>
      <c r="E68" s="41"/>
      <c r="F68" s="41"/>
      <c r="G68" s="140"/>
      <c r="H68" s="140"/>
      <c r="I68" s="59"/>
      <c r="J68" s="34"/>
      <c r="K68" s="129"/>
      <c r="L68" s="28"/>
      <c r="N68" s="143"/>
      <c r="O68" s="143"/>
      <c r="R68" s="204"/>
      <c r="S68" s="217"/>
      <c r="V68" s="138"/>
    </row>
    <row r="69" spans="1:31" ht="13.5" thickBot="1">
      <c r="A69" s="320"/>
      <c r="B69" s="1147" t="s">
        <v>1109</v>
      </c>
      <c r="C69" s="27"/>
      <c r="D69" s="168">
        <f>SUM(D37:D68)</f>
        <v>109632.70126040379</v>
      </c>
      <c r="E69" s="168">
        <f>SUM(E37:E68)</f>
        <v>2045844.6773308404</v>
      </c>
      <c r="F69" s="41"/>
      <c r="G69" s="168">
        <f>SUM(G37:G68)</f>
        <v>110854.3525333151</v>
      </c>
      <c r="H69" s="353">
        <f>SUM(H37:H68)</f>
        <v>2041816.6773308404</v>
      </c>
      <c r="I69" s="57"/>
      <c r="J69" s="168">
        <f>SUM(J37:J68)</f>
        <v>1221.6512729113185</v>
      </c>
      <c r="K69" s="168">
        <f>SUM(K37:K68)</f>
        <v>-4028</v>
      </c>
      <c r="L69" s="28"/>
      <c r="M69" s="168">
        <f>SUM(M37:M68)</f>
        <v>-1617.4513142052213</v>
      </c>
      <c r="N69" s="168">
        <f>SUM(N37:N68)</f>
        <v>-374.9114914192354</v>
      </c>
      <c r="O69" s="119"/>
      <c r="P69" s="226">
        <f>SUM(P9:P61)+P29+SUM(P39:P65)</f>
        <v>-1658.4129700787198</v>
      </c>
      <c r="Q69" s="219"/>
      <c r="S69" s="217"/>
      <c r="V69" s="468"/>
    </row>
    <row r="70" spans="1:31" ht="13.5" thickTop="1">
      <c r="A70" s="320"/>
      <c r="B70" s="27"/>
      <c r="C70" s="27"/>
      <c r="D70" s="27"/>
      <c r="E70" s="41"/>
      <c r="F70" s="119"/>
      <c r="G70" s="119"/>
      <c r="H70" s="57"/>
      <c r="I70" s="33"/>
      <c r="J70" s="166"/>
      <c r="K70" s="28"/>
      <c r="L70" s="27"/>
      <c r="M70" s="173"/>
      <c r="N70" s="193">
        <f>M69+N69</f>
        <v>-1992.3628056244565</v>
      </c>
      <c r="O70" s="193"/>
      <c r="Q70" s="173"/>
      <c r="S70" s="137"/>
      <c r="V70" s="36"/>
      <c r="W70" s="36"/>
    </row>
    <row r="71" spans="1:31">
      <c r="A71" s="320"/>
      <c r="B71" s="27"/>
      <c r="C71" s="27"/>
      <c r="D71" s="27"/>
      <c r="E71" s="41"/>
      <c r="F71" s="119"/>
      <c r="G71" s="119"/>
      <c r="H71" s="57"/>
      <c r="I71" s="33"/>
      <c r="J71" s="166"/>
      <c r="K71" s="28"/>
      <c r="L71" s="142"/>
      <c r="M71" s="720" t="s">
        <v>1108</v>
      </c>
      <c r="N71" s="193"/>
      <c r="O71" s="193"/>
      <c r="P71" s="226"/>
      <c r="Q71" s="173"/>
      <c r="R71" s="25"/>
      <c r="S71" s="210"/>
      <c r="T71" s="36"/>
      <c r="V71" s="138"/>
    </row>
    <row r="72" spans="1:31" ht="13.5" thickBot="1">
      <c r="A72" s="320"/>
      <c r="B72" s="27"/>
      <c r="C72" s="27"/>
      <c r="D72" s="27"/>
      <c r="E72" s="41"/>
      <c r="F72" s="119"/>
      <c r="G72" s="119"/>
      <c r="H72" s="57"/>
      <c r="I72" s="33"/>
      <c r="J72" s="166"/>
      <c r="K72" s="28"/>
      <c r="M72" s="174" t="s">
        <v>245</v>
      </c>
      <c r="N72" s="194">
        <f>SUM(N70:P71)</f>
        <v>-1992.3628056244565</v>
      </c>
      <c r="O72" s="224"/>
      <c r="S72" s="211"/>
    </row>
    <row r="73" spans="1:31" ht="13.5" thickTop="1">
      <c r="A73" s="320"/>
      <c r="B73" s="137"/>
      <c r="C73" s="27"/>
      <c r="D73" s="27"/>
      <c r="E73" s="41"/>
      <c r="F73" s="119"/>
      <c r="G73" s="119"/>
      <c r="H73" s="57"/>
      <c r="I73" s="33"/>
      <c r="J73" s="166"/>
      <c r="K73" s="28"/>
      <c r="M73" s="175"/>
      <c r="N73" s="1144">
        <v>52852</v>
      </c>
      <c r="O73" s="176"/>
      <c r="Q73" s="173"/>
      <c r="S73" s="207"/>
    </row>
    <row r="74" spans="1:31" ht="13.5" thickBot="1">
      <c r="A74" s="320"/>
      <c r="B74" s="27"/>
      <c r="C74" s="27"/>
      <c r="D74" s="27"/>
      <c r="E74" s="41"/>
      <c r="F74" s="123"/>
      <c r="G74" s="119"/>
      <c r="H74" s="57"/>
      <c r="I74" s="33"/>
      <c r="J74" s="166"/>
      <c r="K74" s="29"/>
      <c r="L74" s="27"/>
      <c r="M74" s="177" t="s">
        <v>246</v>
      </c>
      <c r="N74" s="178">
        <f>N73+N72</f>
        <v>50859.637194375544</v>
      </c>
      <c r="O74" s="225"/>
      <c r="P74" s="219"/>
      <c r="S74" s="137"/>
    </row>
    <row r="75" spans="1:31" s="27" customFormat="1" ht="13.5" hidden="1" thickTop="1">
      <c r="A75" s="312"/>
      <c r="B75" s="25"/>
      <c r="C75" s="25"/>
      <c r="D75" s="28"/>
      <c r="E75" s="25"/>
      <c r="G75" s="25"/>
      <c r="H75" s="53"/>
      <c r="J75" s="129"/>
      <c r="K75" s="29"/>
      <c r="P75" s="220"/>
      <c r="Q75" s="137"/>
      <c r="R75" s="105"/>
      <c r="S75" s="137"/>
      <c r="U75" s="708"/>
    </row>
    <row r="76" spans="1:31" s="27" customFormat="1" ht="13.5" hidden="1" thickTop="1">
      <c r="A76" s="321"/>
      <c r="B76" s="25"/>
      <c r="C76" s="25"/>
      <c r="D76" s="28"/>
      <c r="E76" s="25"/>
      <c r="F76" s="25"/>
      <c r="G76" s="25"/>
      <c r="H76" s="53"/>
      <c r="I76" s="34"/>
      <c r="J76" s="129"/>
      <c r="K76" s="29"/>
      <c r="P76" s="220"/>
      <c r="Q76" s="137"/>
      <c r="R76" s="105"/>
      <c r="S76" s="137"/>
      <c r="U76" s="708"/>
    </row>
    <row r="77" spans="1:31" s="27" customFormat="1" ht="13.5" hidden="1" thickTop="1">
      <c r="A77" s="321"/>
      <c r="B77" s="25"/>
      <c r="C77" s="25"/>
      <c r="D77" s="28"/>
      <c r="E77" s="25"/>
      <c r="F77" s="25"/>
      <c r="G77" s="25"/>
      <c r="H77" s="53"/>
      <c r="I77" s="34"/>
      <c r="J77" s="129"/>
      <c r="K77" s="29"/>
      <c r="P77" s="220"/>
      <c r="Q77" s="137"/>
      <c r="R77" s="105"/>
      <c r="S77" s="137"/>
      <c r="U77" s="708"/>
    </row>
    <row r="78" spans="1:31" s="27" customFormat="1" ht="13.5" hidden="1" thickTop="1">
      <c r="A78" s="321"/>
      <c r="B78" s="25"/>
      <c r="C78" s="25"/>
      <c r="D78" s="28"/>
      <c r="E78" s="25"/>
      <c r="F78" s="25"/>
      <c r="G78" s="25"/>
      <c r="H78" s="53"/>
      <c r="I78" s="34"/>
      <c r="J78" s="129"/>
      <c r="K78" s="29"/>
      <c r="P78" s="220"/>
      <c r="Q78" s="137"/>
      <c r="R78" s="105"/>
      <c r="S78" s="137"/>
      <c r="U78" s="708"/>
    </row>
    <row r="79" spans="1:31" s="27" customFormat="1" ht="13.5" hidden="1" thickTop="1">
      <c r="A79" s="312"/>
      <c r="B79" s="25"/>
      <c r="C79" s="25"/>
      <c r="D79" s="43"/>
      <c r="E79" s="25"/>
      <c r="F79" s="25"/>
      <c r="G79" s="149"/>
      <c r="H79" s="151"/>
      <c r="I79" s="34"/>
      <c r="J79" s="129"/>
      <c r="K79" s="28"/>
      <c r="L79" s="25"/>
      <c r="M79" s="25"/>
      <c r="N79" s="25"/>
      <c r="O79" s="25"/>
      <c r="P79" s="220"/>
      <c r="Q79" s="137"/>
      <c r="R79" s="105"/>
      <c r="S79" s="137"/>
      <c r="U79" s="708"/>
    </row>
    <row r="80" spans="1:31" ht="13.5" hidden="1" thickTop="1">
      <c r="I80" s="27"/>
      <c r="J80" s="129"/>
      <c r="K80" s="28"/>
      <c r="S80" s="137"/>
    </row>
    <row r="81" spans="1:21" ht="13.5" hidden="1" thickTop="1">
      <c r="I81" s="27"/>
      <c r="J81" s="129"/>
      <c r="K81" s="28"/>
      <c r="S81" s="137"/>
    </row>
    <row r="82" spans="1:21" ht="13.5" hidden="1" thickTop="1">
      <c r="F82" s="30"/>
      <c r="G82" s="31"/>
      <c r="I82" s="27"/>
      <c r="J82" s="129"/>
      <c r="K82" s="28"/>
      <c r="S82" s="137"/>
    </row>
    <row r="83" spans="1:21" ht="13.5" hidden="1" thickTop="1">
      <c r="A83" s="313" t="s">
        <v>79</v>
      </c>
      <c r="B83" s="31" t="s">
        <v>80</v>
      </c>
      <c r="C83" s="28"/>
      <c r="D83" s="28"/>
      <c r="F83" s="31" t="s">
        <v>81</v>
      </c>
      <c r="G83" s="31"/>
      <c r="H83" s="60"/>
      <c r="I83" s="27"/>
      <c r="J83" s="129"/>
      <c r="K83" s="28"/>
      <c r="S83" s="137"/>
    </row>
    <row r="84" spans="1:21" ht="13.5" hidden="1" thickTop="1">
      <c r="A84" s="315" t="e">
        <f>#REF!</f>
        <v>#REF!</v>
      </c>
      <c r="B84" s="147" t="e">
        <f>TRIM(CONCATENATE(#REF!," ",#REF!," ",#REF!))</f>
        <v>#REF!</v>
      </c>
      <c r="C84" s="154"/>
      <c r="D84" s="154"/>
      <c r="E84" s="154"/>
      <c r="F84" s="163" t="e">
        <f>#REF!</f>
        <v>#REF!</v>
      </c>
      <c r="G84" s="163"/>
      <c r="H84" s="162"/>
      <c r="I84" s="27"/>
      <c r="J84" s="129"/>
      <c r="K84" s="181"/>
      <c r="L84" s="44"/>
      <c r="M84" s="44"/>
      <c r="N84" s="44"/>
      <c r="O84" s="44"/>
      <c r="S84" s="137"/>
    </row>
    <row r="85" spans="1:21" s="44" customFormat="1" ht="13.5" hidden="1" thickTop="1">
      <c r="A85" s="315" t="e">
        <f>#REF!</f>
        <v>#REF!</v>
      </c>
      <c r="B85" s="49" t="e">
        <f>TRIM(CONCATENATE(#REF!," ",#REF!," ",#REF!))</f>
        <v>#REF!</v>
      </c>
      <c r="F85" s="52" t="e">
        <f>#REF!</f>
        <v>#REF!</v>
      </c>
      <c r="G85" s="52"/>
      <c r="H85" s="53"/>
      <c r="I85" s="45"/>
      <c r="J85" s="129"/>
      <c r="K85" s="181"/>
      <c r="P85" s="218"/>
      <c r="Q85" s="158"/>
      <c r="R85" s="200"/>
      <c r="S85" s="208"/>
      <c r="U85" s="710"/>
    </row>
    <row r="86" spans="1:21" s="44" customFormat="1" ht="13.5" hidden="1" thickTop="1">
      <c r="A86" s="315" t="e">
        <f>#REF!</f>
        <v>#REF!</v>
      </c>
      <c r="B86" s="49" t="e">
        <f>TRIM(CONCATENATE(#REF!," ",#REF!," ",#REF!))</f>
        <v>#REF!</v>
      </c>
      <c r="F86" s="52" t="e">
        <f>#REF!</f>
        <v>#REF!</v>
      </c>
      <c r="G86" s="52"/>
      <c r="H86" s="53"/>
      <c r="I86" s="45"/>
      <c r="J86" s="129"/>
      <c r="K86" s="181"/>
      <c r="P86" s="218"/>
      <c r="Q86" s="158"/>
      <c r="R86" s="200"/>
      <c r="S86" s="208"/>
      <c r="U86" s="710"/>
    </row>
    <row r="87" spans="1:21" s="44" customFormat="1" ht="13.5" hidden="1" thickTop="1">
      <c r="A87" s="315" t="e">
        <f>#REF!</f>
        <v>#REF!</v>
      </c>
      <c r="B87" s="49" t="e">
        <f>TRIM(CONCATENATE(#REF!," ",#REF!," ",#REF!))</f>
        <v>#REF!</v>
      </c>
      <c r="F87" s="52" t="e">
        <f>#REF!</f>
        <v>#REF!</v>
      </c>
      <c r="G87" s="52"/>
      <c r="H87" s="53"/>
      <c r="I87" s="46"/>
      <c r="J87" s="129"/>
      <c r="K87" s="181"/>
      <c r="P87" s="218"/>
      <c r="Q87" s="158"/>
      <c r="R87" s="200"/>
      <c r="S87" s="208"/>
      <c r="U87" s="710"/>
    </row>
    <row r="88" spans="1:21" s="44" customFormat="1" ht="13.5" hidden="1" thickTop="1">
      <c r="A88" s="315" t="e">
        <f>#REF!</f>
        <v>#REF!</v>
      </c>
      <c r="B88" s="49" t="e">
        <f>TRIM(CONCATENATE(#REF!," ",#REF!," ",#REF!))</f>
        <v>#REF!</v>
      </c>
      <c r="F88" s="52" t="e">
        <f>#REF!</f>
        <v>#REF!</v>
      </c>
      <c r="G88" s="52"/>
      <c r="H88" s="53"/>
      <c r="I88" s="46"/>
      <c r="J88" s="165"/>
      <c r="K88" s="181"/>
      <c r="P88" s="218"/>
      <c r="Q88" s="158"/>
      <c r="R88" s="200"/>
      <c r="S88" s="208"/>
      <c r="U88" s="710"/>
    </row>
    <row r="89" spans="1:21" s="44" customFormat="1" ht="13.5" hidden="1" thickTop="1">
      <c r="A89" s="315" t="e">
        <f>#REF!</f>
        <v>#REF!</v>
      </c>
      <c r="B89" s="49" t="e">
        <f>TRIM(CONCATENATE(#REF!," ",#REF!," ",#REF!))</f>
        <v>#REF!</v>
      </c>
      <c r="F89" s="52" t="e">
        <f>#REF!</f>
        <v>#REF!</v>
      </c>
      <c r="G89" s="52"/>
      <c r="H89" s="53"/>
      <c r="I89" s="47"/>
      <c r="J89" s="129"/>
      <c r="K89" s="181"/>
      <c r="P89" s="218"/>
      <c r="Q89" s="158"/>
      <c r="R89" s="200"/>
      <c r="S89" s="208"/>
      <c r="U89" s="710"/>
    </row>
    <row r="90" spans="1:21" s="44" customFormat="1" ht="13.5" hidden="1" thickTop="1">
      <c r="A90" s="315" t="e">
        <f>#REF!</f>
        <v>#REF!</v>
      </c>
      <c r="B90" s="49" t="e">
        <f>TRIM(CONCATENATE(#REF!," ",#REF!," ",#REF!))</f>
        <v>#REF!</v>
      </c>
      <c r="F90" s="52" t="e">
        <f>#REF!</f>
        <v>#REF!</v>
      </c>
      <c r="G90" s="52"/>
      <c r="I90" s="48"/>
      <c r="J90" s="129"/>
      <c r="K90" s="181"/>
      <c r="P90" s="218"/>
      <c r="Q90" s="158"/>
      <c r="R90" s="200"/>
      <c r="S90" s="208"/>
      <c r="U90" s="710"/>
    </row>
    <row r="91" spans="1:21" s="44" customFormat="1" ht="13.5" hidden="1" thickTop="1">
      <c r="A91" s="315" t="e">
        <f>#REF!</f>
        <v>#REF!</v>
      </c>
      <c r="B91" s="49" t="e">
        <f>TRIM(CONCATENATE(#REF!," ",#REF!," ",#REF!))</f>
        <v>#REF!</v>
      </c>
      <c r="F91" s="52" t="e">
        <f>#REF!</f>
        <v>#REF!</v>
      </c>
      <c r="G91" s="52"/>
      <c r="H91" s="53"/>
      <c r="I91" s="48"/>
      <c r="J91" s="129"/>
      <c r="K91" s="181"/>
      <c r="P91" s="218"/>
      <c r="Q91" s="158"/>
      <c r="R91" s="200"/>
      <c r="S91" s="208"/>
      <c r="U91" s="710"/>
    </row>
    <row r="92" spans="1:21" s="44" customFormat="1" ht="13.5" hidden="1" thickTop="1">
      <c r="A92" s="315"/>
      <c r="B92" s="49"/>
      <c r="F92" s="52"/>
      <c r="G92" s="52"/>
      <c r="H92" s="53"/>
      <c r="I92" s="48"/>
      <c r="J92" s="129"/>
      <c r="K92" s="181"/>
      <c r="P92" s="218"/>
      <c r="Q92" s="158"/>
      <c r="R92" s="200"/>
      <c r="S92" s="208"/>
      <c r="U92" s="710"/>
    </row>
    <row r="93" spans="1:21" s="44" customFormat="1" ht="13.5" hidden="1" thickTop="1">
      <c r="A93" s="315"/>
      <c r="B93" s="49"/>
      <c r="F93" s="52"/>
      <c r="G93" s="52"/>
      <c r="H93" s="53"/>
      <c r="I93" s="48"/>
      <c r="J93" s="129"/>
      <c r="K93" s="28"/>
      <c r="L93" s="25"/>
      <c r="M93" s="25"/>
      <c r="N93" s="25"/>
      <c r="O93" s="25"/>
      <c r="P93" s="218"/>
      <c r="Q93" s="158"/>
      <c r="R93" s="200"/>
      <c r="S93" s="208"/>
      <c r="U93" s="710"/>
    </row>
    <row r="94" spans="1:21" ht="13.5" hidden="1" thickTop="1">
      <c r="B94" s="25" t="s">
        <v>83</v>
      </c>
      <c r="F94" s="37" t="e">
        <f>SUM(F84:F93)</f>
        <v>#REF!</v>
      </c>
      <c r="G94" s="37"/>
      <c r="H94" s="56"/>
      <c r="I94" s="34"/>
      <c r="J94" s="129"/>
      <c r="K94" s="28"/>
      <c r="S94" s="137"/>
    </row>
    <row r="95" spans="1:21" ht="13.5" hidden="1" thickTop="1">
      <c r="A95" s="320"/>
      <c r="F95" s="38"/>
      <c r="G95" s="38"/>
      <c r="I95" s="34"/>
      <c r="J95" s="129"/>
      <c r="K95" s="181"/>
      <c r="L95" s="44"/>
      <c r="M95" s="44"/>
      <c r="N95" s="44"/>
      <c r="O95" s="44"/>
      <c r="S95" s="137"/>
    </row>
    <row r="96" spans="1:21" s="44" customFormat="1" ht="13.5" hidden="1" thickTop="1">
      <c r="A96" s="315" t="e">
        <f>#REF!</f>
        <v>#REF!</v>
      </c>
      <c r="B96" s="49" t="e">
        <f>TRIM(CONCATENATE(#REF!," ",#REF!," ",#REF!))</f>
        <v>#REF!</v>
      </c>
      <c r="F96" s="52" t="e">
        <f>#REF!</f>
        <v>#REF!</v>
      </c>
      <c r="G96" s="52"/>
      <c r="I96" s="48"/>
      <c r="J96" s="129"/>
      <c r="K96" s="181"/>
      <c r="P96" s="218"/>
      <c r="Q96" s="158"/>
      <c r="R96" s="200"/>
      <c r="S96" s="208"/>
      <c r="U96" s="710"/>
    </row>
    <row r="97" spans="1:21" s="44" customFormat="1" ht="13.5" hidden="1" thickTop="1">
      <c r="A97" s="315" t="e">
        <f>#REF!</f>
        <v>#REF!</v>
      </c>
      <c r="B97" s="49" t="e">
        <f>TRIM(CONCATENATE(#REF!," ",#REF!," ",#REF!))</f>
        <v>#REF!</v>
      </c>
      <c r="C97" s="50"/>
      <c r="F97" s="52" t="e">
        <f>#REF!</f>
        <v>#REF!</v>
      </c>
      <c r="G97" s="52"/>
      <c r="H97" s="53"/>
      <c r="I97" s="48"/>
      <c r="J97" s="129"/>
      <c r="K97" s="181"/>
      <c r="P97" s="218"/>
      <c r="Q97" s="158"/>
      <c r="R97" s="200"/>
      <c r="S97" s="208"/>
      <c r="U97" s="710"/>
    </row>
    <row r="98" spans="1:21" s="44" customFormat="1" ht="13.5" hidden="1" thickTop="1">
      <c r="A98" s="315" t="e">
        <f>#REF!</f>
        <v>#REF!</v>
      </c>
      <c r="B98" s="49" t="e">
        <f>TRIM(CONCATENATE(#REF!," ",#REF!," ",#REF!))</f>
        <v>#REF!</v>
      </c>
      <c r="C98" s="50"/>
      <c r="F98" s="52" t="e">
        <f>#REF!</f>
        <v>#REF!</v>
      </c>
      <c r="G98" s="52"/>
      <c r="H98" s="53"/>
      <c r="I98" s="48"/>
      <c r="J98" s="129"/>
      <c r="K98" s="181"/>
      <c r="P98" s="218"/>
      <c r="Q98" s="158"/>
      <c r="R98" s="200"/>
      <c r="S98" s="208"/>
      <c r="U98" s="710"/>
    </row>
    <row r="99" spans="1:21" s="44" customFormat="1" ht="13.5" hidden="1" thickTop="1">
      <c r="A99" s="315" t="e">
        <f>#REF!</f>
        <v>#REF!</v>
      </c>
      <c r="B99" s="49" t="e">
        <f>TRIM(CONCATENATE(#REF!," ",#REF!," ",#REF!))</f>
        <v>#REF!</v>
      </c>
      <c r="C99" s="50"/>
      <c r="F99" s="52" t="e">
        <f>#REF!</f>
        <v>#REF!</v>
      </c>
      <c r="G99" s="52"/>
      <c r="H99" s="53"/>
      <c r="I99" s="48"/>
      <c r="J99" s="166"/>
      <c r="K99" s="181"/>
      <c r="P99" s="218"/>
      <c r="Q99" s="158"/>
      <c r="R99" s="200"/>
      <c r="S99" s="208"/>
      <c r="U99" s="710"/>
    </row>
    <row r="100" spans="1:21" s="44" customFormat="1" ht="13.5" hidden="1" thickTop="1">
      <c r="A100" s="315" t="e">
        <f>#REF!</f>
        <v>#REF!</v>
      </c>
      <c r="B100" s="49" t="e">
        <f>TRIM(CONCATENATE(#REF!," ",#REF!," ",#REF!))</f>
        <v>#REF!</v>
      </c>
      <c r="C100" s="50"/>
      <c r="F100" s="52" t="e">
        <f>#REF!</f>
        <v>#REF!</v>
      </c>
      <c r="G100" s="52"/>
      <c r="H100" s="53"/>
      <c r="I100" s="48"/>
      <c r="J100" s="129"/>
      <c r="K100" s="181"/>
      <c r="P100" s="218"/>
      <c r="Q100" s="158"/>
      <c r="R100" s="200"/>
      <c r="S100" s="208"/>
      <c r="U100" s="710"/>
    </row>
    <row r="101" spans="1:21" s="44" customFormat="1" ht="13.5" hidden="1" thickTop="1">
      <c r="A101" s="315" t="e">
        <f>#REF!</f>
        <v>#REF!</v>
      </c>
      <c r="B101" s="49" t="e">
        <f>TRIM(CONCATENATE(#REF!," ",#REF!," ",#REF!))</f>
        <v>#REF!</v>
      </c>
      <c r="C101" s="50"/>
      <c r="F101" s="52" t="e">
        <f>#REF!</f>
        <v>#REF!</v>
      </c>
      <c r="G101" s="52"/>
      <c r="H101" s="53"/>
      <c r="I101" s="48"/>
      <c r="J101" s="129"/>
      <c r="K101" s="181"/>
      <c r="P101" s="218"/>
      <c r="Q101" s="158"/>
      <c r="R101" s="200"/>
      <c r="S101" s="208"/>
      <c r="U101" s="710"/>
    </row>
    <row r="102" spans="1:21" s="44" customFormat="1" ht="13.5" hidden="1" thickTop="1">
      <c r="A102" s="315" t="e">
        <f>#REF!</f>
        <v>#REF!</v>
      </c>
      <c r="B102" s="49" t="e">
        <f>TRIM(CONCATENATE(#REF!," ",#REF!," ",#REF!))</f>
        <v>#REF!</v>
      </c>
      <c r="C102" s="50"/>
      <c r="F102" s="52" t="e">
        <f>#REF!</f>
        <v>#REF!</v>
      </c>
      <c r="G102" s="52"/>
      <c r="H102" s="55"/>
      <c r="I102" s="48"/>
      <c r="J102" s="129"/>
      <c r="K102" s="181"/>
      <c r="P102" s="218"/>
      <c r="Q102" s="158"/>
      <c r="R102" s="200"/>
      <c r="S102" s="208"/>
      <c r="U102" s="710"/>
    </row>
    <row r="103" spans="1:21" s="44" customFormat="1" ht="13.5" hidden="1" thickTop="1">
      <c r="A103" s="315" t="e">
        <f>#REF!</f>
        <v>#REF!</v>
      </c>
      <c r="B103" s="49" t="e">
        <f>TRIM(CONCATENATE(#REF!," ",#REF!," ",#REF!))</f>
        <v>#REF!</v>
      </c>
      <c r="C103" s="50"/>
      <c r="F103" s="52" t="e">
        <f>#REF!</f>
        <v>#REF!</v>
      </c>
      <c r="G103" s="52"/>
      <c r="H103" s="55"/>
      <c r="I103" s="48"/>
      <c r="J103" s="129"/>
      <c r="K103" s="181"/>
      <c r="P103" s="218"/>
      <c r="Q103" s="158"/>
      <c r="R103" s="200"/>
      <c r="S103" s="208"/>
      <c r="U103" s="710"/>
    </row>
    <row r="104" spans="1:21" s="44" customFormat="1" ht="13.5" hidden="1" thickTop="1">
      <c r="A104" s="315" t="e">
        <f>#REF!</f>
        <v>#REF!</v>
      </c>
      <c r="B104" s="49" t="e">
        <f>TRIM(CONCATENATE(#REF!," ",#REF!," ",#REF!))</f>
        <v>#REF!</v>
      </c>
      <c r="C104" s="50"/>
      <c r="F104" s="52" t="e">
        <f>#REF!</f>
        <v>#REF!</v>
      </c>
      <c r="G104" s="52"/>
      <c r="H104" s="55"/>
      <c r="I104" s="48"/>
      <c r="J104" s="129"/>
      <c r="K104" s="184"/>
      <c r="L104" s="158"/>
      <c r="M104" s="158"/>
      <c r="N104" s="158"/>
      <c r="O104" s="158"/>
      <c r="P104" s="218"/>
      <c r="Q104" s="158"/>
      <c r="R104" s="200"/>
      <c r="S104" s="208"/>
      <c r="U104" s="710"/>
    </row>
    <row r="105" spans="1:21" s="158" customFormat="1" ht="13.5" hidden="1" thickTop="1">
      <c r="A105" s="317" t="e">
        <f>#REF!</f>
        <v>#REF!</v>
      </c>
      <c r="B105" s="147" t="e">
        <f>TRIM(CONCATENATE(#REF!," ",#REF!," ",#REF!))</f>
        <v>#REF!</v>
      </c>
      <c r="C105" s="148"/>
      <c r="F105" s="150" t="e">
        <f>#REF!</f>
        <v>#REF!</v>
      </c>
      <c r="G105" s="150"/>
      <c r="H105" s="159"/>
      <c r="I105" s="160"/>
      <c r="J105" s="167"/>
      <c r="K105" s="183"/>
      <c r="L105" s="107"/>
      <c r="M105" s="107"/>
      <c r="N105" s="107"/>
      <c r="O105" s="107"/>
      <c r="P105" s="218"/>
      <c r="R105" s="205"/>
      <c r="S105" s="208"/>
      <c r="U105" s="716"/>
    </row>
    <row r="106" spans="1:21" s="107" customFormat="1" ht="13.5" hidden="1" thickTop="1">
      <c r="A106" s="315" t="e">
        <f>#REF!</f>
        <v>#REF!</v>
      </c>
      <c r="B106" s="49" t="e">
        <f>TRIM(CONCATENATE(#REF!," ",#REF!," ",#REF!))</f>
        <v>#REF!</v>
      </c>
      <c r="C106" s="50"/>
      <c r="D106" s="44"/>
      <c r="E106" s="44"/>
      <c r="F106" s="52" t="e">
        <f>#REF!</f>
        <v>#REF!</v>
      </c>
      <c r="G106" s="52"/>
      <c r="H106" s="110"/>
      <c r="I106" s="108"/>
      <c r="J106" s="129"/>
      <c r="K106" s="28"/>
      <c r="L106" s="25"/>
      <c r="M106" s="25"/>
      <c r="N106" s="25"/>
      <c r="O106" s="25"/>
      <c r="P106" s="218"/>
      <c r="Q106" s="212"/>
      <c r="R106" s="203"/>
      <c r="S106" s="209"/>
      <c r="U106" s="717"/>
    </row>
    <row r="107" spans="1:21" ht="12" hidden="1" customHeight="1">
      <c r="A107" s="315" t="e">
        <f>#REF!</f>
        <v>#REF!</v>
      </c>
      <c r="B107" s="49" t="e">
        <f>TRIM(CONCATENATE(#REF!," ",#REF!," ",#REF!))</f>
        <v>#REF!</v>
      </c>
      <c r="C107" s="50"/>
      <c r="D107" s="44"/>
      <c r="E107" s="44"/>
      <c r="F107" s="52" t="e">
        <f>#REF!</f>
        <v>#REF!</v>
      </c>
      <c r="G107" s="52"/>
      <c r="I107" s="34"/>
      <c r="J107" s="129"/>
      <c r="K107" s="184"/>
      <c r="L107" s="158"/>
      <c r="M107" s="158"/>
      <c r="N107" s="158"/>
      <c r="O107" s="158"/>
      <c r="S107" s="137"/>
    </row>
    <row r="108" spans="1:21" s="158" customFormat="1" ht="11.25" hidden="1" customHeight="1">
      <c r="A108" s="317" t="e">
        <f>#REF!</f>
        <v>#REF!</v>
      </c>
      <c r="B108" s="147" t="e">
        <f>TRIM(CONCATENATE(#REF!," ",#REF!," ",#REF!))</f>
        <v>#REF!</v>
      </c>
      <c r="C108" s="148"/>
      <c r="F108" s="150" t="e">
        <f>#REF!</f>
        <v>#REF!</v>
      </c>
      <c r="G108" s="150"/>
      <c r="H108" s="159"/>
      <c r="I108" s="160"/>
      <c r="J108" s="167"/>
      <c r="K108" s="28"/>
      <c r="L108" s="25"/>
      <c r="M108" s="25"/>
      <c r="N108" s="25"/>
      <c r="O108" s="25"/>
      <c r="P108" s="218"/>
      <c r="R108" s="205"/>
      <c r="S108" s="208"/>
      <c r="U108" s="716"/>
    </row>
    <row r="109" spans="1:21" ht="13.5" hidden="1" thickTop="1">
      <c r="A109" s="317" t="e">
        <f>#REF!</f>
        <v>#REF!</v>
      </c>
      <c r="B109" s="147" t="e">
        <f>TRIM(CONCATENATE(#REF!," ",#REF!," ",#REF!))</f>
        <v>#REF!</v>
      </c>
      <c r="C109" s="148"/>
      <c r="D109" s="158"/>
      <c r="E109" s="158"/>
      <c r="F109" s="150" t="e">
        <f>#REF!</f>
        <v>#REF!</v>
      </c>
      <c r="G109" s="150"/>
      <c r="H109" s="155"/>
      <c r="I109" s="34"/>
      <c r="J109" s="129"/>
      <c r="K109" s="28"/>
      <c r="S109" s="137"/>
    </row>
    <row r="110" spans="1:21" ht="0.75" hidden="1" customHeight="1">
      <c r="A110" s="317"/>
      <c r="B110" s="147"/>
      <c r="C110" s="148"/>
      <c r="D110" s="148"/>
      <c r="E110" s="148"/>
      <c r="F110" s="150"/>
      <c r="G110" s="150"/>
      <c r="H110" s="155"/>
      <c r="I110" s="34"/>
      <c r="J110" s="129"/>
      <c r="K110" s="28"/>
      <c r="S110" s="137"/>
    </row>
    <row r="111" spans="1:21" ht="13.5" hidden="1" thickTop="1">
      <c r="A111" s="317"/>
      <c r="B111" s="147"/>
      <c r="C111" s="148"/>
      <c r="D111" s="148"/>
      <c r="E111" s="148"/>
      <c r="F111" s="150"/>
      <c r="G111" s="150"/>
      <c r="H111" s="155"/>
      <c r="I111" s="34"/>
      <c r="J111" s="129"/>
      <c r="K111" s="28"/>
      <c r="S111" s="137"/>
    </row>
    <row r="112" spans="1:21" ht="14.25" hidden="1" thickTop="1" thickBot="1">
      <c r="A112" s="319"/>
      <c r="B112" s="145" t="s">
        <v>84</v>
      </c>
      <c r="C112" s="145"/>
      <c r="D112" s="145"/>
      <c r="E112" s="145"/>
      <c r="F112" s="164" t="e">
        <f>SUM(F94:F111)</f>
        <v>#REF!</v>
      </c>
      <c r="G112" s="164"/>
      <c r="H112" s="185"/>
      <c r="I112" s="34"/>
      <c r="J112" s="129"/>
      <c r="K112" s="28"/>
      <c r="S112" s="137"/>
    </row>
    <row r="113" spans="1:19" ht="13.5" hidden="1" thickTop="1">
      <c r="A113" s="319"/>
      <c r="B113" s="145"/>
      <c r="C113" s="145"/>
      <c r="D113" s="145"/>
      <c r="E113" s="145"/>
      <c r="F113" s="145"/>
      <c r="G113" s="145"/>
      <c r="H113" s="155"/>
      <c r="I113" s="34"/>
      <c r="J113" s="129"/>
      <c r="K113" s="28"/>
      <c r="S113" s="137"/>
    </row>
    <row r="114" spans="1:19" ht="12.75" hidden="1" customHeight="1">
      <c r="A114" s="317" t="e">
        <f>#REF!</f>
        <v>#REF!</v>
      </c>
      <c r="B114" s="147" t="e">
        <f>TRIM(CONCATENATE(#REF!," ",#REF!," ",#REF!))</f>
        <v>#REF!</v>
      </c>
      <c r="C114" s="148"/>
      <c r="D114" s="154"/>
      <c r="E114" s="154"/>
      <c r="F114" s="150" t="e">
        <f>#REF!</f>
        <v>#REF!</v>
      </c>
      <c r="G114" s="150"/>
      <c r="H114" s="152"/>
      <c r="I114" s="34"/>
      <c r="J114" s="129"/>
      <c r="K114" s="28"/>
      <c r="S114" s="137"/>
    </row>
    <row r="115" spans="1:19" ht="13.5" hidden="1" thickTop="1">
      <c r="A115" s="317" t="e">
        <f>#REF!</f>
        <v>#REF!</v>
      </c>
      <c r="B115" s="147" t="e">
        <f>TRIM(CONCATENATE(#REF!," ",#REF!," ",#REF!))</f>
        <v>#REF!</v>
      </c>
      <c r="C115" s="148"/>
      <c r="D115" s="154"/>
      <c r="E115" s="154"/>
      <c r="F115" s="150" t="e">
        <f>#REF!</f>
        <v>#REF!</v>
      </c>
      <c r="G115" s="150"/>
      <c r="H115" s="155"/>
      <c r="I115" s="34"/>
      <c r="J115" s="129"/>
      <c r="K115" s="28"/>
      <c r="S115" s="137"/>
    </row>
    <row r="116" spans="1:19" ht="13.5" hidden="1" thickTop="1">
      <c r="A116" s="317" t="e">
        <f>#REF!</f>
        <v>#REF!</v>
      </c>
      <c r="B116" s="147" t="e">
        <f>TRIM(CONCATENATE(#REF!," ",#REF!," ",#REF!))</f>
        <v>#REF!</v>
      </c>
      <c r="C116" s="148"/>
      <c r="D116" s="154"/>
      <c r="E116" s="154"/>
      <c r="F116" s="150" t="e">
        <f>#REF!</f>
        <v>#REF!</v>
      </c>
      <c r="G116" s="150"/>
      <c r="H116" s="155"/>
      <c r="I116" s="34"/>
      <c r="J116" s="129"/>
      <c r="K116" s="28"/>
      <c r="S116" s="137"/>
    </row>
    <row r="117" spans="1:19" ht="13.5" hidden="1" thickTop="1">
      <c r="A117" s="315" t="e">
        <f>#REF!</f>
        <v>#REF!</v>
      </c>
      <c r="B117" s="49" t="e">
        <f>TRIM(CONCATENATE(#REF!," ",#REF!," ",#REF!))</f>
        <v>#REF!</v>
      </c>
      <c r="C117" s="50"/>
      <c r="D117" s="32"/>
      <c r="E117" s="32"/>
      <c r="F117" s="52" t="e">
        <f>#REF!</f>
        <v>#REF!</v>
      </c>
      <c r="G117" s="52"/>
      <c r="I117" s="34"/>
      <c r="J117" s="129"/>
      <c r="K117" s="28"/>
      <c r="S117" s="137"/>
    </row>
    <row r="118" spans="1:19" ht="13.5" hidden="1" thickTop="1">
      <c r="A118" s="315" t="e">
        <f>#REF!</f>
        <v>#REF!</v>
      </c>
      <c r="B118" s="49" t="e">
        <f>TRIM(CONCATENATE(#REF!," ",#REF!," ",#REF!))</f>
        <v>#REF!</v>
      </c>
      <c r="C118" s="50"/>
      <c r="D118" s="32"/>
      <c r="E118" s="32"/>
      <c r="F118" s="52" t="e">
        <f>#REF!</f>
        <v>#REF!</v>
      </c>
      <c r="G118" s="52"/>
      <c r="I118" s="34"/>
      <c r="J118" s="129"/>
      <c r="K118" s="28"/>
      <c r="S118" s="137"/>
    </row>
    <row r="119" spans="1:19" ht="13.5" hidden="1" thickTop="1">
      <c r="A119" s="315" t="e">
        <f>#REF!</f>
        <v>#REF!</v>
      </c>
      <c r="B119" s="49" t="e">
        <f>TRIM(CONCATENATE(#REF!," ",#REF!," ",#REF!))</f>
        <v>#REF!</v>
      </c>
      <c r="C119" s="50"/>
      <c r="D119" s="32"/>
      <c r="E119" s="32"/>
      <c r="F119" s="52" t="e">
        <f>#REF!</f>
        <v>#REF!</v>
      </c>
      <c r="G119" s="52"/>
      <c r="I119" s="34"/>
      <c r="J119" s="129"/>
      <c r="K119" s="28"/>
      <c r="S119" s="137"/>
    </row>
    <row r="120" spans="1:19" ht="13.5" hidden="1" thickTop="1">
      <c r="A120" s="315" t="e">
        <f>#REF!</f>
        <v>#REF!</v>
      </c>
      <c r="B120" s="49" t="e">
        <f>TRIM(CONCATENATE(#REF!," ",#REF!," ",#REF!))</f>
        <v>#REF!</v>
      </c>
      <c r="C120" s="50"/>
      <c r="D120" s="32"/>
      <c r="E120" s="32"/>
      <c r="F120" s="52" t="e">
        <f>#REF!</f>
        <v>#REF!</v>
      </c>
      <c r="G120" s="52"/>
      <c r="I120" s="34"/>
      <c r="J120" s="129"/>
      <c r="K120" s="28"/>
      <c r="S120" s="137"/>
    </row>
    <row r="121" spans="1:19" ht="13.5" hidden="1" thickTop="1">
      <c r="A121" s="315" t="e">
        <f>#REF!</f>
        <v>#REF!</v>
      </c>
      <c r="B121" s="49" t="e">
        <f>TRIM(CONCATENATE(#REF!," ",#REF!," ",#REF!))</f>
        <v>#REF!</v>
      </c>
      <c r="C121" s="50"/>
      <c r="D121" s="32"/>
      <c r="E121" s="32"/>
      <c r="F121" s="109" t="e">
        <f>#REF!</f>
        <v>#REF!</v>
      </c>
      <c r="G121" s="109"/>
      <c r="I121" s="34"/>
      <c r="J121" s="129"/>
      <c r="K121" s="28"/>
      <c r="S121" s="137"/>
    </row>
    <row r="122" spans="1:19" ht="13.5" hidden="1" thickTop="1">
      <c r="A122" s="315" t="e">
        <f>#REF!</f>
        <v>#REF!</v>
      </c>
      <c r="B122" s="49" t="e">
        <f>TRIM(CONCATENATE(#REF!," ",#REF!," ",#REF!))</f>
        <v>#REF!</v>
      </c>
      <c r="C122" s="50"/>
      <c r="D122" s="32"/>
      <c r="E122" s="32"/>
      <c r="F122" s="109" t="e">
        <f>#REF!</f>
        <v>#REF!</v>
      </c>
      <c r="G122" s="109"/>
      <c r="I122" s="34"/>
      <c r="J122" s="129"/>
      <c r="K122" s="28"/>
      <c r="S122" s="137"/>
    </row>
    <row r="123" spans="1:19" ht="13.5" hidden="1" thickTop="1">
      <c r="A123" s="315" t="e">
        <f>#REF!</f>
        <v>#REF!</v>
      </c>
      <c r="B123" s="49" t="e">
        <f>TRIM(CONCATENATE(#REF!," ",#REF!," ",#REF!))</f>
        <v>#REF!</v>
      </c>
      <c r="C123" s="50"/>
      <c r="D123" s="32"/>
      <c r="E123" s="32"/>
      <c r="F123" s="109" t="e">
        <f>#REF!</f>
        <v>#REF!</v>
      </c>
      <c r="G123" s="109"/>
      <c r="I123" s="34"/>
      <c r="J123" s="129"/>
      <c r="K123" s="28"/>
      <c r="S123" s="137"/>
    </row>
    <row r="124" spans="1:19" ht="13.5" hidden="1" thickTop="1">
      <c r="A124" s="315" t="e">
        <f>#REF!</f>
        <v>#REF!</v>
      </c>
      <c r="B124" s="49" t="e">
        <f>TRIM(CONCATENATE(#REF!," ",#REF!," ",#REF!))</f>
        <v>#REF!</v>
      </c>
      <c r="C124" s="50"/>
      <c r="D124" s="32"/>
      <c r="E124" s="32"/>
      <c r="F124" s="109" t="e">
        <f>#REF!</f>
        <v>#REF!</v>
      </c>
      <c r="G124" s="109"/>
      <c r="I124" s="34"/>
      <c r="J124" s="129"/>
      <c r="K124" s="28"/>
      <c r="S124" s="137"/>
    </row>
    <row r="125" spans="1:19" ht="13.5" hidden="1" thickTop="1">
      <c r="A125" s="315" t="e">
        <f>#REF!</f>
        <v>#REF!</v>
      </c>
      <c r="B125" s="49" t="e">
        <f>TRIM(CONCATENATE(#REF!," ",#REF!," ",#REF!))</f>
        <v>#REF!</v>
      </c>
      <c r="C125" s="50"/>
      <c r="D125" s="32"/>
      <c r="E125" s="32"/>
      <c r="F125" s="109" t="e">
        <f>#REF!</f>
        <v>#REF!</v>
      </c>
      <c r="G125" s="109"/>
      <c r="I125" s="34"/>
      <c r="J125" s="129"/>
      <c r="K125" s="28"/>
      <c r="S125" s="137"/>
    </row>
    <row r="126" spans="1:19" ht="13.5" hidden="1" thickTop="1">
      <c r="A126" s="315" t="e">
        <f>#REF!</f>
        <v>#REF!</v>
      </c>
      <c r="B126" s="49" t="e">
        <f>TRIM(CONCATENATE(#REF!," ",#REF!," ",#REF!))</f>
        <v>#REF!</v>
      </c>
      <c r="C126" s="50"/>
      <c r="D126" s="32"/>
      <c r="E126" s="32"/>
      <c r="F126" s="109" t="e">
        <f>#REF!</f>
        <v>#REF!</v>
      </c>
      <c r="G126" s="109"/>
      <c r="I126" s="34"/>
      <c r="J126" s="129"/>
      <c r="K126" s="28"/>
      <c r="S126" s="137"/>
    </row>
    <row r="127" spans="1:19" ht="13.5" hidden="1" customHeight="1">
      <c r="A127" s="317" t="e">
        <f>#REF!</f>
        <v>#REF!</v>
      </c>
      <c r="B127" s="147" t="e">
        <f>TRIM(CONCATENATE(#REF!," ",#REF!," ",#REF!))</f>
        <v>#REF!</v>
      </c>
      <c r="C127" s="148"/>
      <c r="D127" s="154"/>
      <c r="E127" s="154"/>
      <c r="F127" s="134" t="e">
        <f>#REF!</f>
        <v>#REF!</v>
      </c>
      <c r="G127" s="134"/>
      <c r="H127" s="155"/>
      <c r="I127" s="34"/>
      <c r="J127" s="129"/>
      <c r="K127" s="28"/>
      <c r="S127" s="137"/>
    </row>
    <row r="128" spans="1:19" ht="12.75" hidden="1" customHeight="1">
      <c r="A128" s="315" t="e">
        <f>#REF!</f>
        <v>#REF!</v>
      </c>
      <c r="B128" s="49" t="e">
        <f>TRIM(CONCATENATE(#REF!," ",#REF!," ",#REF!))</f>
        <v>#REF!</v>
      </c>
      <c r="C128" s="50"/>
      <c r="D128" s="32"/>
      <c r="E128" s="32"/>
      <c r="F128" s="109" t="e">
        <f>#REF!</f>
        <v>#REF!</v>
      </c>
      <c r="G128" s="109"/>
      <c r="I128" s="34"/>
      <c r="J128" s="129"/>
      <c r="K128" s="28"/>
      <c r="S128" s="137"/>
    </row>
    <row r="129" spans="1:31" ht="1.5" hidden="1" customHeight="1">
      <c r="A129" s="315" t="e">
        <f>#REF!</f>
        <v>#REF!</v>
      </c>
      <c r="B129" s="49" t="e">
        <f>TRIM(CONCATENATE(#REF!," ",#REF!," ",#REF!))</f>
        <v>#REF!</v>
      </c>
      <c r="C129" s="50"/>
      <c r="D129" s="32"/>
      <c r="E129" s="32"/>
      <c r="F129" s="109" t="e">
        <f>#REF!</f>
        <v>#REF!</v>
      </c>
      <c r="G129" s="109"/>
      <c r="I129" s="34"/>
      <c r="J129" s="129"/>
      <c r="K129" s="28"/>
      <c r="S129" s="137"/>
    </row>
    <row r="130" spans="1:31" ht="13.5" hidden="1" customHeight="1">
      <c r="A130" s="320"/>
      <c r="B130" s="27"/>
      <c r="C130" s="27"/>
      <c r="D130" s="27"/>
      <c r="E130" s="41"/>
      <c r="F130" s="140"/>
      <c r="G130" s="140"/>
      <c r="H130" s="59"/>
      <c r="I130" s="34"/>
      <c r="J130" s="129"/>
      <c r="K130" s="28"/>
      <c r="S130" s="137"/>
    </row>
    <row r="131" spans="1:31" ht="13.5" hidden="1" customHeight="1" thickBot="1">
      <c r="B131" s="27" t="s">
        <v>183</v>
      </c>
      <c r="C131" s="27"/>
      <c r="D131" s="27"/>
      <c r="E131" s="41"/>
      <c r="F131" s="42" t="e">
        <f>SUM(F112:F130)</f>
        <v>#REF!</v>
      </c>
      <c r="G131" s="42"/>
      <c r="H131" s="186"/>
      <c r="I131" s="34"/>
      <c r="J131" s="129"/>
      <c r="K131" s="28"/>
      <c r="M131" s="144"/>
      <c r="S131" s="137"/>
    </row>
    <row r="132" spans="1:31" ht="14.25" customHeight="1" thickTop="1">
      <c r="A132" s="25"/>
      <c r="B132" s="27"/>
      <c r="C132" s="27"/>
      <c r="D132" s="27"/>
      <c r="E132" s="41"/>
      <c r="F132" s="34"/>
      <c r="G132" s="34"/>
      <c r="H132" s="59"/>
      <c r="I132" s="34"/>
      <c r="J132" s="129"/>
      <c r="L132" s="146"/>
      <c r="M132" s="50"/>
      <c r="N132" s="51">
        <f>'RR Summary'!E24</f>
        <v>38000.017689383101</v>
      </c>
      <c r="O132" s="51"/>
      <c r="P132" s="213"/>
      <c r="Q132" s="25"/>
      <c r="R132" s="173">
        <f>N74-N132</f>
        <v>12859.619504992443</v>
      </c>
      <c r="S132" s="137"/>
    </row>
    <row r="133" spans="1:31" ht="14.25" customHeight="1">
      <c r="A133" s="1162" t="s">
        <v>1101</v>
      </c>
      <c r="F133" s="123"/>
      <c r="L133" s="27"/>
      <c r="M133" s="50"/>
      <c r="P133" s="25"/>
      <c r="Q133" s="25"/>
      <c r="S133" s="195"/>
    </row>
    <row r="134" spans="1:31" s="1149" customFormat="1">
      <c r="A134" s="436">
        <f>'ADJ DETAIL-INPUT'!BK$9</f>
        <v>5.01</v>
      </c>
      <c r="B134" s="358" t="str">
        <f>TRIM(CONCATENATE('ADJ DETAIL-INPUT'!BK$6," ",'ADJ DETAIL-INPUT'!BK$7," ",'ADJ DETAIL-INPUT'!BK$8))</f>
        <v>Pro Forma 2024 AMI Amortization</v>
      </c>
      <c r="C134" s="167"/>
      <c r="D134" s="1154">
        <v>609.98731199999997</v>
      </c>
      <c r="E134" s="1154">
        <v>-2992</v>
      </c>
      <c r="F134" s="129"/>
      <c r="G134" s="109">
        <f>'ADJ DETAIL-INPUT'!BK$56</f>
        <v>609.17049599999996</v>
      </c>
      <c r="H134" s="109">
        <f>'ADJ DETAIL-INPUT'!BK$80</f>
        <v>-2992</v>
      </c>
      <c r="I134" s="1161"/>
      <c r="J134" s="1153">
        <f>G134-D134</f>
        <v>-0.81681600000001708</v>
      </c>
      <c r="K134" s="1153">
        <f>H134-E134</f>
        <v>0</v>
      </c>
      <c r="L134" s="1150"/>
      <c r="M134" s="1155">
        <f>J134/$M$9*-1</f>
        <v>1.0814543740583362</v>
      </c>
      <c r="N134" s="1155">
        <f>K134*$N$9/$M$9</f>
        <v>0</v>
      </c>
      <c r="O134" s="1155">
        <f>(H134*$N$9/$M$9)-(G134/$M$9)</f>
        <v>-1085.0186761711334</v>
      </c>
      <c r="P134" s="219">
        <f>SUM(M134:N134)</f>
        <v>1.0814543740583362</v>
      </c>
      <c r="Q134" s="1157">
        <f>SUM(M134:N134)</f>
        <v>1.0814543740583362</v>
      </c>
      <c r="R134" s="1156"/>
      <c r="S134" s="214"/>
      <c r="U134" s="1159"/>
      <c r="V134" s="1158"/>
      <c r="W134" s="1151"/>
      <c r="X134" s="1151"/>
      <c r="Y134" s="1151"/>
      <c r="Z134" s="1151"/>
      <c r="AA134" s="1151"/>
      <c r="AB134" s="1151"/>
      <c r="AC134" s="1151"/>
      <c r="AD134" s="1151"/>
      <c r="AE134" s="1151"/>
    </row>
    <row r="135" spans="1:31" s="1149" customFormat="1">
      <c r="A135" s="436">
        <f>'ADJ DETAIL-INPUT'!BL$9</f>
        <v>5.0199999999999996</v>
      </c>
      <c r="B135" s="358" t="str">
        <f>TRIM(CONCATENATE('ADJ DETAIL-INPUT'!BL$6," ",'ADJ DETAIL-INPUT'!BL$7," ",'ADJ DETAIL-INPUT'!BL$8))</f>
        <v>Pro Forma Non-Exec Labor &amp; Union Incentive</v>
      </c>
      <c r="C135" s="167"/>
      <c r="D135" s="1154">
        <v>-1539.71</v>
      </c>
      <c r="E135" s="1154">
        <v>0</v>
      </c>
      <c r="F135" s="129"/>
      <c r="G135" s="109">
        <f>'ADJ DETAIL-INPUT'!BL$56</f>
        <v>-1539.71</v>
      </c>
      <c r="H135" s="109">
        <f>'ADJ DETAIL-INPUT'!BL$80</f>
        <v>0</v>
      </c>
      <c r="I135" s="1161"/>
      <c r="J135" s="1153">
        <f t="shared" ref="J135:J146" si="127">G135-D135</f>
        <v>0</v>
      </c>
      <c r="K135" s="1153">
        <f t="shared" ref="K135:K146" si="128">H135-E135</f>
        <v>0</v>
      </c>
      <c r="L135" s="1150"/>
      <c r="M135" s="1155">
        <f t="shared" ref="M135:M146" si="129">J135/$M$9*-1</f>
        <v>0</v>
      </c>
      <c r="N135" s="1155">
        <f t="shared" ref="N135:N146" si="130">K135*$N$9/$M$9</f>
        <v>0</v>
      </c>
      <c r="O135" s="1155">
        <f t="shared" ref="O135:O146" si="131">(H135*$N$9/$M$9)-(G135/$M$9)</f>
        <v>2038.5571711148241</v>
      </c>
      <c r="P135" s="219">
        <f t="shared" ref="P135:P146" si="132">SUM(M135:N135)</f>
        <v>0</v>
      </c>
      <c r="Q135" s="1157">
        <f t="shared" ref="Q135:Q146" si="133">SUM(M135:N135)</f>
        <v>0</v>
      </c>
      <c r="R135" s="1156"/>
      <c r="S135" s="214"/>
      <c r="U135" s="1159"/>
      <c r="V135" s="1158"/>
      <c r="W135" s="1151"/>
      <c r="X135" s="1151"/>
      <c r="Y135" s="1151"/>
      <c r="Z135" s="1151"/>
      <c r="AA135" s="1151"/>
      <c r="AB135" s="1151"/>
      <c r="AC135" s="1151"/>
      <c r="AD135" s="1151"/>
      <c r="AE135" s="1151"/>
    </row>
    <row r="136" spans="1:31" s="1149" customFormat="1">
      <c r="A136" s="436">
        <f>'ADJ DETAIL-INPUT'!BM$9</f>
        <v>5.0299999999999994</v>
      </c>
      <c r="B136" s="358" t="str">
        <f>TRIM(CONCATENATE('ADJ DETAIL-INPUT'!BM$6," ",'ADJ DETAIL-INPUT'!BM$7," ",'ADJ DETAIL-INPUT'!BM$8))</f>
        <v>Pro Forma Employee Benefits</v>
      </c>
      <c r="C136" s="167"/>
      <c r="D136" s="1154">
        <v>-364.98</v>
      </c>
      <c r="E136" s="1154">
        <v>0</v>
      </c>
      <c r="F136" s="129"/>
      <c r="G136" s="109">
        <f>'ADJ DETAIL-INPUT'!BM$56</f>
        <v>-364.98</v>
      </c>
      <c r="H136" s="109">
        <f>'ADJ DETAIL-INPUT'!BM$80</f>
        <v>0</v>
      </c>
      <c r="I136" s="1161"/>
      <c r="J136" s="1153">
        <f t="shared" si="127"/>
        <v>0</v>
      </c>
      <c r="K136" s="1153">
        <f t="shared" si="128"/>
        <v>0</v>
      </c>
      <c r="L136" s="1150"/>
      <c r="M136" s="1155">
        <f t="shared" si="129"/>
        <v>0</v>
      </c>
      <c r="N136" s="1155">
        <f t="shared" si="130"/>
        <v>0</v>
      </c>
      <c r="O136" s="1155">
        <f t="shared" si="131"/>
        <v>483.22904723193881</v>
      </c>
      <c r="P136" s="219">
        <f t="shared" si="132"/>
        <v>0</v>
      </c>
      <c r="Q136" s="1157">
        <f t="shared" si="133"/>
        <v>0</v>
      </c>
      <c r="R136" s="1156"/>
      <c r="S136" s="214"/>
      <c r="U136" s="1159"/>
      <c r="V136" s="1158"/>
      <c r="W136" s="1151"/>
      <c r="X136" s="1151"/>
      <c r="Y136" s="1151"/>
      <c r="Z136" s="1151"/>
      <c r="AA136" s="1151"/>
      <c r="AB136" s="1151"/>
      <c r="AC136" s="1151"/>
      <c r="AD136" s="1151"/>
      <c r="AE136" s="1151"/>
    </row>
    <row r="137" spans="1:31" s="1149" customFormat="1">
      <c r="A137" s="436">
        <f>'ADJ DETAIL-INPUT'!BN$9</f>
        <v>5.0399999999999991</v>
      </c>
      <c r="B137" s="358" t="str">
        <f>TRIM(CONCATENATE('ADJ DETAIL-INPUT'!BN$6," ",'ADJ DETAIL-INPUT'!BN$7," ",'ADJ DETAIL-INPUT'!BN$8))</f>
        <v>Pro Forma Property Tax</v>
      </c>
      <c r="C137" s="167"/>
      <c r="D137" s="1154">
        <v>-494.53999999999996</v>
      </c>
      <c r="E137" s="1154">
        <v>0</v>
      </c>
      <c r="F137" s="129"/>
      <c r="G137" s="109">
        <f>'ADJ DETAIL-INPUT'!BN$56</f>
        <v>-494.53999999999996</v>
      </c>
      <c r="H137" s="109">
        <f>'ADJ DETAIL-INPUT'!BN$80</f>
        <v>0</v>
      </c>
      <c r="I137" s="1161"/>
      <c r="J137" s="1153">
        <f t="shared" si="127"/>
        <v>0</v>
      </c>
      <c r="K137" s="1153">
        <f t="shared" si="128"/>
        <v>0</v>
      </c>
      <c r="L137" s="1150"/>
      <c r="M137" s="1155">
        <f t="shared" si="129"/>
        <v>0</v>
      </c>
      <c r="N137" s="1155">
        <f t="shared" si="130"/>
        <v>0</v>
      </c>
      <c r="O137" s="1155">
        <f t="shared" si="131"/>
        <v>654.76489949609015</v>
      </c>
      <c r="P137" s="219">
        <f t="shared" si="132"/>
        <v>0</v>
      </c>
      <c r="Q137" s="1157">
        <f t="shared" si="133"/>
        <v>0</v>
      </c>
      <c r="R137" s="1156"/>
      <c r="S137" s="214"/>
      <c r="U137" s="1159"/>
      <c r="V137" s="1158"/>
      <c r="W137" s="1151"/>
      <c r="X137" s="1151"/>
      <c r="Y137" s="1151"/>
      <c r="Z137" s="1151"/>
      <c r="AA137" s="1151"/>
      <c r="AB137" s="1151"/>
      <c r="AC137" s="1151"/>
      <c r="AD137" s="1151"/>
      <c r="AE137" s="1151"/>
    </row>
    <row r="138" spans="1:31" s="1149" customFormat="1">
      <c r="A138" s="436">
        <f>'ADJ DETAIL-INPUT'!BO$9</f>
        <v>5.0499999999999989</v>
      </c>
      <c r="B138" s="358" t="str">
        <f>TRIM(CONCATENATE('ADJ DETAIL-INPUT'!BO$6," ",'ADJ DETAIL-INPUT'!BO$7," ",'ADJ DETAIL-INPUT'!BO$8))</f>
        <v>Pro Forma Insurance Expense</v>
      </c>
      <c r="C138" s="167"/>
      <c r="D138" s="1154">
        <v>-1194.48</v>
      </c>
      <c r="E138" s="1154">
        <v>0</v>
      </c>
      <c r="F138" s="129"/>
      <c r="G138" s="109">
        <f>'ADJ DETAIL-INPUT'!BO$56</f>
        <v>-1194.48</v>
      </c>
      <c r="H138" s="109">
        <f>'ADJ DETAIL-INPUT'!BO$80</f>
        <v>0</v>
      </c>
      <c r="I138" s="1161"/>
      <c r="J138" s="1153">
        <f t="shared" si="127"/>
        <v>0</v>
      </c>
      <c r="K138" s="1153">
        <f t="shared" si="128"/>
        <v>0</v>
      </c>
      <c r="L138" s="1150"/>
      <c r="M138" s="1155">
        <f t="shared" si="129"/>
        <v>0</v>
      </c>
      <c r="N138" s="1155">
        <f t="shared" si="130"/>
        <v>0</v>
      </c>
      <c r="O138" s="1155">
        <f t="shared" si="131"/>
        <v>1581.4768818499815</v>
      </c>
      <c r="P138" s="219">
        <f t="shared" si="132"/>
        <v>0</v>
      </c>
      <c r="Q138" s="1157">
        <f t="shared" si="133"/>
        <v>0</v>
      </c>
      <c r="R138" s="1156"/>
      <c r="S138" s="214"/>
      <c r="U138" s="1159"/>
      <c r="V138" s="1158"/>
      <c r="W138" s="1151"/>
      <c r="X138" s="1151"/>
      <c r="Y138" s="1151"/>
      <c r="Z138" s="1151"/>
      <c r="AA138" s="1151"/>
      <c r="AB138" s="1151"/>
      <c r="AC138" s="1151"/>
      <c r="AD138" s="1151"/>
      <c r="AE138" s="1151"/>
    </row>
    <row r="139" spans="1:31" s="1149" customFormat="1">
      <c r="A139" s="436">
        <f>'ADJ DETAIL-INPUT'!BP$9</f>
        <v>5.0599999999999987</v>
      </c>
      <c r="B139" s="358" t="str">
        <f>TRIM(CONCATENATE('ADJ DETAIL-INPUT'!BP$6," ",'ADJ DETAIL-INPUT'!BP$7," ",'ADJ DETAIL-INPUT'!BP$8))</f>
        <v>Transportation Electrification Return (Kicker)</v>
      </c>
      <c r="C139" s="167"/>
      <c r="D139" s="1154">
        <v>-36</v>
      </c>
      <c r="E139" s="1154">
        <v>0</v>
      </c>
      <c r="F139" s="129"/>
      <c r="G139" s="109">
        <f>'ADJ DETAIL-INPUT'!BP$56</f>
        <v>-36.340000000000003</v>
      </c>
      <c r="H139" s="109">
        <f>'ADJ DETAIL-INPUT'!BP$80</f>
        <v>0</v>
      </c>
      <c r="I139" s="1161"/>
      <c r="J139" s="1153">
        <f t="shared" si="127"/>
        <v>-0.34000000000000341</v>
      </c>
      <c r="K139" s="1153">
        <f t="shared" si="128"/>
        <v>0</v>
      </c>
      <c r="L139" s="1150"/>
      <c r="M139" s="1155">
        <f t="shared" si="129"/>
        <v>0.45015583335761095</v>
      </c>
      <c r="N139" s="1155">
        <f t="shared" si="130"/>
        <v>0</v>
      </c>
      <c r="O139" s="1155">
        <f t="shared" si="131"/>
        <v>48.113714659457116</v>
      </c>
      <c r="P139" s="219">
        <f t="shared" si="132"/>
        <v>0.45015583335761095</v>
      </c>
      <c r="Q139" s="1157">
        <f t="shared" si="133"/>
        <v>0.45015583335761095</v>
      </c>
      <c r="R139" s="1156"/>
      <c r="S139" s="214"/>
      <c r="U139" s="1159"/>
      <c r="V139" s="1158"/>
      <c r="W139" s="1151"/>
      <c r="X139" s="1151"/>
      <c r="Y139" s="1151"/>
      <c r="Z139" s="1151"/>
      <c r="AA139" s="1151"/>
      <c r="AB139" s="1151"/>
      <c r="AC139" s="1151"/>
      <c r="AD139" s="1151"/>
      <c r="AE139" s="1151"/>
    </row>
    <row r="140" spans="1:31" s="1149" customFormat="1">
      <c r="A140" s="436">
        <f>'ADJ DETAIL-INPUT'!BQ$9</f>
        <v>5.0699999999999985</v>
      </c>
      <c r="B140" s="358" t="str">
        <f>TRIM(CONCATENATE('ADJ DETAIL-INPUT'!BQ$6," ",'ADJ DETAIL-INPUT'!BQ$7," ",'ADJ DETAIL-INPUT'!BQ$8))</f>
        <v>Pro Forma Misc O&amp;M Exp</v>
      </c>
      <c r="C140" s="167"/>
      <c r="D140" s="1154">
        <v>-3431.3215499999997</v>
      </c>
      <c r="E140" s="1154">
        <v>0</v>
      </c>
      <c r="F140" s="129"/>
      <c r="G140" s="109">
        <f>'ADJ DETAIL-INPUT'!BQ$56</f>
        <v>-3431.3215499999997</v>
      </c>
      <c r="H140" s="109">
        <f>'ADJ DETAIL-INPUT'!BQ$80</f>
        <v>0</v>
      </c>
      <c r="I140" s="1161"/>
      <c r="J140" s="1153">
        <f t="shared" si="127"/>
        <v>0</v>
      </c>
      <c r="K140" s="1153">
        <f t="shared" si="128"/>
        <v>0</v>
      </c>
      <c r="L140" s="1150"/>
      <c r="M140" s="1155">
        <f t="shared" si="129"/>
        <v>0</v>
      </c>
      <c r="N140" s="1155">
        <f t="shared" si="130"/>
        <v>0</v>
      </c>
      <c r="O140" s="1155">
        <f t="shared" si="131"/>
        <v>4543.027681935775</v>
      </c>
      <c r="P140" s="219">
        <f t="shared" si="132"/>
        <v>0</v>
      </c>
      <c r="Q140" s="1157">
        <f t="shared" si="133"/>
        <v>0</v>
      </c>
      <c r="R140" s="1156"/>
      <c r="S140" s="214"/>
      <c r="U140" s="1159"/>
      <c r="V140" s="1158"/>
      <c r="W140" s="1151"/>
      <c r="X140" s="1151"/>
      <c r="Y140" s="1151"/>
      <c r="Z140" s="1151"/>
      <c r="AA140" s="1151"/>
      <c r="AB140" s="1151"/>
      <c r="AC140" s="1151"/>
      <c r="AD140" s="1151"/>
      <c r="AE140" s="1151"/>
    </row>
    <row r="141" spans="1:31" s="1149" customFormat="1">
      <c r="A141" s="436">
        <f>'ADJ DETAIL-INPUT'!BR$9</f>
        <v>5.0799999999999983</v>
      </c>
      <c r="B141" s="358" t="str">
        <f>TRIM(CONCATENATE('ADJ DETAIL-INPUT'!BR$6," ",'ADJ DETAIL-INPUT'!BR$7," ",'ADJ DETAIL-INPUT'!BR$8))</f>
        <v>Provisional Capital Groups 2024 Adds AMA</v>
      </c>
      <c r="C141" s="167"/>
      <c r="D141" s="1154">
        <v>-949.87203140732436</v>
      </c>
      <c r="E141" s="1154">
        <v>76786.318394927875</v>
      </c>
      <c r="F141" s="129"/>
      <c r="G141" s="109">
        <f>'ADJ DETAIL-INPUT'!BR$56</f>
        <v>-928.90936648550905</v>
      </c>
      <c r="H141" s="109">
        <f>'ADJ DETAIL-INPUT'!BR$80</f>
        <v>76786.318394927875</v>
      </c>
      <c r="I141" s="1161"/>
      <c r="J141" s="1153">
        <f t="shared" si="127"/>
        <v>20.962664921815303</v>
      </c>
      <c r="K141" s="1153">
        <f t="shared" si="128"/>
        <v>0</v>
      </c>
      <c r="L141" s="1150"/>
      <c r="M141" s="1155">
        <f t="shared" si="129"/>
        <v>-27.754311462576563</v>
      </c>
      <c r="N141" s="1155">
        <f t="shared" si="130"/>
        <v>0</v>
      </c>
      <c r="O141" s="1155">
        <f t="shared" si="131"/>
        <v>8376.8539795747602</v>
      </c>
      <c r="P141" s="219">
        <f t="shared" si="132"/>
        <v>-27.754311462576563</v>
      </c>
      <c r="Q141" s="1157">
        <f t="shared" si="133"/>
        <v>-27.754311462576563</v>
      </c>
      <c r="R141" s="1156"/>
      <c r="S141" s="214"/>
      <c r="U141" s="1159"/>
      <c r="V141" s="1158"/>
      <c r="W141" s="1151"/>
      <c r="X141" s="1151"/>
      <c r="Y141" s="1151"/>
      <c r="Z141" s="1151"/>
      <c r="AA141" s="1151"/>
      <c r="AB141" s="1151"/>
      <c r="AC141" s="1151"/>
      <c r="AD141" s="1151"/>
      <c r="AE141" s="1151"/>
    </row>
    <row r="142" spans="1:31" s="1149" customFormat="1">
      <c r="A142" s="436">
        <f>'ADJ DETAIL-INPUT'!BS$9</f>
        <v>5.0899999999999981</v>
      </c>
      <c r="B142" s="358" t="str">
        <f>TRIM(CONCATENATE('ADJ DETAIL-INPUT'!BS$6," ",'ADJ DETAIL-INPUT'!BS$7," ",'ADJ DETAIL-INPUT'!BS$8))</f>
        <v>Prov. 2024 Capital O&amp;M Offsets &amp; Revnues</v>
      </c>
      <c r="C142" s="167"/>
      <c r="D142" s="1154">
        <v>2687.58</v>
      </c>
      <c r="E142" s="1154">
        <v>0</v>
      </c>
      <c r="F142" s="129"/>
      <c r="G142" s="109">
        <f>'ADJ DETAIL-INPUT'!BS$56</f>
        <v>2687.58</v>
      </c>
      <c r="H142" s="109">
        <f>'ADJ DETAIL-INPUT'!BS$80</f>
        <v>0</v>
      </c>
      <c r="I142" s="1161"/>
      <c r="J142" s="1153">
        <f t="shared" si="127"/>
        <v>0</v>
      </c>
      <c r="K142" s="1153">
        <f t="shared" si="128"/>
        <v>0</v>
      </c>
      <c r="L142" s="1150"/>
      <c r="M142" s="1155">
        <f t="shared" si="129"/>
        <v>0</v>
      </c>
      <c r="N142" s="1155">
        <f t="shared" si="130"/>
        <v>0</v>
      </c>
      <c r="O142" s="1155">
        <f t="shared" si="131"/>
        <v>-3558.3229841624584</v>
      </c>
      <c r="P142" s="219">
        <f t="shared" si="132"/>
        <v>0</v>
      </c>
      <c r="Q142" s="1157">
        <f t="shared" si="133"/>
        <v>0</v>
      </c>
      <c r="R142" s="1156"/>
      <c r="S142" s="214"/>
      <c r="U142" s="1159"/>
      <c r="V142" s="1158"/>
      <c r="W142" s="1151"/>
      <c r="X142" s="1151"/>
      <c r="Y142" s="1151"/>
      <c r="Z142" s="1151"/>
      <c r="AA142" s="1151"/>
      <c r="AB142" s="1151"/>
      <c r="AC142" s="1151"/>
      <c r="AD142" s="1151"/>
      <c r="AE142" s="1151"/>
    </row>
    <row r="143" spans="1:31" s="1149" customFormat="1">
      <c r="A143" s="436">
        <f>'ADJ DETAIL-INPUT'!BT$9</f>
        <v>5.0999999999999979</v>
      </c>
      <c r="B143" s="358" t="str">
        <f>TRIM(CONCATENATE('ADJ DETAIL-INPUT'!BT$6," ",'ADJ DETAIL-INPUT'!BT$7," ",'ADJ DETAIL-INPUT'!BT$8))</f>
        <v>Provisional Wildfire 2024 Cap Adds AMA</v>
      </c>
      <c r="C143" s="167"/>
      <c r="D143" s="1154">
        <v>-288.66934000000003</v>
      </c>
      <c r="E143" s="1154">
        <v>15690</v>
      </c>
      <c r="F143" s="129"/>
      <c r="G143" s="109">
        <f>'ADJ DETAIL-INPUT'!BT$56</f>
        <v>-284.38597000000004</v>
      </c>
      <c r="H143" s="109">
        <f>'ADJ DETAIL-INPUT'!BT$80</f>
        <v>15690</v>
      </c>
      <c r="I143" s="1161"/>
      <c r="J143" s="1153">
        <f t="shared" si="127"/>
        <v>4.2833699999999908</v>
      </c>
      <c r="K143" s="1153">
        <f t="shared" si="128"/>
        <v>0</v>
      </c>
      <c r="L143" s="1150"/>
      <c r="M143" s="1155">
        <f t="shared" si="129"/>
        <v>-5.6711293880263725</v>
      </c>
      <c r="N143" s="1155">
        <f t="shared" si="130"/>
        <v>0</v>
      </c>
      <c r="O143" s="1155">
        <f t="shared" si="131"/>
        <v>1836.8912900142197</v>
      </c>
      <c r="P143" s="219">
        <f t="shared" si="132"/>
        <v>-5.6711293880263725</v>
      </c>
      <c r="Q143" s="1157">
        <f t="shared" si="133"/>
        <v>-5.6711293880263725</v>
      </c>
      <c r="R143" s="1156"/>
      <c r="S143" s="214"/>
      <c r="U143" s="1159"/>
      <c r="V143" s="1158"/>
      <c r="W143" s="1151"/>
      <c r="X143" s="1151"/>
      <c r="Y143" s="1151"/>
      <c r="Z143" s="1151"/>
      <c r="AA143" s="1151"/>
      <c r="AB143" s="1151"/>
      <c r="AC143" s="1151"/>
      <c r="AD143" s="1151"/>
      <c r="AE143" s="1151"/>
    </row>
    <row r="144" spans="1:31" s="1149" customFormat="1">
      <c r="A144" s="436">
        <f>'ADJ DETAIL-INPUT'!BU$9</f>
        <v>5.1099999999999977</v>
      </c>
      <c r="B144" s="358" t="str">
        <f>TRIM(CONCATENATE('ADJ DETAIL-INPUT'!BU$6," ",'ADJ DETAIL-INPUT'!BU$7," ",'ADJ DETAIL-INPUT'!BK$8))</f>
        <v>Provisional Colstrip 2024 Amortization</v>
      </c>
      <c r="C144" s="167"/>
      <c r="D144" s="1154">
        <v>-1233.876692</v>
      </c>
      <c r="E144" s="1154">
        <v>-8178</v>
      </c>
      <c r="F144" s="129"/>
      <c r="G144" s="109">
        <f>'ADJ DETAIL-INPUT'!BU$56</f>
        <v>-50.557688999999996</v>
      </c>
      <c r="H144" s="109">
        <f>'ADJ DETAIL-INPUT'!BU$80</f>
        <v>-9747</v>
      </c>
      <c r="I144" s="1161"/>
      <c r="J144" s="1153">
        <f t="shared" si="127"/>
        <v>1183.3190030000001</v>
      </c>
      <c r="K144" s="1153">
        <f t="shared" si="128"/>
        <v>-1569</v>
      </c>
      <c r="L144" s="1150"/>
      <c r="M144" s="1155">
        <f t="shared" si="129"/>
        <v>-1566.6998585981089</v>
      </c>
      <c r="N144" s="1155">
        <f t="shared" si="130"/>
        <v>-146.03677508360983</v>
      </c>
      <c r="O144" s="1155">
        <f t="shared" si="131"/>
        <v>-840.27731055721358</v>
      </c>
      <c r="P144" s="219">
        <f t="shared" si="132"/>
        <v>-1712.7366336817188</v>
      </c>
      <c r="Q144" s="1157">
        <f t="shared" si="133"/>
        <v>-1712.7366336817188</v>
      </c>
      <c r="R144" s="1156"/>
      <c r="S144" s="214"/>
      <c r="U144" s="1159"/>
      <c r="V144" s="1158"/>
      <c r="W144" s="1151"/>
      <c r="X144" s="1151"/>
      <c r="Y144" s="1151"/>
      <c r="Z144" s="1151"/>
      <c r="AA144" s="1151"/>
      <c r="AB144" s="1151"/>
      <c r="AC144" s="1151"/>
      <c r="AD144" s="1151"/>
      <c r="AE144" s="1151"/>
    </row>
    <row r="145" spans="1:31" s="1149" customFormat="1">
      <c r="A145" s="436">
        <f>'ADJ DETAIL-INPUT'!BV$9</f>
        <v>5.1199999999999974</v>
      </c>
      <c r="B145" s="358" t="str">
        <f>TRIM(CONCATENATE('ADJ DETAIL-INPUT'!BV$6," ",'ADJ DETAIL-INPUT'!BV$7," ",'ADJ DETAIL-INPUT'!BV$8))</f>
        <v>Provisional EIM 2024 Cap Cap Adds AMA</v>
      </c>
      <c r="C145" s="167"/>
      <c r="D145" s="1154">
        <v>-33.780065999999998</v>
      </c>
      <c r="E145" s="1154">
        <v>-1569</v>
      </c>
      <c r="F145" s="129"/>
      <c r="G145" s="109">
        <f>'ADJ DETAIL-INPUT'!BV$56</f>
        <v>-34.208403000000004</v>
      </c>
      <c r="H145" s="109">
        <f>'ADJ DETAIL-INPUT'!BV$80</f>
        <v>-1569</v>
      </c>
      <c r="I145" s="1161"/>
      <c r="J145" s="1153">
        <f t="shared" si="127"/>
        <v>-0.42833700000000619</v>
      </c>
      <c r="K145" s="1153">
        <f t="shared" si="128"/>
        <v>0</v>
      </c>
      <c r="L145" s="1150"/>
      <c r="M145" s="1155">
        <f t="shared" si="129"/>
        <v>0.56711293880264657</v>
      </c>
      <c r="N145" s="1155">
        <f t="shared" si="130"/>
        <v>0</v>
      </c>
      <c r="O145" s="1155">
        <f t="shared" si="131"/>
        <v>-100.74526872979263</v>
      </c>
      <c r="P145" s="219">
        <f t="shared" si="132"/>
        <v>0.56711293880264657</v>
      </c>
      <c r="Q145" s="1157">
        <f t="shared" si="133"/>
        <v>0.56711293880264657</v>
      </c>
      <c r="R145" s="1156"/>
      <c r="S145" s="214"/>
      <c r="U145" s="1159"/>
      <c r="V145" s="1158"/>
      <c r="W145" s="1151"/>
      <c r="X145" s="1151"/>
      <c r="Y145" s="1151"/>
      <c r="Z145" s="1151"/>
      <c r="AA145" s="1151"/>
      <c r="AB145" s="1151"/>
      <c r="AC145" s="1151"/>
      <c r="AD145" s="1151"/>
      <c r="AE145" s="1151"/>
    </row>
    <row r="146" spans="1:31" s="1149" customFormat="1">
      <c r="A146" s="436">
        <f>'ADJ DETAIL-INPUT'!BJ$9</f>
        <v>5</v>
      </c>
      <c r="B146" s="358" t="str">
        <f>TRIM(CONCATENATE('ADJ DETAIL-INPUT'!BJ$6," ",'ADJ DETAIL-INPUT'!BJ$7," ",'ADJ DETAIL-INPUT'!BJ$8))</f>
        <v>Pro Forma 2024 ARAM DFIT</v>
      </c>
      <c r="C146" s="167"/>
      <c r="D146" s="1154">
        <v>-842</v>
      </c>
      <c r="E146" s="1154">
        <v>0</v>
      </c>
      <c r="F146" s="129"/>
      <c r="G146" s="109">
        <f>'ADJ DETAIL-INPUT'!BJ$56</f>
        <v>-842</v>
      </c>
      <c r="H146" s="109">
        <f>'ADJ DETAIL-INPUT'!BJ$80</f>
        <v>0</v>
      </c>
      <c r="I146" s="1161"/>
      <c r="J146" s="1153">
        <f t="shared" si="127"/>
        <v>0</v>
      </c>
      <c r="K146" s="1153">
        <f t="shared" si="128"/>
        <v>0</v>
      </c>
      <c r="L146" s="1150"/>
      <c r="M146" s="1155">
        <f t="shared" si="129"/>
        <v>0</v>
      </c>
      <c r="N146" s="1155">
        <f t="shared" si="130"/>
        <v>0</v>
      </c>
      <c r="O146" s="1155">
        <f t="shared" si="131"/>
        <v>1114.7976814326607</v>
      </c>
      <c r="P146" s="219">
        <f t="shared" si="132"/>
        <v>0</v>
      </c>
      <c r="Q146" s="1157">
        <f t="shared" si="133"/>
        <v>0</v>
      </c>
      <c r="R146" s="1156"/>
      <c r="S146" s="214"/>
      <c r="U146" s="1159"/>
      <c r="V146" s="1158"/>
      <c r="W146" s="1151"/>
      <c r="X146" s="1151"/>
      <c r="Y146" s="1151"/>
      <c r="Z146" s="1151"/>
      <c r="AA146" s="1151"/>
      <c r="AB146" s="1151"/>
      <c r="AC146" s="1151"/>
      <c r="AD146" s="1151"/>
      <c r="AE146" s="1151"/>
    </row>
    <row r="147" spans="1:31" ht="13.5" thickBot="1">
      <c r="D147" s="1146">
        <f>SUM(D69:D146)</f>
        <v>102521.03889299647</v>
      </c>
      <c r="E147" s="1146">
        <f>SUM(E69:E146)</f>
        <v>2125581.9957257682</v>
      </c>
      <c r="G147" s="1146">
        <f>SUM(G69:G146)</f>
        <v>104949.67005082963</v>
      </c>
      <c r="H147" s="1146">
        <f>SUM(H69:H146)</f>
        <v>2119984.9957257682</v>
      </c>
      <c r="J147" s="1145">
        <f>SUM(J134:J146)</f>
        <v>1206.9798849218153</v>
      </c>
      <c r="K147" s="1160"/>
      <c r="M147" s="1145">
        <f t="shared" ref="M147:Q147" si="134">SUM(M134:M146)</f>
        <v>-1598.0265763024931</v>
      </c>
      <c r="N147" s="1145">
        <f t="shared" si="134"/>
        <v>-146.03677508360983</v>
      </c>
      <c r="O147" s="1145">
        <f t="shared" si="134"/>
        <v>15093.348107689111</v>
      </c>
      <c r="P147" s="1145">
        <f t="shared" si="134"/>
        <v>-1744.063351386103</v>
      </c>
      <c r="Q147" s="1145">
        <f t="shared" si="134"/>
        <v>-1744.063351386103</v>
      </c>
    </row>
    <row r="148" spans="1:31" ht="13.5" thickTop="1">
      <c r="N148" s="1152">
        <f>N147+M147</f>
        <v>-1744.063351386103</v>
      </c>
    </row>
    <row r="149" spans="1:31">
      <c r="M149" s="1166" t="s">
        <v>1111</v>
      </c>
      <c r="N149" s="1170"/>
    </row>
    <row r="150" spans="1:31" ht="13.5" thickBot="1">
      <c r="M150" s="1166" t="s">
        <v>245</v>
      </c>
      <c r="N150" s="1169">
        <f>N148+N149</f>
        <v>-1744.063351386103</v>
      </c>
    </row>
    <row r="151" spans="1:31" ht="13.5" thickTop="1">
      <c r="M151" s="1164" t="s">
        <v>1112</v>
      </c>
      <c r="N151" s="1171">
        <v>17133</v>
      </c>
    </row>
    <row r="152" spans="1:31" ht="13.5" thickBot="1">
      <c r="M152" s="1167" t="s">
        <v>246</v>
      </c>
      <c r="N152" s="1168">
        <f>N150+N151</f>
        <v>15388.936648613897</v>
      </c>
    </row>
    <row r="153" spans="1:31" ht="13.5" thickTop="1">
      <c r="M153" s="1165"/>
      <c r="N153" s="1163">
        <f>'RR Summary'!G24</f>
        <v>12499.818573278058</v>
      </c>
      <c r="S153" s="1152">
        <f>N153-N152</f>
        <v>-2889.1180753358385</v>
      </c>
    </row>
  </sheetData>
  <mergeCells count="13">
    <mergeCell ref="B13:C13"/>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57" firstPageNumber="4" orientation="landscape" horizontalDpi="300" verticalDpi="300" r:id="rId1"/>
  <headerFooter alignWithMargins="0">
    <oddHeader xml:space="preserve">&amp;RExhibit No. ____(EMA-6) </oddHeader>
    <oddFooter>&amp;RPage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B39F8-9AD8-4D2D-B7DA-9700EDBBE61C}">
  <sheetPr codeName="Sheet6"/>
  <dimension ref="A1:AN98"/>
  <sheetViews>
    <sheetView workbookViewId="0"/>
  </sheetViews>
  <sheetFormatPr defaultColWidth="9.140625" defaultRowHeight="12.75"/>
  <cols>
    <col min="1" max="1" width="4.5703125" style="382" customWidth="1"/>
    <col min="2" max="3" width="1.5703125" style="381" customWidth="1"/>
    <col min="4" max="4" width="23.7109375" style="381" customWidth="1"/>
    <col min="5" max="5" width="12.42578125" style="355" hidden="1" customWidth="1"/>
    <col min="6" max="6" width="11.5703125" style="355" hidden="1" customWidth="1"/>
    <col min="7" max="7" width="9.5703125" style="355" hidden="1" customWidth="1"/>
    <col min="8" max="8" width="11.5703125" style="355" hidden="1" customWidth="1"/>
    <col min="9" max="9" width="12.85546875" style="228" customWidth="1"/>
    <col min="10" max="10" width="10.85546875" style="361" customWidth="1"/>
    <col min="11" max="11" width="11" style="407" customWidth="1"/>
    <col min="12" max="12" width="8.28515625" style="25" customWidth="1"/>
    <col min="13" max="13" width="9.85546875" style="99" customWidth="1"/>
    <col min="14" max="14" width="11.28515625" style="99" customWidth="1"/>
    <col min="15" max="15" width="11.5703125" style="25" customWidth="1"/>
    <col min="16" max="16" width="10.85546875" style="407" customWidth="1"/>
    <col min="17" max="17" width="1" style="25" customWidth="1"/>
    <col min="18" max="18" width="13.28515625" style="406" customWidth="1"/>
    <col min="19" max="19" width="15" style="50" customWidth="1"/>
    <col min="20" max="20" width="6.7109375" style="25" customWidth="1"/>
    <col min="21" max="29" width="11.7109375" style="25" customWidth="1"/>
    <col min="30" max="30" width="12.42578125" style="25" customWidth="1"/>
    <col min="31" max="31" width="11.7109375" style="25" bestFit="1" customWidth="1"/>
    <col min="32" max="32" width="14" style="25" customWidth="1"/>
    <col min="33" max="33" width="9.5703125" style="25" bestFit="1" customWidth="1"/>
    <col min="34" max="34" width="10.5703125" style="25" customWidth="1"/>
    <col min="35" max="35" width="9.140625" style="25"/>
    <col min="36" max="36" width="10.7109375" style="25" customWidth="1"/>
    <col min="37" max="37" width="9.5703125" style="25" bestFit="1" customWidth="1"/>
    <col min="38" max="47" width="9.140625" style="25"/>
    <col min="48" max="48" width="14.5703125" style="25" customWidth="1"/>
    <col min="49" max="16384" width="9.140625" style="25"/>
  </cols>
  <sheetData>
    <row r="1" spans="1:38" ht="18.75" customHeight="1">
      <c r="A1" s="518" t="str">
        <f>'ADJ DETAIL-INPUT'!A1</f>
        <v xml:space="preserve">AVISTA UTILITIES  </v>
      </c>
      <c r="D1" s="382"/>
      <c r="E1" s="628"/>
      <c r="F1" s="1401"/>
      <c r="G1" s="1401"/>
      <c r="H1" s="1401"/>
      <c r="I1" s="1401"/>
      <c r="J1" s="1405" t="s">
        <v>1105</v>
      </c>
      <c r="K1" s="1405"/>
      <c r="L1" s="1405"/>
      <c r="M1" s="1405"/>
      <c r="N1" s="1405"/>
      <c r="O1" s="1405"/>
      <c r="P1" s="1405"/>
      <c r="Q1" s="1405"/>
      <c r="R1" s="1405"/>
      <c r="S1" s="1405"/>
    </row>
    <row r="2" spans="1:38" ht="18.75" customHeight="1">
      <c r="A2" s="518" t="str">
        <f>'ADJ DETAIL-INPUT'!A2</f>
        <v xml:space="preserve">WASHINGTON ELECTRIC RESULTS </v>
      </c>
      <c r="D2" s="382"/>
      <c r="J2" s="1405"/>
      <c r="K2" s="1405"/>
      <c r="L2" s="1405"/>
      <c r="M2" s="1405"/>
      <c r="N2" s="1405"/>
      <c r="O2" s="1405"/>
      <c r="P2" s="1405"/>
      <c r="Q2" s="1405"/>
      <c r="R2" s="1405"/>
      <c r="S2" s="1405"/>
      <c r="T2" s="726"/>
      <c r="U2" s="726"/>
      <c r="V2" s="726"/>
      <c r="W2" s="726"/>
      <c r="X2" s="726"/>
      <c r="Y2" s="726"/>
      <c r="Z2" s="726"/>
      <c r="AA2" s="726"/>
      <c r="AB2" s="726"/>
      <c r="AC2" s="726"/>
    </row>
    <row r="3" spans="1:38" ht="15" customHeight="1">
      <c r="A3" s="475" t="str">
        <f>'ADJ DETAIL-INPUT'!A3</f>
        <v>TWELVE MONTHS ENDED SEPTEMBER 30, 2021</v>
      </c>
      <c r="D3" s="382"/>
      <c r="J3" s="951"/>
      <c r="K3" s="943"/>
      <c r="N3" s="1085"/>
      <c r="P3" s="943"/>
      <c r="R3" s="818"/>
      <c r="S3" s="218"/>
      <c r="T3" s="218" t="s">
        <v>1033</v>
      </c>
      <c r="V3" s="726"/>
      <c r="W3" s="726"/>
      <c r="X3" s="726"/>
      <c r="Y3" s="726"/>
      <c r="Z3" s="726"/>
      <c r="AA3" s="726"/>
      <c r="AB3" s="726"/>
      <c r="AC3" s="726"/>
    </row>
    <row r="4" spans="1:38" ht="15">
      <c r="A4" s="518" t="str">
        <f>'ADJ DETAIL-INPUT'!A4</f>
        <v xml:space="preserve">(000'S OF DOLLARS)  </v>
      </c>
      <c r="D4" s="382"/>
      <c r="I4" s="1402" t="s">
        <v>1028</v>
      </c>
      <c r="N4" s="1409" t="s">
        <v>1075</v>
      </c>
      <c r="O4" s="1411" t="s">
        <v>1075</v>
      </c>
      <c r="P4" s="970" t="s">
        <v>1010</v>
      </c>
      <c r="R4" s="761" t="s">
        <v>1017</v>
      </c>
      <c r="S4" s="218" t="s">
        <v>1035</v>
      </c>
      <c r="T4" s="1130">
        <v>3.5499999999999997E-2</v>
      </c>
      <c r="V4" s="726"/>
      <c r="W4" s="726"/>
      <c r="X4" s="726"/>
      <c r="Y4" s="726"/>
      <c r="Z4" s="726"/>
      <c r="AA4" s="726"/>
      <c r="AB4" s="726"/>
      <c r="AC4" s="726"/>
    </row>
    <row r="5" spans="1:38">
      <c r="A5" s="475"/>
      <c r="B5" s="384"/>
      <c r="C5" s="384"/>
      <c r="D5" s="383"/>
      <c r="E5" s="1040" t="s">
        <v>166</v>
      </c>
      <c r="F5" s="1041"/>
      <c r="G5" s="1042"/>
      <c r="H5" s="1041"/>
      <c r="I5" s="1403"/>
      <c r="L5" s="987" t="s">
        <v>88</v>
      </c>
      <c r="N5" s="1410"/>
      <c r="O5" s="1412"/>
      <c r="P5" s="434" t="s">
        <v>1029</v>
      </c>
      <c r="R5" s="762" t="s">
        <v>967</v>
      </c>
      <c r="S5" s="218" t="s">
        <v>1036</v>
      </c>
      <c r="T5" s="1130">
        <v>5.8799999999999998E-2</v>
      </c>
      <c r="V5" s="726"/>
      <c r="W5" s="726"/>
      <c r="X5" s="726"/>
      <c r="Y5" s="726"/>
      <c r="Z5" s="726"/>
      <c r="AA5" s="726"/>
      <c r="AB5" s="726"/>
      <c r="AC5" s="726"/>
      <c r="AG5" s="495"/>
    </row>
    <row r="6" spans="1:38">
      <c r="A6" s="385"/>
      <c r="B6" s="386"/>
      <c r="C6" s="387"/>
      <c r="D6" s="387"/>
      <c r="E6" s="242" t="s">
        <v>167</v>
      </c>
      <c r="F6" s="242" t="s">
        <v>134</v>
      </c>
      <c r="G6" s="721" t="s">
        <v>20</v>
      </c>
      <c r="H6" s="242" t="s">
        <v>134</v>
      </c>
      <c r="I6" s="1139" t="s">
        <v>1107</v>
      </c>
      <c r="J6" s="964" t="s">
        <v>1003</v>
      </c>
      <c r="K6" s="970" t="s">
        <v>1006</v>
      </c>
      <c r="L6" s="968" t="s">
        <v>1007</v>
      </c>
      <c r="M6" s="958" t="s">
        <v>1010</v>
      </c>
      <c r="N6" s="1086" t="s">
        <v>1061</v>
      </c>
      <c r="O6" s="964" t="s">
        <v>1013</v>
      </c>
      <c r="P6" s="970" t="s">
        <v>1006</v>
      </c>
      <c r="R6" s="763" t="s">
        <v>1030</v>
      </c>
      <c r="S6" s="218" t="s">
        <v>1037</v>
      </c>
      <c r="T6" s="1130">
        <v>2.5899999999999999E-2</v>
      </c>
      <c r="AE6" s="145"/>
    </row>
    <row r="7" spans="1:38">
      <c r="A7" s="388" t="s">
        <v>8</v>
      </c>
      <c r="B7" s="389"/>
      <c r="C7" s="390"/>
      <c r="D7" s="390"/>
      <c r="E7" s="1043" t="s">
        <v>9</v>
      </c>
      <c r="F7" s="948" t="s">
        <v>748</v>
      </c>
      <c r="G7" s="948" t="s">
        <v>745</v>
      </c>
      <c r="H7" s="948" t="s">
        <v>7</v>
      </c>
      <c r="I7" s="1016" t="s">
        <v>644</v>
      </c>
      <c r="J7" s="965" t="s">
        <v>1004</v>
      </c>
      <c r="K7" s="971" t="s">
        <v>1007</v>
      </c>
      <c r="L7" s="969" t="s">
        <v>1008</v>
      </c>
      <c r="M7" s="959" t="s">
        <v>1011</v>
      </c>
      <c r="N7" s="1087" t="s">
        <v>1062</v>
      </c>
      <c r="O7" s="965" t="s">
        <v>1014</v>
      </c>
      <c r="P7" s="971" t="s">
        <v>1007</v>
      </c>
      <c r="R7" s="764"/>
      <c r="S7" s="218" t="s">
        <v>1040</v>
      </c>
      <c r="T7" s="1130">
        <v>8.7599999999999997E-2</v>
      </c>
    </row>
    <row r="8" spans="1:38">
      <c r="A8" s="391" t="s">
        <v>21</v>
      </c>
      <c r="B8" s="392"/>
      <c r="C8" s="393"/>
      <c r="D8" s="393" t="s">
        <v>22</v>
      </c>
      <c r="E8" s="1044" t="s">
        <v>23</v>
      </c>
      <c r="F8" s="949" t="s">
        <v>144</v>
      </c>
      <c r="G8" s="949" t="s">
        <v>645</v>
      </c>
      <c r="H8" s="949" t="s">
        <v>144</v>
      </c>
      <c r="I8" s="1017" t="s">
        <v>134</v>
      </c>
      <c r="J8" s="966" t="s">
        <v>1005</v>
      </c>
      <c r="K8" s="434" t="s">
        <v>1015</v>
      </c>
      <c r="L8" s="950" t="s">
        <v>1009</v>
      </c>
      <c r="M8" s="960" t="s">
        <v>127</v>
      </c>
      <c r="N8" s="1088" t="s">
        <v>1008</v>
      </c>
      <c r="O8" s="966" t="s">
        <v>1005</v>
      </c>
      <c r="P8" s="434" t="s">
        <v>1016</v>
      </c>
      <c r="R8" s="762" t="s">
        <v>33</v>
      </c>
      <c r="S8" s="218" t="s">
        <v>1041</v>
      </c>
      <c r="T8" s="1130">
        <v>3.4000000000000002E-2</v>
      </c>
      <c r="AE8" s="1089">
        <v>2024</v>
      </c>
    </row>
    <row r="9" spans="1:38">
      <c r="A9" s="18"/>
      <c r="B9" s="19"/>
      <c r="C9" s="19"/>
      <c r="D9" s="19" t="s">
        <v>34</v>
      </c>
      <c r="E9" s="1045" t="s">
        <v>35</v>
      </c>
      <c r="F9" s="1046" t="s">
        <v>746</v>
      </c>
      <c r="G9" s="1046" t="s">
        <v>747</v>
      </c>
      <c r="H9" s="1045" t="s">
        <v>36</v>
      </c>
      <c r="I9" s="1018" t="s">
        <v>35</v>
      </c>
      <c r="J9" s="952" t="s">
        <v>36</v>
      </c>
      <c r="K9" s="435" t="s">
        <v>37</v>
      </c>
      <c r="L9" s="1000" t="s">
        <v>1012</v>
      </c>
      <c r="M9" s="952" t="s">
        <v>39</v>
      </c>
      <c r="N9" s="1001" t="s">
        <v>1063</v>
      </c>
      <c r="O9" s="941" t="s">
        <v>1064</v>
      </c>
      <c r="P9" s="435"/>
      <c r="R9" s="1008" t="s">
        <v>968</v>
      </c>
      <c r="S9" s="218" t="s">
        <v>1042</v>
      </c>
      <c r="T9" s="1130">
        <v>5.1999999999999998E-2</v>
      </c>
      <c r="AE9" s="1069" t="s">
        <v>7</v>
      </c>
      <c r="AF9" s="1069" t="s">
        <v>1033</v>
      </c>
      <c r="AG9" s="1069" t="s">
        <v>1034</v>
      </c>
      <c r="AH9" s="1069" t="s">
        <v>1049</v>
      </c>
    </row>
    <row r="10" spans="1:38" hidden="1">
      <c r="I10" s="1019"/>
      <c r="J10" s="99"/>
      <c r="K10" s="746"/>
      <c r="L10" s="993"/>
      <c r="N10" s="1002"/>
      <c r="P10" s="972"/>
      <c r="R10" s="1009"/>
    </row>
    <row r="11" spans="1:38" hidden="1">
      <c r="I11" s="1019"/>
      <c r="J11" s="99"/>
      <c r="K11" s="744"/>
      <c r="L11" s="993"/>
      <c r="N11" s="1002"/>
      <c r="P11" s="435"/>
      <c r="R11" s="1009"/>
    </row>
    <row r="12" spans="1:38" hidden="1">
      <c r="I12" s="1019"/>
      <c r="J12" s="99"/>
      <c r="K12" s="744"/>
      <c r="L12" s="993"/>
      <c r="N12" s="1002"/>
      <c r="P12" s="435"/>
      <c r="R12" s="995"/>
    </row>
    <row r="13" spans="1:38">
      <c r="B13" s="381" t="s">
        <v>40</v>
      </c>
      <c r="I13" s="1019"/>
      <c r="J13" s="99"/>
      <c r="K13" s="746"/>
      <c r="L13" s="994"/>
      <c r="M13" s="204"/>
      <c r="N13" s="1003"/>
      <c r="O13" s="145"/>
      <c r="P13" s="972"/>
      <c r="R13" s="995"/>
      <c r="S13" s="218" t="s">
        <v>1038</v>
      </c>
      <c r="T13" s="1130">
        <v>4.7800000000000002E-2</v>
      </c>
      <c r="V13" s="138"/>
      <c r="W13" s="138"/>
      <c r="X13" s="138"/>
      <c r="Y13" s="138"/>
      <c r="Z13" s="138"/>
      <c r="AA13" s="138"/>
      <c r="AB13" s="138"/>
      <c r="AC13" s="138"/>
      <c r="AD13" s="25" t="s">
        <v>1051</v>
      </c>
      <c r="AE13" s="953">
        <v>133223</v>
      </c>
      <c r="AF13" s="99">
        <v>137152.71679999999</v>
      </c>
      <c r="AG13" s="99">
        <v>135209.67680000002</v>
      </c>
      <c r="AH13" s="99">
        <v>136790.016</v>
      </c>
    </row>
    <row r="14" spans="1:38">
      <c r="A14" s="394">
        <v>1</v>
      </c>
      <c r="B14" s="395" t="s">
        <v>41</v>
      </c>
      <c r="C14" s="395"/>
      <c r="D14" s="395"/>
      <c r="E14" s="419">
        <f>'ADJ DETAIL-INPUT'!E13</f>
        <v>565624</v>
      </c>
      <c r="F14" s="419">
        <f>G14-E14</f>
        <v>-31096</v>
      </c>
      <c r="G14" s="419">
        <f>'ADJ DETAIL-INPUT'!AC13</f>
        <v>534528</v>
      </c>
      <c r="H14" s="419">
        <f>I14-G14</f>
        <v>14875</v>
      </c>
      <c r="I14" s="1020">
        <f>'ADJ DETAIL-INPUT'!BH13</f>
        <v>549403</v>
      </c>
      <c r="J14" s="204"/>
      <c r="K14" s="747">
        <f>SUM(I14:J14)</f>
        <v>549403</v>
      </c>
      <c r="L14" s="994"/>
      <c r="M14" s="204"/>
      <c r="N14" s="1003"/>
      <c r="O14" s="145"/>
      <c r="P14" s="973">
        <f>K14+M14+O14+N14</f>
        <v>549403</v>
      </c>
      <c r="R14" s="995">
        <f>P14-I14</f>
        <v>0</v>
      </c>
      <c r="S14" s="218" t="s">
        <v>1039</v>
      </c>
      <c r="T14" s="1130">
        <v>5.2600000000000001E-2</v>
      </c>
      <c r="AD14" s="25" t="s">
        <v>1035</v>
      </c>
      <c r="AE14" s="953">
        <f>'PROPOSED RATES-12.2023'!O24</f>
        <v>0</v>
      </c>
      <c r="AF14" s="99">
        <v>192398.55418099998</v>
      </c>
      <c r="AG14" s="99">
        <v>190583</v>
      </c>
      <c r="AH14" s="99">
        <v>194667</v>
      </c>
      <c r="AL14" s="25" t="s">
        <v>76</v>
      </c>
    </row>
    <row r="15" spans="1:38">
      <c r="A15" s="394">
        <v>2</v>
      </c>
      <c r="B15" s="396" t="s">
        <v>42</v>
      </c>
      <c r="C15" s="396"/>
      <c r="D15" s="396"/>
      <c r="E15" s="406">
        <f>'ADJ DETAIL-INPUT'!E14</f>
        <v>1173</v>
      </c>
      <c r="F15" s="406">
        <f>G15-E15</f>
        <v>0</v>
      </c>
      <c r="G15" s="406">
        <f>'ADJ DETAIL-INPUT'!AC14</f>
        <v>1173</v>
      </c>
      <c r="H15" s="406">
        <f>I15-G15</f>
        <v>0</v>
      </c>
      <c r="I15" s="1021">
        <f>'ADJ DETAIL-INPUT'!BH14</f>
        <v>1173</v>
      </c>
      <c r="J15" s="204"/>
      <c r="K15" s="746">
        <f t="shared" ref="K15:K18" si="0">SUM(I15:J15)</f>
        <v>1173</v>
      </c>
      <c r="L15" s="994"/>
      <c r="M15" s="204"/>
      <c r="N15" s="1003"/>
      <c r="O15" s="145"/>
      <c r="P15" s="972">
        <f>K15+M15+O15+N15</f>
        <v>1173</v>
      </c>
      <c r="R15" s="995">
        <f>P15-I15</f>
        <v>0</v>
      </c>
      <c r="S15" s="218" t="s">
        <v>1056</v>
      </c>
      <c r="T15" s="1130">
        <v>0.1202</v>
      </c>
      <c r="V15" s="138"/>
      <c r="W15" s="138"/>
      <c r="X15" s="138"/>
      <c r="Y15" s="138"/>
      <c r="Z15" s="138"/>
      <c r="AA15" s="138"/>
      <c r="AB15" s="138"/>
      <c r="AC15" s="138"/>
      <c r="AD15" s="25" t="s">
        <v>1037</v>
      </c>
      <c r="AE15" s="953">
        <v>51440</v>
      </c>
      <c r="AF15" s="99">
        <v>52130.082600000002</v>
      </c>
      <c r="AG15" s="99">
        <v>52638.222600000001</v>
      </c>
      <c r="AH15" s="99">
        <v>52191.059399999998</v>
      </c>
    </row>
    <row r="16" spans="1:38">
      <c r="A16" s="394">
        <v>3</v>
      </c>
      <c r="B16" s="396" t="s">
        <v>43</v>
      </c>
      <c r="C16" s="396"/>
      <c r="D16" s="396"/>
      <c r="E16" s="413">
        <f>'ADJ DETAIL-INPUT'!E15</f>
        <v>50450</v>
      </c>
      <c r="F16" s="413">
        <f>G16-E16</f>
        <v>-13832</v>
      </c>
      <c r="G16" s="413">
        <f>'ADJ DETAIL-INPUT'!AC15</f>
        <v>36618</v>
      </c>
      <c r="H16" s="413">
        <f>I16-G16</f>
        <v>53093</v>
      </c>
      <c r="I16" s="1022">
        <f>'ADJ DETAIL-INPUT'!BH15</f>
        <v>89711</v>
      </c>
      <c r="J16" s="961">
        <v>-88553</v>
      </c>
      <c r="K16" s="748">
        <f t="shared" si="0"/>
        <v>1158</v>
      </c>
      <c r="L16" s="994"/>
      <c r="M16" s="961"/>
      <c r="N16" s="1004"/>
      <c r="O16" s="962">
        <f>-J16</f>
        <v>88553</v>
      </c>
      <c r="P16" s="974">
        <f>K16+M16+O16+N16</f>
        <v>89711</v>
      </c>
      <c r="R16" s="1010">
        <f>P16-I16</f>
        <v>0</v>
      </c>
      <c r="S16" s="218" t="s">
        <v>1057</v>
      </c>
      <c r="T16" s="1130">
        <v>3.2000000000000001E-2</v>
      </c>
      <c r="V16" s="138"/>
      <c r="W16" s="138"/>
      <c r="X16" s="138"/>
      <c r="Y16" s="138"/>
      <c r="Z16" s="138"/>
      <c r="AA16" s="138"/>
      <c r="AB16" s="138"/>
      <c r="AC16" s="138"/>
      <c r="AD16" s="25" t="s">
        <v>1052</v>
      </c>
      <c r="AE16" s="953">
        <v>3928885</v>
      </c>
      <c r="AF16" s="99">
        <v>3944733.3581999997</v>
      </c>
      <c r="AG16" s="99">
        <v>3914880.9301999998</v>
      </c>
      <c r="AH16" s="99">
        <v>3922274.6898000003</v>
      </c>
      <c r="AJ16" s="138">
        <f>AH16-AE16</f>
        <v>-6610.3101999997161</v>
      </c>
    </row>
    <row r="17" spans="1:38">
      <c r="A17" s="394">
        <v>4</v>
      </c>
      <c r="B17" s="396"/>
      <c r="C17" s="396" t="s">
        <v>44</v>
      </c>
      <c r="D17" s="396"/>
      <c r="E17" s="406">
        <f>SUM(E14:E16)</f>
        <v>617247</v>
      </c>
      <c r="F17" s="406">
        <f>SUM(F14:F16)</f>
        <v>-44928</v>
      </c>
      <c r="G17" s="406">
        <f t="shared" ref="G17" si="1">SUM(G14:G16)</f>
        <v>572319</v>
      </c>
      <c r="H17" s="406">
        <f>SUM(H14:H16)</f>
        <v>67968</v>
      </c>
      <c r="I17" s="1021">
        <f t="shared" ref="I17:N17" si="2">SUM(I14:I16)</f>
        <v>640287</v>
      </c>
      <c r="J17" s="832">
        <f t="shared" ref="J17" si="3">SUM(J14:J16)</f>
        <v>-88553</v>
      </c>
      <c r="K17" s="988">
        <f t="shared" si="2"/>
        <v>551734</v>
      </c>
      <c r="L17" s="995">
        <f t="shared" si="2"/>
        <v>0</v>
      </c>
      <c r="M17" s="832">
        <f t="shared" si="2"/>
        <v>0</v>
      </c>
      <c r="N17" s="1005">
        <f t="shared" si="2"/>
        <v>0</v>
      </c>
      <c r="O17" s="406">
        <f t="shared" ref="O17" si="4">SUM(O14:O16)</f>
        <v>88553</v>
      </c>
      <c r="P17" s="979">
        <f>SUM(P14:P16)</f>
        <v>640287</v>
      </c>
      <c r="R17" s="1011">
        <f>SUM(R14:R16)</f>
        <v>0</v>
      </c>
      <c r="S17" s="218" t="s">
        <v>1058</v>
      </c>
      <c r="T17" s="1130">
        <v>3.2599999999999997E-2</v>
      </c>
      <c r="V17" s="248"/>
      <c r="W17" s="248"/>
      <c r="X17" s="248"/>
      <c r="Y17" s="248"/>
      <c r="Z17" s="248"/>
      <c r="AA17" s="248"/>
      <c r="AB17" s="248"/>
      <c r="AC17" s="248"/>
      <c r="AD17" s="25" t="s">
        <v>1053</v>
      </c>
      <c r="AE17" s="99">
        <v>-1444594.0042742316</v>
      </c>
      <c r="AF17" s="99">
        <v>-1428272.6503104139</v>
      </c>
      <c r="AG17" s="99">
        <v>-1418860.3180868628</v>
      </c>
      <c r="AH17" s="99">
        <v>-1432739.6292151683</v>
      </c>
      <c r="AJ17" s="138">
        <f t="shared" ref="AJ17:AJ18" si="5">AH17-AE17</f>
        <v>11854.375059063314</v>
      </c>
    </row>
    <row r="18" spans="1:38">
      <c r="A18" s="394">
        <v>5</v>
      </c>
      <c r="B18" s="396" t="s">
        <v>45</v>
      </c>
      <c r="C18" s="396"/>
      <c r="D18" s="396"/>
      <c r="E18" s="413">
        <f>'ADJ DETAIL-INPUT'!E17</f>
        <v>41339</v>
      </c>
      <c r="F18" s="413">
        <f>G18-E18</f>
        <v>-26002</v>
      </c>
      <c r="G18" s="413">
        <f>'ADJ DETAIL-INPUT'!AC17</f>
        <v>15337</v>
      </c>
      <c r="H18" s="413">
        <f>I18-G18</f>
        <v>20148</v>
      </c>
      <c r="I18" s="1022">
        <f>'ADJ DETAIL-INPUT'!BH17</f>
        <v>35485</v>
      </c>
      <c r="J18" s="961">
        <f>-20417-114-4134</f>
        <v>-24665</v>
      </c>
      <c r="K18" s="748">
        <f t="shared" si="0"/>
        <v>10820</v>
      </c>
      <c r="L18" s="994"/>
      <c r="M18" s="961"/>
      <c r="N18" s="1004">
        <v>2797</v>
      </c>
      <c r="O18" s="962">
        <f>-J18</f>
        <v>24665</v>
      </c>
      <c r="P18" s="974">
        <f>K18+M18+O18+N18</f>
        <v>38282</v>
      </c>
      <c r="R18" s="1010">
        <f>P18-I18</f>
        <v>2797</v>
      </c>
      <c r="S18" s="218" t="s">
        <v>1059</v>
      </c>
      <c r="T18" s="1130">
        <v>4.7300000000000002E-2</v>
      </c>
      <c r="U18" s="248"/>
      <c r="V18" s="248"/>
      <c r="W18" s="248"/>
      <c r="X18" s="248"/>
      <c r="Y18" s="248"/>
      <c r="Z18" s="248"/>
      <c r="AA18" s="248"/>
      <c r="AB18" s="248"/>
      <c r="AC18" s="248"/>
      <c r="AD18" s="25" t="s">
        <v>1043</v>
      </c>
      <c r="AE18" s="106">
        <v>-416629</v>
      </c>
      <c r="AF18" s="106">
        <v>-440560.1925</v>
      </c>
      <c r="AG18" s="106">
        <v>-435464.85600000003</v>
      </c>
      <c r="AH18" s="106">
        <v>-420758.80349999998</v>
      </c>
      <c r="AJ18" s="1080">
        <f t="shared" si="5"/>
        <v>-4129.80349999998</v>
      </c>
    </row>
    <row r="19" spans="1:38">
      <c r="A19" s="394">
        <v>6</v>
      </c>
      <c r="B19" s="396"/>
      <c r="C19" s="396" t="s">
        <v>46</v>
      </c>
      <c r="D19" s="396"/>
      <c r="E19" s="406">
        <f>SUM(E17:E18)</f>
        <v>658586</v>
      </c>
      <c r="F19" s="406">
        <f t="shared" ref="F19:N19" si="6">SUM(F17:F18)</f>
        <v>-70930</v>
      </c>
      <c r="G19" s="406">
        <f t="shared" si="6"/>
        <v>587656</v>
      </c>
      <c r="H19" s="406">
        <f t="shared" si="6"/>
        <v>88116</v>
      </c>
      <c r="I19" s="1021">
        <f t="shared" si="6"/>
        <v>675772</v>
      </c>
      <c r="J19" s="832">
        <f t="shared" ref="J19" si="7">SUM(J17:J18)</f>
        <v>-113218</v>
      </c>
      <c r="K19" s="988">
        <f t="shared" si="6"/>
        <v>562554</v>
      </c>
      <c r="L19" s="995">
        <f t="shared" si="6"/>
        <v>0</v>
      </c>
      <c r="M19" s="361">
        <f t="shared" si="6"/>
        <v>0</v>
      </c>
      <c r="N19" s="1006">
        <f t="shared" si="6"/>
        <v>2797</v>
      </c>
      <c r="O19" s="406">
        <f t="shared" ref="O19" si="8">SUM(O17:O18)</f>
        <v>113218</v>
      </c>
      <c r="P19" s="979">
        <f>SUM(P17:P18)</f>
        <v>678569</v>
      </c>
      <c r="R19" s="1011">
        <f>SUM(R17:R18)</f>
        <v>2797</v>
      </c>
      <c r="S19" s="218" t="s">
        <v>1060</v>
      </c>
      <c r="T19" s="1130">
        <v>5.1999999999999998E-2</v>
      </c>
      <c r="U19" s="248"/>
      <c r="V19" s="248"/>
      <c r="W19" s="248"/>
      <c r="X19" s="248"/>
      <c r="Y19" s="248"/>
      <c r="Z19" s="248"/>
      <c r="AA19" s="248"/>
      <c r="AB19" s="248"/>
      <c r="AC19" s="248"/>
      <c r="AD19" s="25" t="s">
        <v>1052</v>
      </c>
      <c r="AE19" s="106">
        <v>2067661.9957257686</v>
      </c>
      <c r="AF19" s="1082">
        <v>2075900.5153895859</v>
      </c>
      <c r="AG19" s="1082">
        <v>2060555.7561131367</v>
      </c>
      <c r="AH19" s="1082">
        <v>2068776.2570848321</v>
      </c>
      <c r="AJ19" s="138">
        <f>SUM(AJ16:AJ18)</f>
        <v>1114.2613590636174</v>
      </c>
    </row>
    <row r="20" spans="1:38" ht="10.5" customHeight="1">
      <c r="A20" s="394"/>
      <c r="B20" s="396"/>
      <c r="C20" s="396"/>
      <c r="D20" s="396"/>
      <c r="E20" s="406"/>
      <c r="F20" s="406"/>
      <c r="G20" s="406"/>
      <c r="H20" s="406"/>
      <c r="I20" s="1021"/>
      <c r="J20" s="204"/>
      <c r="K20" s="746"/>
      <c r="L20" s="994"/>
      <c r="M20" s="204"/>
      <c r="N20" s="1003"/>
      <c r="O20" s="145"/>
      <c r="P20" s="972"/>
      <c r="R20" s="995"/>
      <c r="S20" s="218" t="s">
        <v>1043</v>
      </c>
      <c r="T20" s="1130">
        <v>6.3500000000000001E-2</v>
      </c>
      <c r="U20" s="248"/>
      <c r="V20" s="248"/>
      <c r="W20" s="248"/>
      <c r="X20" s="248"/>
      <c r="Y20" s="248"/>
      <c r="Z20" s="248"/>
      <c r="AA20" s="248"/>
      <c r="AB20" s="248"/>
      <c r="AC20" s="248"/>
      <c r="AF20" s="99"/>
      <c r="AG20" s="99"/>
      <c r="AH20" s="99"/>
    </row>
    <row r="21" spans="1:38">
      <c r="A21" s="394"/>
      <c r="B21" s="396" t="s">
        <v>47</v>
      </c>
      <c r="C21" s="396"/>
      <c r="D21" s="396"/>
      <c r="E21" s="406"/>
      <c r="F21" s="406"/>
      <c r="G21" s="406"/>
      <c r="H21" s="406"/>
      <c r="I21" s="1021"/>
      <c r="J21" s="204"/>
      <c r="K21" s="746"/>
      <c r="L21" s="994"/>
      <c r="M21" s="204"/>
      <c r="N21" s="1003"/>
      <c r="O21" s="145"/>
      <c r="P21" s="972"/>
      <c r="R21" s="995"/>
      <c r="U21" s="248"/>
      <c r="V21" s="248"/>
      <c r="W21" s="248"/>
      <c r="X21" s="248"/>
      <c r="Y21" s="248"/>
      <c r="Z21" s="248"/>
      <c r="AA21" s="248"/>
      <c r="AB21" s="248"/>
      <c r="AC21" s="248"/>
      <c r="AD21" s="25" t="s">
        <v>1054</v>
      </c>
      <c r="AE21" s="99">
        <v>2125581.9957257686</v>
      </c>
      <c r="AF21" s="99">
        <v>2136812.5153895859</v>
      </c>
      <c r="AG21" s="99">
        <v>2121467.7561131367</v>
      </c>
      <c r="AH21" s="99">
        <v>2129688.2570848321</v>
      </c>
    </row>
    <row r="22" spans="1:38">
      <c r="A22" s="394"/>
      <c r="B22" s="396" t="s">
        <v>48</v>
      </c>
      <c r="C22" s="396"/>
      <c r="D22" s="396"/>
      <c r="E22" s="406"/>
      <c r="F22" s="406"/>
      <c r="G22" s="406"/>
      <c r="H22" s="406"/>
      <c r="I22" s="1021"/>
      <c r="J22" s="204"/>
      <c r="K22" s="746"/>
      <c r="L22" s="994"/>
      <c r="M22" s="204"/>
      <c r="N22" s="1003"/>
      <c r="O22" s="145"/>
      <c r="P22" s="972"/>
      <c r="R22" s="995"/>
      <c r="U22" s="248"/>
      <c r="V22" s="248"/>
      <c r="W22" s="248"/>
      <c r="X22" s="248"/>
      <c r="Y22" s="248"/>
      <c r="Z22" s="248"/>
      <c r="AA22" s="248"/>
      <c r="AB22" s="248"/>
      <c r="AC22" s="248"/>
      <c r="AF22" s="138"/>
    </row>
    <row r="23" spans="1:38">
      <c r="A23" s="394">
        <v>7</v>
      </c>
      <c r="B23" s="396"/>
      <c r="C23" s="396" t="s">
        <v>49</v>
      </c>
      <c r="D23" s="396"/>
      <c r="E23" s="406">
        <f>'ADJ DETAIL-INPUT'!E22</f>
        <v>156285</v>
      </c>
      <c r="F23" s="406">
        <f>G23-E23</f>
        <v>-26192</v>
      </c>
      <c r="G23" s="1047">
        <f>'ADJ DETAIL-INPUT'!AC22</f>
        <v>130093</v>
      </c>
      <c r="H23" s="406">
        <f>I23-G23</f>
        <v>39265.676999999996</v>
      </c>
      <c r="I23" s="1023">
        <f>'ADJ DETAIL-INPUT'!BH22</f>
        <v>169358.677</v>
      </c>
      <c r="J23" s="204">
        <f>-183819-J24</f>
        <v>-105272</v>
      </c>
      <c r="K23" s="746">
        <f t="shared" ref="K23:K27" si="9">SUM(I23:J23)</f>
        <v>64086.676999999996</v>
      </c>
      <c r="L23" s="996">
        <f>T4</f>
        <v>3.5499999999999997E-2</v>
      </c>
      <c r="M23" s="204">
        <f>K23*L23</f>
        <v>2275.0770334999997</v>
      </c>
      <c r="N23" s="1003"/>
      <c r="O23" s="963">
        <f>-J23</f>
        <v>105272</v>
      </c>
      <c r="P23" s="972">
        <f>K23+M23+O23+N23</f>
        <v>171633.75403349998</v>
      </c>
      <c r="R23" s="995">
        <f>P23-I23</f>
        <v>2275.0770334999834</v>
      </c>
      <c r="T23" s="248"/>
      <c r="U23" s="248"/>
      <c r="V23" s="248"/>
      <c r="W23" s="248"/>
      <c r="X23" s="248"/>
      <c r="Y23" s="248"/>
      <c r="Z23" s="248"/>
      <c r="AA23" s="248"/>
      <c r="AB23" s="248"/>
      <c r="AC23" s="248"/>
      <c r="AE23" s="138"/>
      <c r="AF23" s="138"/>
    </row>
    <row r="24" spans="1:38">
      <c r="A24" s="394">
        <v>8</v>
      </c>
      <c r="B24" s="396"/>
      <c r="C24" s="396" t="s">
        <v>50</v>
      </c>
      <c r="D24" s="396"/>
      <c r="E24" s="406">
        <f>'ADJ DETAIL-INPUT'!E23</f>
        <v>95039</v>
      </c>
      <c r="F24" s="406">
        <f>G24-E24</f>
        <v>-20806</v>
      </c>
      <c r="G24" s="1047">
        <f>'ADJ DETAIL-INPUT'!AC23</f>
        <v>74233</v>
      </c>
      <c r="H24" s="406">
        <f>I24-G24</f>
        <v>5539</v>
      </c>
      <c r="I24" s="1023">
        <f>'ADJ DETAIL-INPUT'!BH23</f>
        <v>79772</v>
      </c>
      <c r="J24" s="204">
        <v>-78547</v>
      </c>
      <c r="K24" s="746">
        <f t="shared" si="9"/>
        <v>1225</v>
      </c>
      <c r="L24" s="996"/>
      <c r="M24" s="204"/>
      <c r="N24" s="1003"/>
      <c r="O24" s="963">
        <f>-J24</f>
        <v>78547</v>
      </c>
      <c r="P24" s="972">
        <f t="shared" ref="P24:P27" si="10">K24+M24+O24+N24</f>
        <v>79772</v>
      </c>
      <c r="R24" s="995">
        <f t="shared" ref="R24:R27" si="11">P24-I24</f>
        <v>0</v>
      </c>
      <c r="T24" s="1071"/>
      <c r="V24" s="1069"/>
      <c r="W24" s="1069"/>
      <c r="X24" s="1069"/>
      <c r="Y24" s="1069"/>
      <c r="Z24" s="1069"/>
      <c r="AA24" s="1071" t="s">
        <v>1045</v>
      </c>
      <c r="AF24" s="1069"/>
      <c r="AG24" s="1069" t="s">
        <v>1033</v>
      </c>
      <c r="AH24" s="1069" t="s">
        <v>1034</v>
      </c>
      <c r="AI24" s="1069" t="s">
        <v>1049</v>
      </c>
      <c r="AK24" s="1404" t="s">
        <v>1044</v>
      </c>
      <c r="AL24" s="1404"/>
    </row>
    <row r="25" spans="1:38">
      <c r="A25" s="394">
        <v>9</v>
      </c>
      <c r="B25" s="396"/>
      <c r="C25" s="396" t="s">
        <v>539</v>
      </c>
      <c r="D25" s="396"/>
      <c r="E25" s="406">
        <f>'ADJ DETAIL-INPUT'!E24</f>
        <v>42507</v>
      </c>
      <c r="F25" s="406">
        <f>G25-E25</f>
        <v>0</v>
      </c>
      <c r="G25" s="1047">
        <f>'ADJ DETAIL-INPUT'!AC24</f>
        <v>42507</v>
      </c>
      <c r="H25" s="406">
        <f>I25-G25</f>
        <v>3789</v>
      </c>
      <c r="I25" s="1023">
        <f>'ADJ DETAIL-INPUT'!BH24</f>
        <v>46296</v>
      </c>
      <c r="J25" s="204"/>
      <c r="K25" s="746">
        <f t="shared" si="9"/>
        <v>46296</v>
      </c>
      <c r="L25" s="996">
        <f>T5</f>
        <v>5.8799999999999998E-2</v>
      </c>
      <c r="M25" s="204">
        <f>K25*L25</f>
        <v>2722.2048</v>
      </c>
      <c r="N25" s="1003"/>
      <c r="O25" s="145"/>
      <c r="P25" s="972">
        <f t="shared" si="10"/>
        <v>49018.2048</v>
      </c>
      <c r="R25" s="995">
        <f t="shared" si="11"/>
        <v>2722.2047999999995</v>
      </c>
      <c r="V25" s="1070"/>
      <c r="W25" s="1070"/>
      <c r="X25" s="1070"/>
      <c r="Y25" s="1070"/>
      <c r="Z25" s="1070"/>
      <c r="AA25" s="1071"/>
      <c r="AF25" s="1069" t="s">
        <v>1035</v>
      </c>
      <c r="AG25" s="1070">
        <v>3.5499999999999997E-2</v>
      </c>
      <c r="AH25" s="1070">
        <v>3.4599999999999999E-2</v>
      </c>
      <c r="AI25" s="1070">
        <v>5.67E-2</v>
      </c>
      <c r="AK25" s="1404"/>
      <c r="AL25" s="1404"/>
    </row>
    <row r="26" spans="1:38">
      <c r="A26" s="394">
        <v>10</v>
      </c>
      <c r="B26" s="396"/>
      <c r="C26" s="396" t="s">
        <v>678</v>
      </c>
      <c r="D26" s="396"/>
      <c r="E26" s="406">
        <f>'ADJ DETAIL-INPUT'!E25</f>
        <v>-12607</v>
      </c>
      <c r="F26" s="406">
        <f>G26-E26</f>
        <v>9792</v>
      </c>
      <c r="G26" s="1047">
        <f>'ADJ DETAIL-INPUT'!AC25</f>
        <v>-2815</v>
      </c>
      <c r="H26" s="406">
        <f>I26-G26</f>
        <v>1854</v>
      </c>
      <c r="I26" s="1023">
        <f>'ADJ DETAIL-INPUT'!BH25</f>
        <v>-961</v>
      </c>
      <c r="J26" s="204"/>
      <c r="K26" s="746">
        <f t="shared" si="9"/>
        <v>-961</v>
      </c>
      <c r="L26" s="996"/>
      <c r="M26" s="204"/>
      <c r="N26" s="1003"/>
      <c r="P26" s="972">
        <f t="shared" si="10"/>
        <v>-961</v>
      </c>
      <c r="R26" s="995">
        <f t="shared" si="11"/>
        <v>0</v>
      </c>
      <c r="V26" s="1070"/>
      <c r="W26" s="1070"/>
      <c r="X26" s="1070"/>
      <c r="Y26" s="1070"/>
      <c r="Z26" s="1070"/>
      <c r="AA26" s="1071"/>
      <c r="AB26" s="25" t="s">
        <v>1051</v>
      </c>
      <c r="AC26" s="99">
        <f>P25+P32+P43</f>
        <v>136084.38760000002</v>
      </c>
      <c r="AD26" s="25" t="s">
        <v>76</v>
      </c>
      <c r="AF26" s="1069" t="s">
        <v>1036</v>
      </c>
      <c r="AG26" s="1070">
        <v>5.8799999999999998E-2</v>
      </c>
      <c r="AH26" s="1070">
        <v>4.3799999999999999E-2</v>
      </c>
      <c r="AI26" s="1070">
        <v>5.6000000000000001E-2</v>
      </c>
      <c r="AK26" s="1404"/>
      <c r="AL26" s="1404"/>
    </row>
    <row r="27" spans="1:38">
      <c r="A27" s="394">
        <v>11</v>
      </c>
      <c r="B27" s="396"/>
      <c r="C27" s="396" t="s">
        <v>27</v>
      </c>
      <c r="D27" s="396"/>
      <c r="E27" s="413">
        <f>'ADJ DETAIL-INPUT'!E26</f>
        <v>15827</v>
      </c>
      <c r="F27" s="413">
        <f>G27-E27</f>
        <v>1</v>
      </c>
      <c r="G27" s="1048">
        <f>'ADJ DETAIL-INPUT'!AC26</f>
        <v>15828</v>
      </c>
      <c r="H27" s="413">
        <f>I27-G27</f>
        <v>57</v>
      </c>
      <c r="I27" s="1024">
        <f>'ADJ DETAIL-INPUT'!BH26</f>
        <v>15885</v>
      </c>
      <c r="J27" s="961"/>
      <c r="K27" s="748">
        <f t="shared" si="9"/>
        <v>15885</v>
      </c>
      <c r="L27" s="996">
        <f>T6</f>
        <v>2.5899999999999999E-2</v>
      </c>
      <c r="M27" s="961">
        <f>K27*L27</f>
        <v>411.42149999999998</v>
      </c>
      <c r="N27" s="1004"/>
      <c r="O27" s="30"/>
      <c r="P27" s="974">
        <f t="shared" si="10"/>
        <v>16296.4215</v>
      </c>
      <c r="R27" s="1010">
        <f t="shared" si="11"/>
        <v>411.42150000000038</v>
      </c>
      <c r="V27" s="1070"/>
      <c r="W27" s="1070"/>
      <c r="X27" s="1070"/>
      <c r="Y27" s="1070"/>
      <c r="Z27" s="1070"/>
      <c r="AA27" s="1071"/>
      <c r="AB27" s="25" t="s">
        <v>1035</v>
      </c>
      <c r="AC27" s="99">
        <f>P23+P31+P37+P38+P42-O23</f>
        <v>197918.5374826772</v>
      </c>
      <c r="AF27" s="1069" t="s">
        <v>1037</v>
      </c>
      <c r="AG27" s="1070">
        <v>2.5899999999999999E-2</v>
      </c>
      <c r="AH27" s="1070">
        <v>3.5900000000000001E-2</v>
      </c>
      <c r="AI27" s="1070">
        <v>2.7099999999999999E-2</v>
      </c>
      <c r="AK27" s="1404"/>
      <c r="AL27" s="1404"/>
    </row>
    <row r="28" spans="1:38">
      <c r="A28" s="394">
        <v>12</v>
      </c>
      <c r="B28" s="396"/>
      <c r="C28" s="396"/>
      <c r="D28" s="396" t="s">
        <v>51</v>
      </c>
      <c r="E28" s="406">
        <f>SUM(E23:E27)</f>
        <v>297051</v>
      </c>
      <c r="F28" s="406">
        <f t="shared" ref="F28:O28" si="12">SUM(F23:F27)</f>
        <v>-37205</v>
      </c>
      <c r="G28" s="406">
        <f t="shared" si="12"/>
        <v>259846</v>
      </c>
      <c r="H28" s="406">
        <f t="shared" si="12"/>
        <v>50504.676999999996</v>
      </c>
      <c r="I28" s="1021">
        <f t="shared" si="12"/>
        <v>310350.67700000003</v>
      </c>
      <c r="J28" s="832">
        <f>SUM(J23:J27)</f>
        <v>-183819</v>
      </c>
      <c r="K28" s="988">
        <f t="shared" si="12"/>
        <v>126531.677</v>
      </c>
      <c r="L28" s="997"/>
      <c r="M28" s="361">
        <f t="shared" ref="M28:N28" si="13">SUM(M23:M27)</f>
        <v>5408.7033334999996</v>
      </c>
      <c r="N28" s="1006">
        <f t="shared" si="13"/>
        <v>0</v>
      </c>
      <c r="O28" s="405">
        <f t="shared" si="12"/>
        <v>183819</v>
      </c>
      <c r="P28" s="975">
        <f>SUM(P23:P27)</f>
        <v>315759.38033349998</v>
      </c>
      <c r="R28" s="995">
        <f>SUM(R23:R27)</f>
        <v>5408.7033334999833</v>
      </c>
      <c r="V28" s="1070"/>
      <c r="W28" s="1070"/>
      <c r="X28" s="1070"/>
      <c r="Y28" s="1070"/>
      <c r="Z28" s="1070"/>
      <c r="AA28" s="1071"/>
      <c r="AB28" s="25" t="s">
        <v>1037</v>
      </c>
      <c r="AC28" s="99">
        <f>P34+P27+P45</f>
        <v>52130.082600000002</v>
      </c>
      <c r="AF28" s="1069" t="s">
        <v>1040</v>
      </c>
      <c r="AG28" s="1070">
        <v>8.7599999999999997E-2</v>
      </c>
      <c r="AH28" s="1070">
        <v>6.9599999999999995E-2</v>
      </c>
      <c r="AI28" s="1070">
        <v>8.1500000000000003E-2</v>
      </c>
      <c r="AK28" s="1404"/>
      <c r="AL28" s="1404"/>
    </row>
    <row r="29" spans="1:38" ht="7.5" customHeight="1">
      <c r="A29" s="394"/>
      <c r="B29" s="396"/>
      <c r="C29" s="396"/>
      <c r="D29" s="396"/>
      <c r="E29" s="406"/>
      <c r="F29" s="406"/>
      <c r="G29" s="406"/>
      <c r="H29" s="406"/>
      <c r="I29" s="1021"/>
      <c r="J29" s="832"/>
      <c r="K29" s="746"/>
      <c r="L29" s="998"/>
      <c r="N29" s="1002"/>
      <c r="P29" s="972"/>
      <c r="R29" s="995"/>
      <c r="V29" s="1070"/>
      <c r="W29" s="1070"/>
      <c r="X29" s="1070"/>
      <c r="Y29" s="1070"/>
      <c r="Z29" s="1070"/>
      <c r="AA29" s="1071"/>
      <c r="AB29" s="25" t="s">
        <v>1052</v>
      </c>
      <c r="AC29" s="99">
        <f>P66</f>
        <v>3939970.7541999999</v>
      </c>
      <c r="AF29" s="1069" t="s">
        <v>1041</v>
      </c>
      <c r="AG29" s="1070">
        <v>3.4000000000000002E-2</v>
      </c>
      <c r="AH29" s="1070">
        <v>2.3900000000000001E-2</v>
      </c>
      <c r="AI29" s="1070">
        <v>2.0500000000000001E-2</v>
      </c>
      <c r="AK29" s="1404"/>
      <c r="AL29" s="1404"/>
    </row>
    <row r="30" spans="1:38">
      <c r="A30" s="394"/>
      <c r="B30" s="396" t="s">
        <v>52</v>
      </c>
      <c r="C30" s="396"/>
      <c r="D30" s="396"/>
      <c r="E30" s="406"/>
      <c r="F30" s="406"/>
      <c r="G30" s="406"/>
      <c r="H30" s="406"/>
      <c r="I30" s="1021"/>
      <c r="J30" s="832"/>
      <c r="K30" s="746">
        <f t="shared" ref="K30:K34" si="14">SUM(I30:J30)</f>
        <v>0</v>
      </c>
      <c r="L30" s="998"/>
      <c r="N30" s="1002"/>
      <c r="P30" s="972"/>
      <c r="R30" s="995"/>
      <c r="V30" s="1070"/>
      <c r="W30" s="1070"/>
      <c r="X30" s="1070"/>
      <c r="Y30" s="1070"/>
      <c r="Z30" s="1070"/>
      <c r="AA30" s="1071"/>
      <c r="AB30" s="25" t="s">
        <v>1053</v>
      </c>
      <c r="AC30" s="99">
        <f>P73</f>
        <v>-1426644.1543104139</v>
      </c>
      <c r="AF30" s="1069" t="s">
        <v>1042</v>
      </c>
      <c r="AG30" s="1070">
        <v>5.1999999999999998E-2</v>
      </c>
      <c r="AH30" s="1070">
        <v>0.04</v>
      </c>
      <c r="AI30" s="1070">
        <v>5.5300000000000002E-2</v>
      </c>
      <c r="AK30" s="1404"/>
      <c r="AL30" s="1404"/>
    </row>
    <row r="31" spans="1:38">
      <c r="A31" s="394">
        <v>13</v>
      </c>
      <c r="B31" s="396"/>
      <c r="C31" s="396" t="s">
        <v>49</v>
      </c>
      <c r="D31" s="396"/>
      <c r="E31" s="406">
        <f>'ADJ DETAIL-INPUT'!E30</f>
        <v>24622</v>
      </c>
      <c r="F31" s="406">
        <f>G31-E31</f>
        <v>0</v>
      </c>
      <c r="G31" s="412">
        <f>'ADJ DETAIL-INPUT'!AC30</f>
        <v>24622</v>
      </c>
      <c r="H31" s="406">
        <f>I31-G31</f>
        <v>5694.8989999999976</v>
      </c>
      <c r="I31" s="1025">
        <f>'ADJ DETAIL-INPUT'!BH30</f>
        <v>30316.898999999998</v>
      </c>
      <c r="J31" s="832"/>
      <c r="K31" s="746">
        <f t="shared" si="14"/>
        <v>30316.898999999998</v>
      </c>
      <c r="L31" s="996">
        <f>T4</f>
        <v>3.5499999999999997E-2</v>
      </c>
      <c r="M31" s="204">
        <f>K31*L31</f>
        <v>1076.2499144999999</v>
      </c>
      <c r="N31" s="1003"/>
      <c r="P31" s="972">
        <f t="shared" ref="P31:P34" si="15">K31+M31+O31+N31</f>
        <v>31393.148914499998</v>
      </c>
      <c r="R31" s="995">
        <f t="shared" ref="R31:R34" si="16">P31-I31</f>
        <v>1076.2499145000002</v>
      </c>
      <c r="V31" s="1070"/>
      <c r="W31" s="1070"/>
      <c r="X31" s="1070"/>
      <c r="Y31" s="1070"/>
      <c r="Z31" s="1070"/>
      <c r="AA31" s="1071"/>
      <c r="AB31" s="25" t="s">
        <v>1043</v>
      </c>
      <c r="AC31" s="106">
        <f>P76</f>
        <v>-440636.76449999999</v>
      </c>
      <c r="AF31" s="1069" t="s">
        <v>1038</v>
      </c>
      <c r="AG31" s="1070">
        <v>4.7800000000000002E-2</v>
      </c>
      <c r="AH31" s="1070">
        <v>4.2500000000000003E-2</v>
      </c>
      <c r="AI31" s="1070">
        <v>4.1700000000000001E-2</v>
      </c>
      <c r="AK31" s="1404"/>
      <c r="AL31" s="1404"/>
    </row>
    <row r="32" spans="1:38">
      <c r="A32" s="394">
        <v>14</v>
      </c>
      <c r="B32" s="396"/>
      <c r="C32" s="396" t="s">
        <v>539</v>
      </c>
      <c r="D32" s="396"/>
      <c r="E32" s="406">
        <f>'ADJ DETAIL-INPUT'!E31</f>
        <v>34676</v>
      </c>
      <c r="F32" s="406">
        <f>G32-E32</f>
        <v>-63</v>
      </c>
      <c r="G32" s="412">
        <f>'ADJ DETAIL-INPUT'!AC31</f>
        <v>34613</v>
      </c>
      <c r="H32" s="406">
        <f>I32-G32</f>
        <v>4655</v>
      </c>
      <c r="I32" s="1025">
        <f>'ADJ DETAIL-INPUT'!BH31</f>
        <v>39268</v>
      </c>
      <c r="J32" s="832"/>
      <c r="K32" s="746">
        <f t="shared" si="14"/>
        <v>39268</v>
      </c>
      <c r="L32" s="996">
        <f>T5</f>
        <v>5.8799999999999998E-2</v>
      </c>
      <c r="M32" s="204">
        <f>K32*L32</f>
        <v>2308.9584</v>
      </c>
      <c r="N32" s="1003"/>
      <c r="P32" s="972">
        <f t="shared" si="15"/>
        <v>41576.958400000003</v>
      </c>
      <c r="R32" s="995">
        <f t="shared" si="16"/>
        <v>2308.9584000000032</v>
      </c>
      <c r="V32" s="1070"/>
      <c r="W32" s="1070"/>
      <c r="X32" s="1070"/>
      <c r="Y32" s="1070"/>
      <c r="Z32" s="1070"/>
      <c r="AA32" s="1071"/>
      <c r="AB32" s="25" t="s">
        <v>1055</v>
      </c>
      <c r="AC32" s="99">
        <f>SUM(AC29:AC31)</f>
        <v>2072689.8353895857</v>
      </c>
      <c r="AF32" s="1069" t="s">
        <v>1039</v>
      </c>
      <c r="AG32" s="1070">
        <v>5.2600000000000001E-2</v>
      </c>
      <c r="AH32" s="1070">
        <v>5.5199999999999999E-2</v>
      </c>
      <c r="AI32" s="1070">
        <v>5.2600000000000001E-2</v>
      </c>
      <c r="AK32" s="1404"/>
      <c r="AL32" s="1404"/>
    </row>
    <row r="33" spans="1:38" s="1149" customFormat="1">
      <c r="A33" s="394" t="s">
        <v>1234</v>
      </c>
      <c r="B33" s="396"/>
      <c r="C33" s="399" t="s">
        <v>537</v>
      </c>
      <c r="D33" s="396"/>
      <c r="E33" s="406"/>
      <c r="F33" s="406"/>
      <c r="G33" s="412"/>
      <c r="H33" s="406"/>
      <c r="I33" s="1025">
        <f>'ADJ DETAIL-INPUT'!BH32</f>
        <v>62</v>
      </c>
      <c r="J33" s="832"/>
      <c r="K33" s="746">
        <f t="shared" si="14"/>
        <v>62</v>
      </c>
      <c r="L33" s="996"/>
      <c r="M33" s="204"/>
      <c r="N33" s="1003"/>
      <c r="P33" s="972">
        <f t="shared" si="15"/>
        <v>62</v>
      </c>
      <c r="R33" s="995">
        <f t="shared" si="16"/>
        <v>0</v>
      </c>
      <c r="S33" s="1165"/>
      <c r="V33" s="1070"/>
      <c r="W33" s="1070"/>
      <c r="X33" s="1070"/>
      <c r="Y33" s="1070"/>
      <c r="Z33" s="1070"/>
      <c r="AA33" s="1071"/>
      <c r="AC33" s="99"/>
      <c r="AF33" s="1069"/>
      <c r="AG33" s="1070"/>
      <c r="AH33" s="1070"/>
      <c r="AI33" s="1070"/>
      <c r="AK33" s="1404"/>
      <c r="AL33" s="1404"/>
    </row>
    <row r="34" spans="1:38">
      <c r="A34" s="394">
        <v>15</v>
      </c>
      <c r="B34" s="396"/>
      <c r="C34" s="396" t="s">
        <v>27</v>
      </c>
      <c r="D34" s="396"/>
      <c r="E34" s="413">
        <f>'ADJ DETAIL-INPUT'!E33</f>
        <v>49705</v>
      </c>
      <c r="F34" s="413">
        <f>G34-E34</f>
        <v>-19887</v>
      </c>
      <c r="G34" s="413">
        <f>'ADJ DETAIL-INPUT'!AC33</f>
        <v>29818</v>
      </c>
      <c r="H34" s="413">
        <f>I34-G34</f>
        <v>1479</v>
      </c>
      <c r="I34" s="1022">
        <f>'ADJ DETAIL-INPUT'!BH33</f>
        <v>31297</v>
      </c>
      <c r="J34" s="833"/>
      <c r="K34" s="748">
        <f t="shared" si="14"/>
        <v>31297</v>
      </c>
      <c r="L34" s="996">
        <f>T6</f>
        <v>2.5899999999999999E-2</v>
      </c>
      <c r="M34" s="961">
        <f>K34*L34</f>
        <v>810.59230000000002</v>
      </c>
      <c r="N34" s="1004"/>
      <c r="O34" s="30"/>
      <c r="P34" s="974">
        <f t="shared" si="15"/>
        <v>32107.5923</v>
      </c>
      <c r="R34" s="1010">
        <f t="shared" si="16"/>
        <v>810.59230000000025</v>
      </c>
      <c r="V34" s="1070"/>
      <c r="W34" s="1070"/>
      <c r="X34" s="1070"/>
      <c r="Y34" s="1070"/>
      <c r="Z34" s="1070"/>
      <c r="AA34" s="1071"/>
      <c r="AC34" s="99"/>
      <c r="AF34" s="1069" t="s">
        <v>1040</v>
      </c>
      <c r="AG34" s="1070">
        <v>0.1202</v>
      </c>
      <c r="AH34" s="1070">
        <v>7.0199999999999999E-2</v>
      </c>
      <c r="AI34" s="1070">
        <v>0.16320000000000001</v>
      </c>
      <c r="AK34" s="1404"/>
      <c r="AL34" s="1404"/>
    </row>
    <row r="35" spans="1:38">
      <c r="A35" s="394">
        <v>16</v>
      </c>
      <c r="B35" s="396"/>
      <c r="C35" s="396"/>
      <c r="D35" s="396" t="s">
        <v>53</v>
      </c>
      <c r="E35" s="406">
        <f t="shared" ref="E35:O35" si="17">SUM(E31:E34)</f>
        <v>109003</v>
      </c>
      <c r="F35" s="406">
        <f t="shared" si="17"/>
        <v>-19950</v>
      </c>
      <c r="G35" s="406">
        <f t="shared" si="17"/>
        <v>89053</v>
      </c>
      <c r="H35" s="406">
        <f t="shared" si="17"/>
        <v>11828.898999999998</v>
      </c>
      <c r="I35" s="1021">
        <f t="shared" si="17"/>
        <v>100943.899</v>
      </c>
      <c r="J35" s="832">
        <f t="shared" si="17"/>
        <v>0</v>
      </c>
      <c r="K35" s="988">
        <f t="shared" si="17"/>
        <v>100943.899</v>
      </c>
      <c r="L35" s="997"/>
      <c r="M35" s="361">
        <f t="shared" si="17"/>
        <v>4195.8006144999999</v>
      </c>
      <c r="N35" s="1006">
        <f t="shared" si="17"/>
        <v>0</v>
      </c>
      <c r="O35" s="405">
        <f t="shared" si="17"/>
        <v>0</v>
      </c>
      <c r="P35" s="975">
        <f>SUM(P31:P34)</f>
        <v>105139.6996145</v>
      </c>
      <c r="R35" s="995">
        <f>SUM(R31:R34)</f>
        <v>4195.8006145000036</v>
      </c>
      <c r="V35" s="1070"/>
      <c r="W35" s="1070"/>
      <c r="X35" s="1070"/>
      <c r="Y35" s="1070"/>
      <c r="Z35" s="1070"/>
      <c r="AA35" s="1071"/>
      <c r="AB35" s="25" t="s">
        <v>1054</v>
      </c>
      <c r="AC35" s="99">
        <f>P81</f>
        <v>2131378.8353895857</v>
      </c>
      <c r="AF35" s="1069" t="s">
        <v>1041</v>
      </c>
      <c r="AG35" s="1070">
        <v>3.2000000000000001E-2</v>
      </c>
      <c r="AH35" s="1070">
        <v>3.2899999999999999E-2</v>
      </c>
      <c r="AI35" s="1070">
        <v>4.19E-2</v>
      </c>
      <c r="AK35" s="1404"/>
      <c r="AL35" s="1404"/>
    </row>
    <row r="36" spans="1:38" ht="4.5" customHeight="1">
      <c r="A36" s="394"/>
      <c r="B36" s="396"/>
      <c r="C36" s="396"/>
      <c r="D36" s="396"/>
      <c r="E36" s="406"/>
      <c r="F36" s="406"/>
      <c r="G36" s="406"/>
      <c r="H36" s="406"/>
      <c r="I36" s="1021"/>
      <c r="J36" s="957"/>
      <c r="K36" s="746"/>
      <c r="L36" s="998"/>
      <c r="N36" s="1002"/>
      <c r="P36" s="972"/>
      <c r="R36" s="995"/>
      <c r="V36" s="1070"/>
      <c r="W36" s="1070"/>
      <c r="X36" s="1070"/>
      <c r="Y36" s="1070"/>
      <c r="Z36" s="1070"/>
      <c r="AA36" s="1071"/>
      <c r="AF36" s="1069" t="s">
        <v>1042</v>
      </c>
      <c r="AG36" s="1070">
        <v>3.2599999999999997E-2</v>
      </c>
      <c r="AH36" s="1070">
        <v>3.1899999999999998E-2</v>
      </c>
      <c r="AI36" s="1070">
        <v>3.6999999999999998E-2</v>
      </c>
      <c r="AK36" s="1404"/>
      <c r="AL36" s="1404"/>
    </row>
    <row r="37" spans="1:38">
      <c r="A37" s="394">
        <v>17</v>
      </c>
      <c r="B37" s="396" t="s">
        <v>54</v>
      </c>
      <c r="C37" s="396"/>
      <c r="D37" s="396"/>
      <c r="E37" s="406">
        <f>'ADJ DETAIL-INPUT'!E36</f>
        <v>15849</v>
      </c>
      <c r="F37" s="406">
        <f>G37-E37</f>
        <v>1534</v>
      </c>
      <c r="G37" s="412">
        <f>'ADJ DETAIL-INPUT'!AC36</f>
        <v>17383</v>
      </c>
      <c r="H37" s="406">
        <f>I37-G37</f>
        <v>-1039.5239999999994</v>
      </c>
      <c r="I37" s="1025">
        <f>'ADJ DETAIL-INPUT'!BH36</f>
        <v>16343.476000000001</v>
      </c>
      <c r="J37" s="957"/>
      <c r="K37" s="746">
        <f>SUM(I37:J37)</f>
        <v>16343.476000000001</v>
      </c>
      <c r="L37" s="996">
        <f>T4</f>
        <v>3.5499999999999997E-2</v>
      </c>
      <c r="M37" s="204">
        <f t="shared" ref="M37:M39" si="18">K37*L37</f>
        <v>580.193398</v>
      </c>
      <c r="N37" s="1003"/>
      <c r="P37" s="972">
        <f t="shared" ref="P37:P39" si="19">K37+M37+O37+N37</f>
        <v>16923.669398000002</v>
      </c>
      <c r="R37" s="995">
        <f t="shared" ref="R37:R39" si="20">P37-I37</f>
        <v>580.19339800000125</v>
      </c>
      <c r="V37" s="1070"/>
      <c r="W37" s="1070"/>
      <c r="X37" s="1070"/>
      <c r="Y37" s="1070"/>
      <c r="Z37" s="1070"/>
      <c r="AA37" s="1071"/>
      <c r="AF37" s="1069" t="s">
        <v>1038</v>
      </c>
      <c r="AG37" s="1070">
        <v>4.7300000000000002E-2</v>
      </c>
      <c r="AH37" s="1070">
        <v>4.1500000000000002E-2</v>
      </c>
      <c r="AI37" s="1070">
        <v>3.6700000000000003E-2</v>
      </c>
      <c r="AK37" s="1404"/>
      <c r="AL37" s="1404"/>
    </row>
    <row r="38" spans="1:38">
      <c r="A38" s="394">
        <v>18</v>
      </c>
      <c r="B38" s="396" t="s">
        <v>55</v>
      </c>
      <c r="C38" s="396"/>
      <c r="D38" s="396"/>
      <c r="E38" s="406">
        <f>'ADJ DETAIL-INPUT'!E37</f>
        <v>25245</v>
      </c>
      <c r="F38" s="406">
        <f>G38-E38</f>
        <v>-24041</v>
      </c>
      <c r="G38" s="412">
        <f>'ADJ DETAIL-INPUT'!AC37</f>
        <v>1204</v>
      </c>
      <c r="H38" s="406">
        <f>I38-G38</f>
        <v>94.919000000000096</v>
      </c>
      <c r="I38" s="1025">
        <f>'ADJ DETAIL-INPUT'!BH37</f>
        <v>1298.9190000000001</v>
      </c>
      <c r="J38" s="957"/>
      <c r="K38" s="746">
        <f>SUM(I38:J38)</f>
        <v>1298.9190000000001</v>
      </c>
      <c r="L38" s="996">
        <f>T4</f>
        <v>3.5499999999999997E-2</v>
      </c>
      <c r="M38" s="204">
        <f t="shared" si="18"/>
        <v>46.111624499999998</v>
      </c>
      <c r="N38" s="1003"/>
      <c r="P38" s="972">
        <f t="shared" si="19"/>
        <v>1345.0306245000002</v>
      </c>
      <c r="R38" s="995">
        <f t="shared" si="20"/>
        <v>46.111624500000062</v>
      </c>
      <c r="V38" s="1070"/>
      <c r="W38" s="1070"/>
      <c r="X38" s="1070"/>
      <c r="Y38" s="1070"/>
      <c r="Z38" s="1070"/>
      <c r="AA38" s="1071"/>
      <c r="AF38" s="1069" t="s">
        <v>1039</v>
      </c>
      <c r="AG38" s="1070">
        <v>5.1999999999999998E-2</v>
      </c>
      <c r="AH38" s="1070">
        <v>4.7300000000000002E-2</v>
      </c>
      <c r="AI38" s="1070">
        <v>3.5499999999999997E-2</v>
      </c>
      <c r="AK38" s="1404"/>
      <c r="AL38" s="1404"/>
    </row>
    <row r="39" spans="1:38">
      <c r="A39" s="394">
        <v>19</v>
      </c>
      <c r="B39" s="396" t="s">
        <v>56</v>
      </c>
      <c r="C39" s="396"/>
      <c r="D39" s="396"/>
      <c r="E39" s="406">
        <f>'ADJ DETAIL-INPUT'!E38</f>
        <v>0</v>
      </c>
      <c r="F39" s="406">
        <f>G39-E39</f>
        <v>0</v>
      </c>
      <c r="G39" s="412">
        <f>'ADJ DETAIL-INPUT'!AC38</f>
        <v>0</v>
      </c>
      <c r="H39" s="406">
        <f>I39-G39</f>
        <v>0</v>
      </c>
      <c r="I39" s="1025">
        <f>'ADJ DETAIL-INPUT'!BH38</f>
        <v>0</v>
      </c>
      <c r="J39" s="957"/>
      <c r="K39" s="746">
        <f>SUM(I39:J39)</f>
        <v>0</v>
      </c>
      <c r="L39" s="998"/>
      <c r="M39" s="204">
        <f t="shared" si="18"/>
        <v>0</v>
      </c>
      <c r="N39" s="1003"/>
      <c r="P39" s="972">
        <f t="shared" si="19"/>
        <v>0</v>
      </c>
      <c r="R39" s="995">
        <f t="shared" si="20"/>
        <v>0</v>
      </c>
      <c r="V39" s="1070"/>
      <c r="W39" s="1070"/>
      <c r="X39" s="1070"/>
      <c r="Y39" s="1070"/>
      <c r="Z39" s="1070"/>
      <c r="AA39" s="1071"/>
      <c r="AF39" s="1069" t="s">
        <v>1043</v>
      </c>
      <c r="AG39" s="1070">
        <v>6.3500000000000001E-2</v>
      </c>
      <c r="AH39" s="1070">
        <v>5.1200000000000002E-2</v>
      </c>
      <c r="AI39" s="1070">
        <v>1.5699999999999999E-2</v>
      </c>
      <c r="AK39" s="1404"/>
      <c r="AL39" s="1404"/>
    </row>
    <row r="40" spans="1:38" ht="6.75" customHeight="1">
      <c r="A40" s="396"/>
      <c r="B40" s="396"/>
      <c r="C40" s="396"/>
      <c r="D40" s="396"/>
      <c r="E40" s="406"/>
      <c r="F40" s="406"/>
      <c r="G40" s="406"/>
      <c r="H40" s="406"/>
      <c r="I40" s="1021"/>
      <c r="J40" s="957"/>
      <c r="K40" s="746"/>
      <c r="L40" s="998"/>
      <c r="N40" s="1002"/>
      <c r="P40" s="972"/>
      <c r="R40" s="995"/>
      <c r="T40" s="248"/>
      <c r="U40" s="248"/>
      <c r="V40" s="248"/>
      <c r="W40" s="248"/>
      <c r="X40" s="248"/>
      <c r="Y40" s="248"/>
      <c r="Z40" s="248"/>
      <c r="AA40" s="248"/>
      <c r="AB40" s="248"/>
      <c r="AC40" s="248"/>
    </row>
    <row r="41" spans="1:38">
      <c r="A41" s="394"/>
      <c r="B41" s="396" t="s">
        <v>57</v>
      </c>
      <c r="C41" s="396"/>
      <c r="D41" s="396"/>
      <c r="E41" s="406"/>
      <c r="F41" s="406"/>
      <c r="G41" s="406"/>
      <c r="H41" s="406"/>
      <c r="I41" s="1021"/>
      <c r="J41" s="957"/>
      <c r="K41" s="746"/>
      <c r="L41" s="998"/>
      <c r="N41" s="1002"/>
      <c r="P41" s="972"/>
      <c r="R41" s="995"/>
      <c r="T41" s="248"/>
      <c r="U41" s="248"/>
      <c r="V41" s="248"/>
      <c r="W41" s="248"/>
      <c r="X41" s="248"/>
      <c r="Y41" s="248"/>
      <c r="Z41" s="248"/>
      <c r="AA41" s="248"/>
      <c r="AB41" s="248"/>
      <c r="AC41" s="248"/>
    </row>
    <row r="42" spans="1:38">
      <c r="A42" s="394">
        <v>20</v>
      </c>
      <c r="B42" s="396"/>
      <c r="C42" s="396" t="s">
        <v>49</v>
      </c>
      <c r="D42" s="396"/>
      <c r="E42" s="406">
        <f>'ADJ DETAIL-INPUT'!E41</f>
        <v>73927</v>
      </c>
      <c r="F42" s="406">
        <f>G42-E42</f>
        <v>1139</v>
      </c>
      <c r="G42" s="412">
        <f>'ADJ DETAIL-INPUT'!AC41</f>
        <v>75066</v>
      </c>
      <c r="H42" s="406">
        <f>I42-G42</f>
        <v>4605.5929620253155</v>
      </c>
      <c r="I42" s="1025">
        <f>'ADJ DETAIL-INPUT'!BH41</f>
        <v>79671.592962025316</v>
      </c>
      <c r="J42" s="957"/>
      <c r="K42" s="746">
        <f>SUM(I42:J42)</f>
        <v>79671.592962025316</v>
      </c>
      <c r="L42" s="996">
        <f>T4</f>
        <v>3.5499999999999997E-2</v>
      </c>
      <c r="M42" s="204">
        <f t="shared" ref="M42:M43" si="21">K42*L42</f>
        <v>2828.3415501518984</v>
      </c>
      <c r="N42" s="1003">
        <v>-605</v>
      </c>
      <c r="P42" s="972">
        <f t="shared" ref="P42:P45" si="22">K42+M42+O42+N42</f>
        <v>81894.93451217722</v>
      </c>
      <c r="R42" s="995">
        <f t="shared" ref="R42:R45" si="23">P42-I42</f>
        <v>2223.3415501519048</v>
      </c>
      <c r="T42" s="248"/>
      <c r="U42" s="248"/>
      <c r="V42" s="248"/>
      <c r="W42" s="248"/>
      <c r="X42" s="248"/>
      <c r="Y42" s="248"/>
      <c r="Z42" s="248"/>
      <c r="AA42" s="248"/>
      <c r="AB42" s="248"/>
      <c r="AC42" s="248"/>
    </row>
    <row r="43" spans="1:38">
      <c r="A43" s="394">
        <v>21</v>
      </c>
      <c r="B43" s="396"/>
      <c r="C43" s="396" t="s">
        <v>539</v>
      </c>
      <c r="D43" s="396"/>
      <c r="E43" s="406">
        <f>'ADJ DETAIL-INPUT'!E42</f>
        <v>41343</v>
      </c>
      <c r="F43" s="406">
        <f>G43-E43</f>
        <v>0</v>
      </c>
      <c r="G43" s="412">
        <f>'ADJ DETAIL-INPUT'!AC42</f>
        <v>41343</v>
      </c>
      <c r="H43" s="406">
        <f>I43-G43</f>
        <v>1620</v>
      </c>
      <c r="I43" s="1025">
        <f>'ADJ DETAIL-INPUT'!BH42</f>
        <v>42963</v>
      </c>
      <c r="J43" s="957"/>
      <c r="K43" s="746">
        <f>SUM(I43:J43)</f>
        <v>42963</v>
      </c>
      <c r="L43" s="996">
        <f>T5</f>
        <v>5.8799999999999998E-2</v>
      </c>
      <c r="M43" s="204">
        <f t="shared" si="21"/>
        <v>2526.2244000000001</v>
      </c>
      <c r="N43" s="1003"/>
      <c r="P43" s="972">
        <f t="shared" si="22"/>
        <v>45489.224399999999</v>
      </c>
      <c r="R43" s="995">
        <f t="shared" si="23"/>
        <v>2526.2243999999992</v>
      </c>
      <c r="T43" s="248"/>
      <c r="U43" s="248"/>
      <c r="V43" s="248"/>
      <c r="W43" s="248"/>
      <c r="X43" s="248"/>
      <c r="Y43" s="248"/>
      <c r="Z43" s="248"/>
      <c r="AA43" s="248"/>
      <c r="AB43" s="248"/>
      <c r="AC43" s="248"/>
    </row>
    <row r="44" spans="1:38">
      <c r="A44" s="394">
        <v>22</v>
      </c>
      <c r="B44" s="396"/>
      <c r="C44" s="396" t="s">
        <v>678</v>
      </c>
      <c r="D44" s="396"/>
      <c r="E44" s="406">
        <f>'ADJ DETAIL-INPUT'!E43</f>
        <v>-20056</v>
      </c>
      <c r="F44" s="406">
        <f>G44-E44</f>
        <v>2612</v>
      </c>
      <c r="G44" s="412">
        <f>'ADJ DETAIL-INPUT'!AC43</f>
        <v>-17444</v>
      </c>
      <c r="H44" s="406">
        <f>I44-G44</f>
        <v>13793.5</v>
      </c>
      <c r="I44" s="1025">
        <f>'ADJ DETAIL-INPUT'!BH43</f>
        <v>-3650.5</v>
      </c>
      <c r="J44" s="832"/>
      <c r="K44" s="746">
        <f t="shared" ref="K44:K45" si="24">SUM(I44:J44)</f>
        <v>-3650.5</v>
      </c>
      <c r="L44" s="996"/>
      <c r="M44" s="401"/>
      <c r="N44" s="1003"/>
      <c r="P44" s="972">
        <f t="shared" si="22"/>
        <v>-3650.5</v>
      </c>
      <c r="R44" s="995">
        <f t="shared" si="23"/>
        <v>0</v>
      </c>
      <c r="T44" s="248"/>
      <c r="U44" s="248"/>
      <c r="V44" s="248"/>
      <c r="W44" s="248"/>
      <c r="X44" s="248"/>
      <c r="Y44" s="248"/>
      <c r="Z44" s="248"/>
      <c r="AA44" s="248"/>
      <c r="AB44" s="248"/>
      <c r="AC44" s="248"/>
    </row>
    <row r="45" spans="1:38">
      <c r="A45" s="418">
        <v>23</v>
      </c>
      <c r="B45" s="396"/>
      <c r="C45" s="396" t="s">
        <v>27</v>
      </c>
      <c r="D45" s="396"/>
      <c r="E45" s="413">
        <f>'ADJ DETAIL-INPUT'!E44</f>
        <v>3632</v>
      </c>
      <c r="F45" s="413">
        <f>G45-E45</f>
        <v>0</v>
      </c>
      <c r="G45" s="413">
        <f>'ADJ DETAIL-INPUT'!AC44</f>
        <v>3632</v>
      </c>
      <c r="H45" s="413">
        <f>I45-G45</f>
        <v>0</v>
      </c>
      <c r="I45" s="1022">
        <f>'ADJ DETAIL-INPUT'!BH44</f>
        <v>3632</v>
      </c>
      <c r="J45" s="784"/>
      <c r="K45" s="748">
        <f t="shared" si="24"/>
        <v>3632</v>
      </c>
      <c r="L45" s="996">
        <f>T6</f>
        <v>2.5899999999999999E-2</v>
      </c>
      <c r="M45" s="961">
        <f t="shared" ref="M45" si="25">K45*L45</f>
        <v>94.068799999999996</v>
      </c>
      <c r="N45" s="1004"/>
      <c r="O45" s="30"/>
      <c r="P45" s="974">
        <f t="shared" si="22"/>
        <v>3726.0688</v>
      </c>
      <c r="R45" s="1010">
        <f t="shared" si="23"/>
        <v>94.06880000000001</v>
      </c>
      <c r="T45" s="248"/>
      <c r="U45" s="248"/>
      <c r="V45" s="248"/>
      <c r="W45" s="248"/>
      <c r="X45" s="248"/>
      <c r="Y45" s="248"/>
      <c r="Z45" s="248"/>
      <c r="AA45" s="248"/>
      <c r="AB45" s="248"/>
      <c r="AC45" s="248"/>
    </row>
    <row r="46" spans="1:38">
      <c r="A46" s="394">
        <v>24</v>
      </c>
      <c r="B46" s="396"/>
      <c r="C46" s="396"/>
      <c r="D46" s="396" t="s">
        <v>58</v>
      </c>
      <c r="E46" s="413">
        <f t="shared" ref="E46:I46" si="26">SUM(E42:E45)</f>
        <v>98846</v>
      </c>
      <c r="F46" s="413">
        <f t="shared" si="26"/>
        <v>3751</v>
      </c>
      <c r="G46" s="413">
        <f t="shared" si="26"/>
        <v>102597</v>
      </c>
      <c r="H46" s="413">
        <f t="shared" si="26"/>
        <v>20019.092962025316</v>
      </c>
      <c r="I46" s="1022">
        <f t="shared" si="26"/>
        <v>122616.09296202532</v>
      </c>
      <c r="J46" s="784">
        <f t="shared" ref="J46:O46" si="27">SUM(J42:J45)</f>
        <v>0</v>
      </c>
      <c r="K46" s="989">
        <f>SUM(K42:K45)</f>
        <v>122616.09296202532</v>
      </c>
      <c r="L46" s="997"/>
      <c r="M46" s="784">
        <f t="shared" ref="M46:N46" si="28">SUM(M42:M45)</f>
        <v>5448.6347501518985</v>
      </c>
      <c r="N46" s="1007">
        <f t="shared" si="28"/>
        <v>-605</v>
      </c>
      <c r="O46" s="414">
        <f t="shared" si="27"/>
        <v>0</v>
      </c>
      <c r="P46" s="976">
        <f>SUM(P42:P45)</f>
        <v>127459.72771217722</v>
      </c>
      <c r="R46" s="1010">
        <f>SUM(R42:R45)</f>
        <v>4843.634750151904</v>
      </c>
      <c r="T46" s="248"/>
      <c r="U46" s="248"/>
      <c r="V46" s="248"/>
      <c r="W46" s="248"/>
      <c r="X46" s="248"/>
      <c r="Y46" s="248"/>
      <c r="Z46" s="248"/>
      <c r="AA46" s="248"/>
      <c r="AB46" s="248"/>
      <c r="AC46" s="248"/>
    </row>
    <row r="47" spans="1:38">
      <c r="A47" s="394">
        <v>25</v>
      </c>
      <c r="B47" s="396" t="s">
        <v>59</v>
      </c>
      <c r="C47" s="396"/>
      <c r="D47" s="396"/>
      <c r="E47" s="413">
        <f t="shared" ref="E47:K47" si="29">E28+E35+E37+E38+E39+E46</f>
        <v>545994</v>
      </c>
      <c r="F47" s="413">
        <f t="shared" si="29"/>
        <v>-75911</v>
      </c>
      <c r="G47" s="413">
        <f t="shared" si="29"/>
        <v>470083</v>
      </c>
      <c r="H47" s="413">
        <f t="shared" si="29"/>
        <v>81408.063962025306</v>
      </c>
      <c r="I47" s="1022">
        <f t="shared" si="29"/>
        <v>551553.06396202534</v>
      </c>
      <c r="J47" s="784">
        <f t="shared" si="29"/>
        <v>-183819</v>
      </c>
      <c r="K47" s="989">
        <f t="shared" si="29"/>
        <v>367734.06396202534</v>
      </c>
      <c r="L47" s="997"/>
      <c r="M47" s="784">
        <f t="shared" ref="M47:N47" si="30">M28+M35+M37+M38+M39+M46</f>
        <v>15679.443720651896</v>
      </c>
      <c r="N47" s="1007">
        <f t="shared" si="30"/>
        <v>-605</v>
      </c>
      <c r="O47" s="414">
        <f t="shared" ref="O47" si="31">O28+O35+O37+O38+O39+O46</f>
        <v>183819</v>
      </c>
      <c r="P47" s="976">
        <f>P28+P35+P37+P38+P39+P46</f>
        <v>566627.50768267724</v>
      </c>
      <c r="R47" s="1010">
        <f>R46+R39+R38+R37+R35+R28</f>
        <v>15074.443720651892</v>
      </c>
      <c r="T47" s="248"/>
      <c r="U47" s="248"/>
      <c r="V47" s="248"/>
      <c r="W47" s="248"/>
      <c r="X47" s="248"/>
      <c r="Y47" s="248"/>
      <c r="Z47" s="248"/>
      <c r="AA47" s="248"/>
      <c r="AB47" s="248"/>
      <c r="AC47" s="248"/>
    </row>
    <row r="48" spans="1:38" ht="6.75" customHeight="1">
      <c r="A48" s="394"/>
      <c r="B48" s="396"/>
      <c r="C48" s="396"/>
      <c r="D48" s="396"/>
      <c r="E48" s="406"/>
      <c r="F48" s="406"/>
      <c r="G48" s="406"/>
      <c r="H48" s="406"/>
      <c r="I48" s="1021"/>
      <c r="J48" s="954"/>
      <c r="K48" s="746"/>
      <c r="L48" s="998"/>
      <c r="N48" s="1002"/>
      <c r="P48" s="972"/>
      <c r="R48" s="995"/>
      <c r="T48" s="248"/>
      <c r="U48" s="248"/>
      <c r="V48" s="248"/>
      <c r="W48" s="248"/>
      <c r="X48" s="248"/>
      <c r="Y48" s="248"/>
      <c r="Z48" s="248"/>
      <c r="AA48" s="248"/>
      <c r="AB48" s="248"/>
      <c r="AC48" s="248"/>
    </row>
    <row r="49" spans="1:39">
      <c r="A49" s="394">
        <v>26</v>
      </c>
      <c r="B49" s="396" t="s">
        <v>60</v>
      </c>
      <c r="C49" s="396"/>
      <c r="D49" s="396"/>
      <c r="E49" s="406">
        <f t="shared" ref="E49:O49" si="32">E19-E47</f>
        <v>112592</v>
      </c>
      <c r="F49" s="406">
        <f t="shared" si="32"/>
        <v>4981</v>
      </c>
      <c r="G49" s="406">
        <f t="shared" si="32"/>
        <v>117573</v>
      </c>
      <c r="H49" s="406">
        <f t="shared" si="32"/>
        <v>6707.936037974694</v>
      </c>
      <c r="I49" s="1021">
        <f t="shared" si="32"/>
        <v>124218.93603797466</v>
      </c>
      <c r="J49" s="361">
        <f>J19-J47</f>
        <v>70601</v>
      </c>
      <c r="K49" s="988">
        <f t="shared" si="32"/>
        <v>194819.93603797466</v>
      </c>
      <c r="L49" s="997"/>
      <c r="M49" s="361">
        <f t="shared" ref="M49:N49" si="33">M19-M47</f>
        <v>-15679.443720651896</v>
      </c>
      <c r="N49" s="1006">
        <f t="shared" si="33"/>
        <v>3402</v>
      </c>
      <c r="O49" s="405">
        <f t="shared" si="32"/>
        <v>-70601</v>
      </c>
      <c r="P49" s="979">
        <f>P19-P47</f>
        <v>111941.49231732276</v>
      </c>
      <c r="R49" s="1011">
        <f>R19-R47</f>
        <v>-12277.443720651892</v>
      </c>
      <c r="T49" s="248"/>
      <c r="U49" s="248"/>
      <c r="V49" s="248"/>
      <c r="W49" s="248"/>
      <c r="X49" s="248"/>
      <c r="Y49" s="248"/>
      <c r="Z49" s="248"/>
      <c r="AA49" s="248"/>
      <c r="AB49" s="248"/>
      <c r="AC49" s="248"/>
    </row>
    <row r="50" spans="1:39" ht="9.75" customHeight="1">
      <c r="A50" s="394"/>
      <c r="B50" s="396"/>
      <c r="C50" s="396"/>
      <c r="D50" s="396"/>
      <c r="E50" s="406"/>
      <c r="F50" s="406"/>
      <c r="G50" s="406"/>
      <c r="H50" s="406"/>
      <c r="I50" s="1021"/>
      <c r="K50" s="746"/>
      <c r="L50" s="998"/>
      <c r="N50" s="1002"/>
      <c r="P50" s="972"/>
      <c r="R50" s="995"/>
      <c r="T50" s="248"/>
      <c r="U50" s="248"/>
      <c r="V50" s="248"/>
      <c r="W50" s="248"/>
      <c r="X50" s="248"/>
      <c r="Y50" s="248"/>
      <c r="Z50" s="248"/>
      <c r="AA50" s="248"/>
      <c r="AB50" s="248"/>
      <c r="AC50" s="248"/>
    </row>
    <row r="51" spans="1:39">
      <c r="A51" s="394"/>
      <c r="B51" s="396" t="s">
        <v>61</v>
      </c>
      <c r="C51" s="396"/>
      <c r="D51" s="396"/>
      <c r="E51" s="406"/>
      <c r="F51" s="406"/>
      <c r="G51" s="406"/>
      <c r="H51" s="406"/>
      <c r="I51" s="1021"/>
      <c r="K51" s="746"/>
      <c r="L51" s="998"/>
      <c r="N51" s="1002"/>
      <c r="P51" s="972"/>
      <c r="R51" s="995"/>
      <c r="T51" s="248"/>
      <c r="U51" s="248"/>
      <c r="V51" s="248"/>
      <c r="W51" s="248"/>
      <c r="X51" s="248"/>
      <c r="Y51" s="248"/>
      <c r="Z51" s="248"/>
      <c r="AA51" s="248"/>
      <c r="AB51" s="248"/>
      <c r="AC51" s="248"/>
    </row>
    <row r="52" spans="1:39">
      <c r="A52" s="394">
        <v>27</v>
      </c>
      <c r="B52" s="396" t="s">
        <v>62</v>
      </c>
      <c r="C52" s="396"/>
      <c r="D52" s="396"/>
      <c r="E52" s="406">
        <f>'ADJ DETAIL-INPUT'!E51</f>
        <v>-2018</v>
      </c>
      <c r="F52" s="406">
        <f>G52-E52</f>
        <v>5740.55</v>
      </c>
      <c r="G52" s="412">
        <f>'ADJ DETAIL-INPUT'!AC51</f>
        <v>3722.55</v>
      </c>
      <c r="H52" s="406">
        <f>I52-G52</f>
        <v>1395.8465679746823</v>
      </c>
      <c r="I52" s="1025">
        <f>'ADJ DETAIL-INPUT'!BH51</f>
        <v>5118.3965679746825</v>
      </c>
      <c r="J52" s="406">
        <f t="shared" ref="J52" si="34">J49*0.21</f>
        <v>14826.21</v>
      </c>
      <c r="K52" s="746">
        <f>SUM(I52:J52)</f>
        <v>19944.606567974683</v>
      </c>
      <c r="L52" s="996"/>
      <c r="M52" s="406">
        <f t="shared" ref="M52:O52" si="35">M49*0.21</f>
        <v>-3292.6831813368981</v>
      </c>
      <c r="N52" s="995">
        <f t="shared" si="35"/>
        <v>714.42</v>
      </c>
      <c r="O52" s="406">
        <f t="shared" si="35"/>
        <v>-14826.21</v>
      </c>
      <c r="P52" s="972">
        <f>K52+M52+O52+N52</f>
        <v>2540.1333866377845</v>
      </c>
      <c r="R52" s="995">
        <f>P52-I52</f>
        <v>-2578.263181336898</v>
      </c>
      <c r="T52" s="248"/>
      <c r="U52" s="248"/>
      <c r="V52" s="248"/>
      <c r="W52" s="248"/>
      <c r="X52" s="248"/>
      <c r="Y52" s="248"/>
      <c r="Z52" s="248"/>
      <c r="AA52" s="248"/>
      <c r="AB52" s="248"/>
      <c r="AC52" s="248"/>
    </row>
    <row r="53" spans="1:39">
      <c r="A53" s="394">
        <v>28</v>
      </c>
      <c r="B53" s="381" t="s">
        <v>259</v>
      </c>
      <c r="E53" s="406">
        <f>'ADJ DETAIL-INPUT'!E52</f>
        <v>0</v>
      </c>
      <c r="F53" s="406">
        <f>G53-E53</f>
        <v>-250.69289699999996</v>
      </c>
      <c r="G53" s="412">
        <f>'ADJ DETAIL-INPUT'!AC52</f>
        <v>-250.69289699999996</v>
      </c>
      <c r="H53" s="406">
        <f>I53-G53</f>
        <v>-880.5330723150696</v>
      </c>
      <c r="I53" s="1025">
        <f>'ADJ DETAIL-INPUT'!BH52</f>
        <v>-1131.2259693150695</v>
      </c>
      <c r="J53" s="926">
        <f>(J81*'RR Summary'!$N$12)*-0.21</f>
        <v>0</v>
      </c>
      <c r="K53" s="746">
        <f>SUM(I53:J53)</f>
        <v>-1131.2259693150695</v>
      </c>
      <c r="L53" s="996"/>
      <c r="M53" s="406">
        <f>(M81*'RR Summary'!$N$12)*-0.21</f>
        <v>-459.74537785071385</v>
      </c>
      <c r="N53" s="995">
        <f>(N81*'RR Summary'!$N$12)*-0.21</f>
        <v>0</v>
      </c>
      <c r="O53" s="926">
        <f>(O81*'RR Summary'!$N$12)*-0.21</f>
        <v>0</v>
      </c>
      <c r="P53" s="972">
        <f t="shared" ref="P53:P55" si="36">K53+M53+O53+N53</f>
        <v>-1590.9713471657833</v>
      </c>
      <c r="R53" s="995">
        <f t="shared" ref="R53:R55" si="37">P53-I53</f>
        <v>-459.74537785071379</v>
      </c>
      <c r="T53" s="248"/>
      <c r="U53" s="248"/>
      <c r="V53" s="248"/>
      <c r="W53" s="248"/>
      <c r="X53" s="248"/>
      <c r="Y53" s="248"/>
      <c r="Z53" s="248"/>
      <c r="AA53" s="248"/>
      <c r="AB53" s="248"/>
      <c r="AC53" s="248"/>
    </row>
    <row r="54" spans="1:39">
      <c r="A54" s="394">
        <v>29</v>
      </c>
      <c r="B54" s="396" t="s">
        <v>63</v>
      </c>
      <c r="C54" s="396"/>
      <c r="D54" s="396"/>
      <c r="E54" s="406">
        <f>'ADJ DETAIL-INPUT'!E53</f>
        <v>8368</v>
      </c>
      <c r="F54" s="406">
        <f>G54-E54</f>
        <v>-3356</v>
      </c>
      <c r="G54" s="412">
        <f>'ADJ DETAIL-INPUT'!AC53</f>
        <v>5012</v>
      </c>
      <c r="H54" s="406">
        <f>I54-G54</f>
        <v>634</v>
      </c>
      <c r="I54" s="1025">
        <f>'ADJ DETAIL-INPUT'!BH53</f>
        <v>5646</v>
      </c>
      <c r="K54" s="746">
        <f>SUM(I54:J54)</f>
        <v>5646</v>
      </c>
      <c r="L54" s="996"/>
      <c r="M54" s="401"/>
      <c r="N54" s="1003"/>
      <c r="P54" s="972">
        <f t="shared" si="36"/>
        <v>5646</v>
      </c>
      <c r="R54" s="995">
        <f t="shared" si="37"/>
        <v>0</v>
      </c>
      <c r="T54" s="248"/>
      <c r="U54" s="248"/>
      <c r="V54" s="248"/>
      <c r="W54" s="248"/>
      <c r="X54" s="248"/>
      <c r="Y54" s="248"/>
      <c r="Z54" s="248"/>
      <c r="AA54" s="248"/>
      <c r="AB54" s="248"/>
      <c r="AC54" s="248"/>
    </row>
    <row r="55" spans="1:39">
      <c r="A55" s="394">
        <v>30</v>
      </c>
      <c r="B55" s="396" t="s">
        <v>64</v>
      </c>
      <c r="C55" s="396"/>
      <c r="D55" s="396"/>
      <c r="E55" s="413">
        <f>'ADJ DETAIL-INPUT'!E54</f>
        <v>-318</v>
      </c>
      <c r="F55" s="413">
        <f>G55-E55</f>
        <v>0</v>
      </c>
      <c r="G55" s="413">
        <f>'ADJ DETAIL-INPUT'!AC54</f>
        <v>-318</v>
      </c>
      <c r="H55" s="413">
        <f>I55-G55</f>
        <v>0</v>
      </c>
      <c r="I55" s="1022">
        <f>'ADJ DETAIL-INPUT'!BH54</f>
        <v>-318</v>
      </c>
      <c r="J55" s="784"/>
      <c r="K55" s="748">
        <f>SUM(I55:J55)</f>
        <v>-318</v>
      </c>
      <c r="L55" s="996"/>
      <c r="M55" s="961"/>
      <c r="N55" s="1004"/>
      <c r="O55" s="30"/>
      <c r="P55" s="974">
        <f t="shared" si="36"/>
        <v>-318</v>
      </c>
      <c r="R55" s="1010">
        <f t="shared" si="37"/>
        <v>0</v>
      </c>
      <c r="T55" s="248"/>
      <c r="U55" s="248"/>
      <c r="V55" s="248"/>
      <c r="W55" s="248"/>
      <c r="X55" s="248"/>
      <c r="Y55" s="248"/>
      <c r="Z55" s="248"/>
      <c r="AA55" s="248"/>
      <c r="AB55" s="248"/>
      <c r="AC55" s="248"/>
    </row>
    <row r="56" spans="1:39">
      <c r="A56" s="394"/>
      <c r="B56" s="1361"/>
      <c r="C56" s="1361"/>
      <c r="D56" s="1361"/>
      <c r="E56" s="413"/>
      <c r="F56" s="413"/>
      <c r="G56" s="413"/>
      <c r="H56" s="413"/>
      <c r="I56" s="1022"/>
      <c r="J56" s="784"/>
      <c r="K56" s="748"/>
      <c r="L56" s="996"/>
      <c r="M56" s="961"/>
      <c r="N56" s="1004"/>
      <c r="O56" s="30"/>
      <c r="P56" s="974"/>
      <c r="R56" s="1010"/>
      <c r="T56" s="248"/>
      <c r="U56" s="248"/>
      <c r="V56" s="248"/>
      <c r="W56" s="248"/>
      <c r="X56" s="248"/>
      <c r="Y56" s="248"/>
      <c r="Z56" s="248"/>
      <c r="AA56" s="248"/>
      <c r="AB56" s="248"/>
      <c r="AC56" s="248"/>
    </row>
    <row r="57" spans="1:39" ht="13.5" thickBot="1">
      <c r="A57" s="382">
        <v>31</v>
      </c>
      <c r="B57" s="395" t="s">
        <v>65</v>
      </c>
      <c r="C57" s="395"/>
      <c r="D57" s="395"/>
      <c r="E57" s="423">
        <f t="shared" ref="E57:H57" si="38">E49-SUM(E52:E55)</f>
        <v>106560</v>
      </c>
      <c r="F57" s="423">
        <f t="shared" si="38"/>
        <v>2847.1428969999997</v>
      </c>
      <c r="G57" s="423">
        <f t="shared" si="38"/>
        <v>109407.142897</v>
      </c>
      <c r="H57" s="423">
        <f t="shared" si="38"/>
        <v>5558.6225423150809</v>
      </c>
      <c r="I57" s="1026">
        <f>I49-SUM(I52:I56)</f>
        <v>114903.76543931506</v>
      </c>
      <c r="J57" s="983">
        <f t="shared" ref="J57:K57" si="39">J49-SUM(J52:J56)</f>
        <v>55774.79</v>
      </c>
      <c r="K57" s="990">
        <f t="shared" si="39"/>
        <v>170678.55543931504</v>
      </c>
      <c r="L57" s="997"/>
      <c r="M57" s="1084">
        <f>M49-SUM(M52:M56)</f>
        <v>-11927.015161464284</v>
      </c>
      <c r="N57" s="1015">
        <f>N49-SUM(N52:N56)</f>
        <v>2687.58</v>
      </c>
      <c r="O57" s="983">
        <f t="shared" ref="O57" si="40">O49-SUM(O52:O56)</f>
        <v>-55774.79</v>
      </c>
      <c r="P57" s="977">
        <f>P49-SUM(P52:P56)</f>
        <v>105664.33027785076</v>
      </c>
      <c r="R57" s="1012">
        <f>R49-SUM(R52:R56)</f>
        <v>-9239.4351614642801</v>
      </c>
      <c r="T57" s="248"/>
      <c r="U57" s="248"/>
      <c r="V57" s="248"/>
      <c r="W57" s="248"/>
      <c r="X57" s="248"/>
      <c r="Y57" s="248"/>
      <c r="Z57" s="248"/>
      <c r="AA57" s="248"/>
      <c r="AB57" s="248"/>
      <c r="AC57" s="248"/>
    </row>
    <row r="58" spans="1:39" ht="5.25" customHeight="1" thickTop="1">
      <c r="E58" s="406"/>
      <c r="F58" s="406"/>
      <c r="G58" s="406"/>
      <c r="H58" s="406"/>
      <c r="I58" s="1021"/>
      <c r="J58" s="954"/>
      <c r="K58" s="746">
        <f>SUM(I58:J58)</f>
        <v>0</v>
      </c>
      <c r="L58" s="998"/>
      <c r="O58" s="99"/>
      <c r="P58" s="972">
        <f>SUM(K58:L58)</f>
        <v>0</v>
      </c>
      <c r="R58" s="995"/>
      <c r="T58" s="248"/>
      <c r="U58" s="248"/>
      <c r="V58" s="248"/>
      <c r="W58" s="248"/>
      <c r="X58" s="248"/>
      <c r="Y58" s="248"/>
      <c r="Z58" s="248"/>
      <c r="AA58" s="248"/>
      <c r="AB58" s="248"/>
      <c r="AC58" s="248"/>
    </row>
    <row r="59" spans="1:39">
      <c r="B59" s="381" t="s">
        <v>66</v>
      </c>
      <c r="E59" s="406"/>
      <c r="F59" s="406"/>
      <c r="G59" s="406"/>
      <c r="H59" s="406"/>
      <c r="I59" s="1021"/>
      <c r="J59" s="954"/>
      <c r="K59" s="746"/>
      <c r="L59" s="998"/>
      <c r="O59" s="36"/>
      <c r="P59" s="972"/>
      <c r="R59" s="995"/>
      <c r="T59" s="248"/>
      <c r="U59" s="248"/>
      <c r="V59" s="248"/>
      <c r="W59" s="248"/>
      <c r="X59" s="248"/>
      <c r="Y59" s="248"/>
      <c r="Z59" s="248"/>
      <c r="AA59" s="248"/>
      <c r="AB59" s="248"/>
      <c r="AC59" s="248"/>
    </row>
    <row r="60" spans="1:39">
      <c r="A60" s="394"/>
      <c r="B60" s="381" t="s">
        <v>67</v>
      </c>
      <c r="E60" s="406"/>
      <c r="F60" s="406"/>
      <c r="G60" s="406"/>
      <c r="H60" s="406"/>
      <c r="I60" s="1021"/>
      <c r="J60" s="954"/>
      <c r="K60" s="746"/>
      <c r="L60" s="998"/>
      <c r="O60" s="36"/>
      <c r="P60" s="972"/>
      <c r="R60" s="995"/>
      <c r="T60" s="50"/>
      <c r="U60" s="50"/>
      <c r="V60" s="50"/>
      <c r="W60" s="50"/>
      <c r="X60" s="50"/>
      <c r="Y60" s="50"/>
      <c r="Z60" s="50"/>
      <c r="AA60" s="50"/>
      <c r="AB60" s="50"/>
      <c r="AC60" s="50"/>
      <c r="AD60" s="50"/>
      <c r="AE60" s="50"/>
      <c r="AF60" s="1069" t="s">
        <v>1033</v>
      </c>
      <c r="AG60" s="1069"/>
      <c r="AH60" s="1069"/>
      <c r="AI60" s="1069"/>
      <c r="AJ60" s="1069"/>
      <c r="AK60" s="1069" t="s">
        <v>1034</v>
      </c>
      <c r="AL60" s="1069" t="s">
        <v>1049</v>
      </c>
      <c r="AM60" s="25" t="s">
        <v>7</v>
      </c>
    </row>
    <row r="61" spans="1:39">
      <c r="A61" s="394">
        <v>32</v>
      </c>
      <c r="B61" s="395"/>
      <c r="C61" s="395" t="s">
        <v>68</v>
      </c>
      <c r="D61" s="395"/>
      <c r="E61" s="419">
        <f>'ADJ DETAIL-INPUT'!E60</f>
        <v>230718</v>
      </c>
      <c r="F61" s="419">
        <f>G61-E61</f>
        <v>7692</v>
      </c>
      <c r="G61" s="911">
        <f>'ADJ DETAIL-INPUT'!AC60</f>
        <v>238410</v>
      </c>
      <c r="H61" s="419">
        <f>I61-G61</f>
        <v>4067</v>
      </c>
      <c r="I61" s="1027">
        <f>'ADJ DETAIL-INPUT'!BH60</f>
        <v>242477</v>
      </c>
      <c r="J61" s="361">
        <v>0</v>
      </c>
      <c r="K61" s="747">
        <f>SUM(I61:J61)</f>
        <v>242477</v>
      </c>
      <c r="L61" s="996">
        <f>T7</f>
        <v>8.7599999999999997E-2</v>
      </c>
      <c r="M61" s="401">
        <f t="shared" ref="M61:M65" si="41">K61*L61</f>
        <v>21240.985199999999</v>
      </c>
      <c r="N61" s="401"/>
      <c r="P61" s="973">
        <f>K61+M61+O61+N61</f>
        <v>263717.9852</v>
      </c>
      <c r="R61" s="995">
        <f t="shared" ref="R61:R65" si="42">P61-I61</f>
        <v>21240.985199999996</v>
      </c>
      <c r="T61" s="50"/>
      <c r="U61" s="50"/>
      <c r="V61" s="50"/>
      <c r="W61" s="50"/>
      <c r="X61" s="50"/>
      <c r="Y61" s="50"/>
      <c r="Z61" s="50"/>
      <c r="AA61" s="50"/>
      <c r="AB61" s="50"/>
      <c r="AC61" s="50"/>
      <c r="AD61" s="50"/>
      <c r="AE61" s="50"/>
      <c r="AF61" s="99">
        <v>21240.985199999996</v>
      </c>
      <c r="AG61" s="99"/>
      <c r="AH61" s="99"/>
      <c r="AI61" s="99"/>
      <c r="AJ61" s="99"/>
      <c r="AK61" s="99">
        <v>16876.399199999985</v>
      </c>
      <c r="AL61" s="995">
        <v>19761.875500000024</v>
      </c>
      <c r="AM61" s="395">
        <v>-146</v>
      </c>
    </row>
    <row r="62" spans="1:39">
      <c r="A62" s="394">
        <v>33</v>
      </c>
      <c r="B62" s="396"/>
      <c r="C62" s="396" t="s">
        <v>69</v>
      </c>
      <c r="D62" s="396"/>
      <c r="E62" s="406">
        <f>'ADJ DETAIL-INPUT'!E61</f>
        <v>948067</v>
      </c>
      <c r="F62" s="406">
        <f>G62-E62</f>
        <v>14773</v>
      </c>
      <c r="G62" s="412">
        <f>'ADJ DETAIL-INPUT'!AC61</f>
        <v>962840</v>
      </c>
      <c r="H62" s="406">
        <f>I62-G62</f>
        <v>72173</v>
      </c>
      <c r="I62" s="1025">
        <f>'ADJ DETAIL-INPUT'!BH61</f>
        <v>1035013</v>
      </c>
      <c r="K62" s="746">
        <f>SUM(I62:J62)</f>
        <v>1035013</v>
      </c>
      <c r="L62" s="996">
        <f>T8</f>
        <v>3.4000000000000002E-2</v>
      </c>
      <c r="M62" s="401">
        <f t="shared" si="41"/>
        <v>35190.442000000003</v>
      </c>
      <c r="N62" s="401"/>
      <c r="O62" s="146"/>
      <c r="P62" s="972">
        <f>K62+M62+O62+N62</f>
        <v>1070203.442</v>
      </c>
      <c r="R62" s="995">
        <f t="shared" si="42"/>
        <v>35190.442000000039</v>
      </c>
      <c r="T62" s="50"/>
      <c r="U62" s="50"/>
      <c r="V62" s="50"/>
      <c r="W62" s="50"/>
      <c r="X62" s="50"/>
      <c r="Y62" s="50"/>
      <c r="Z62" s="50"/>
      <c r="AA62" s="50"/>
      <c r="AB62" s="50"/>
      <c r="AC62" s="50"/>
      <c r="AD62" s="50"/>
      <c r="AE62" s="50"/>
      <c r="AF62" s="99">
        <v>35347.046000000089</v>
      </c>
      <c r="AG62" s="99"/>
      <c r="AH62" s="99"/>
      <c r="AI62" s="99"/>
      <c r="AJ62" s="99"/>
      <c r="AK62" s="99">
        <v>24846.894099999918</v>
      </c>
      <c r="AL62" s="995">
        <v>21312.189500000095</v>
      </c>
      <c r="AM62" s="361">
        <v>25265</v>
      </c>
    </row>
    <row r="63" spans="1:39">
      <c r="A63" s="394">
        <v>34</v>
      </c>
      <c r="B63" s="396"/>
      <c r="C63" s="396" t="s">
        <v>70</v>
      </c>
      <c r="D63" s="396"/>
      <c r="E63" s="406">
        <f>'ADJ DETAIL-INPUT'!E62</f>
        <v>575635</v>
      </c>
      <c r="F63" s="406">
        <f>G63-E63</f>
        <v>32625</v>
      </c>
      <c r="G63" s="412">
        <f>'ADJ DETAIL-INPUT'!AC62</f>
        <v>608260</v>
      </c>
      <c r="H63" s="406">
        <f>I63-G63</f>
        <v>51363</v>
      </c>
      <c r="I63" s="1025">
        <f>'ADJ DETAIL-INPUT'!BH62</f>
        <v>659623</v>
      </c>
      <c r="K63" s="746">
        <f t="shared" ref="K63:K67" si="43">SUM(I63:J63)</f>
        <v>659623</v>
      </c>
      <c r="L63" s="996">
        <f>T9</f>
        <v>5.1999999999999998E-2</v>
      </c>
      <c r="M63" s="401">
        <f t="shared" si="41"/>
        <v>34300.396000000001</v>
      </c>
      <c r="N63" s="401"/>
      <c r="P63" s="972">
        <f t="shared" ref="P63:P65" si="44">K63+M63+O63+N63</f>
        <v>693923.39599999995</v>
      </c>
      <c r="R63" s="995">
        <f t="shared" si="42"/>
        <v>34300.39599999995</v>
      </c>
      <c r="T63" s="50"/>
      <c r="U63" s="50"/>
      <c r="V63" s="50"/>
      <c r="W63" s="50"/>
      <c r="X63" s="50"/>
      <c r="Y63" s="50"/>
      <c r="Z63" s="50"/>
      <c r="AA63" s="50"/>
      <c r="AB63" s="50"/>
      <c r="AC63" s="50"/>
      <c r="AD63" s="50"/>
      <c r="AE63" s="50"/>
      <c r="AF63" s="99">
        <v>34300.39599999995</v>
      </c>
      <c r="AG63" s="99"/>
      <c r="AH63" s="99"/>
      <c r="AI63" s="99"/>
      <c r="AJ63" s="99"/>
      <c r="AK63" s="99">
        <v>26384.920000000042</v>
      </c>
      <c r="AL63" s="995">
        <v>36477.151900000055</v>
      </c>
      <c r="AM63" s="361">
        <v>30144</v>
      </c>
    </row>
    <row r="64" spans="1:39">
      <c r="A64" s="394">
        <v>35</v>
      </c>
      <c r="B64" s="396"/>
      <c r="C64" s="396" t="s">
        <v>52</v>
      </c>
      <c r="D64" s="396"/>
      <c r="E64" s="406">
        <f>'ADJ DETAIL-INPUT'!E63</f>
        <v>1327782</v>
      </c>
      <c r="F64" s="406">
        <f>G64-E64</f>
        <v>29355</v>
      </c>
      <c r="G64" s="412">
        <f>'ADJ DETAIL-INPUT'!AC63</f>
        <v>1357137</v>
      </c>
      <c r="H64" s="406">
        <f>I64-G64</f>
        <v>138184</v>
      </c>
      <c r="I64" s="1025">
        <f>'ADJ DETAIL-INPUT'!BH63</f>
        <v>1495321</v>
      </c>
      <c r="K64" s="746">
        <f t="shared" si="43"/>
        <v>1495321</v>
      </c>
      <c r="L64" s="996">
        <f>T13</f>
        <v>4.7800000000000002E-2</v>
      </c>
      <c r="M64" s="401">
        <f t="shared" si="41"/>
        <v>71476.343800000002</v>
      </c>
      <c r="N64" s="401"/>
      <c r="P64" s="972">
        <f t="shared" si="44"/>
        <v>1566797.3437999999</v>
      </c>
      <c r="R64" s="995">
        <f t="shared" si="42"/>
        <v>71476.343799999915</v>
      </c>
      <c r="T64" s="50"/>
      <c r="U64" s="50"/>
      <c r="V64" s="50"/>
      <c r="W64" s="50"/>
      <c r="X64" s="50"/>
      <c r="Y64" s="50"/>
      <c r="Z64" s="50"/>
      <c r="AA64" s="50"/>
      <c r="AB64" s="50"/>
      <c r="AC64" s="50"/>
      <c r="AD64" s="50"/>
      <c r="AE64" s="50"/>
      <c r="AF64" s="99">
        <v>71476.343799999915</v>
      </c>
      <c r="AG64" s="99"/>
      <c r="AH64" s="99"/>
      <c r="AI64" s="99"/>
      <c r="AJ64" s="99"/>
      <c r="AK64" s="99">
        <v>63551.142500000075</v>
      </c>
      <c r="AL64" s="995">
        <v>62354.885699999984</v>
      </c>
      <c r="AM64" s="361">
        <v>106021</v>
      </c>
    </row>
    <row r="65" spans="1:40">
      <c r="A65" s="394">
        <v>36</v>
      </c>
      <c r="B65" s="396"/>
      <c r="C65" s="396" t="s">
        <v>71</v>
      </c>
      <c r="D65" s="396"/>
      <c r="E65" s="413">
        <f>'ADJ DETAIL-INPUT'!E64</f>
        <v>294532</v>
      </c>
      <c r="F65" s="413">
        <f>G65-E65</f>
        <v>10592</v>
      </c>
      <c r="G65" s="413">
        <f>'ADJ DETAIL-INPUT'!AC64</f>
        <v>305124</v>
      </c>
      <c r="H65" s="413">
        <f>I65-G65</f>
        <v>22948</v>
      </c>
      <c r="I65" s="1022">
        <f>'ADJ DETAIL-INPUT'!BH64</f>
        <v>328072</v>
      </c>
      <c r="J65" s="784"/>
      <c r="K65" s="748">
        <f t="shared" si="43"/>
        <v>328072</v>
      </c>
      <c r="L65" s="996">
        <f>T14</f>
        <v>5.2600000000000001E-2</v>
      </c>
      <c r="M65" s="961">
        <f t="shared" si="41"/>
        <v>17256.587200000002</v>
      </c>
      <c r="N65" s="961"/>
      <c r="O65" s="30"/>
      <c r="P65" s="974">
        <f t="shared" si="44"/>
        <v>345328.58720000001</v>
      </c>
      <c r="R65" s="1010">
        <f t="shared" si="42"/>
        <v>17256.587200000009</v>
      </c>
      <c r="T65" s="50"/>
      <c r="U65" s="50"/>
      <c r="V65" s="50"/>
      <c r="W65" s="50"/>
      <c r="X65" s="50"/>
      <c r="Y65" s="50"/>
      <c r="Z65" s="50"/>
      <c r="AA65" s="50"/>
      <c r="AB65" s="50"/>
      <c r="AC65" s="50"/>
      <c r="AD65" s="50"/>
      <c r="AE65" s="50"/>
      <c r="AF65" s="106">
        <v>17256.587200000009</v>
      </c>
      <c r="AG65" s="106"/>
      <c r="AH65" s="106"/>
      <c r="AI65" s="106"/>
      <c r="AJ65" s="106"/>
      <c r="AK65" s="106">
        <v>18109.574399999983</v>
      </c>
      <c r="AL65" s="1010">
        <v>17256.587200000009</v>
      </c>
      <c r="AM65" s="784">
        <v>2489</v>
      </c>
    </row>
    <row r="66" spans="1:40">
      <c r="A66" s="394">
        <v>37</v>
      </c>
      <c r="B66" s="396"/>
      <c r="C66" s="396"/>
      <c r="D66" s="396" t="s">
        <v>72</v>
      </c>
      <c r="E66" s="406">
        <f>SUM(E61:E65)</f>
        <v>3376734</v>
      </c>
      <c r="F66" s="406">
        <f t="shared" ref="F66:N66" si="45">SUM(F61:F65)</f>
        <v>95037</v>
      </c>
      <c r="G66" s="406">
        <f t="shared" si="45"/>
        <v>3471771</v>
      </c>
      <c r="H66" s="406">
        <f t="shared" si="45"/>
        <v>288735</v>
      </c>
      <c r="I66" s="1021">
        <f t="shared" si="45"/>
        <v>3760506</v>
      </c>
      <c r="J66" s="361">
        <f t="shared" si="45"/>
        <v>0</v>
      </c>
      <c r="K66" s="988">
        <f t="shared" si="45"/>
        <v>3760506</v>
      </c>
      <c r="L66" s="997"/>
      <c r="M66" s="361">
        <f t="shared" si="45"/>
        <v>179464.75420000002</v>
      </c>
      <c r="N66" s="361">
        <f t="shared" si="45"/>
        <v>0</v>
      </c>
      <c r="O66" s="405">
        <f>SUM(O61:O65)</f>
        <v>0</v>
      </c>
      <c r="P66" s="979">
        <f>SUM(P61:P65)</f>
        <v>3939970.7541999999</v>
      </c>
      <c r="R66" s="995">
        <f>SUM(R61:R65)</f>
        <v>179464.75419999991</v>
      </c>
      <c r="T66" s="50"/>
      <c r="U66" s="50"/>
      <c r="V66" s="50"/>
      <c r="W66" s="50"/>
      <c r="X66" s="50"/>
      <c r="Y66" s="50"/>
      <c r="Z66" s="50"/>
      <c r="AA66" s="50"/>
      <c r="AB66" s="50"/>
      <c r="AC66" s="50"/>
      <c r="AD66" s="50"/>
      <c r="AE66" s="50"/>
      <c r="AF66" s="248">
        <f>SUM(AF61:AF65)</f>
        <v>179621.35819999996</v>
      </c>
      <c r="AG66" s="248"/>
      <c r="AH66" s="248"/>
      <c r="AI66" s="248"/>
      <c r="AJ66" s="248"/>
      <c r="AK66" s="248">
        <f>SUM(AK61:AK65)</f>
        <v>149768.9302</v>
      </c>
      <c r="AL66" s="248">
        <f>SUM(AL61:AL65)</f>
        <v>157162.68980000017</v>
      </c>
      <c r="AM66" s="248">
        <f>SUM(AM61:AM65)</f>
        <v>163773</v>
      </c>
    </row>
    <row r="67" spans="1:40">
      <c r="A67" s="397"/>
      <c r="B67" s="396" t="s">
        <v>218</v>
      </c>
      <c r="C67" s="396"/>
      <c r="D67" s="396"/>
      <c r="E67" s="406"/>
      <c r="F67" s="406"/>
      <c r="G67" s="406"/>
      <c r="H67" s="406"/>
      <c r="I67" s="1021"/>
      <c r="K67" s="746">
        <f t="shared" si="43"/>
        <v>0</v>
      </c>
      <c r="L67" s="998"/>
      <c r="P67" s="972">
        <f>SUM(K67:L67)</f>
        <v>0</v>
      </c>
      <c r="R67" s="995"/>
      <c r="T67" s="50"/>
      <c r="U67" s="50"/>
      <c r="V67" s="50"/>
      <c r="W67" s="50"/>
      <c r="X67" s="50"/>
      <c r="Y67" s="50"/>
      <c r="Z67" s="50"/>
      <c r="AA67" s="50"/>
      <c r="AB67" s="50"/>
      <c r="AC67" s="50"/>
      <c r="AD67" s="50"/>
      <c r="AE67" s="50"/>
      <c r="AF67" s="248"/>
      <c r="AG67" s="248"/>
      <c r="AH67" s="248"/>
      <c r="AI67" s="248"/>
      <c r="AJ67" s="248"/>
    </row>
    <row r="68" spans="1:40">
      <c r="A68" s="397">
        <v>38</v>
      </c>
      <c r="B68" s="396"/>
      <c r="C68" s="395" t="s">
        <v>213</v>
      </c>
      <c r="D68" s="396"/>
      <c r="E68" s="406">
        <f>'ADJ DETAIL-INPUT'!E67</f>
        <v>-84845</v>
      </c>
      <c r="F68" s="406">
        <f>G68-E68</f>
        <v>-7817</v>
      </c>
      <c r="G68" s="412">
        <f>'ADJ DETAIL-INPUT'!AC67</f>
        <v>-92662</v>
      </c>
      <c r="H68" s="406">
        <f>I68-G68</f>
        <v>-38241.52452415468</v>
      </c>
      <c r="I68" s="1025">
        <f>'ADJ DETAIL-INPUT'!BH67</f>
        <v>-130903.52452415468</v>
      </c>
      <c r="J68" s="361">
        <v>0</v>
      </c>
      <c r="K68" s="746">
        <f t="shared" ref="K68:K79" si="46">SUM(I68:J68)</f>
        <v>-130903.52452415468</v>
      </c>
      <c r="L68" s="996">
        <f>T15</f>
        <v>0.1202</v>
      </c>
      <c r="M68" s="401">
        <f t="shared" ref="M68:M72" si="47">K68*L68</f>
        <v>-15734.603647803393</v>
      </c>
      <c r="N68" s="401"/>
      <c r="P68" s="972">
        <f t="shared" ref="P68:P72" si="48">K68+M68+O68+N68</f>
        <v>-146638.12817195809</v>
      </c>
      <c r="R68" s="995">
        <f>P68-I68</f>
        <v>-15734.603647803408</v>
      </c>
      <c r="T68" s="50"/>
      <c r="U68" s="50"/>
      <c r="V68" s="50"/>
      <c r="W68" s="50"/>
      <c r="X68" s="50"/>
      <c r="Y68" s="50"/>
      <c r="Z68" s="50"/>
      <c r="AA68" s="50"/>
      <c r="AB68" s="50"/>
      <c r="AC68" s="50"/>
      <c r="AD68" s="50"/>
      <c r="AE68" s="50"/>
      <c r="AF68" s="248">
        <v>-15734.603647803408</v>
      </c>
      <c r="AG68" s="248"/>
      <c r="AH68" s="248"/>
      <c r="AI68" s="248"/>
      <c r="AJ68" s="248"/>
      <c r="AK68" s="995">
        <v>-9189.4274215956539</v>
      </c>
      <c r="AL68" s="995">
        <v>-21363.455202342055</v>
      </c>
      <c r="AM68" s="361">
        <v>-6532.6830161031248</v>
      </c>
    </row>
    <row r="69" spans="1:40">
      <c r="A69" s="397">
        <v>39</v>
      </c>
      <c r="B69" s="396"/>
      <c r="C69" s="396" t="s">
        <v>214</v>
      </c>
      <c r="D69" s="396"/>
      <c r="E69" s="406">
        <f>'ADJ DETAIL-INPUT'!E68</f>
        <v>-423739</v>
      </c>
      <c r="F69" s="406">
        <f>G69-E69</f>
        <v>-14429</v>
      </c>
      <c r="G69" s="412">
        <f>'ADJ DETAIL-INPUT'!AC68</f>
        <v>-438168</v>
      </c>
      <c r="H69" s="406">
        <f>I69-G69</f>
        <v>-44705.558502594416</v>
      </c>
      <c r="I69" s="1025">
        <f>'ADJ DETAIL-INPUT'!BH68</f>
        <v>-482873.55850259442</v>
      </c>
      <c r="K69" s="746">
        <f t="shared" si="46"/>
        <v>-482873.55850259442</v>
      </c>
      <c r="L69" s="996">
        <f>T16</f>
        <v>3.2000000000000001E-2</v>
      </c>
      <c r="M69" s="401">
        <f t="shared" si="47"/>
        <v>-15451.953872083022</v>
      </c>
      <c r="N69" s="401"/>
      <c r="P69" s="972">
        <f t="shared" si="48"/>
        <v>-498325.51237467746</v>
      </c>
      <c r="R69" s="995">
        <f t="shared" ref="R69:R72" si="49">P69-I69</f>
        <v>-15451.953872083046</v>
      </c>
      <c r="T69" s="50"/>
      <c r="U69" s="50"/>
      <c r="V69" s="50"/>
      <c r="W69" s="50"/>
      <c r="X69" s="50"/>
      <c r="Y69" s="50"/>
      <c r="Z69" s="50"/>
      <c r="AA69" s="50"/>
      <c r="AB69" s="50"/>
      <c r="AC69" s="50"/>
      <c r="AD69" s="50"/>
      <c r="AE69" s="50"/>
      <c r="AF69" s="248">
        <v>-15502.449872083031</v>
      </c>
      <c r="AG69" s="248"/>
      <c r="AH69" s="248"/>
      <c r="AI69" s="248"/>
      <c r="AJ69" s="248"/>
      <c r="AK69" s="995">
        <v>-15938.456274735334</v>
      </c>
      <c r="AL69" s="995">
        <v>-20298.520301258715</v>
      </c>
      <c r="AM69" s="361">
        <v>-32204.372335062944</v>
      </c>
    </row>
    <row r="70" spans="1:40">
      <c r="A70" s="397">
        <v>40</v>
      </c>
      <c r="B70" s="396"/>
      <c r="C70" s="396" t="s">
        <v>215</v>
      </c>
      <c r="D70" s="396"/>
      <c r="E70" s="406">
        <f>'ADJ DETAIL-INPUT'!E69</f>
        <v>-158761</v>
      </c>
      <c r="F70" s="406">
        <f>G70-E70</f>
        <v>-751</v>
      </c>
      <c r="G70" s="412">
        <f>'ADJ DETAIL-INPUT'!AC69</f>
        <v>-159512</v>
      </c>
      <c r="H70" s="406">
        <f>I70-G70</f>
        <v>-18460.310108667763</v>
      </c>
      <c r="I70" s="1025">
        <f>'ADJ DETAIL-INPUT'!BH69</f>
        <v>-177972.31010866776</v>
      </c>
      <c r="K70" s="747">
        <f t="shared" si="46"/>
        <v>-177972.31010866776</v>
      </c>
      <c r="L70" s="996">
        <f>T17</f>
        <v>3.2599999999999997E-2</v>
      </c>
      <c r="M70" s="401">
        <f t="shared" si="47"/>
        <v>-5801.8973095425681</v>
      </c>
      <c r="N70" s="401"/>
      <c r="P70" s="972">
        <f t="shared" si="48"/>
        <v>-183774.20741821034</v>
      </c>
      <c r="R70" s="995">
        <f t="shared" si="49"/>
        <v>-5801.8973095425754</v>
      </c>
      <c r="T70" s="50"/>
      <c r="U70" s="50"/>
      <c r="V70" s="50"/>
      <c r="W70" s="50"/>
      <c r="X70" s="50"/>
      <c r="Y70" s="50"/>
      <c r="Z70" s="50"/>
      <c r="AA70" s="50"/>
      <c r="AB70" s="50"/>
      <c r="AC70" s="50"/>
      <c r="AD70" s="50"/>
      <c r="AE70" s="50"/>
      <c r="AF70" s="248">
        <v>-5801.8973095425754</v>
      </c>
      <c r="AG70" s="248"/>
      <c r="AH70" s="248"/>
      <c r="AI70" s="248"/>
      <c r="AJ70" s="248"/>
      <c r="AK70" s="995">
        <v>-5677.3166924664984</v>
      </c>
      <c r="AL70" s="995">
        <v>-6584.975474020699</v>
      </c>
      <c r="AM70" s="361">
        <v>-11362.673231410939</v>
      </c>
    </row>
    <row r="71" spans="1:40">
      <c r="A71" s="397">
        <v>41</v>
      </c>
      <c r="B71" s="396"/>
      <c r="C71" s="396" t="s">
        <v>199</v>
      </c>
      <c r="D71" s="396"/>
      <c r="E71" s="406">
        <f>'ADJ DETAIL-INPUT'!E70</f>
        <v>-384189</v>
      </c>
      <c r="F71" s="406">
        <f>G71-E71</f>
        <v>-15212</v>
      </c>
      <c r="G71" s="412">
        <f>'ADJ DETAIL-INPUT'!AC70</f>
        <v>-399401</v>
      </c>
      <c r="H71" s="406">
        <f>I71-G71</f>
        <v>-53166.558282826212</v>
      </c>
      <c r="I71" s="1025">
        <f>'ADJ DETAIL-INPUT'!BH70</f>
        <v>-452567.55828282621</v>
      </c>
      <c r="K71" s="746">
        <f t="shared" si="46"/>
        <v>-452567.55828282621</v>
      </c>
      <c r="L71" s="996">
        <f>T18</f>
        <v>4.7300000000000002E-2</v>
      </c>
      <c r="M71" s="401">
        <f t="shared" si="47"/>
        <v>-21406.44550677768</v>
      </c>
      <c r="N71" s="401"/>
      <c r="P71" s="972">
        <f t="shared" si="48"/>
        <v>-473974.00378960388</v>
      </c>
      <c r="R71" s="995">
        <f t="shared" si="49"/>
        <v>-21406.445506777673</v>
      </c>
      <c r="T71" s="50"/>
      <c r="U71" s="50"/>
      <c r="V71" s="50"/>
      <c r="W71" s="50"/>
      <c r="X71" s="50"/>
      <c r="Y71" s="50"/>
      <c r="Z71" s="50"/>
      <c r="AA71" s="50"/>
      <c r="AB71" s="50"/>
      <c r="AC71" s="50"/>
      <c r="AD71" s="50"/>
      <c r="AE71" s="50"/>
      <c r="AF71" s="248">
        <v>-21406.445506777673</v>
      </c>
      <c r="AG71" s="248"/>
      <c r="AH71" s="248"/>
      <c r="AI71" s="248"/>
      <c r="AJ71" s="248"/>
      <c r="AK71" s="995">
        <v>-18781.553668737295</v>
      </c>
      <c r="AL71" s="995">
        <v>-16609.229388979729</v>
      </c>
      <c r="AM71" s="361">
        <v>-31350.372188550828</v>
      </c>
    </row>
    <row r="72" spans="1:40">
      <c r="A72" s="397">
        <v>42</v>
      </c>
      <c r="B72" s="396"/>
      <c r="C72" s="396" t="s">
        <v>216</v>
      </c>
      <c r="D72" s="396"/>
      <c r="E72" s="406">
        <f>'ADJ DETAIL-INPUT'!E71</f>
        <v>-99285</v>
      </c>
      <c r="F72" s="413">
        <f>G72-E72</f>
        <v>-5762</v>
      </c>
      <c r="G72" s="412">
        <f>'ADJ DETAIL-INPUT'!AC71</f>
        <v>-105047</v>
      </c>
      <c r="H72" s="413">
        <f>I72-G72</f>
        <v>-12759.371250916491</v>
      </c>
      <c r="I72" s="1025">
        <f>'ADJ DETAIL-INPUT'!BH71</f>
        <v>-117806.37125091649</v>
      </c>
      <c r="K72" s="746">
        <f t="shared" si="46"/>
        <v>-117806.37125091649</v>
      </c>
      <c r="L72" s="996">
        <f>T19</f>
        <v>5.1999999999999998E-2</v>
      </c>
      <c r="M72" s="961">
        <f t="shared" si="47"/>
        <v>-6125.9313050476576</v>
      </c>
      <c r="N72" s="401"/>
      <c r="P72" s="974">
        <f t="shared" si="48"/>
        <v>-123932.30255596415</v>
      </c>
      <c r="R72" s="1010">
        <f t="shared" si="49"/>
        <v>-6125.931305047663</v>
      </c>
      <c r="T72" s="50"/>
      <c r="U72" s="50"/>
      <c r="V72" s="50"/>
      <c r="W72" s="50"/>
      <c r="X72" s="50"/>
      <c r="Y72" s="50"/>
      <c r="Z72" s="50"/>
      <c r="AA72" s="50"/>
      <c r="AB72" s="50"/>
      <c r="AC72" s="50"/>
      <c r="AD72" s="50"/>
      <c r="AE72" s="50"/>
      <c r="AF72" s="1083">
        <v>-6125.931305047663</v>
      </c>
      <c r="AG72" s="1083"/>
      <c r="AH72" s="1083"/>
      <c r="AI72" s="1083"/>
      <c r="AJ72" s="1083"/>
      <c r="AK72" s="1010">
        <v>-5572.2413601683511</v>
      </c>
      <c r="AL72" s="1010">
        <v>-4182.1261794075399</v>
      </c>
      <c r="AM72" s="784">
        <v>557.41916605566803</v>
      </c>
    </row>
    <row r="73" spans="1:40">
      <c r="A73" s="397">
        <v>43</v>
      </c>
      <c r="B73" s="396" t="s">
        <v>262</v>
      </c>
      <c r="C73" s="396"/>
      <c r="D73" s="396"/>
      <c r="E73" s="420">
        <f>SUM(E68:E72)</f>
        <v>-1150819</v>
      </c>
      <c r="F73" s="420">
        <f t="shared" ref="F73" si="50">SUM(F68:F72)</f>
        <v>-43971</v>
      </c>
      <c r="G73" s="420">
        <f>SUM(G68:G72)</f>
        <v>-1194790</v>
      </c>
      <c r="H73" s="420">
        <f t="shared" ref="H73" si="51">SUM(H68:H72)</f>
        <v>-167333.32266915956</v>
      </c>
      <c r="I73" s="1028">
        <f>SUM(I68:I72)</f>
        <v>-1362123.3226691594</v>
      </c>
      <c r="J73" s="967">
        <f>SUM(J68:J72)</f>
        <v>0</v>
      </c>
      <c r="K73" s="991">
        <f>SUM(K68:K72)</f>
        <v>-1362123.3226691594</v>
      </c>
      <c r="L73" s="997"/>
      <c r="M73" s="787">
        <f t="shared" ref="M73" si="52">SUM(M68:M72)</f>
        <v>-64520.831641254321</v>
      </c>
      <c r="N73" s="787">
        <f t="shared" ref="N73" si="53">SUM(N68:N72)</f>
        <v>0</v>
      </c>
      <c r="O73" s="787">
        <f t="shared" ref="O73" si="54">SUM(O68:O72)</f>
        <v>0</v>
      </c>
      <c r="P73" s="978">
        <f>SUM(P68:P72)</f>
        <v>-1426644.1543104139</v>
      </c>
      <c r="R73" s="1013">
        <f>SUM(R68:R72)</f>
        <v>-64520.831641254365</v>
      </c>
      <c r="T73" s="50"/>
      <c r="U73" s="50"/>
      <c r="V73" s="50"/>
      <c r="W73" s="50"/>
      <c r="X73" s="50"/>
      <c r="Y73" s="50"/>
      <c r="Z73" s="50"/>
      <c r="AA73" s="50"/>
      <c r="AB73" s="50"/>
      <c r="AC73" s="50"/>
      <c r="AD73" s="50"/>
      <c r="AE73" s="50"/>
      <c r="AF73" s="248">
        <f>SUM(AF68:AF72)</f>
        <v>-64571.327641254349</v>
      </c>
      <c r="AG73" s="248"/>
      <c r="AH73" s="248"/>
      <c r="AI73" s="248"/>
      <c r="AJ73" s="248"/>
      <c r="AK73" s="248">
        <f>SUM(AK68:AK72)</f>
        <v>-55158.995417703132</v>
      </c>
      <c r="AL73" s="248">
        <f>SUM(AL68:AL72)</f>
        <v>-69038.306546008738</v>
      </c>
      <c r="AM73" s="248">
        <f>SUM(AM68:AM72)</f>
        <v>-80892.681605072168</v>
      </c>
    </row>
    <row r="74" spans="1:40">
      <c r="A74" s="397">
        <v>44</v>
      </c>
      <c r="B74" s="396" t="s">
        <v>544</v>
      </c>
      <c r="C74" s="396"/>
      <c r="D74" s="395"/>
      <c r="E74" s="412">
        <f>E66+E73</f>
        <v>2225915</v>
      </c>
      <c r="F74" s="412">
        <f t="shared" ref="F74:H74" si="55">F66+F73</f>
        <v>51066</v>
      </c>
      <c r="G74" s="412">
        <f t="shared" si="55"/>
        <v>2276981</v>
      </c>
      <c r="H74" s="412">
        <f t="shared" si="55"/>
        <v>121401.67733084044</v>
      </c>
      <c r="I74" s="1025">
        <f>I66+I73</f>
        <v>2398382.6773308404</v>
      </c>
      <c r="J74" s="954">
        <f>J66+J73</f>
        <v>0</v>
      </c>
      <c r="K74" s="988">
        <f t="shared" ref="K74:O74" si="56">K66+K73</f>
        <v>2398382.6773308404</v>
      </c>
      <c r="L74" s="997"/>
      <c r="M74" s="416">
        <f t="shared" si="56"/>
        <v>114943.9225587457</v>
      </c>
      <c r="N74" s="416">
        <f t="shared" si="56"/>
        <v>0</v>
      </c>
      <c r="O74" s="416">
        <f t="shared" si="56"/>
        <v>0</v>
      </c>
      <c r="P74" s="975">
        <f>P66+P73</f>
        <v>2513326.5998895857</v>
      </c>
      <c r="R74" s="995">
        <f>R66+R73</f>
        <v>114943.92255874554</v>
      </c>
      <c r="T74" s="50"/>
      <c r="U74" s="50"/>
      <c r="V74" s="50"/>
      <c r="W74" s="50"/>
      <c r="X74" s="50"/>
      <c r="Y74" s="50"/>
      <c r="Z74" s="50"/>
      <c r="AA74" s="50"/>
      <c r="AB74" s="50"/>
      <c r="AC74" s="50"/>
      <c r="AD74" s="50"/>
      <c r="AE74" s="50"/>
      <c r="AF74" s="248">
        <f>AF66+AF73</f>
        <v>115050.03055874561</v>
      </c>
      <c r="AG74" s="248"/>
      <c r="AH74" s="248"/>
      <c r="AI74" s="248"/>
      <c r="AJ74" s="248"/>
      <c r="AK74" s="248">
        <f>AK66+AK73</f>
        <v>94609.93478229687</v>
      </c>
      <c r="AL74" s="248">
        <f>AL66+AL73</f>
        <v>88124.383253991429</v>
      </c>
      <c r="AM74" s="248">
        <f>AM66+AM73</f>
        <v>82880.318394927832</v>
      </c>
    </row>
    <row r="75" spans="1:40" ht="5.25" customHeight="1">
      <c r="A75" s="397"/>
      <c r="B75" s="396"/>
      <c r="C75" s="396"/>
      <c r="E75" s="1049"/>
      <c r="F75" s="1049"/>
      <c r="G75" s="1049"/>
      <c r="H75" s="1049"/>
      <c r="I75" s="1029"/>
      <c r="K75" s="750"/>
      <c r="L75" s="998"/>
      <c r="P75" s="972"/>
      <c r="R75" s="995"/>
      <c r="T75" s="50"/>
      <c r="U75" s="50"/>
      <c r="V75" s="50"/>
      <c r="W75" s="50"/>
      <c r="X75" s="50"/>
      <c r="Y75" s="50"/>
      <c r="Z75" s="50"/>
      <c r="AA75" s="50"/>
      <c r="AB75" s="50"/>
      <c r="AC75" s="50"/>
      <c r="AD75" s="50"/>
      <c r="AE75" s="50"/>
      <c r="AF75" s="248"/>
      <c r="AG75" s="248"/>
      <c r="AH75" s="248"/>
      <c r="AI75" s="248"/>
      <c r="AJ75" s="248"/>
    </row>
    <row r="76" spans="1:40">
      <c r="A76" s="398">
        <v>45</v>
      </c>
      <c r="B76" s="396" t="s">
        <v>219</v>
      </c>
      <c r="C76" s="396"/>
      <c r="D76" s="396"/>
      <c r="E76" s="413">
        <f>'ADJ DETAIL-INPUT'!E75</f>
        <v>-428637</v>
      </c>
      <c r="F76" s="413">
        <f>G76-E76</f>
        <v>22443</v>
      </c>
      <c r="G76" s="413">
        <f>'ADJ DETAIL-INPUT'!AC75</f>
        <v>-406194</v>
      </c>
      <c r="H76" s="413">
        <f>I76-G76</f>
        <v>-8133</v>
      </c>
      <c r="I76" s="1022">
        <f>'ADJ DETAIL-INPUT'!BH75</f>
        <v>-414327</v>
      </c>
      <c r="J76" s="784"/>
      <c r="K76" s="748">
        <f t="shared" si="46"/>
        <v>-414327</v>
      </c>
      <c r="L76" s="996">
        <f>T20</f>
        <v>6.3500000000000001E-2</v>
      </c>
      <c r="M76" s="961">
        <f t="shared" ref="M76" si="57">K76*L76</f>
        <v>-26309.764500000001</v>
      </c>
      <c r="N76" s="961"/>
      <c r="O76" s="30"/>
      <c r="P76" s="974">
        <f>K76+M76+O76+N76</f>
        <v>-440636.76449999999</v>
      </c>
      <c r="R76" s="1010">
        <f>P76-K76</f>
        <v>-26309.76449999999</v>
      </c>
      <c r="T76" s="50"/>
      <c r="U76" s="50"/>
      <c r="V76" s="50"/>
      <c r="W76" s="50"/>
      <c r="X76" s="50"/>
      <c r="Y76" s="50"/>
      <c r="Z76" s="50"/>
      <c r="AA76" s="50"/>
      <c r="AB76" s="50"/>
      <c r="AC76" s="50"/>
      <c r="AD76" s="50"/>
      <c r="AE76" s="50"/>
      <c r="AF76" s="1010">
        <v>-26305.192500000005</v>
      </c>
      <c r="AG76" s="1010"/>
      <c r="AH76" s="1010"/>
      <c r="AI76" s="1010"/>
      <c r="AJ76" s="1010"/>
      <c r="AK76" s="1010">
        <v>-21209.856000000029</v>
      </c>
      <c r="AL76" s="1010">
        <v>-6503.80349999998</v>
      </c>
      <c r="AM76" s="784">
        <v>-2374</v>
      </c>
    </row>
    <row r="77" spans="1:40">
      <c r="A77" s="398">
        <v>46</v>
      </c>
      <c r="B77" s="396"/>
      <c r="C77" s="396" t="s">
        <v>543</v>
      </c>
      <c r="D77" s="396"/>
      <c r="E77" s="412">
        <f>SUM(E74:E76)</f>
        <v>1797278</v>
      </c>
      <c r="F77" s="412">
        <f t="shared" ref="F77" si="58">SUM(F74:F76)</f>
        <v>73509</v>
      </c>
      <c r="G77" s="412">
        <f>SUM(G74:G76)</f>
        <v>1870787</v>
      </c>
      <c r="H77" s="412">
        <f t="shared" ref="H77" si="59">SUM(H74:H76)</f>
        <v>113268.67733084044</v>
      </c>
      <c r="I77" s="1025">
        <f>SUM(I74:I76)</f>
        <v>1984055.6773308404</v>
      </c>
      <c r="J77" s="954">
        <f>SUM(J74:J76)</f>
        <v>0</v>
      </c>
      <c r="K77" s="988">
        <f>SUM(K74:K76)</f>
        <v>1984055.6773308404</v>
      </c>
      <c r="L77" s="997"/>
      <c r="M77" s="954">
        <f>SUM(M74:M76)</f>
        <v>88634.158058745699</v>
      </c>
      <c r="N77" s="954">
        <f>SUM(N74:N76)</f>
        <v>0</v>
      </c>
      <c r="O77" s="954">
        <f>SUM(O74:O76)</f>
        <v>0</v>
      </c>
      <c r="P77" s="975">
        <f>SUM(P74:P76)</f>
        <v>2072689.8353895857</v>
      </c>
      <c r="R77" s="995">
        <f>SUM(R74:R76)</f>
        <v>88634.158058745554</v>
      </c>
      <c r="T77" s="50"/>
      <c r="U77" s="50"/>
      <c r="V77" s="50"/>
      <c r="W77" s="50"/>
      <c r="X77" s="50"/>
      <c r="Y77" s="50"/>
      <c r="Z77" s="50"/>
      <c r="AA77" s="50"/>
      <c r="AB77" s="50"/>
      <c r="AC77" s="50"/>
      <c r="AD77" s="50"/>
      <c r="AE77" s="50"/>
      <c r="AF77" s="248">
        <f>AF74+AF76</f>
        <v>88744.838058745605</v>
      </c>
      <c r="AG77" s="248"/>
      <c r="AH77" s="248"/>
      <c r="AI77" s="248"/>
      <c r="AJ77" s="248"/>
      <c r="AK77" s="248">
        <f>AK74+AK76</f>
        <v>73400.078782296841</v>
      </c>
      <c r="AL77" s="248">
        <f>AL74+AL76</f>
        <v>81620.579753991449</v>
      </c>
      <c r="AM77" s="248">
        <f>AM74+AM76</f>
        <v>80506.318394927832</v>
      </c>
    </row>
    <row r="78" spans="1:40">
      <c r="A78" s="397">
        <v>47</v>
      </c>
      <c r="B78" s="396" t="s">
        <v>264</v>
      </c>
      <c r="C78" s="396"/>
      <c r="E78" s="406">
        <f>'ADJ DETAIL-INPUT'!E77</f>
        <v>-24217</v>
      </c>
      <c r="F78" s="406">
        <f>G78-E78</f>
        <v>-24883</v>
      </c>
      <c r="G78" s="412">
        <f>'ADJ DETAIL-INPUT'!AC77</f>
        <v>-49100</v>
      </c>
      <c r="H78" s="406">
        <f>I78-G78</f>
        <v>56489</v>
      </c>
      <c r="I78" s="1025">
        <f>'ADJ DETAIL-INPUT'!BH77</f>
        <v>7389</v>
      </c>
      <c r="J78" s="954"/>
      <c r="K78" s="746">
        <f t="shared" si="46"/>
        <v>7389</v>
      </c>
      <c r="L78" s="996"/>
      <c r="M78" s="401"/>
      <c r="N78" s="401"/>
      <c r="P78" s="972">
        <f>K78+M78+O78+N78</f>
        <v>7389</v>
      </c>
      <c r="R78" s="995">
        <f t="shared" ref="R78:R79" si="60">P78-I78</f>
        <v>0</v>
      </c>
      <c r="T78" s="50"/>
      <c r="U78" s="50"/>
      <c r="V78" s="50"/>
      <c r="W78" s="50"/>
      <c r="X78" s="50"/>
      <c r="Y78" s="50"/>
      <c r="Z78" s="50"/>
      <c r="AA78" s="50"/>
      <c r="AB78" s="50"/>
      <c r="AC78" s="50"/>
      <c r="AD78" s="50"/>
      <c r="AE78" s="50"/>
      <c r="AF78" s="248"/>
      <c r="AG78" s="248"/>
      <c r="AH78" s="248"/>
      <c r="AI78" s="248"/>
      <c r="AJ78" s="248"/>
    </row>
    <row r="79" spans="1:40">
      <c r="A79" s="397">
        <v>48</v>
      </c>
      <c r="B79" s="396" t="s">
        <v>252</v>
      </c>
      <c r="C79" s="396"/>
      <c r="E79" s="413">
        <f>'ADJ DETAIL-INPUT'!E78</f>
        <v>51595</v>
      </c>
      <c r="F79" s="413">
        <f>G79-E79</f>
        <v>-295</v>
      </c>
      <c r="G79" s="413">
        <f>'ADJ DETAIL-INPUT'!AC78</f>
        <v>51300</v>
      </c>
      <c r="H79" s="413">
        <f>I79-G79</f>
        <v>0</v>
      </c>
      <c r="I79" s="1022">
        <f>'ADJ DETAIL-INPUT'!BH78</f>
        <v>51300</v>
      </c>
      <c r="J79" s="784"/>
      <c r="K79" s="746">
        <f t="shared" si="46"/>
        <v>51300</v>
      </c>
      <c r="L79" s="996"/>
      <c r="M79" s="961"/>
      <c r="N79" s="961"/>
      <c r="O79" s="30"/>
      <c r="P79" s="974">
        <f>K79+M79+O79+N79</f>
        <v>51300</v>
      </c>
      <c r="R79" s="1010">
        <f t="shared" si="60"/>
        <v>0</v>
      </c>
      <c r="T79" s="50"/>
      <c r="U79" s="50"/>
      <c r="V79" s="50"/>
      <c r="W79" s="50"/>
      <c r="X79" s="50"/>
      <c r="Y79" s="50"/>
      <c r="Z79" s="50"/>
      <c r="AA79" s="50"/>
      <c r="AB79" s="50"/>
      <c r="AC79" s="50"/>
      <c r="AD79" s="50"/>
      <c r="AE79" s="50"/>
      <c r="AF79" s="248"/>
      <c r="AG79" s="248"/>
      <c r="AH79" s="248"/>
      <c r="AI79" s="248"/>
      <c r="AJ79" s="248"/>
      <c r="AM79" s="248">
        <f>AF77-AM77</f>
        <v>8238.5196638177731</v>
      </c>
      <c r="AN79" s="138">
        <f>AM79*'RR Summary'!E14/'RR Summary'!E22</f>
        <v>766.81124484821726</v>
      </c>
    </row>
    <row r="80" spans="1:40" ht="2.25" customHeight="1">
      <c r="A80" s="398">
        <v>49</v>
      </c>
      <c r="B80" s="396"/>
      <c r="C80" s="396"/>
      <c r="D80" s="396"/>
      <c r="I80" s="1019"/>
      <c r="J80" s="954"/>
      <c r="K80" s="748">
        <f>SUM(I80:J80)</f>
        <v>0</v>
      </c>
      <c r="L80" s="998"/>
      <c r="P80" s="974">
        <f>SUM(K80:L80)</f>
        <v>0</v>
      </c>
      <c r="R80" s="995"/>
      <c r="T80" s="50"/>
      <c r="U80" s="50"/>
      <c r="V80" s="50"/>
      <c r="W80" s="50"/>
      <c r="X80" s="50"/>
      <c r="Y80" s="50"/>
      <c r="Z80" s="50"/>
      <c r="AA80" s="50"/>
      <c r="AB80" s="50"/>
      <c r="AC80" s="50"/>
      <c r="AD80" s="50"/>
      <c r="AE80" s="50"/>
      <c r="AF80" s="248"/>
      <c r="AG80" s="248"/>
      <c r="AH80" s="248"/>
      <c r="AI80" s="248"/>
      <c r="AJ80" s="248"/>
    </row>
    <row r="81" spans="1:36" ht="13.5" thickBot="1">
      <c r="A81" s="394">
        <v>50</v>
      </c>
      <c r="B81" s="395" t="s">
        <v>220</v>
      </c>
      <c r="C81" s="395"/>
      <c r="D81" s="395"/>
      <c r="E81" s="1050">
        <f>SUM(E77:E79)</f>
        <v>1824656</v>
      </c>
      <c r="F81" s="1050">
        <f t="shared" ref="F81:O81" si="61">SUM(F77:F79)</f>
        <v>48331</v>
      </c>
      <c r="G81" s="1050">
        <f t="shared" si="61"/>
        <v>1872987</v>
      </c>
      <c r="H81" s="1050">
        <f t="shared" si="61"/>
        <v>169757.67733084044</v>
      </c>
      <c r="I81" s="1030">
        <f>SUM(I77:I79)</f>
        <v>2042744.6773308404</v>
      </c>
      <c r="J81" s="955">
        <f>SUM(J77:J79)</f>
        <v>0</v>
      </c>
      <c r="K81" s="992">
        <f t="shared" si="61"/>
        <v>2042744.6773308404</v>
      </c>
      <c r="L81" s="999"/>
      <c r="M81" s="955">
        <f>SUM(M77:M79)</f>
        <v>88634.158058745699</v>
      </c>
      <c r="N81" s="944">
        <f t="shared" si="61"/>
        <v>0</v>
      </c>
      <c r="O81" s="955">
        <f t="shared" si="61"/>
        <v>0</v>
      </c>
      <c r="P81" s="980">
        <f>SUM(P77:P79)</f>
        <v>2131378.8353895857</v>
      </c>
      <c r="R81" s="1014">
        <f>SUM(R77:R79)</f>
        <v>88634.158058745554</v>
      </c>
      <c r="T81" s="50"/>
      <c r="U81" s="50"/>
      <c r="V81" s="50"/>
      <c r="W81" s="50"/>
      <c r="X81" s="50"/>
      <c r="Y81" s="50"/>
      <c r="Z81" s="50"/>
      <c r="AA81" s="50"/>
      <c r="AB81" s="50"/>
      <c r="AC81" s="50"/>
      <c r="AD81" s="50"/>
      <c r="AE81" s="50"/>
      <c r="AF81" s="248"/>
      <c r="AG81" s="248"/>
      <c r="AH81" s="248"/>
      <c r="AI81" s="248"/>
      <c r="AJ81" s="248"/>
    </row>
    <row r="82" spans="1:36" ht="13.5" thickTop="1">
      <c r="A82" s="394">
        <v>51</v>
      </c>
      <c r="B82" s="381" t="s">
        <v>614</v>
      </c>
      <c r="E82" s="400">
        <f>ROUND(E57/E81,4)</f>
        <v>5.8400000000000001E-2</v>
      </c>
      <c r="F82" s="400"/>
      <c r="G82" s="400">
        <f>ROUND(G57/G81,4)</f>
        <v>5.8400000000000001E-2</v>
      </c>
      <c r="I82" s="947">
        <f>ROUND(I57/I81,4)</f>
        <v>5.62E-2</v>
      </c>
      <c r="J82" s="954"/>
      <c r="K82" s="947">
        <f>ROUND(K57/K81,4)</f>
        <v>8.3599999999999994E-2</v>
      </c>
      <c r="P82" s="947">
        <f>ROUND(P57/P81,4)</f>
        <v>4.9599999999999998E-2</v>
      </c>
      <c r="R82" s="912"/>
    </row>
    <row r="83" spans="1:36" ht="6.75" customHeight="1">
      <c r="A83" s="1031"/>
      <c r="B83" s="1031"/>
      <c r="C83" s="1031"/>
      <c r="D83" s="1031"/>
      <c r="E83" s="1051"/>
      <c r="F83" s="1051"/>
      <c r="G83" s="1051"/>
      <c r="H83" s="1051"/>
      <c r="I83" s="1032"/>
      <c r="J83" s="956"/>
      <c r="K83" s="945"/>
      <c r="P83" s="1035"/>
      <c r="R83" s="415"/>
    </row>
    <row r="84" spans="1:36">
      <c r="D84" s="1138" t="s">
        <v>129</v>
      </c>
      <c r="E84" s="1019"/>
      <c r="F84" s="1019"/>
      <c r="G84" s="1019"/>
      <c r="H84" s="1019"/>
      <c r="I84" s="1033">
        <f>'RR Summary'!M15</f>
        <v>7.0300000000000001E-2</v>
      </c>
      <c r="J84" s="957"/>
      <c r="K84" s="757"/>
      <c r="P84" s="1036"/>
      <c r="R84" s="1097" t="s">
        <v>1073</v>
      </c>
      <c r="AH84" s="25" t="s">
        <v>76</v>
      </c>
    </row>
    <row r="85" spans="1:36" ht="15">
      <c r="D85" s="1138" t="s">
        <v>1018</v>
      </c>
      <c r="E85" s="1019"/>
      <c r="F85" s="1019"/>
      <c r="G85" s="1019"/>
      <c r="H85" s="1019"/>
      <c r="I85" s="1034">
        <f>'RR Summary'!E22</f>
        <v>0.75529400000000002</v>
      </c>
      <c r="K85" s="946"/>
      <c r="P85" s="1408" t="s">
        <v>1070</v>
      </c>
      <c r="Q85" s="1408"/>
      <c r="R85" s="1408"/>
      <c r="S85" s="1408"/>
      <c r="AF85" s="1081">
        <v>20703</v>
      </c>
      <c r="AG85" s="1069" t="s">
        <v>1033</v>
      </c>
    </row>
    <row r="86" spans="1:36" ht="13.5" thickBot="1">
      <c r="D86" s="1138" t="s">
        <v>226</v>
      </c>
      <c r="E86" s="1019"/>
      <c r="F86" s="1019"/>
      <c r="G86" s="1019"/>
      <c r="H86" s="1019"/>
      <c r="I86" s="1019">
        <f>I81*$I$84-I57</f>
        <v>28701.185377043032</v>
      </c>
      <c r="K86" s="1038"/>
      <c r="L86" s="228"/>
      <c r="P86" s="53" t="s">
        <v>243</v>
      </c>
      <c r="R86" s="615">
        <f>R81*$I$84-R57</f>
        <v>15470.416472994093</v>
      </c>
      <c r="AF86" s="412">
        <v>17644</v>
      </c>
      <c r="AG86" s="25" t="s">
        <v>1034</v>
      </c>
    </row>
    <row r="87" spans="1:36" ht="13.5" thickBot="1">
      <c r="D87" s="1138" t="s">
        <v>1019</v>
      </c>
      <c r="E87" s="1019"/>
      <c r="F87" s="1019"/>
      <c r="G87" s="1019"/>
      <c r="H87" s="1019"/>
      <c r="I87" s="1039">
        <f>I86/$I$85</f>
        <v>38000.017711041037</v>
      </c>
      <c r="K87" s="1038"/>
      <c r="L87" s="228"/>
      <c r="P87" s="1131" t="s">
        <v>1071</v>
      </c>
      <c r="Q87" s="1096"/>
      <c r="R87" s="1132">
        <f>R86/$I$85</f>
        <v>20482.641822911464</v>
      </c>
      <c r="S87" s="1098" t="s">
        <v>1069</v>
      </c>
      <c r="AF87" s="412">
        <v>23810</v>
      </c>
      <c r="AG87" s="50" t="s">
        <v>1050</v>
      </c>
    </row>
    <row r="88" spans="1:36" ht="13.5" thickBot="1">
      <c r="D88" s="1407" t="s">
        <v>1106</v>
      </c>
      <c r="E88" s="1407"/>
      <c r="F88" s="1407"/>
      <c r="G88" s="1407"/>
      <c r="H88" s="1407"/>
      <c r="I88" s="1407"/>
      <c r="J88" s="954"/>
      <c r="K88" s="417"/>
      <c r="L88" s="27"/>
      <c r="M88" s="105"/>
      <c r="N88" s="105"/>
      <c r="O88" s="27"/>
      <c r="P88" s="53"/>
      <c r="R88" s="412"/>
      <c r="AF88" s="412"/>
      <c r="AG88" s="50"/>
    </row>
    <row r="89" spans="1:36" ht="13.5" thickBot="1">
      <c r="J89" s="954"/>
      <c r="K89" s="417"/>
      <c r="L89" s="27"/>
      <c r="M89" s="105"/>
      <c r="N89" s="105"/>
      <c r="O89" s="27"/>
      <c r="P89" s="1133" t="s">
        <v>1071</v>
      </c>
      <c r="Q89" s="1134"/>
      <c r="R89" s="1135">
        <f>'RR Summary'!G24</f>
        <v>12499.818573278058</v>
      </c>
      <c r="S89" s="1136" t="s">
        <v>1072</v>
      </c>
      <c r="AF89" s="412"/>
      <c r="AG89" s="50"/>
    </row>
    <row r="90" spans="1:36">
      <c r="J90" s="954"/>
      <c r="K90" s="417"/>
      <c r="L90" s="27"/>
      <c r="M90" s="105"/>
      <c r="N90" s="105"/>
      <c r="O90" s="27"/>
      <c r="P90" s="417"/>
      <c r="S90" s="25"/>
      <c r="AF90" s="911">
        <v>15200</v>
      </c>
      <c r="AG90" s="50"/>
    </row>
    <row r="91" spans="1:36" ht="15">
      <c r="J91" s="954"/>
      <c r="K91" s="417"/>
      <c r="L91" s="27"/>
      <c r="M91" s="105"/>
      <c r="N91" s="105"/>
      <c r="O91" s="27"/>
      <c r="P91" s="417"/>
      <c r="R91" s="1137">
        <f>R87-R89</f>
        <v>7982.8232496334058</v>
      </c>
      <c r="S91" s="1406" t="s">
        <v>1074</v>
      </c>
      <c r="T91" s="1406"/>
      <c r="AF91" s="406"/>
      <c r="AG91" s="50"/>
    </row>
    <row r="92" spans="1:36">
      <c r="J92" s="954"/>
      <c r="K92" s="417"/>
      <c r="L92" s="27"/>
      <c r="M92" s="105"/>
      <c r="N92" s="105"/>
      <c r="O92" s="27"/>
      <c r="P92" s="417"/>
      <c r="S92" s="1406"/>
      <c r="T92" s="1406"/>
      <c r="AF92" s="406">
        <f>AF85-AF90</f>
        <v>5503</v>
      </c>
      <c r="AG92" s="50"/>
    </row>
    <row r="93" spans="1:36">
      <c r="J93" s="954"/>
      <c r="K93" s="417"/>
      <c r="L93" s="27"/>
      <c r="M93" s="105"/>
      <c r="N93" s="105"/>
      <c r="O93" s="27"/>
      <c r="P93" s="417"/>
      <c r="AF93" s="406">
        <f>AF86-AF90</f>
        <v>2444</v>
      </c>
      <c r="AG93" s="50"/>
    </row>
    <row r="94" spans="1:36">
      <c r="J94" s="954"/>
      <c r="K94" s="417"/>
      <c r="L94" s="27"/>
      <c r="M94" s="105"/>
      <c r="N94" s="105"/>
      <c r="O94" s="27"/>
      <c r="P94" s="417"/>
      <c r="AF94" s="406">
        <f>AF87-AF90</f>
        <v>8610</v>
      </c>
      <c r="AG94" s="50"/>
    </row>
    <row r="95" spans="1:36">
      <c r="J95" s="954"/>
      <c r="K95" s="416"/>
      <c r="L95" s="27"/>
      <c r="M95" s="105"/>
      <c r="N95" s="105"/>
      <c r="O95" s="27"/>
      <c r="P95" s="416"/>
    </row>
    <row r="96" spans="1:36">
      <c r="J96" s="954"/>
      <c r="K96" s="416"/>
      <c r="L96" s="27"/>
      <c r="P96" s="1037"/>
    </row>
    <row r="97" spans="10:16">
      <c r="J97" s="228">
        <f>J81*$I$84-J57</f>
        <v>-55774.79</v>
      </c>
      <c r="K97" s="405"/>
      <c r="M97" s="228">
        <f>M81*$I$84-M57</f>
        <v>18157.996472994106</v>
      </c>
      <c r="N97" s="228">
        <f>N81*$I$84-N57</f>
        <v>-2687.58</v>
      </c>
      <c r="O97" s="228">
        <f>O81*$I$84-O57</f>
        <v>55774.79</v>
      </c>
      <c r="P97" s="1019">
        <f>P81*$I$84-P57</f>
        <v>44171.601850037114</v>
      </c>
    </row>
    <row r="98" spans="10:16">
      <c r="J98" s="228">
        <f>J97/$I$85</f>
        <v>-73845.13844939851</v>
      </c>
      <c r="M98" s="228">
        <f>M97/$I$85</f>
        <v>24040.964807073942</v>
      </c>
      <c r="N98" s="228">
        <f>N97/$I$85</f>
        <v>-3558.3229841624584</v>
      </c>
      <c r="O98" s="228">
        <f>O97/$I$85</f>
        <v>73845.13844939851</v>
      </c>
      <c r="P98" s="1019">
        <f>P97/$I$85</f>
        <v>58482.659533952494</v>
      </c>
    </row>
  </sheetData>
  <mergeCells count="10">
    <mergeCell ref="S91:T92"/>
    <mergeCell ref="D88:I88"/>
    <mergeCell ref="P85:S85"/>
    <mergeCell ref="N4:N5"/>
    <mergeCell ref="O4:O5"/>
    <mergeCell ref="F1:I1"/>
    <mergeCell ref="B56:D56"/>
    <mergeCell ref="I4:I5"/>
    <mergeCell ref="AK24:AL39"/>
    <mergeCell ref="J1:S2"/>
  </mergeCells>
  <pageMargins left="0.75" right="0.26" top="1" bottom="0.5" header="0.5" footer="0.35"/>
  <pageSetup scale="60" orientation="portrait" r:id="rId1"/>
  <headerFooter scaleWithDoc="0" alignWithMargins="0">
    <oddHeader>&amp;R Exh. EMA-4</oddHeader>
    <oddFooter>&amp;RPage 1 of 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R83"/>
  <sheetViews>
    <sheetView workbookViewId="0"/>
  </sheetViews>
  <sheetFormatPr defaultColWidth="10.5703125" defaultRowHeight="12"/>
  <cols>
    <col min="1" max="1" width="4.5703125" style="382" customWidth="1"/>
    <col min="2" max="2" width="6.85546875" style="381" customWidth="1"/>
    <col min="3" max="3" width="1.5703125" style="381" customWidth="1"/>
    <col min="4" max="4" width="33.5703125" style="381" customWidth="1"/>
    <col min="5" max="5" width="18.85546875" style="406" customWidth="1"/>
    <col min="6" max="31" width="18.85546875" style="405" customWidth="1"/>
    <col min="32" max="70" width="20.42578125" style="405" customWidth="1"/>
    <col min="71" max="16384" width="10.5703125" style="381"/>
  </cols>
  <sheetData>
    <row r="1" spans="1:70">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row>
    <row r="2" spans="1:70" ht="5.25" customHeight="1">
      <c r="D2" s="382"/>
      <c r="E2" s="404"/>
    </row>
    <row r="3" spans="1:70">
      <c r="A3" s="475" t="str">
        <f>'ADJ DETAIL-INPUT'!A1</f>
        <v xml:space="preserve">AVISTA UTILITIES  </v>
      </c>
      <c r="D3" s="382"/>
      <c r="E3" s="381"/>
      <c r="F3" s="407"/>
      <c r="G3" s="407"/>
      <c r="H3" s="407"/>
      <c r="I3" s="407"/>
      <c r="J3" s="407"/>
      <c r="K3" s="407"/>
      <c r="L3" s="407"/>
      <c r="M3" s="407"/>
      <c r="N3" s="407"/>
      <c r="O3" s="407"/>
      <c r="P3" s="407"/>
      <c r="Q3" s="407"/>
      <c r="R3" s="407"/>
      <c r="S3" s="407"/>
      <c r="T3" s="407"/>
      <c r="U3" s="407"/>
      <c r="V3" s="407"/>
      <c r="W3" s="1413">
        <f>'ADJ DETAIL-INPUT'!W2</f>
        <v>0</v>
      </c>
      <c r="X3" s="407"/>
      <c r="Y3" s="407"/>
      <c r="Z3" s="407"/>
      <c r="AA3" s="1413">
        <f>'ADJ DETAIL-INPUT'!AA2</f>
        <v>0</v>
      </c>
      <c r="AB3" s="1413">
        <f>'ADJ DETAIL-INPUT'!AB2</f>
        <v>0</v>
      </c>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row>
    <row r="4" spans="1:70">
      <c r="A4" s="475" t="str">
        <f>'ADJ DETAIL-INPUT'!A2</f>
        <v xml:space="preserve">WASHINGTON ELECTRIC RESULTS </v>
      </c>
      <c r="D4" s="382"/>
      <c r="F4" s="407"/>
      <c r="G4" s="407"/>
      <c r="H4" s="407"/>
      <c r="I4" s="407"/>
      <c r="J4" s="407"/>
      <c r="K4" s="407"/>
      <c r="L4" s="407"/>
      <c r="M4" s="407"/>
      <c r="N4" s="407"/>
      <c r="O4" s="407"/>
      <c r="P4" s="407"/>
      <c r="Q4" s="407"/>
      <c r="R4" s="407"/>
      <c r="S4" s="407"/>
      <c r="T4" s="407"/>
      <c r="U4" s="407"/>
      <c r="V4" s="407"/>
      <c r="W4" s="1413"/>
      <c r="X4" s="407"/>
      <c r="Y4" s="407"/>
      <c r="Z4" s="407"/>
      <c r="AA4" s="1413"/>
      <c r="AB4" s="1413"/>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K4" s="407"/>
      <c r="BL4" s="407"/>
      <c r="BM4" s="407"/>
      <c r="BN4" s="407"/>
      <c r="BO4" s="407"/>
      <c r="BP4" s="407"/>
      <c r="BQ4" s="407"/>
      <c r="BR4" s="407"/>
    </row>
    <row r="5" spans="1:70">
      <c r="A5" s="475" t="str">
        <f>'ADJ DETAIL-INPUT'!A4</f>
        <v xml:space="preserve">(000'S OF DOLLARS)  </v>
      </c>
      <c r="D5" s="382"/>
      <c r="E5" s="1113"/>
      <c r="W5" s="1413"/>
      <c r="AA5" s="1413"/>
      <c r="AB5" s="1413"/>
    </row>
    <row r="6" spans="1:70" s="384" customFormat="1">
      <c r="A6" s="475" t="str">
        <f>'ADJ DETAIL-INPUT'!A3</f>
        <v>TWELVE MONTHS ENDED SEPTEMBER 30, 2021</v>
      </c>
      <c r="D6" s="383"/>
      <c r="E6" s="408"/>
      <c r="F6" s="409"/>
      <c r="G6" s="409"/>
      <c r="H6" s="409"/>
      <c r="I6" s="409"/>
      <c r="J6" s="409"/>
      <c r="K6" s="409"/>
      <c r="L6" s="409"/>
      <c r="M6" s="409"/>
      <c r="N6" s="409"/>
      <c r="O6" s="409"/>
      <c r="P6" s="409"/>
      <c r="Q6" s="409"/>
      <c r="R6" s="409"/>
      <c r="S6" s="409"/>
      <c r="T6" s="409"/>
      <c r="U6" s="409"/>
      <c r="V6" s="409"/>
      <c r="W6" s="1413"/>
      <c r="X6" s="409"/>
      <c r="Y6" s="409"/>
      <c r="Z6" s="409"/>
      <c r="AA6" s="1413"/>
      <c r="AB6" s="1413"/>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c r="BJ6" s="409"/>
      <c r="BK6" s="409"/>
      <c r="BL6" s="409"/>
      <c r="BM6" s="409"/>
      <c r="BN6" s="409"/>
      <c r="BO6" s="409"/>
      <c r="BP6" s="409"/>
      <c r="BQ6" s="409"/>
      <c r="BR6" s="409"/>
    </row>
    <row r="7" spans="1:70" s="384" customFormat="1" ht="12" customHeight="1">
      <c r="A7" s="338"/>
      <c r="B7" s="390"/>
      <c r="C7" s="390"/>
      <c r="D7" s="390"/>
      <c r="F7" s="430" t="str">
        <f>'ADJ DETAIL-INPUT'!F6</f>
        <v xml:space="preserve">Deferred </v>
      </c>
      <c r="G7" s="430" t="str">
        <f>'ADJ DETAIL-INPUT'!G6</f>
        <v xml:space="preserve">Deferred </v>
      </c>
      <c r="H7" s="430" t="str">
        <f>'ADJ DETAIL-INPUT'!H6</f>
        <v>Working</v>
      </c>
      <c r="I7" s="430" t="str">
        <f>'ADJ DETAIL-INPUT'!I6</f>
        <v>Eliminate</v>
      </c>
      <c r="J7" s="430" t="str">
        <f>'ADJ DETAIL-INPUT'!J6</f>
        <v>Restate</v>
      </c>
      <c r="K7" s="430" t="str">
        <f>'ADJ DETAIL-INPUT'!K6</f>
        <v>Uncollect.</v>
      </c>
      <c r="L7" s="430" t="str">
        <f>'ADJ DETAIL-INPUT'!L6</f>
        <v>Regulatory</v>
      </c>
      <c r="M7" s="430" t="str">
        <f>'ADJ DETAIL-INPUT'!M6</f>
        <v>Injuries</v>
      </c>
      <c r="N7" s="430" t="str">
        <f>'ADJ DETAIL-INPUT'!N6</f>
        <v>FIT/DFIT/</v>
      </c>
      <c r="O7" s="430" t="str">
        <f>'ADJ DETAIL-INPUT'!O6</f>
        <v>Office Space</v>
      </c>
      <c r="P7" s="430" t="str">
        <f>'ADJ DETAIL-INPUT'!P6</f>
        <v>Restate</v>
      </c>
      <c r="Q7" s="430" t="str">
        <f>'ADJ DETAIL-INPUT'!Q6</f>
        <v>Net</v>
      </c>
      <c r="R7" s="430" t="str">
        <f>'ADJ DETAIL-INPUT'!R6</f>
        <v xml:space="preserve">Weather </v>
      </c>
      <c r="S7" s="430" t="str">
        <f>'ADJ DETAIL-INPUT'!S6</f>
        <v>Eliminate</v>
      </c>
      <c r="T7" s="430" t="str">
        <f>'ADJ DETAIL-INPUT'!T6</f>
        <v>Misc. Restating</v>
      </c>
      <c r="U7" s="430" t="str">
        <f>'ADJ DETAIL-INPUT'!U6</f>
        <v xml:space="preserve">Restating </v>
      </c>
      <c r="V7" s="430" t="str">
        <f>'ADJ DETAIL-INPUT'!V6</f>
        <v>Restate</v>
      </c>
      <c r="W7" s="430" t="str">
        <f>'ADJ DETAIL-INPUT'!W6</f>
        <v>Restate 09.2021</v>
      </c>
      <c r="X7" s="430" t="str">
        <f>'ADJ DETAIL-INPUT'!X6</f>
        <v>Eliminate</v>
      </c>
      <c r="Y7" s="430" t="str">
        <f>'ADJ DETAIL-INPUT'!Y6</f>
        <v>Nez Perce</v>
      </c>
      <c r="Z7" s="430" t="str">
        <f>'ADJ DETAIL-INPUT'!Z6</f>
        <v>Normalize</v>
      </c>
      <c r="AA7" s="430" t="str">
        <f>'ADJ DETAIL-INPUT'!AA6</f>
        <v xml:space="preserve">Authorized </v>
      </c>
      <c r="AB7" s="430" t="str">
        <f>'ADJ DETAIL-INPUT'!AB6</f>
        <v>Restate 09.2021 Tax</v>
      </c>
      <c r="AC7" s="430" t="str">
        <f>'ADJ DETAIL-INPUT'!AD6</f>
        <v>Pro Forma</v>
      </c>
      <c r="AD7" s="430" t="str">
        <f>'ADJ DETAIL-INPUT'!AE6</f>
        <v>Pro Forma</v>
      </c>
      <c r="AE7" s="430" t="str">
        <f>'ADJ DETAIL-INPUT'!AF6</f>
        <v>Pro Forma</v>
      </c>
      <c r="AF7" s="430" t="str">
        <f>'ADJ DETAIL-INPUT'!AG6</f>
        <v xml:space="preserve">Pro Forma </v>
      </c>
      <c r="AG7" s="430" t="str">
        <f>'ADJ DETAIL-INPUT'!AH6</f>
        <v xml:space="preserve">Pro Forma </v>
      </c>
      <c r="AH7" s="430" t="str">
        <f>'ADJ DETAIL-INPUT'!AI6</f>
        <v>Pro Forma</v>
      </c>
      <c r="AI7" s="430" t="str">
        <f>'ADJ DETAIL-INPUT'!AJ6</f>
        <v>Pro Forma Colstrip</v>
      </c>
      <c r="AJ7" s="430" t="str">
        <f>'ADJ DETAIL-INPUT'!AK6</f>
        <v>Pro Forma</v>
      </c>
      <c r="AK7" s="430" t="str">
        <f>'ADJ DETAIL-INPUT'!AL6</f>
        <v xml:space="preserve">Pro Forma </v>
      </c>
      <c r="AL7" s="430" t="str">
        <f>'ADJ DETAIL-INPUT'!AM6</f>
        <v xml:space="preserve">Pro Forma </v>
      </c>
      <c r="AM7" s="430" t="str">
        <f>'ADJ DETAIL-INPUT'!AN6</f>
        <v xml:space="preserve">Pro Forma </v>
      </c>
      <c r="AN7" s="430" t="str">
        <f>'ADJ DETAIL-INPUT'!AO6</f>
        <v xml:space="preserve">Remove </v>
      </c>
      <c r="AO7" s="430" t="str">
        <f>'ADJ DETAIL-INPUT'!AP6</f>
        <v xml:space="preserve">Pro Forma </v>
      </c>
      <c r="AP7" s="430" t="str">
        <f>'ADJ DETAIL-INPUT'!AQ6</f>
        <v>Pro Forma</v>
      </c>
      <c r="AQ7" s="430" t="str">
        <f>'ADJ DETAIL-INPUT'!AR6</f>
        <v xml:space="preserve">Pro Forma </v>
      </c>
      <c r="AR7" s="430" t="str">
        <f>'ADJ DETAIL-INPUT'!AS6</f>
        <v>Pro Forma</v>
      </c>
      <c r="AS7" s="430" t="str">
        <f>'ADJ DETAIL-INPUT'!AT6</f>
        <v xml:space="preserve">Pro Form 09.2021 </v>
      </c>
      <c r="AT7" s="430" t="str">
        <f>'ADJ DETAIL-INPUT'!AU6</f>
        <v>Transportation</v>
      </c>
      <c r="AU7" s="430" t="str">
        <f>'ADJ DETAIL-INPUT'!AV6</f>
        <v>Pro Forma</v>
      </c>
      <c r="AV7" s="430" t="str">
        <f>'ADJ DETAIL-INPUT'!AW6</f>
        <v xml:space="preserve">Pro Form </v>
      </c>
      <c r="AW7" s="430" t="str">
        <f>'ADJ DETAIL-INPUT'!AX6</f>
        <v xml:space="preserve">Pro Form </v>
      </c>
      <c r="AX7" s="430" t="str">
        <f>'ADJ DETAIL-INPUT'!AY6</f>
        <v>Provisional</v>
      </c>
      <c r="AY7" s="430" t="str">
        <f>'ADJ DETAIL-INPUT'!AZ6</f>
        <v>Provisional</v>
      </c>
      <c r="AZ7" s="430" t="str">
        <f>'ADJ DETAIL-INPUT'!BA6</f>
        <v>2022-2023</v>
      </c>
      <c r="BA7" s="430" t="str">
        <f>'ADJ DETAIL-INPUT'!BB6</f>
        <v>Provisional</v>
      </c>
      <c r="BB7" s="430" t="str">
        <f>'ADJ DETAIL-INPUT'!BC6</f>
        <v>Provisional</v>
      </c>
      <c r="BC7" s="430" t="str">
        <f>'ADJ DETAIL-INPUT'!BD6</f>
        <v>Provisional</v>
      </c>
      <c r="BD7" s="430" t="str">
        <f>'ADJ DETAIL-INPUT'!BE6</f>
        <v>Provisional</v>
      </c>
      <c r="BE7" s="430" t="str">
        <f>'ADJ DETAIL-INPUT'!BF6</f>
        <v>Provisional</v>
      </c>
      <c r="BF7" s="430" t="str">
        <f>'ADJ DETAIL-INPUT'!BJ6</f>
        <v>Pro Forma</v>
      </c>
      <c r="BG7" s="430" t="str">
        <f>'ADJ DETAIL-INPUT'!BK6</f>
        <v>Pro Forma</v>
      </c>
      <c r="BH7" s="430" t="str">
        <f>'ADJ DETAIL-INPUT'!BL6</f>
        <v xml:space="preserve">Pro Forma </v>
      </c>
      <c r="BI7" s="430" t="str">
        <f>'ADJ DETAIL-INPUT'!BM6</f>
        <v xml:space="preserve">Pro Forma </v>
      </c>
      <c r="BJ7" s="430" t="str">
        <f>'ADJ DETAIL-INPUT'!BN6</f>
        <v xml:space="preserve">Pro Forma </v>
      </c>
      <c r="BK7" s="430" t="str">
        <f>'ADJ DETAIL-INPUT'!BO6</f>
        <v>Pro Forma</v>
      </c>
      <c r="BL7" s="430" t="str">
        <f>'ADJ DETAIL-INPUT'!BP6</f>
        <v>Transportation</v>
      </c>
      <c r="BM7" s="430" t="str">
        <f>'ADJ DETAIL-INPUT'!BQ6</f>
        <v>Pro Forma</v>
      </c>
      <c r="BN7" s="430" t="str">
        <f>'ADJ DETAIL-INPUT'!BR6</f>
        <v>Provisional</v>
      </c>
      <c r="BO7" s="430" t="str">
        <f>'ADJ DETAIL-INPUT'!BS6</f>
        <v>Prov. 2024 Capital</v>
      </c>
      <c r="BP7" s="430" t="str">
        <f>'ADJ DETAIL-INPUT'!BT6</f>
        <v>Provisional</v>
      </c>
      <c r="BQ7" s="430" t="str">
        <f>'ADJ DETAIL-INPUT'!BU6</f>
        <v>Provisional</v>
      </c>
      <c r="BR7" s="430" t="str">
        <f>'ADJ DETAIL-INPUT'!BV6</f>
        <v>Provisional</v>
      </c>
    </row>
    <row r="8" spans="1:70" s="384" customFormat="1">
      <c r="A8" s="338" t="str">
        <f>'ADJ DETAIL-INPUT'!A7</f>
        <v>Line</v>
      </c>
      <c r="B8" s="390"/>
      <c r="C8" s="390"/>
      <c r="D8" s="390"/>
      <c r="E8" s="752" t="s">
        <v>257</v>
      </c>
      <c r="F8" s="430" t="str">
        <f>'ADJ DETAIL-INPUT'!F7</f>
        <v>FIT</v>
      </c>
      <c r="G8" s="430" t="str">
        <f>'ADJ DETAIL-INPUT'!G7</f>
        <v xml:space="preserve">Debits and </v>
      </c>
      <c r="H8" s="430" t="str">
        <f>'ADJ DETAIL-INPUT'!H7</f>
        <v>Capital</v>
      </c>
      <c r="I8" s="430" t="str">
        <f>'ADJ DETAIL-INPUT'!I7</f>
        <v>B &amp; O</v>
      </c>
      <c r="J8" s="430" t="str">
        <f>'ADJ DETAIL-INPUT'!J7</f>
        <v>Property</v>
      </c>
      <c r="K8" s="430" t="str">
        <f>'ADJ DETAIL-INPUT'!K7</f>
        <v>Expense</v>
      </c>
      <c r="L8" s="430" t="str">
        <f>'ADJ DETAIL-INPUT'!L7</f>
        <v>Expense</v>
      </c>
      <c r="M8" s="430" t="str">
        <f>'ADJ DETAIL-INPUT'!M7</f>
        <v xml:space="preserve">and </v>
      </c>
      <c r="N8" s="430" t="str">
        <f>'ADJ DETAIL-INPUT'!N7</f>
        <v>ITC</v>
      </c>
      <c r="O8" s="430" t="str">
        <f>'ADJ DETAIL-INPUT'!O7</f>
        <v>Charges to</v>
      </c>
      <c r="P8" s="430" t="str">
        <f>'ADJ DETAIL-INPUT'!P7</f>
        <v>Excise</v>
      </c>
      <c r="Q8" s="430" t="str">
        <f>'ADJ DETAIL-INPUT'!Q7</f>
        <v>Gains &amp;</v>
      </c>
      <c r="R8" s="430" t="str">
        <f>'ADJ DETAIL-INPUT'!R7</f>
        <v>Normalization</v>
      </c>
      <c r="S8" s="430" t="str">
        <f>'ADJ DETAIL-INPUT'!S7</f>
        <v>Adder</v>
      </c>
      <c r="T8" s="430" t="str">
        <f>'ADJ DETAIL-INPUT'!T7</f>
        <v>Non-Util / Non-</v>
      </c>
      <c r="U8" s="430" t="str">
        <f>'ADJ DETAIL-INPUT'!U7</f>
        <v>Incentives</v>
      </c>
      <c r="V8" s="430" t="str">
        <f>'ADJ DETAIL-INPUT'!V7</f>
        <v>Debt</v>
      </c>
      <c r="W8" s="430" t="str">
        <f>'ADJ DETAIL-INPUT'!W7</f>
        <v>AMA Rate</v>
      </c>
      <c r="X8" s="430" t="str">
        <f>'ADJ DETAIL-INPUT'!X7</f>
        <v>WA Power</v>
      </c>
      <c r="Y8" s="430" t="str">
        <f>'ADJ DETAIL-INPUT'!Y7</f>
        <v>Settlement</v>
      </c>
      <c r="Z8" s="430" t="str">
        <f>'ADJ DETAIL-INPUT'!Z7</f>
        <v>CS2/Colstrip</v>
      </c>
      <c r="AA8" s="430" t="str">
        <f>'ADJ DETAIL-INPUT'!AA7</f>
        <v>Power</v>
      </c>
      <c r="AB8" s="430" t="str">
        <f>'ADJ DETAIL-INPUT'!AB7</f>
        <v xml:space="preserve">Credit Regulatory </v>
      </c>
      <c r="AC8" s="430" t="str">
        <f>'ADJ DETAIL-INPUT'!AD7</f>
        <v xml:space="preserve">Power </v>
      </c>
      <c r="AD8" s="430" t="str">
        <f>'ADJ DETAIL-INPUT'!AE7</f>
        <v>Transmission</v>
      </c>
      <c r="AE8" s="430" t="str">
        <f>'ADJ DETAIL-INPUT'!AF7</f>
        <v xml:space="preserve">Revenue </v>
      </c>
      <c r="AF8" s="430" t="str">
        <f>'ADJ DETAIL-INPUT'!AG7</f>
        <v>Def. Debits, Credits &amp;</v>
      </c>
      <c r="AG8" s="430" t="str">
        <f>'ADJ DETAIL-INPUT'!AH7</f>
        <v>2023 ARAM</v>
      </c>
      <c r="AH8" s="430" t="str">
        <f>'ADJ DETAIL-INPUT'!AI7</f>
        <v xml:space="preserve">AMI </v>
      </c>
      <c r="AI8" s="430" t="str">
        <f>'ADJ DETAIL-INPUT'!AJ7</f>
        <v xml:space="preserve">Trust Fund &amp; </v>
      </c>
      <c r="AJ8" s="430" t="str">
        <f>'ADJ DETAIL-INPUT'!AK7</f>
        <v>CETA</v>
      </c>
      <c r="AK8" s="430" t="str">
        <f>'ADJ DETAIL-INPUT'!AL7</f>
        <v>Non-Exec Labor</v>
      </c>
      <c r="AL8" s="430" t="str">
        <f>'ADJ DETAIL-INPUT'!AM7</f>
        <v>Labor</v>
      </c>
      <c r="AM8" s="430" t="str">
        <f>'ADJ DETAIL-INPUT'!AN7</f>
        <v xml:space="preserve">Employee </v>
      </c>
      <c r="AN8" s="430" t="str">
        <f>'ADJ DETAIL-INPUT'!AO7</f>
        <v>LIRAP</v>
      </c>
      <c r="AO8" s="430" t="str">
        <f>'ADJ DETAIL-INPUT'!AP7</f>
        <v>Property</v>
      </c>
      <c r="AP8" s="430" t="str">
        <f>'ADJ DETAIL-INPUT'!AQ7</f>
        <v>Insurance</v>
      </c>
      <c r="AQ8" s="430" t="str">
        <f>'ADJ DETAIL-INPUT'!AR7</f>
        <v>IS/IT</v>
      </c>
      <c r="AR8" s="430" t="str">
        <f>'ADJ DETAIL-INPUT'!AS7</f>
        <v>Misc</v>
      </c>
      <c r="AS8" s="430" t="str">
        <f>'ADJ DETAIL-INPUT'!AT7</f>
        <v>EOP Rate Base</v>
      </c>
      <c r="AT8" s="430" t="str">
        <f>'ADJ DETAIL-INPUT'!AU7</f>
        <v>Electrification</v>
      </c>
      <c r="AU8" s="430" t="str">
        <f>'ADJ DETAIL-INPUT'!AV7</f>
        <v>EIM Capital 2021-</v>
      </c>
      <c r="AV8" s="430" t="str">
        <f>'ADJ DETAIL-INPUT'!AW7</f>
        <v>12.2021 EOP</v>
      </c>
      <c r="AW8" s="430" t="str">
        <f>'ADJ DETAIL-INPUT'!AX7</f>
        <v>12.2021 EOP Colstrip</v>
      </c>
      <c r="AX8" s="430" t="str">
        <f>'ADJ DETAIL-INPUT'!AY7</f>
        <v>Capital Groups</v>
      </c>
      <c r="AY8" s="430" t="str">
        <f>'ADJ DETAIL-INPUT'!AZ7</f>
        <v>Capital Groups</v>
      </c>
      <c r="AZ8" s="430" t="str">
        <f>'ADJ DETAIL-INPUT'!BA7</f>
        <v>Capital O&amp;M</v>
      </c>
      <c r="BA8" s="430" t="str">
        <f>'ADJ DETAIL-INPUT'!BB7</f>
        <v>Wildfire 2022</v>
      </c>
      <c r="BB8" s="430" t="str">
        <f>'ADJ DETAIL-INPUT'!BC7</f>
        <v>Wildfire 2023</v>
      </c>
      <c r="BC8" s="430" t="str">
        <f>'ADJ DETAIL-INPUT'!BD7</f>
        <v>Colstrip 2022</v>
      </c>
      <c r="BD8" s="430" t="str">
        <f>'ADJ DETAIL-INPUT'!BE7</f>
        <v>Colstrip 2023</v>
      </c>
      <c r="BE8" s="430" t="str">
        <f>'ADJ DETAIL-INPUT'!BF7</f>
        <v>EIM 2023 Cap</v>
      </c>
      <c r="BF8" s="430" t="str">
        <f>'ADJ DETAIL-INPUT'!BJ7</f>
        <v>2024 ARAM</v>
      </c>
      <c r="BG8" s="430" t="str">
        <f>'ADJ DETAIL-INPUT'!BK7</f>
        <v xml:space="preserve">2024 AMI </v>
      </c>
      <c r="BH8" s="430" t="str">
        <f>'ADJ DETAIL-INPUT'!BL7</f>
        <v>Non-Exec Labor</v>
      </c>
      <c r="BI8" s="430" t="str">
        <f>'ADJ DETAIL-INPUT'!BM7</f>
        <v xml:space="preserve">Employee </v>
      </c>
      <c r="BJ8" s="430" t="str">
        <f>'ADJ DETAIL-INPUT'!BN7</f>
        <v>Property</v>
      </c>
      <c r="BK8" s="430" t="str">
        <f>'ADJ DETAIL-INPUT'!BO7</f>
        <v>Insurance</v>
      </c>
      <c r="BL8" s="430" t="str">
        <f>'ADJ DETAIL-INPUT'!BP7</f>
        <v>Electrification</v>
      </c>
      <c r="BM8" s="430" t="str">
        <f>'ADJ DETAIL-INPUT'!BQ7</f>
        <v>Misc</v>
      </c>
      <c r="BN8" s="430" t="str">
        <f>'ADJ DETAIL-INPUT'!BR7</f>
        <v>Capital Groups</v>
      </c>
      <c r="BO8" s="430" t="str">
        <f>'ADJ DETAIL-INPUT'!BS7</f>
        <v xml:space="preserve">O&amp;M Offsets </v>
      </c>
      <c r="BP8" s="430" t="str">
        <f>'ADJ DETAIL-INPUT'!BT7</f>
        <v>Wildfire 2024</v>
      </c>
      <c r="BQ8" s="430" t="str">
        <f>'ADJ DETAIL-INPUT'!BU7</f>
        <v>Colstrip 2024</v>
      </c>
      <c r="BR8" s="430" t="str">
        <f>'ADJ DETAIL-INPUT'!BV7</f>
        <v>EIM 2024 Cap</v>
      </c>
    </row>
    <row r="9" spans="1:70" s="384" customFormat="1" ht="11.25" customHeight="1">
      <c r="A9" s="341" t="str">
        <f>'ADJ DETAIL-INPUT'!A8</f>
        <v>No.</v>
      </c>
      <c r="B9" s="393"/>
      <c r="C9" s="342" t="s">
        <v>22</v>
      </c>
      <c r="D9" s="393"/>
      <c r="E9" s="1057" t="s">
        <v>258</v>
      </c>
      <c r="F9" s="431" t="str">
        <f>'ADJ DETAIL-INPUT'!F8</f>
        <v>Rate Base</v>
      </c>
      <c r="G9" s="431" t="str">
        <f>'ADJ DETAIL-INPUT'!G8</f>
        <v>Credits</v>
      </c>
      <c r="H9" s="431" t="str">
        <f>'ADJ DETAIL-INPUT'!H8</f>
        <v xml:space="preserve"> </v>
      </c>
      <c r="I9" s="431" t="str">
        <f>'ADJ DETAIL-INPUT'!I8</f>
        <v>Taxes</v>
      </c>
      <c r="J9" s="431" t="str">
        <f>'ADJ DETAIL-INPUT'!J8</f>
        <v>Tax</v>
      </c>
      <c r="K9" s="431" t="str">
        <f>'ADJ DETAIL-INPUT'!K8</f>
        <v xml:space="preserve"> </v>
      </c>
      <c r="L9" s="431" t="str">
        <f>'ADJ DETAIL-INPUT'!L8</f>
        <v xml:space="preserve"> </v>
      </c>
      <c r="M9" s="431" t="str">
        <f>'ADJ DETAIL-INPUT'!M8</f>
        <v>Damages</v>
      </c>
      <c r="N9" s="431" t="str">
        <f>'ADJ DETAIL-INPUT'!N8</f>
        <v>Expense</v>
      </c>
      <c r="O9" s="431" t="str">
        <f>'ADJ DETAIL-INPUT'!O8</f>
        <v>Non-Utility</v>
      </c>
      <c r="P9" s="431" t="str">
        <f>'ADJ DETAIL-INPUT'!P8</f>
        <v>Taxes</v>
      </c>
      <c r="Q9" s="431" t="str">
        <f>'ADJ DETAIL-INPUT'!Q8</f>
        <v>Losses</v>
      </c>
      <c r="R9" s="431" t="str">
        <f>'ADJ DETAIL-INPUT'!R8</f>
        <v xml:space="preserve"> </v>
      </c>
      <c r="S9" s="431" t="str">
        <f>'ADJ DETAIL-INPUT'!S8</f>
        <v>Schedules</v>
      </c>
      <c r="T9" s="431" t="str">
        <f>'ADJ DETAIL-INPUT'!T8</f>
        <v>Recurring Expenses</v>
      </c>
      <c r="U9" s="431">
        <f>'ADJ DETAIL-INPUT'!U8</f>
        <v>0</v>
      </c>
      <c r="V9" s="431" t="str">
        <f>'ADJ DETAIL-INPUT'!V8</f>
        <v>Interest</v>
      </c>
      <c r="W9" s="431" t="str">
        <f>'ADJ DETAIL-INPUT'!W8</f>
        <v>Base to EOP</v>
      </c>
      <c r="X9" s="431" t="str">
        <f>'ADJ DETAIL-INPUT'!X8</f>
        <v>Cost Defer</v>
      </c>
      <c r="Y9" s="431" t="str">
        <f>'ADJ DETAIL-INPUT'!Y8</f>
        <v>Adjustment</v>
      </c>
      <c r="Z9" s="431" t="str">
        <f>'ADJ DETAIL-INPUT'!Z8</f>
        <v>Major Maint</v>
      </c>
      <c r="AA9" s="431" t="str">
        <f>'ADJ DETAIL-INPUT'!AA8</f>
        <v>Supply</v>
      </c>
      <c r="AB9" s="431" t="str">
        <f>'ADJ DETAIL-INPUT'!AB8</f>
        <v>Liability to EOP</v>
      </c>
      <c r="AC9" s="431" t="str">
        <f>'ADJ DETAIL-INPUT'!AD8</f>
        <v>Supply</v>
      </c>
      <c r="AD9" s="431" t="str">
        <f>'ADJ DETAIL-INPUT'!AE8</f>
        <v>Revenue/Expense</v>
      </c>
      <c r="AE9" s="431" t="str">
        <f>'ADJ DETAIL-INPUT'!AF8</f>
        <v>Normalization</v>
      </c>
      <c r="AF9" s="431" t="str">
        <f>'ADJ DETAIL-INPUT'!AG8</f>
        <v>Regulatory Amorts</v>
      </c>
      <c r="AG9" s="431" t="str">
        <f>'ADJ DETAIL-INPUT'!AH8</f>
        <v>DFIT</v>
      </c>
      <c r="AH9" s="431" t="str">
        <f>'ADJ DETAIL-INPUT'!AI8</f>
        <v>Amortization</v>
      </c>
      <c r="AI9" s="431" t="str">
        <f>'ADJ DETAIL-INPUT'!AJ8</f>
        <v>Other Amortizations</v>
      </c>
      <c r="AJ9" s="431" t="str">
        <f>'ADJ DETAIL-INPUT'!AK8</f>
        <v>Labor Exp</v>
      </c>
      <c r="AK9" s="431" t="str">
        <f>'ADJ DETAIL-INPUT'!AL8</f>
        <v>&amp; Union Incentive</v>
      </c>
      <c r="AL9" s="431" t="str">
        <f>'ADJ DETAIL-INPUT'!AM8</f>
        <v>Exec</v>
      </c>
      <c r="AM9" s="431" t="str">
        <f>'ADJ DETAIL-INPUT'!AN8</f>
        <v>Benefits</v>
      </c>
      <c r="AN9" s="431" t="str">
        <f>'ADJ DETAIL-INPUT'!AO8</f>
        <v>Labor</v>
      </c>
      <c r="AO9" s="431" t="str">
        <f>'ADJ DETAIL-INPUT'!AP8</f>
        <v>Tax</v>
      </c>
      <c r="AP9" s="431" t="str">
        <f>'ADJ DETAIL-INPUT'!AQ8</f>
        <v>Expense</v>
      </c>
      <c r="AQ9" s="431" t="str">
        <f>'ADJ DETAIL-INPUT'!AR8</f>
        <v>Expense</v>
      </c>
      <c r="AR9" s="431" t="str">
        <f>'ADJ DETAIL-INPUT'!AS8</f>
        <v>O&amp;M Exp</v>
      </c>
      <c r="AS9" s="431" t="str">
        <f>'ADJ DETAIL-INPUT'!AT8</f>
        <v>to 12.31.2021 EOP</v>
      </c>
      <c r="AT9" s="431" t="str">
        <f>'ADJ DETAIL-INPUT'!AU8</f>
        <v>Return (Kicker)</v>
      </c>
      <c r="AU9" s="431" t="str">
        <f>'ADJ DETAIL-INPUT'!AV8</f>
        <v>2022 Additions &amp; Exp</v>
      </c>
      <c r="AV9" s="431" t="str">
        <f>'ADJ DETAIL-INPUT'!AW8</f>
        <v>Wildfire Additions</v>
      </c>
      <c r="AW9" s="431" t="str">
        <f>'ADJ DETAIL-INPUT'!AX8</f>
        <v>Adds &amp; Amortization</v>
      </c>
      <c r="AX9" s="431" t="str">
        <f>'ADJ DETAIL-INPUT'!AY8</f>
        <v>2022 Adds EOP</v>
      </c>
      <c r="AY9" s="431" t="str">
        <f>'ADJ DETAIL-INPUT'!AZ8</f>
        <v>2023 Adds AMA</v>
      </c>
      <c r="AZ9" s="431" t="str">
        <f>'ADJ DETAIL-INPUT'!BA8</f>
        <v>Offsets &amp; Revenue</v>
      </c>
      <c r="BA9" s="431" t="str">
        <f>'ADJ DETAIL-INPUT'!BB8</f>
        <v>Cap EOP &amp; O&amp;M</v>
      </c>
      <c r="BB9" s="431" t="str">
        <f>'ADJ DETAIL-INPUT'!BC8</f>
        <v>Cap Adds AMA</v>
      </c>
      <c r="BC9" s="431" t="str">
        <f>'ADJ DETAIL-INPUT'!BD8</f>
        <v>Cap Adds EOP</v>
      </c>
      <c r="BD9" s="431" t="str">
        <f>'ADJ DETAIL-INPUT'!BE8</f>
        <v>Cap Adds AMA</v>
      </c>
      <c r="BE9" s="431" t="str">
        <f>'ADJ DETAIL-INPUT'!BF8</f>
        <v>Cap Adds AMA</v>
      </c>
      <c r="BF9" s="431" t="str">
        <f>'ADJ DETAIL-INPUT'!BJ8</f>
        <v>DFIT</v>
      </c>
      <c r="BG9" s="431" t="str">
        <f>'ADJ DETAIL-INPUT'!BK8</f>
        <v>Amortization</v>
      </c>
      <c r="BH9" s="431" t="str">
        <f>'ADJ DETAIL-INPUT'!BL8</f>
        <v>&amp; Union Incentive</v>
      </c>
      <c r="BI9" s="431" t="str">
        <f>'ADJ DETAIL-INPUT'!BM8</f>
        <v>Benefits</v>
      </c>
      <c r="BJ9" s="431" t="str">
        <f>'ADJ DETAIL-INPUT'!BN8</f>
        <v>Tax</v>
      </c>
      <c r="BK9" s="431" t="str">
        <f>'ADJ DETAIL-INPUT'!BO8</f>
        <v>Expense</v>
      </c>
      <c r="BL9" s="431" t="str">
        <f>'ADJ DETAIL-INPUT'!BP8</f>
        <v>Return (Kicker)</v>
      </c>
      <c r="BM9" s="431" t="str">
        <f>'ADJ DETAIL-INPUT'!BQ8</f>
        <v>O&amp;M Exp</v>
      </c>
      <c r="BN9" s="431" t="str">
        <f>'ADJ DETAIL-INPUT'!BR8</f>
        <v>2024 Adds AMA</v>
      </c>
      <c r="BO9" s="431" t="str">
        <f>'ADJ DETAIL-INPUT'!BS8</f>
        <v>&amp; Revnues</v>
      </c>
      <c r="BP9" s="431" t="str">
        <f>'ADJ DETAIL-INPUT'!BT8</f>
        <v>Cap Adds AMA</v>
      </c>
      <c r="BQ9" s="431" t="str">
        <f>'ADJ DETAIL-INPUT'!BU8</f>
        <v>Cap Adds AMA</v>
      </c>
      <c r="BR9" s="431" t="str">
        <f>'ADJ DETAIL-INPUT'!BV8</f>
        <v>Cap Adds AMA</v>
      </c>
    </row>
    <row r="10" spans="1:70" s="426" customFormat="1">
      <c r="B10" s="429" t="s">
        <v>554</v>
      </c>
      <c r="E10" s="428">
        <v>1</v>
      </c>
      <c r="F10" s="427">
        <f>'ADJ DETAIL-INPUT'!F9</f>
        <v>1.01</v>
      </c>
      <c r="G10" s="427">
        <f>'ADJ DETAIL-INPUT'!G9</f>
        <v>1.02</v>
      </c>
      <c r="H10" s="427">
        <f>'ADJ DETAIL-INPUT'!H9</f>
        <v>1.03</v>
      </c>
      <c r="I10" s="427">
        <f>'ADJ DETAIL-INPUT'!I9</f>
        <v>2.0099999999999998</v>
      </c>
      <c r="J10" s="427">
        <f>'ADJ DETAIL-INPUT'!J9</f>
        <v>2.0199999999999996</v>
      </c>
      <c r="K10" s="427">
        <f>'ADJ DETAIL-INPUT'!K9</f>
        <v>2.0299999999999994</v>
      </c>
      <c r="L10" s="427">
        <f>'ADJ DETAIL-INPUT'!L9</f>
        <v>2.0399999999999991</v>
      </c>
      <c r="M10" s="427">
        <f>'ADJ DETAIL-INPUT'!M9</f>
        <v>2.0499999999999989</v>
      </c>
      <c r="N10" s="427">
        <f>'ADJ DETAIL-INPUT'!N9</f>
        <v>2.0599999999999987</v>
      </c>
      <c r="O10" s="427">
        <f>'ADJ DETAIL-INPUT'!O9</f>
        <v>2.0699999999999985</v>
      </c>
      <c r="P10" s="427">
        <f>'ADJ DETAIL-INPUT'!P9</f>
        <v>2.0799999999999983</v>
      </c>
      <c r="Q10" s="427">
        <f>'ADJ DETAIL-INPUT'!Q9</f>
        <v>2.0899999999999981</v>
      </c>
      <c r="R10" s="427">
        <f>'ADJ DETAIL-INPUT'!R9</f>
        <v>2.0999999999999979</v>
      </c>
      <c r="S10" s="427">
        <f>'ADJ DETAIL-INPUT'!S9</f>
        <v>2.1099999999999977</v>
      </c>
      <c r="T10" s="427">
        <f>'ADJ DETAIL-INPUT'!T9</f>
        <v>2.1199999999999974</v>
      </c>
      <c r="U10" s="427">
        <f>'ADJ DETAIL-INPUT'!U9</f>
        <v>2.1299999999999972</v>
      </c>
      <c r="V10" s="427">
        <f>'ADJ DETAIL-INPUT'!V9</f>
        <v>2.139999999999997</v>
      </c>
      <c r="W10" s="427">
        <f>'ADJ DETAIL-INPUT'!W9</f>
        <v>2.1499999999999968</v>
      </c>
      <c r="X10" s="427">
        <f>'ADJ DETAIL-INPUT'!X9</f>
        <v>2.1599999999999966</v>
      </c>
      <c r="Y10" s="427">
        <f>'ADJ DETAIL-INPUT'!Y9</f>
        <v>2.1699999999999964</v>
      </c>
      <c r="Z10" s="427">
        <f>'ADJ DETAIL-INPUT'!Z9</f>
        <v>2.1799999999999962</v>
      </c>
      <c r="AA10" s="427">
        <f>'ADJ DETAIL-INPUT'!AA9</f>
        <v>2.1899999999999959</v>
      </c>
      <c r="AB10" s="427">
        <f>'ADJ DETAIL-INPUT'!AB9</f>
        <v>2.1999999999999957</v>
      </c>
      <c r="AC10" s="427" t="str">
        <f>'ADJ DETAIL-INPUT'!AD9</f>
        <v>3.00P</v>
      </c>
      <c r="AD10" s="427" t="str">
        <f>'ADJ DETAIL-INPUT'!AE9</f>
        <v>3.00T</v>
      </c>
      <c r="AE10" s="427">
        <f>'ADJ DETAIL-INPUT'!AF9</f>
        <v>3.01</v>
      </c>
      <c r="AF10" s="427">
        <f>'ADJ DETAIL-INPUT'!AG9</f>
        <v>3.0199999999999996</v>
      </c>
      <c r="AG10" s="427">
        <f>'ADJ DETAIL-INPUT'!AH9</f>
        <v>3.0299999999999994</v>
      </c>
      <c r="AH10" s="427">
        <f>'ADJ DETAIL-INPUT'!AI9</f>
        <v>3.0399999999999991</v>
      </c>
      <c r="AI10" s="427">
        <f>'ADJ DETAIL-INPUT'!AJ9</f>
        <v>3.0499999999999989</v>
      </c>
      <c r="AJ10" s="427">
        <f>'ADJ DETAIL-INPUT'!AK9</f>
        <v>3.0599999999999987</v>
      </c>
      <c r="AK10" s="427">
        <f>'ADJ DETAIL-INPUT'!AL9</f>
        <v>3.0699999999999985</v>
      </c>
      <c r="AL10" s="427">
        <f>'ADJ DETAIL-INPUT'!AM9</f>
        <v>3.0799999999999983</v>
      </c>
      <c r="AM10" s="427">
        <f>'ADJ DETAIL-INPUT'!AN9</f>
        <v>3.0899999999999981</v>
      </c>
      <c r="AN10" s="427">
        <f>'ADJ DETAIL-INPUT'!AO9</f>
        <v>3.0999999999999979</v>
      </c>
      <c r="AO10" s="427">
        <f>'ADJ DETAIL-INPUT'!AP9</f>
        <v>3.1099999999999977</v>
      </c>
      <c r="AP10" s="427">
        <f>'ADJ DETAIL-INPUT'!AQ9</f>
        <v>3.1199999999999974</v>
      </c>
      <c r="AQ10" s="427">
        <f>'ADJ DETAIL-INPUT'!AR9</f>
        <v>3.1299999999999972</v>
      </c>
      <c r="AR10" s="427">
        <f>'ADJ DETAIL-INPUT'!AS9</f>
        <v>3.139999999999997</v>
      </c>
      <c r="AS10" s="427">
        <f>'ADJ DETAIL-INPUT'!AT9</f>
        <v>3.1499999999999968</v>
      </c>
      <c r="AT10" s="427">
        <f>'ADJ DETAIL-INPUT'!AU9</f>
        <v>3.1599999999999966</v>
      </c>
      <c r="AU10" s="427">
        <f>'ADJ DETAIL-INPUT'!AV9</f>
        <v>3.1699999999999964</v>
      </c>
      <c r="AV10" s="427">
        <f>'ADJ DETAIL-INPUT'!AW9</f>
        <v>3.1799999999999962</v>
      </c>
      <c r="AW10" s="427">
        <f>'ADJ DETAIL-INPUT'!AX9</f>
        <v>3.1899999999999959</v>
      </c>
      <c r="AX10" s="427">
        <f>'ADJ DETAIL-INPUT'!AY9</f>
        <v>4.01</v>
      </c>
      <c r="AY10" s="427">
        <f>'ADJ DETAIL-INPUT'!AZ9</f>
        <v>4.0199999999999996</v>
      </c>
      <c r="AZ10" s="427">
        <f>'ADJ DETAIL-INPUT'!BA9</f>
        <v>4.0299999999999994</v>
      </c>
      <c r="BA10" s="427">
        <f>'ADJ DETAIL-INPUT'!BB9</f>
        <v>4.0399999999999991</v>
      </c>
      <c r="BB10" s="427">
        <f>'ADJ DETAIL-INPUT'!BC9</f>
        <v>4.0499999999999989</v>
      </c>
      <c r="BC10" s="427">
        <f>'ADJ DETAIL-INPUT'!BD9</f>
        <v>4.0599999999999987</v>
      </c>
      <c r="BD10" s="427">
        <f>'ADJ DETAIL-INPUT'!BE9</f>
        <v>4.0699999999999985</v>
      </c>
      <c r="BE10" s="427">
        <f>'ADJ DETAIL-INPUT'!BF9</f>
        <v>4.0799999999999983</v>
      </c>
      <c r="BF10" s="427">
        <f>'ADJ DETAIL-INPUT'!BJ9</f>
        <v>5</v>
      </c>
      <c r="BG10" s="427">
        <f>'ADJ DETAIL-INPUT'!BK9</f>
        <v>5.01</v>
      </c>
      <c r="BH10" s="427">
        <f>'ADJ DETAIL-INPUT'!BL9</f>
        <v>5.0199999999999996</v>
      </c>
      <c r="BI10" s="427">
        <f>'ADJ DETAIL-INPUT'!BM9</f>
        <v>5.0299999999999994</v>
      </c>
      <c r="BJ10" s="427">
        <f>'ADJ DETAIL-INPUT'!BN9</f>
        <v>5.0399999999999991</v>
      </c>
      <c r="BK10" s="427">
        <f>'ADJ DETAIL-INPUT'!BO9</f>
        <v>5.0499999999999989</v>
      </c>
      <c r="BL10" s="427">
        <f>'ADJ DETAIL-INPUT'!BP9</f>
        <v>5.0599999999999987</v>
      </c>
      <c r="BM10" s="427">
        <f>'ADJ DETAIL-INPUT'!BQ9</f>
        <v>5.0699999999999985</v>
      </c>
      <c r="BN10" s="427">
        <f>'ADJ DETAIL-INPUT'!BR9</f>
        <v>5.0799999999999983</v>
      </c>
      <c r="BO10" s="427">
        <f>'ADJ DETAIL-INPUT'!BS9</f>
        <v>5.0899999999999981</v>
      </c>
      <c r="BP10" s="427">
        <f>'ADJ DETAIL-INPUT'!BT9</f>
        <v>5.0999999999999979</v>
      </c>
      <c r="BQ10" s="427">
        <f>'ADJ DETAIL-INPUT'!BU9</f>
        <v>5.1099999999999977</v>
      </c>
      <c r="BR10" s="427">
        <f>'ADJ DETAIL-INPUT'!BV9</f>
        <v>5.1199999999999974</v>
      </c>
    </row>
    <row r="11" spans="1:70" s="426" customFormat="1">
      <c r="A11" s="339"/>
      <c r="B11" s="340" t="s">
        <v>555</v>
      </c>
      <c r="C11" s="339"/>
      <c r="D11" s="339"/>
      <c r="E11" s="432" t="str">
        <f>'ADJ DETAIL-INPUT'!E10</f>
        <v>E-ROO</v>
      </c>
      <c r="F11" s="432" t="str">
        <f>'ADJ DETAIL-INPUT'!F10</f>
        <v>E-DFIT</v>
      </c>
      <c r="G11" s="432" t="str">
        <f>'ADJ DETAIL-INPUT'!G10</f>
        <v>E-DDC</v>
      </c>
      <c r="H11" s="432" t="str">
        <f>'ADJ DETAIL-INPUT'!H10</f>
        <v xml:space="preserve">E-WC </v>
      </c>
      <c r="I11" s="432" t="str">
        <f>'ADJ DETAIL-INPUT'!I10</f>
        <v>E-EBO</v>
      </c>
      <c r="J11" s="432" t="str">
        <f>'ADJ DETAIL-INPUT'!J10</f>
        <v>E-RPT</v>
      </c>
      <c r="K11" s="432" t="str">
        <f>'ADJ DETAIL-INPUT'!K10</f>
        <v>E-UE</v>
      </c>
      <c r="L11" s="432" t="str">
        <f>'ADJ DETAIL-INPUT'!L10</f>
        <v>E-RE</v>
      </c>
      <c r="M11" s="432" t="str">
        <f>'ADJ DETAIL-INPUT'!M10</f>
        <v>E-ID</v>
      </c>
      <c r="N11" s="432" t="str">
        <f>'ADJ DETAIL-INPUT'!N10</f>
        <v xml:space="preserve">E-FIT </v>
      </c>
      <c r="O11" s="432" t="str">
        <f>'ADJ DETAIL-INPUT'!O10</f>
        <v>E-OSC</v>
      </c>
      <c r="P11" s="432" t="str">
        <f>'ADJ DETAIL-INPUT'!P10</f>
        <v>E-RET</v>
      </c>
      <c r="Q11" s="432" t="str">
        <f>'ADJ DETAIL-INPUT'!Q10</f>
        <v>E-NGL</v>
      </c>
      <c r="R11" s="432" t="str">
        <f>'ADJ DETAIL-INPUT'!R10</f>
        <v>E-WN</v>
      </c>
      <c r="S11" s="432" t="str">
        <f>'ADJ DETAIL-INPUT'!S10</f>
        <v>E-EAS</v>
      </c>
      <c r="T11" s="432" t="str">
        <f>'ADJ DETAIL-INPUT'!T10</f>
        <v>E-MR</v>
      </c>
      <c r="U11" s="432" t="str">
        <f>'ADJ DETAIL-INPUT'!U10</f>
        <v>E-RI</v>
      </c>
      <c r="V11" s="432" t="str">
        <f>'ADJ DETAIL-INPUT'!V10</f>
        <v>E-RDI</v>
      </c>
      <c r="W11" s="432" t="str">
        <f>'ADJ DETAIL-INPUT'!W10</f>
        <v>E-EOP09.2021</v>
      </c>
      <c r="X11" s="432" t="str">
        <f>'ADJ DETAIL-INPUT'!X10</f>
        <v>E-EWPC</v>
      </c>
      <c r="Y11" s="432" t="str">
        <f>'ADJ DETAIL-INPUT'!Y10</f>
        <v>E-NPS</v>
      </c>
      <c r="Z11" s="432" t="str">
        <f>'ADJ DETAIL-INPUT'!Z10</f>
        <v>E-RMM</v>
      </c>
      <c r="AA11" s="432" t="str">
        <f>'ADJ DETAIL-INPUT'!AA10</f>
        <v>E-APS</v>
      </c>
      <c r="AB11" s="432" t="str">
        <f>'ADJ DETAIL-INPUT'!AB10</f>
        <v>E-TCRL</v>
      </c>
      <c r="AC11" s="432" t="str">
        <f>'ADJ DETAIL-INPUT'!AD10</f>
        <v>E-PPS</v>
      </c>
      <c r="AD11" s="432" t="str">
        <f>'ADJ DETAIL-INPUT'!AE10</f>
        <v>E-PTRAN</v>
      </c>
      <c r="AE11" s="432" t="str">
        <f>'ADJ DETAIL-INPUT'!AF10</f>
        <v>E-PREV</v>
      </c>
      <c r="AF11" s="432" t="str">
        <f>'ADJ DETAIL-INPUT'!AG10</f>
        <v>E-PRA</v>
      </c>
      <c r="AG11" s="432" t="str">
        <f>'ADJ DETAIL-INPUT'!AH10</f>
        <v>E-ARAM</v>
      </c>
      <c r="AH11" s="432" t="str">
        <f>'ADJ DETAIL-INPUT'!AI10</f>
        <v>E-PAMI</v>
      </c>
      <c r="AI11" s="432" t="str">
        <f>'ADJ DETAIL-INPUT'!AJ10</f>
        <v>E-PAMM</v>
      </c>
      <c r="AJ11" s="432" t="str">
        <f>'ADJ DETAIL-INPUT'!AK10</f>
        <v>E-CEIP</v>
      </c>
      <c r="AK11" s="432" t="str">
        <f>'ADJ DETAIL-INPUT'!AL10</f>
        <v>E-PLN</v>
      </c>
      <c r="AL11" s="432" t="str">
        <f>'ADJ DETAIL-INPUT'!AM10</f>
        <v>E-PLE</v>
      </c>
      <c r="AM11" s="432" t="str">
        <f>'ADJ DETAIL-INPUT'!AN10</f>
        <v>E-PEB</v>
      </c>
      <c r="AN11" s="432" t="str">
        <f>'ADJ DETAIL-INPUT'!AO10</f>
        <v>E-LIRAP</v>
      </c>
      <c r="AO11" s="432" t="str">
        <f>'ADJ DETAIL-INPUT'!AP10</f>
        <v>E-PPT</v>
      </c>
      <c r="AP11" s="432" t="str">
        <f>'ADJ DETAIL-INPUT'!AQ10</f>
        <v>E-PINS</v>
      </c>
      <c r="AQ11" s="432" t="str">
        <f>'ADJ DETAIL-INPUT'!AR10</f>
        <v>E-PIT</v>
      </c>
      <c r="AR11" s="432" t="str">
        <f>'ADJ DETAIL-INPUT'!AS10</f>
        <v>E-PMisc</v>
      </c>
      <c r="AS11" s="432" t="str">
        <f>'ADJ DETAIL-INPUT'!AT10</f>
        <v>E-EOP12.2021</v>
      </c>
      <c r="AT11" s="432" t="str">
        <f>'ADJ DETAIL-INPUT'!AU10</f>
        <v>E-TER</v>
      </c>
      <c r="AU11" s="432" t="str">
        <f>'ADJ DETAIL-INPUT'!AV10</f>
        <v>E-PEIM</v>
      </c>
      <c r="AV11" s="432" t="str">
        <f>'ADJ DETAIL-INPUT'!AW10</f>
        <v>E-WF21</v>
      </c>
      <c r="AW11" s="432" t="str">
        <f>'ADJ DETAIL-INPUT'!AX10</f>
        <v>E-COL21</v>
      </c>
      <c r="AX11" s="432" t="str">
        <f>'ADJ DETAIL-INPUT'!AY10</f>
        <v>E-PVCap22</v>
      </c>
      <c r="AY11" s="432" t="str">
        <f>'ADJ DETAIL-INPUT'!AZ10</f>
        <v>E-PVCap23</v>
      </c>
      <c r="AZ11" s="432" t="str">
        <f>'ADJ DETAIL-INPUT'!BA10</f>
        <v>E-Offsets23</v>
      </c>
      <c r="BA11" s="432" t="str">
        <f>'ADJ DETAIL-INPUT'!BB10</f>
        <v>E-PVWF22</v>
      </c>
      <c r="BB11" s="432" t="str">
        <f>'ADJ DETAIL-INPUT'!BC10</f>
        <v>E-PVWF23</v>
      </c>
      <c r="BC11" s="432" t="str">
        <f>'ADJ DETAIL-INPUT'!BD10</f>
        <v>E-PVCOL22</v>
      </c>
      <c r="BD11" s="432" t="str">
        <f>'ADJ DETAIL-INPUT'!BE10</f>
        <v>E-PVCOL23</v>
      </c>
      <c r="BE11" s="432" t="str">
        <f>'ADJ DETAIL-INPUT'!BF10</f>
        <v>E-PVEIM23</v>
      </c>
      <c r="BF11" s="432" t="str">
        <f>'ADJ DETAIL-INPUT'!BJ10</f>
        <v>E-ARAM24</v>
      </c>
      <c r="BG11" s="432" t="str">
        <f>'ADJ DETAIL-INPUT'!BK10</f>
        <v>E-AMI24</v>
      </c>
      <c r="BH11" s="432" t="str">
        <f>'ADJ DETAIL-INPUT'!BL10</f>
        <v>E-PLN24</v>
      </c>
      <c r="BI11" s="432" t="str">
        <f>'ADJ DETAIL-INPUT'!BM10</f>
        <v>E-PEB24</v>
      </c>
      <c r="BJ11" s="432" t="str">
        <f>'ADJ DETAIL-INPUT'!BN10</f>
        <v>E-PPT24</v>
      </c>
      <c r="BK11" s="432" t="str">
        <f>'ADJ DETAIL-INPUT'!BO10</f>
        <v>E-PINS24</v>
      </c>
      <c r="BL11" s="432" t="str">
        <f>'ADJ DETAIL-INPUT'!BP10</f>
        <v>E-TER24</v>
      </c>
      <c r="BM11" s="432" t="str">
        <f>'ADJ DETAIL-INPUT'!BQ10</f>
        <v>E-PMisc24</v>
      </c>
      <c r="BN11" s="432" t="str">
        <f>'ADJ DETAIL-INPUT'!BR10</f>
        <v>E-PVCap24</v>
      </c>
      <c r="BO11" s="432" t="str">
        <f>'ADJ DETAIL-INPUT'!BS10</f>
        <v>E-Offsets24</v>
      </c>
      <c r="BP11" s="432" t="str">
        <f>'ADJ DETAIL-INPUT'!BT10</f>
        <v>E-PVWF24</v>
      </c>
      <c r="BQ11" s="432" t="str">
        <f>'ADJ DETAIL-INPUT'!BU10</f>
        <v>E-PVCOL24</v>
      </c>
      <c r="BR11" s="432" t="str">
        <f>'ADJ DETAIL-INPUT'!BV10</f>
        <v>E-PVEIM24</v>
      </c>
    </row>
    <row r="12" spans="1:70" s="426" customFormat="1">
      <c r="B12" s="429"/>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7"/>
      <c r="BQ12" s="427"/>
      <c r="BR12" s="427"/>
    </row>
    <row r="13" spans="1:70">
      <c r="B13" s="381" t="str">
        <f>'ADJ DETAIL-INPUT'!B12</f>
        <v xml:space="preserve">REVENUES  </v>
      </c>
    </row>
    <row r="14" spans="1:70" s="395" customFormat="1">
      <c r="A14" s="394">
        <f>'ADJ DETAIL-INPUT'!A13</f>
        <v>1</v>
      </c>
      <c r="B14" s="395" t="str">
        <f>'ADJ DETAIL-INPUT'!B13</f>
        <v xml:space="preserve">Total General Business  </v>
      </c>
      <c r="E14" s="419">
        <f>'ADJ DETAIL-INPUT'!E13</f>
        <v>565624</v>
      </c>
      <c r="F14" s="425">
        <f>'ADJ DETAIL-INPUT'!F13</f>
        <v>0</v>
      </c>
      <c r="G14" s="425">
        <f>'ADJ DETAIL-INPUT'!G13</f>
        <v>0</v>
      </c>
      <c r="H14" s="425">
        <f>'ADJ DETAIL-INPUT'!H13</f>
        <v>0</v>
      </c>
      <c r="I14" s="425">
        <f>'ADJ DETAIL-INPUT'!I13</f>
        <v>-19433</v>
      </c>
      <c r="J14" s="425">
        <f>'ADJ DETAIL-INPUT'!J13</f>
        <v>0</v>
      </c>
      <c r="K14" s="425">
        <f>'ADJ DETAIL-INPUT'!K13</f>
        <v>0</v>
      </c>
      <c r="L14" s="425">
        <f>'ADJ DETAIL-INPUT'!L13</f>
        <v>0</v>
      </c>
      <c r="M14" s="425">
        <f>'ADJ DETAIL-INPUT'!M13</f>
        <v>0</v>
      </c>
      <c r="N14" s="425">
        <f>'ADJ DETAIL-INPUT'!N13</f>
        <v>0</v>
      </c>
      <c r="O14" s="425">
        <f>'ADJ DETAIL-INPUT'!O13</f>
        <v>0</v>
      </c>
      <c r="P14" s="425">
        <f>'ADJ DETAIL-INPUT'!P13</f>
        <v>0</v>
      </c>
      <c r="Q14" s="425">
        <f>'ADJ DETAIL-INPUT'!Q13</f>
        <v>0</v>
      </c>
      <c r="R14" s="425">
        <f>'ADJ DETAIL-INPUT'!R13</f>
        <v>-8167</v>
      </c>
      <c r="S14" s="425">
        <f>'ADJ DETAIL-INPUT'!S13</f>
        <v>-26485</v>
      </c>
      <c r="T14" s="425">
        <f>'ADJ DETAIL-INPUT'!T13</f>
        <v>0</v>
      </c>
      <c r="U14" s="425">
        <f>'ADJ DETAIL-INPUT'!U13</f>
        <v>0</v>
      </c>
      <c r="V14" s="425">
        <f>'ADJ DETAIL-INPUT'!V13</f>
        <v>0</v>
      </c>
      <c r="W14" s="425">
        <f>'ADJ DETAIL-INPUT'!W13</f>
        <v>0</v>
      </c>
      <c r="X14" s="425">
        <f>'ADJ DETAIL-INPUT'!X13</f>
        <v>22989</v>
      </c>
      <c r="Y14" s="425">
        <f>'ADJ DETAIL-INPUT'!Y13</f>
        <v>0</v>
      </c>
      <c r="Z14" s="425">
        <f>'ADJ DETAIL-INPUT'!Z13</f>
        <v>0</v>
      </c>
      <c r="AA14" s="425">
        <f>'ADJ DETAIL-INPUT'!AA13</f>
        <v>0</v>
      </c>
      <c r="AB14" s="425">
        <f>'ADJ DETAIL-INPUT'!AB13</f>
        <v>0</v>
      </c>
      <c r="AC14" s="425">
        <f>'ADJ DETAIL-INPUT'!AD13</f>
        <v>0</v>
      </c>
      <c r="AD14" s="425">
        <f>'ADJ DETAIL-INPUT'!AE13</f>
        <v>0</v>
      </c>
      <c r="AE14" s="425">
        <f>'ADJ DETAIL-INPUT'!AF13</f>
        <v>14875</v>
      </c>
      <c r="AF14" s="425">
        <f>'ADJ DETAIL-INPUT'!AG13</f>
        <v>0</v>
      </c>
      <c r="AG14" s="425">
        <f>'ADJ DETAIL-INPUT'!AH13</f>
        <v>0</v>
      </c>
      <c r="AH14" s="425">
        <f>'ADJ DETAIL-INPUT'!AI13</f>
        <v>0</v>
      </c>
      <c r="AI14" s="425">
        <f>'ADJ DETAIL-INPUT'!AJ13</f>
        <v>0</v>
      </c>
      <c r="AJ14" s="425">
        <f>'ADJ DETAIL-INPUT'!AK13</f>
        <v>0</v>
      </c>
      <c r="AK14" s="425">
        <f>'ADJ DETAIL-INPUT'!AL13</f>
        <v>0</v>
      </c>
      <c r="AL14" s="425">
        <f>'ADJ DETAIL-INPUT'!AM13</f>
        <v>0</v>
      </c>
      <c r="AM14" s="425">
        <f>'ADJ DETAIL-INPUT'!AN13</f>
        <v>0</v>
      </c>
      <c r="AN14" s="425">
        <f>'ADJ DETAIL-INPUT'!AO13</f>
        <v>0</v>
      </c>
      <c r="AO14" s="425">
        <f>'ADJ DETAIL-INPUT'!AP13</f>
        <v>0</v>
      </c>
      <c r="AP14" s="425">
        <f>'ADJ DETAIL-INPUT'!AQ13</f>
        <v>0</v>
      </c>
      <c r="AQ14" s="425">
        <f>'ADJ DETAIL-INPUT'!AR13</f>
        <v>0</v>
      </c>
      <c r="AR14" s="425">
        <f>'ADJ DETAIL-INPUT'!AS13</f>
        <v>0</v>
      </c>
      <c r="AS14" s="425">
        <f>'ADJ DETAIL-INPUT'!AT13</f>
        <v>0</v>
      </c>
      <c r="AT14" s="425">
        <f>'ADJ DETAIL-INPUT'!AU13</f>
        <v>0</v>
      </c>
      <c r="AU14" s="425">
        <f>'ADJ DETAIL-INPUT'!AV13</f>
        <v>0</v>
      </c>
      <c r="AV14" s="425">
        <f>'ADJ DETAIL-INPUT'!AW13</f>
        <v>0</v>
      </c>
      <c r="AW14" s="425">
        <f>'ADJ DETAIL-INPUT'!AX13</f>
        <v>0</v>
      </c>
      <c r="AX14" s="425">
        <f>'ADJ DETAIL-INPUT'!AY13</f>
        <v>0</v>
      </c>
      <c r="AY14" s="425">
        <f>'ADJ DETAIL-INPUT'!AZ13</f>
        <v>0</v>
      </c>
      <c r="AZ14" s="425">
        <f>'ADJ DETAIL-INPUT'!BA13</f>
        <v>0</v>
      </c>
      <c r="BA14" s="425">
        <f>'ADJ DETAIL-INPUT'!BB13</f>
        <v>0</v>
      </c>
      <c r="BB14" s="425">
        <f>'ADJ DETAIL-INPUT'!BC13</f>
        <v>0</v>
      </c>
      <c r="BC14" s="425">
        <f>'ADJ DETAIL-INPUT'!BD13</f>
        <v>0</v>
      </c>
      <c r="BD14" s="425">
        <f>'ADJ DETAIL-INPUT'!BE13</f>
        <v>0</v>
      </c>
      <c r="BE14" s="425">
        <f>'ADJ DETAIL-INPUT'!BF13</f>
        <v>0</v>
      </c>
      <c r="BF14" s="425">
        <f>'ADJ DETAIL-INPUT'!BJ13</f>
        <v>0</v>
      </c>
      <c r="BG14" s="425">
        <f>'ADJ DETAIL-INPUT'!BK13</f>
        <v>0</v>
      </c>
      <c r="BH14" s="425">
        <f>'ADJ DETAIL-INPUT'!BL13</f>
        <v>0</v>
      </c>
      <c r="BI14" s="425">
        <f>'ADJ DETAIL-INPUT'!BM13</f>
        <v>0</v>
      </c>
      <c r="BJ14" s="425">
        <f>'ADJ DETAIL-INPUT'!BN13</f>
        <v>0</v>
      </c>
      <c r="BK14" s="425">
        <f>'ADJ DETAIL-INPUT'!BO13</f>
        <v>0</v>
      </c>
      <c r="BL14" s="425">
        <f>'ADJ DETAIL-INPUT'!BP13</f>
        <v>0</v>
      </c>
      <c r="BM14" s="425">
        <f>'ADJ DETAIL-INPUT'!BQ13</f>
        <v>0</v>
      </c>
      <c r="BN14" s="425">
        <f>'ADJ DETAIL-INPUT'!BR13</f>
        <v>0</v>
      </c>
      <c r="BO14" s="425">
        <f>'ADJ DETAIL-INPUT'!BS13</f>
        <v>0</v>
      </c>
      <c r="BP14" s="425">
        <f>'ADJ DETAIL-INPUT'!BT13</f>
        <v>0</v>
      </c>
      <c r="BQ14" s="425">
        <f>'ADJ DETAIL-INPUT'!BU13</f>
        <v>0</v>
      </c>
      <c r="BR14" s="425">
        <f>'ADJ DETAIL-INPUT'!BV13</f>
        <v>0</v>
      </c>
    </row>
    <row r="15" spans="1:70" s="396" customFormat="1">
      <c r="A15" s="394">
        <f>'ADJ DETAIL-INPUT'!A14</f>
        <v>2</v>
      </c>
      <c r="B15" s="396" t="str">
        <f>'ADJ DETAIL-INPUT'!B14</f>
        <v xml:space="preserve">Interdepartmental Sales  </v>
      </c>
      <c r="E15" s="399">
        <f>'ADJ DETAIL-INPUT'!E14</f>
        <v>1173</v>
      </c>
      <c r="F15" s="405">
        <f>'ADJ DETAIL-INPUT'!F14</f>
        <v>0</v>
      </c>
      <c r="G15" s="405">
        <f>'ADJ DETAIL-INPUT'!G14</f>
        <v>0</v>
      </c>
      <c r="H15" s="405">
        <f>'ADJ DETAIL-INPUT'!H14</f>
        <v>0</v>
      </c>
      <c r="I15" s="405">
        <f>'ADJ DETAIL-INPUT'!I14</f>
        <v>0</v>
      </c>
      <c r="J15" s="405">
        <f>'ADJ DETAIL-INPUT'!J14</f>
        <v>0</v>
      </c>
      <c r="K15" s="405">
        <f>'ADJ DETAIL-INPUT'!K14</f>
        <v>0</v>
      </c>
      <c r="L15" s="405">
        <f>'ADJ DETAIL-INPUT'!L14</f>
        <v>0</v>
      </c>
      <c r="M15" s="405">
        <f>'ADJ DETAIL-INPUT'!M14</f>
        <v>0</v>
      </c>
      <c r="N15" s="405">
        <f>'ADJ DETAIL-INPUT'!N14</f>
        <v>0</v>
      </c>
      <c r="O15" s="405">
        <f>'ADJ DETAIL-INPUT'!O14</f>
        <v>0</v>
      </c>
      <c r="P15" s="405">
        <f>'ADJ DETAIL-INPUT'!P14</f>
        <v>0</v>
      </c>
      <c r="Q15" s="405">
        <f>'ADJ DETAIL-INPUT'!Q14</f>
        <v>0</v>
      </c>
      <c r="R15" s="405">
        <f>'ADJ DETAIL-INPUT'!R14</f>
        <v>0</v>
      </c>
      <c r="S15" s="405">
        <f>'ADJ DETAIL-INPUT'!S14</f>
        <v>0</v>
      </c>
      <c r="T15" s="405">
        <f>'ADJ DETAIL-INPUT'!T14</f>
        <v>0</v>
      </c>
      <c r="U15" s="405">
        <f>'ADJ DETAIL-INPUT'!U14</f>
        <v>0</v>
      </c>
      <c r="V15" s="405">
        <f>'ADJ DETAIL-INPUT'!V14</f>
        <v>0</v>
      </c>
      <c r="W15" s="405">
        <f>'ADJ DETAIL-INPUT'!W14</f>
        <v>0</v>
      </c>
      <c r="X15" s="405">
        <f>'ADJ DETAIL-INPUT'!X14</f>
        <v>0</v>
      </c>
      <c r="Y15" s="405">
        <f>'ADJ DETAIL-INPUT'!Y14</f>
        <v>0</v>
      </c>
      <c r="Z15" s="405">
        <f>'ADJ DETAIL-INPUT'!Z14</f>
        <v>0</v>
      </c>
      <c r="AA15" s="405">
        <f>'ADJ DETAIL-INPUT'!AA14</f>
        <v>0</v>
      </c>
      <c r="AB15" s="405">
        <f>'ADJ DETAIL-INPUT'!AB14</f>
        <v>0</v>
      </c>
      <c r="AC15" s="405">
        <f>'ADJ DETAIL-INPUT'!AD14</f>
        <v>0</v>
      </c>
      <c r="AD15" s="405">
        <f>'ADJ DETAIL-INPUT'!AE14</f>
        <v>0</v>
      </c>
      <c r="AE15" s="405">
        <f>'ADJ DETAIL-INPUT'!AF14</f>
        <v>0</v>
      </c>
      <c r="AF15" s="405">
        <f>'ADJ DETAIL-INPUT'!AG14</f>
        <v>0</v>
      </c>
      <c r="AG15" s="405">
        <f>'ADJ DETAIL-INPUT'!AH14</f>
        <v>0</v>
      </c>
      <c r="AH15" s="405">
        <f>'ADJ DETAIL-INPUT'!AI14</f>
        <v>0</v>
      </c>
      <c r="AI15" s="405">
        <f>'ADJ DETAIL-INPUT'!AJ14</f>
        <v>0</v>
      </c>
      <c r="AJ15" s="405">
        <f>'ADJ DETAIL-INPUT'!AK14</f>
        <v>0</v>
      </c>
      <c r="AK15" s="405">
        <f>'ADJ DETAIL-INPUT'!AL14</f>
        <v>0</v>
      </c>
      <c r="AL15" s="405">
        <f>'ADJ DETAIL-INPUT'!AM14</f>
        <v>0</v>
      </c>
      <c r="AM15" s="405">
        <f>'ADJ DETAIL-INPUT'!AN14</f>
        <v>0</v>
      </c>
      <c r="AN15" s="405">
        <f>'ADJ DETAIL-INPUT'!AO14</f>
        <v>0</v>
      </c>
      <c r="AO15" s="405">
        <f>'ADJ DETAIL-INPUT'!AP14</f>
        <v>0</v>
      </c>
      <c r="AP15" s="405">
        <f>'ADJ DETAIL-INPUT'!AQ14</f>
        <v>0</v>
      </c>
      <c r="AQ15" s="405">
        <f>'ADJ DETAIL-INPUT'!AR14</f>
        <v>0</v>
      </c>
      <c r="AR15" s="405">
        <f>'ADJ DETAIL-INPUT'!AS14</f>
        <v>0</v>
      </c>
      <c r="AS15" s="405">
        <f>'ADJ DETAIL-INPUT'!AT14</f>
        <v>0</v>
      </c>
      <c r="AT15" s="405">
        <f>'ADJ DETAIL-INPUT'!AU14</f>
        <v>0</v>
      </c>
      <c r="AU15" s="405">
        <f>'ADJ DETAIL-INPUT'!AV14</f>
        <v>0</v>
      </c>
      <c r="AV15" s="405">
        <f>'ADJ DETAIL-INPUT'!AW14</f>
        <v>0</v>
      </c>
      <c r="AW15" s="405">
        <f>'ADJ DETAIL-INPUT'!AX14</f>
        <v>0</v>
      </c>
      <c r="AX15" s="405">
        <f>'ADJ DETAIL-INPUT'!AY14</f>
        <v>0</v>
      </c>
      <c r="AY15" s="405">
        <f>'ADJ DETAIL-INPUT'!AZ14</f>
        <v>0</v>
      </c>
      <c r="AZ15" s="405">
        <f>'ADJ DETAIL-INPUT'!BA14</f>
        <v>0</v>
      </c>
      <c r="BA15" s="405">
        <f>'ADJ DETAIL-INPUT'!BB14</f>
        <v>0</v>
      </c>
      <c r="BB15" s="405">
        <f>'ADJ DETAIL-INPUT'!BC14</f>
        <v>0</v>
      </c>
      <c r="BC15" s="405">
        <f>'ADJ DETAIL-INPUT'!BD14</f>
        <v>0</v>
      </c>
      <c r="BD15" s="405">
        <f>'ADJ DETAIL-INPUT'!BE14</f>
        <v>0</v>
      </c>
      <c r="BE15" s="405">
        <f>'ADJ DETAIL-INPUT'!BF14</f>
        <v>0</v>
      </c>
      <c r="BF15" s="405">
        <f>'ADJ DETAIL-INPUT'!BJ14</f>
        <v>0</v>
      </c>
      <c r="BG15" s="405">
        <f>'ADJ DETAIL-INPUT'!BK14</f>
        <v>0</v>
      </c>
      <c r="BH15" s="405">
        <f>'ADJ DETAIL-INPUT'!BL14</f>
        <v>0</v>
      </c>
      <c r="BI15" s="405">
        <f>'ADJ DETAIL-INPUT'!BM14</f>
        <v>0</v>
      </c>
      <c r="BJ15" s="405">
        <f>'ADJ DETAIL-INPUT'!BN14</f>
        <v>0</v>
      </c>
      <c r="BK15" s="405">
        <f>'ADJ DETAIL-INPUT'!BO14</f>
        <v>0</v>
      </c>
      <c r="BL15" s="405">
        <f>'ADJ DETAIL-INPUT'!BP14</f>
        <v>0</v>
      </c>
      <c r="BM15" s="405">
        <f>'ADJ DETAIL-INPUT'!BQ14</f>
        <v>0</v>
      </c>
      <c r="BN15" s="405">
        <f>'ADJ DETAIL-INPUT'!BR14</f>
        <v>0</v>
      </c>
      <c r="BO15" s="405">
        <f>'ADJ DETAIL-INPUT'!BS14</f>
        <v>0</v>
      </c>
      <c r="BP15" s="405">
        <f>'ADJ DETAIL-INPUT'!BT14</f>
        <v>0</v>
      </c>
      <c r="BQ15" s="405">
        <f>'ADJ DETAIL-INPUT'!BU14</f>
        <v>0</v>
      </c>
      <c r="BR15" s="405">
        <f>'ADJ DETAIL-INPUT'!BV14</f>
        <v>0</v>
      </c>
    </row>
    <row r="16" spans="1:70" s="396" customFormat="1">
      <c r="A16" s="394">
        <f>'ADJ DETAIL-INPUT'!A15</f>
        <v>3</v>
      </c>
      <c r="B16" s="396" t="str">
        <f>'ADJ DETAIL-INPUT'!B15</f>
        <v xml:space="preserve">Sales for Resale  </v>
      </c>
      <c r="E16" s="732">
        <f>'ADJ DETAIL-INPUT'!E15</f>
        <v>50450</v>
      </c>
      <c r="F16" s="414">
        <f>'ADJ DETAIL-INPUT'!F15</f>
        <v>0</v>
      </c>
      <c r="G16" s="414">
        <f>'ADJ DETAIL-INPUT'!G15</f>
        <v>0</v>
      </c>
      <c r="H16" s="414">
        <f>'ADJ DETAIL-INPUT'!H15</f>
        <v>0</v>
      </c>
      <c r="I16" s="414">
        <f>'ADJ DETAIL-INPUT'!I15</f>
        <v>0</v>
      </c>
      <c r="J16" s="414">
        <f>'ADJ DETAIL-INPUT'!J15</f>
        <v>0</v>
      </c>
      <c r="K16" s="414">
        <f>'ADJ DETAIL-INPUT'!K15</f>
        <v>0</v>
      </c>
      <c r="L16" s="414">
        <f>'ADJ DETAIL-INPUT'!L15</f>
        <v>0</v>
      </c>
      <c r="M16" s="414">
        <f>'ADJ DETAIL-INPUT'!M15</f>
        <v>0</v>
      </c>
      <c r="N16" s="414">
        <f>'ADJ DETAIL-INPUT'!N15</f>
        <v>0</v>
      </c>
      <c r="O16" s="414">
        <f>'ADJ DETAIL-INPUT'!O15</f>
        <v>0</v>
      </c>
      <c r="P16" s="414">
        <f>'ADJ DETAIL-INPUT'!P15</f>
        <v>0</v>
      </c>
      <c r="Q16" s="414">
        <f>'ADJ DETAIL-INPUT'!Q15</f>
        <v>0</v>
      </c>
      <c r="R16" s="414">
        <f>'ADJ DETAIL-INPUT'!R15</f>
        <v>0</v>
      </c>
      <c r="S16" s="414">
        <f>'ADJ DETAIL-INPUT'!S15</f>
        <v>0</v>
      </c>
      <c r="T16" s="414">
        <f>'ADJ DETAIL-INPUT'!T15</f>
        <v>0</v>
      </c>
      <c r="U16" s="414">
        <f>'ADJ DETAIL-INPUT'!U15</f>
        <v>0</v>
      </c>
      <c r="V16" s="414">
        <f>'ADJ DETAIL-INPUT'!V15</f>
        <v>0</v>
      </c>
      <c r="W16" s="414">
        <f>'ADJ DETAIL-INPUT'!W15</f>
        <v>0</v>
      </c>
      <c r="X16" s="414">
        <f>'ADJ DETAIL-INPUT'!X15</f>
        <v>0</v>
      </c>
      <c r="Y16" s="414">
        <f>'ADJ DETAIL-INPUT'!Y15</f>
        <v>0</v>
      </c>
      <c r="Z16" s="414">
        <f>'ADJ DETAIL-INPUT'!Z15</f>
        <v>0</v>
      </c>
      <c r="AA16" s="414">
        <f>'ADJ DETAIL-INPUT'!AA15</f>
        <v>-13832</v>
      </c>
      <c r="AB16" s="414">
        <f>'ADJ DETAIL-INPUT'!AB15</f>
        <v>0</v>
      </c>
      <c r="AC16" s="414">
        <f>'ADJ DETAIL-INPUT'!AD15</f>
        <v>53093</v>
      </c>
      <c r="AD16" s="414">
        <f>'ADJ DETAIL-INPUT'!AE15</f>
        <v>0</v>
      </c>
      <c r="AE16" s="414">
        <f>'ADJ DETAIL-INPUT'!AF15</f>
        <v>0</v>
      </c>
      <c r="AF16" s="414">
        <f>'ADJ DETAIL-INPUT'!AG15</f>
        <v>0</v>
      </c>
      <c r="AG16" s="414">
        <f>'ADJ DETAIL-INPUT'!AH15</f>
        <v>0</v>
      </c>
      <c r="AH16" s="414">
        <f>'ADJ DETAIL-INPUT'!AI15</f>
        <v>0</v>
      </c>
      <c r="AI16" s="414">
        <f>'ADJ DETAIL-INPUT'!AJ15</f>
        <v>0</v>
      </c>
      <c r="AJ16" s="414">
        <f>'ADJ DETAIL-INPUT'!AK15</f>
        <v>0</v>
      </c>
      <c r="AK16" s="414">
        <f>'ADJ DETAIL-INPUT'!AL15</f>
        <v>0</v>
      </c>
      <c r="AL16" s="414">
        <f>'ADJ DETAIL-INPUT'!AM15</f>
        <v>0</v>
      </c>
      <c r="AM16" s="414">
        <f>'ADJ DETAIL-INPUT'!AN15</f>
        <v>0</v>
      </c>
      <c r="AN16" s="414">
        <f>'ADJ DETAIL-INPUT'!AO15</f>
        <v>0</v>
      </c>
      <c r="AO16" s="414">
        <f>'ADJ DETAIL-INPUT'!AP15</f>
        <v>0</v>
      </c>
      <c r="AP16" s="414">
        <f>'ADJ DETAIL-INPUT'!AQ15</f>
        <v>0</v>
      </c>
      <c r="AQ16" s="414">
        <f>'ADJ DETAIL-INPUT'!AR15</f>
        <v>0</v>
      </c>
      <c r="AR16" s="414">
        <f>'ADJ DETAIL-INPUT'!AS15</f>
        <v>0</v>
      </c>
      <c r="AS16" s="414">
        <f>'ADJ DETAIL-INPUT'!AT15</f>
        <v>0</v>
      </c>
      <c r="AT16" s="414">
        <f>'ADJ DETAIL-INPUT'!AU15</f>
        <v>0</v>
      </c>
      <c r="AU16" s="414">
        <f>'ADJ DETAIL-INPUT'!AV15</f>
        <v>0</v>
      </c>
      <c r="AV16" s="414">
        <f>'ADJ DETAIL-INPUT'!AW15</f>
        <v>0</v>
      </c>
      <c r="AW16" s="414">
        <f>'ADJ DETAIL-INPUT'!AX15</f>
        <v>0</v>
      </c>
      <c r="AX16" s="414">
        <f>'ADJ DETAIL-INPUT'!AY15</f>
        <v>0</v>
      </c>
      <c r="AY16" s="414">
        <f>'ADJ DETAIL-INPUT'!AZ15</f>
        <v>0</v>
      </c>
      <c r="AZ16" s="414">
        <f>'ADJ DETAIL-INPUT'!BA15</f>
        <v>0</v>
      </c>
      <c r="BA16" s="414">
        <f>'ADJ DETAIL-INPUT'!BB15</f>
        <v>0</v>
      </c>
      <c r="BB16" s="414">
        <f>'ADJ DETAIL-INPUT'!BC15</f>
        <v>0</v>
      </c>
      <c r="BC16" s="414">
        <f>'ADJ DETAIL-INPUT'!BD15</f>
        <v>0</v>
      </c>
      <c r="BD16" s="414">
        <f>'ADJ DETAIL-INPUT'!BE15</f>
        <v>0</v>
      </c>
      <c r="BE16" s="414">
        <f>'ADJ DETAIL-INPUT'!BF15</f>
        <v>0</v>
      </c>
      <c r="BF16" s="414">
        <f>'ADJ DETAIL-INPUT'!BJ15</f>
        <v>0</v>
      </c>
      <c r="BG16" s="414">
        <f>'ADJ DETAIL-INPUT'!BK15</f>
        <v>0</v>
      </c>
      <c r="BH16" s="414">
        <f>'ADJ DETAIL-INPUT'!BL15</f>
        <v>0</v>
      </c>
      <c r="BI16" s="414">
        <f>'ADJ DETAIL-INPUT'!BM15</f>
        <v>0</v>
      </c>
      <c r="BJ16" s="414">
        <f>'ADJ DETAIL-INPUT'!BN15</f>
        <v>0</v>
      </c>
      <c r="BK16" s="414">
        <f>'ADJ DETAIL-INPUT'!BO15</f>
        <v>0</v>
      </c>
      <c r="BL16" s="414">
        <f>'ADJ DETAIL-INPUT'!BP15</f>
        <v>0</v>
      </c>
      <c r="BM16" s="414">
        <f>'ADJ DETAIL-INPUT'!BQ15</f>
        <v>0</v>
      </c>
      <c r="BN16" s="414">
        <f>'ADJ DETAIL-INPUT'!BR15</f>
        <v>0</v>
      </c>
      <c r="BO16" s="414">
        <f>'ADJ DETAIL-INPUT'!BS15</f>
        <v>0</v>
      </c>
      <c r="BP16" s="414">
        <f>'ADJ DETAIL-INPUT'!BT15</f>
        <v>0</v>
      </c>
      <c r="BQ16" s="414">
        <f>'ADJ DETAIL-INPUT'!BU15</f>
        <v>0</v>
      </c>
      <c r="BR16" s="414">
        <f>'ADJ DETAIL-INPUT'!BV15</f>
        <v>0</v>
      </c>
    </row>
    <row r="17" spans="1:70" s="396" customFormat="1">
      <c r="A17" s="394">
        <f>'ADJ DETAIL-INPUT'!A16</f>
        <v>4</v>
      </c>
      <c r="B17" s="396" t="str">
        <f>'ADJ DETAIL-INPUT'!B16</f>
        <v xml:space="preserve">Total Sales of Electricity  </v>
      </c>
      <c r="E17" s="399">
        <f>'ADJ DETAIL-INPUT'!E16</f>
        <v>617247</v>
      </c>
      <c r="F17" s="405">
        <f>'ADJ DETAIL-INPUT'!F16</f>
        <v>0</v>
      </c>
      <c r="G17" s="405">
        <f>'ADJ DETAIL-INPUT'!G16</f>
        <v>0</v>
      </c>
      <c r="H17" s="405">
        <f>'ADJ DETAIL-INPUT'!H16</f>
        <v>0</v>
      </c>
      <c r="I17" s="405">
        <f>'ADJ DETAIL-INPUT'!I16</f>
        <v>-19433</v>
      </c>
      <c r="J17" s="405">
        <f>'ADJ DETAIL-INPUT'!J16</f>
        <v>0</v>
      </c>
      <c r="K17" s="405">
        <f>'ADJ DETAIL-INPUT'!K16</f>
        <v>0</v>
      </c>
      <c r="L17" s="405">
        <f>'ADJ DETAIL-INPUT'!L16</f>
        <v>0</v>
      </c>
      <c r="M17" s="405">
        <f>'ADJ DETAIL-INPUT'!M16</f>
        <v>0</v>
      </c>
      <c r="N17" s="405">
        <f>'ADJ DETAIL-INPUT'!N16</f>
        <v>0</v>
      </c>
      <c r="O17" s="405">
        <f>'ADJ DETAIL-INPUT'!O16</f>
        <v>0</v>
      </c>
      <c r="P17" s="405">
        <f>'ADJ DETAIL-INPUT'!P16</f>
        <v>0</v>
      </c>
      <c r="Q17" s="405">
        <f>'ADJ DETAIL-INPUT'!Q16</f>
        <v>0</v>
      </c>
      <c r="R17" s="405">
        <f>'ADJ DETAIL-INPUT'!R16</f>
        <v>-8167</v>
      </c>
      <c r="S17" s="405">
        <f>'ADJ DETAIL-INPUT'!S16</f>
        <v>-26485</v>
      </c>
      <c r="T17" s="405">
        <f>'ADJ DETAIL-INPUT'!T16</f>
        <v>0</v>
      </c>
      <c r="U17" s="405">
        <f>'ADJ DETAIL-INPUT'!U16</f>
        <v>0</v>
      </c>
      <c r="V17" s="405">
        <f>'ADJ DETAIL-INPUT'!V16</f>
        <v>0</v>
      </c>
      <c r="W17" s="405">
        <f>'ADJ DETAIL-INPUT'!W16</f>
        <v>0</v>
      </c>
      <c r="X17" s="405">
        <f>'ADJ DETAIL-INPUT'!X16</f>
        <v>22989</v>
      </c>
      <c r="Y17" s="405">
        <f>'ADJ DETAIL-INPUT'!Y16</f>
        <v>0</v>
      </c>
      <c r="Z17" s="405">
        <f>'ADJ DETAIL-INPUT'!Z16</f>
        <v>0</v>
      </c>
      <c r="AA17" s="405">
        <f>'ADJ DETAIL-INPUT'!AA16</f>
        <v>-13832</v>
      </c>
      <c r="AB17" s="405">
        <f>'ADJ DETAIL-INPUT'!AB16</f>
        <v>0</v>
      </c>
      <c r="AC17" s="405">
        <f>'ADJ DETAIL-INPUT'!AD16</f>
        <v>53093</v>
      </c>
      <c r="AD17" s="405">
        <f>'ADJ DETAIL-INPUT'!AE16</f>
        <v>0</v>
      </c>
      <c r="AE17" s="405">
        <f>'ADJ DETAIL-INPUT'!AF16</f>
        <v>14875</v>
      </c>
      <c r="AF17" s="405">
        <f>'ADJ DETAIL-INPUT'!AG16</f>
        <v>0</v>
      </c>
      <c r="AG17" s="405">
        <f>'ADJ DETAIL-INPUT'!AH16</f>
        <v>0</v>
      </c>
      <c r="AH17" s="405">
        <f>'ADJ DETAIL-INPUT'!AI16</f>
        <v>0</v>
      </c>
      <c r="AI17" s="405">
        <f>'ADJ DETAIL-INPUT'!AJ16</f>
        <v>0</v>
      </c>
      <c r="AJ17" s="405">
        <f>'ADJ DETAIL-INPUT'!AK16</f>
        <v>0</v>
      </c>
      <c r="AK17" s="405">
        <f>'ADJ DETAIL-INPUT'!AL16</f>
        <v>0</v>
      </c>
      <c r="AL17" s="405">
        <f>'ADJ DETAIL-INPUT'!AM16</f>
        <v>0</v>
      </c>
      <c r="AM17" s="405">
        <f>'ADJ DETAIL-INPUT'!AN16</f>
        <v>0</v>
      </c>
      <c r="AN17" s="405">
        <f>'ADJ DETAIL-INPUT'!AO16</f>
        <v>0</v>
      </c>
      <c r="AO17" s="405">
        <f>'ADJ DETAIL-INPUT'!AP16</f>
        <v>0</v>
      </c>
      <c r="AP17" s="405">
        <f>'ADJ DETAIL-INPUT'!AQ16</f>
        <v>0</v>
      </c>
      <c r="AQ17" s="405">
        <f>'ADJ DETAIL-INPUT'!AR16</f>
        <v>0</v>
      </c>
      <c r="AR17" s="405">
        <f>'ADJ DETAIL-INPUT'!AS16</f>
        <v>0</v>
      </c>
      <c r="AS17" s="405">
        <f>'ADJ DETAIL-INPUT'!AT16</f>
        <v>0</v>
      </c>
      <c r="AT17" s="405">
        <f>'ADJ DETAIL-INPUT'!AU16</f>
        <v>0</v>
      </c>
      <c r="AU17" s="405">
        <f>'ADJ DETAIL-INPUT'!AV16</f>
        <v>0</v>
      </c>
      <c r="AV17" s="405">
        <f>'ADJ DETAIL-INPUT'!AW16</f>
        <v>0</v>
      </c>
      <c r="AW17" s="405">
        <f>'ADJ DETAIL-INPUT'!AX16</f>
        <v>0</v>
      </c>
      <c r="AX17" s="405">
        <f>'ADJ DETAIL-INPUT'!AY16</f>
        <v>0</v>
      </c>
      <c r="AY17" s="405">
        <f>'ADJ DETAIL-INPUT'!AZ16</f>
        <v>0</v>
      </c>
      <c r="AZ17" s="405">
        <f>'ADJ DETAIL-INPUT'!BA16</f>
        <v>0</v>
      </c>
      <c r="BA17" s="405">
        <f>'ADJ DETAIL-INPUT'!BB16</f>
        <v>0</v>
      </c>
      <c r="BB17" s="405">
        <f>'ADJ DETAIL-INPUT'!BC16</f>
        <v>0</v>
      </c>
      <c r="BC17" s="405">
        <f>'ADJ DETAIL-INPUT'!BD16</f>
        <v>0</v>
      </c>
      <c r="BD17" s="405">
        <f>'ADJ DETAIL-INPUT'!BE16</f>
        <v>0</v>
      </c>
      <c r="BE17" s="405">
        <f>'ADJ DETAIL-INPUT'!BF16</f>
        <v>0</v>
      </c>
      <c r="BF17" s="405">
        <f>'ADJ DETAIL-INPUT'!BJ16</f>
        <v>0</v>
      </c>
      <c r="BG17" s="405">
        <f>'ADJ DETAIL-INPUT'!BK16</f>
        <v>0</v>
      </c>
      <c r="BH17" s="405">
        <f>'ADJ DETAIL-INPUT'!BL16</f>
        <v>0</v>
      </c>
      <c r="BI17" s="405">
        <f>'ADJ DETAIL-INPUT'!BM16</f>
        <v>0</v>
      </c>
      <c r="BJ17" s="405">
        <f>'ADJ DETAIL-INPUT'!BN16</f>
        <v>0</v>
      </c>
      <c r="BK17" s="405">
        <f>'ADJ DETAIL-INPUT'!BO16</f>
        <v>0</v>
      </c>
      <c r="BL17" s="405">
        <f>'ADJ DETAIL-INPUT'!BP16</f>
        <v>0</v>
      </c>
      <c r="BM17" s="405">
        <f>'ADJ DETAIL-INPUT'!BQ16</f>
        <v>0</v>
      </c>
      <c r="BN17" s="405">
        <f>'ADJ DETAIL-INPUT'!BR16</f>
        <v>0</v>
      </c>
      <c r="BO17" s="405">
        <f>'ADJ DETAIL-INPUT'!BS16</f>
        <v>0</v>
      </c>
      <c r="BP17" s="405">
        <f>'ADJ DETAIL-INPUT'!BT16</f>
        <v>0</v>
      </c>
      <c r="BQ17" s="405">
        <f>'ADJ DETAIL-INPUT'!BU16</f>
        <v>0</v>
      </c>
      <c r="BR17" s="405">
        <f>'ADJ DETAIL-INPUT'!BV16</f>
        <v>0</v>
      </c>
    </row>
    <row r="18" spans="1:70" s="396" customFormat="1">
      <c r="A18" s="394">
        <f>'ADJ DETAIL-INPUT'!A17</f>
        <v>5</v>
      </c>
      <c r="B18" s="396" t="str">
        <f>'ADJ DETAIL-INPUT'!B17</f>
        <v xml:space="preserve">Other Revenue  </v>
      </c>
      <c r="E18" s="732">
        <f>'ADJ DETAIL-INPUT'!E17</f>
        <v>41339</v>
      </c>
      <c r="F18" s="414">
        <f>'ADJ DETAIL-INPUT'!F17</f>
        <v>0</v>
      </c>
      <c r="G18" s="414">
        <f>'ADJ DETAIL-INPUT'!G17</f>
        <v>0</v>
      </c>
      <c r="H18" s="414">
        <f>'ADJ DETAIL-INPUT'!H17</f>
        <v>0</v>
      </c>
      <c r="I18" s="414">
        <f>'ADJ DETAIL-INPUT'!I17</f>
        <v>-14</v>
      </c>
      <c r="J18" s="414">
        <f>'ADJ DETAIL-INPUT'!J17</f>
        <v>0</v>
      </c>
      <c r="K18" s="414">
        <f>'ADJ DETAIL-INPUT'!K17</f>
        <v>0</v>
      </c>
      <c r="L18" s="414">
        <f>'ADJ DETAIL-INPUT'!L17</f>
        <v>0</v>
      </c>
      <c r="M18" s="414">
        <f>'ADJ DETAIL-INPUT'!M17</f>
        <v>0</v>
      </c>
      <c r="N18" s="414">
        <f>'ADJ DETAIL-INPUT'!N17</f>
        <v>0</v>
      </c>
      <c r="O18" s="414">
        <f>'ADJ DETAIL-INPUT'!O17</f>
        <v>0</v>
      </c>
      <c r="P18" s="414">
        <f>'ADJ DETAIL-INPUT'!P17</f>
        <v>0</v>
      </c>
      <c r="Q18" s="414">
        <f>'ADJ DETAIL-INPUT'!Q17</f>
        <v>0</v>
      </c>
      <c r="R18" s="414">
        <f>'ADJ DETAIL-INPUT'!R17</f>
        <v>6175</v>
      </c>
      <c r="S18" s="414">
        <f>'ADJ DETAIL-INPUT'!S17</f>
        <v>13468</v>
      </c>
      <c r="T18" s="414">
        <f>'ADJ DETAIL-INPUT'!T17</f>
        <v>0</v>
      </c>
      <c r="U18" s="414">
        <f>'ADJ DETAIL-INPUT'!U17</f>
        <v>0</v>
      </c>
      <c r="V18" s="414">
        <f>'ADJ DETAIL-INPUT'!V17</f>
        <v>0</v>
      </c>
      <c r="W18" s="414">
        <f>'ADJ DETAIL-INPUT'!W17</f>
        <v>0</v>
      </c>
      <c r="X18" s="414">
        <f>'ADJ DETAIL-INPUT'!X17</f>
        <v>0</v>
      </c>
      <c r="Y18" s="414">
        <f>'ADJ DETAIL-INPUT'!Y17</f>
        <v>0</v>
      </c>
      <c r="Z18" s="414">
        <f>'ADJ DETAIL-INPUT'!Z17</f>
        <v>0</v>
      </c>
      <c r="AA18" s="414">
        <f>'ADJ DETAIL-INPUT'!AA17</f>
        <v>-45631</v>
      </c>
      <c r="AB18" s="414">
        <f>'ADJ DETAIL-INPUT'!AB17</f>
        <v>0</v>
      </c>
      <c r="AC18" s="414">
        <f>'ADJ DETAIL-INPUT'!AD17</f>
        <v>4135</v>
      </c>
      <c r="AD18" s="414">
        <f>'ADJ DETAIL-INPUT'!AE17</f>
        <v>10602</v>
      </c>
      <c r="AE18" s="414">
        <f>'ADJ DETAIL-INPUT'!AF17</f>
        <v>-1512</v>
      </c>
      <c r="AF18" s="414">
        <f>'ADJ DETAIL-INPUT'!AG17</f>
        <v>0</v>
      </c>
      <c r="AG18" s="414">
        <f>'ADJ DETAIL-INPUT'!AH17</f>
        <v>0</v>
      </c>
      <c r="AH18" s="414">
        <f>'ADJ DETAIL-INPUT'!AI17</f>
        <v>0</v>
      </c>
      <c r="AI18" s="414">
        <f>'ADJ DETAIL-INPUT'!AJ17</f>
        <v>0</v>
      </c>
      <c r="AJ18" s="414">
        <f>'ADJ DETAIL-INPUT'!AK17</f>
        <v>0</v>
      </c>
      <c r="AK18" s="414">
        <f>'ADJ DETAIL-INPUT'!AL17</f>
        <v>0</v>
      </c>
      <c r="AL18" s="414">
        <f>'ADJ DETAIL-INPUT'!AM17</f>
        <v>0</v>
      </c>
      <c r="AM18" s="414">
        <f>'ADJ DETAIL-INPUT'!AN17</f>
        <v>0</v>
      </c>
      <c r="AN18" s="414">
        <f>'ADJ DETAIL-INPUT'!AO17</f>
        <v>0</v>
      </c>
      <c r="AO18" s="414">
        <f>'ADJ DETAIL-INPUT'!AP17</f>
        <v>0</v>
      </c>
      <c r="AP18" s="414">
        <f>'ADJ DETAIL-INPUT'!AQ17</f>
        <v>0</v>
      </c>
      <c r="AQ18" s="414">
        <f>'ADJ DETAIL-INPUT'!AR17</f>
        <v>0</v>
      </c>
      <c r="AR18" s="414">
        <f>'ADJ DETAIL-INPUT'!AS17</f>
        <v>0</v>
      </c>
      <c r="AS18" s="414">
        <f>'ADJ DETAIL-INPUT'!AT17</f>
        <v>0</v>
      </c>
      <c r="AT18" s="414">
        <f>'ADJ DETAIL-INPUT'!AU17</f>
        <v>0</v>
      </c>
      <c r="AU18" s="414">
        <f>'ADJ DETAIL-INPUT'!AV17</f>
        <v>0</v>
      </c>
      <c r="AV18" s="414">
        <f>'ADJ DETAIL-INPUT'!AW17</f>
        <v>0</v>
      </c>
      <c r="AW18" s="414">
        <f>'ADJ DETAIL-INPUT'!AX17</f>
        <v>0</v>
      </c>
      <c r="AX18" s="414">
        <f>'ADJ DETAIL-INPUT'!AY17</f>
        <v>0</v>
      </c>
      <c r="AY18" s="414">
        <f>'ADJ DETAIL-INPUT'!AZ17</f>
        <v>0</v>
      </c>
      <c r="AZ18" s="414">
        <f>'ADJ DETAIL-INPUT'!BA17</f>
        <v>6923</v>
      </c>
      <c r="BA18" s="414">
        <f>'ADJ DETAIL-INPUT'!BB17</f>
        <v>0</v>
      </c>
      <c r="BB18" s="414">
        <f>'ADJ DETAIL-INPUT'!BC17</f>
        <v>0</v>
      </c>
      <c r="BC18" s="414">
        <f>'ADJ DETAIL-INPUT'!BD17</f>
        <v>0</v>
      </c>
      <c r="BD18" s="414">
        <f>'ADJ DETAIL-INPUT'!BE17</f>
        <v>0</v>
      </c>
      <c r="BE18" s="414">
        <f>'ADJ DETAIL-INPUT'!BF17</f>
        <v>0</v>
      </c>
      <c r="BF18" s="414">
        <f>'ADJ DETAIL-INPUT'!BJ17</f>
        <v>0</v>
      </c>
      <c r="BG18" s="414">
        <f>'ADJ DETAIL-INPUT'!BK17</f>
        <v>0</v>
      </c>
      <c r="BH18" s="414">
        <f>'ADJ DETAIL-INPUT'!BL17</f>
        <v>0</v>
      </c>
      <c r="BI18" s="414">
        <f>'ADJ DETAIL-INPUT'!BM17</f>
        <v>0</v>
      </c>
      <c r="BJ18" s="414">
        <f>'ADJ DETAIL-INPUT'!BN17</f>
        <v>0</v>
      </c>
      <c r="BK18" s="414">
        <f>'ADJ DETAIL-INPUT'!BO17</f>
        <v>0</v>
      </c>
      <c r="BL18" s="414">
        <f>'ADJ DETAIL-INPUT'!BP17</f>
        <v>0</v>
      </c>
      <c r="BM18" s="414">
        <f>'ADJ DETAIL-INPUT'!BQ17</f>
        <v>0</v>
      </c>
      <c r="BN18" s="414">
        <f>'ADJ DETAIL-INPUT'!BR17</f>
        <v>0</v>
      </c>
      <c r="BO18" s="414">
        <f>'ADJ DETAIL-INPUT'!BS17</f>
        <v>2797</v>
      </c>
      <c r="BP18" s="414">
        <f>'ADJ DETAIL-INPUT'!BT17</f>
        <v>0</v>
      </c>
      <c r="BQ18" s="414">
        <f>'ADJ DETAIL-INPUT'!BU17</f>
        <v>0</v>
      </c>
      <c r="BR18" s="414">
        <f>'ADJ DETAIL-INPUT'!BV17</f>
        <v>0</v>
      </c>
    </row>
    <row r="19" spans="1:70" s="396" customFormat="1">
      <c r="A19" s="394">
        <f>'ADJ DETAIL-INPUT'!A18</f>
        <v>6</v>
      </c>
      <c r="B19" s="396" t="str">
        <f>'ADJ DETAIL-INPUT'!B18</f>
        <v xml:space="preserve">Total Electric Revenue  </v>
      </c>
      <c r="E19" s="399">
        <f>'ADJ DETAIL-INPUT'!E18</f>
        <v>658586</v>
      </c>
      <c r="F19" s="405">
        <f>'ADJ DETAIL-INPUT'!F18</f>
        <v>0</v>
      </c>
      <c r="G19" s="405">
        <f>'ADJ DETAIL-INPUT'!G18</f>
        <v>0</v>
      </c>
      <c r="H19" s="405">
        <f>'ADJ DETAIL-INPUT'!H18</f>
        <v>0</v>
      </c>
      <c r="I19" s="405">
        <f>'ADJ DETAIL-INPUT'!I18</f>
        <v>-19447</v>
      </c>
      <c r="J19" s="405">
        <f>'ADJ DETAIL-INPUT'!J18</f>
        <v>0</v>
      </c>
      <c r="K19" s="405">
        <f>'ADJ DETAIL-INPUT'!K18</f>
        <v>0</v>
      </c>
      <c r="L19" s="405">
        <f>'ADJ DETAIL-INPUT'!L18</f>
        <v>0</v>
      </c>
      <c r="M19" s="405">
        <f>'ADJ DETAIL-INPUT'!M18</f>
        <v>0</v>
      </c>
      <c r="N19" s="405">
        <f>'ADJ DETAIL-INPUT'!N18</f>
        <v>0</v>
      </c>
      <c r="O19" s="405">
        <f>'ADJ DETAIL-INPUT'!O18</f>
        <v>0</v>
      </c>
      <c r="P19" s="405">
        <f>'ADJ DETAIL-INPUT'!P18</f>
        <v>0</v>
      </c>
      <c r="Q19" s="405">
        <f>'ADJ DETAIL-INPUT'!Q18</f>
        <v>0</v>
      </c>
      <c r="R19" s="405">
        <f>'ADJ DETAIL-INPUT'!R18</f>
        <v>-1992</v>
      </c>
      <c r="S19" s="405">
        <f>'ADJ DETAIL-INPUT'!S18</f>
        <v>-13017</v>
      </c>
      <c r="T19" s="405">
        <f>'ADJ DETAIL-INPUT'!T18</f>
        <v>0</v>
      </c>
      <c r="U19" s="405">
        <f>'ADJ DETAIL-INPUT'!U18</f>
        <v>0</v>
      </c>
      <c r="V19" s="405">
        <f>'ADJ DETAIL-INPUT'!V18</f>
        <v>0</v>
      </c>
      <c r="W19" s="405">
        <f>'ADJ DETAIL-INPUT'!W18</f>
        <v>0</v>
      </c>
      <c r="X19" s="405">
        <f>'ADJ DETAIL-INPUT'!X18</f>
        <v>22989</v>
      </c>
      <c r="Y19" s="405">
        <f>'ADJ DETAIL-INPUT'!Y18</f>
        <v>0</v>
      </c>
      <c r="Z19" s="405">
        <f>'ADJ DETAIL-INPUT'!Z18</f>
        <v>0</v>
      </c>
      <c r="AA19" s="405">
        <f>'ADJ DETAIL-INPUT'!AA18</f>
        <v>-59463</v>
      </c>
      <c r="AB19" s="405">
        <f>'ADJ DETAIL-INPUT'!AB18</f>
        <v>0</v>
      </c>
      <c r="AC19" s="405">
        <f>'ADJ DETAIL-INPUT'!AD18</f>
        <v>57228</v>
      </c>
      <c r="AD19" s="405">
        <f>'ADJ DETAIL-INPUT'!AE18</f>
        <v>10602</v>
      </c>
      <c r="AE19" s="405">
        <f>'ADJ DETAIL-INPUT'!AF18</f>
        <v>13363</v>
      </c>
      <c r="AF19" s="405">
        <f>'ADJ DETAIL-INPUT'!AG18</f>
        <v>0</v>
      </c>
      <c r="AG19" s="405">
        <f>'ADJ DETAIL-INPUT'!AH18</f>
        <v>0</v>
      </c>
      <c r="AH19" s="405">
        <f>'ADJ DETAIL-INPUT'!AI18</f>
        <v>0</v>
      </c>
      <c r="AI19" s="405">
        <f>'ADJ DETAIL-INPUT'!AJ18</f>
        <v>0</v>
      </c>
      <c r="AJ19" s="405">
        <f>'ADJ DETAIL-INPUT'!AK18</f>
        <v>0</v>
      </c>
      <c r="AK19" s="405">
        <f>'ADJ DETAIL-INPUT'!AL18</f>
        <v>0</v>
      </c>
      <c r="AL19" s="405">
        <f>'ADJ DETAIL-INPUT'!AM18</f>
        <v>0</v>
      </c>
      <c r="AM19" s="405">
        <f>'ADJ DETAIL-INPUT'!AN18</f>
        <v>0</v>
      </c>
      <c r="AN19" s="405">
        <f>'ADJ DETAIL-INPUT'!AO18</f>
        <v>0</v>
      </c>
      <c r="AO19" s="405">
        <f>'ADJ DETAIL-INPUT'!AP18</f>
        <v>0</v>
      </c>
      <c r="AP19" s="405">
        <f>'ADJ DETAIL-INPUT'!AQ18</f>
        <v>0</v>
      </c>
      <c r="AQ19" s="405">
        <f>'ADJ DETAIL-INPUT'!AR18</f>
        <v>0</v>
      </c>
      <c r="AR19" s="405">
        <f>'ADJ DETAIL-INPUT'!AS18</f>
        <v>0</v>
      </c>
      <c r="AS19" s="405">
        <f>'ADJ DETAIL-INPUT'!AT18</f>
        <v>0</v>
      </c>
      <c r="AT19" s="405">
        <f>'ADJ DETAIL-INPUT'!AU18</f>
        <v>0</v>
      </c>
      <c r="AU19" s="405">
        <f>'ADJ DETAIL-INPUT'!AV18</f>
        <v>0</v>
      </c>
      <c r="AV19" s="405">
        <f>'ADJ DETAIL-INPUT'!AW18</f>
        <v>0</v>
      </c>
      <c r="AW19" s="405">
        <f>'ADJ DETAIL-INPUT'!AX18</f>
        <v>0</v>
      </c>
      <c r="AX19" s="405">
        <f>'ADJ DETAIL-INPUT'!AY18</f>
        <v>0</v>
      </c>
      <c r="AY19" s="405">
        <f>'ADJ DETAIL-INPUT'!AZ18</f>
        <v>0</v>
      </c>
      <c r="AZ19" s="405">
        <f>'ADJ DETAIL-INPUT'!BA18</f>
        <v>6923</v>
      </c>
      <c r="BA19" s="405">
        <f>'ADJ DETAIL-INPUT'!BB18</f>
        <v>0</v>
      </c>
      <c r="BB19" s="405">
        <f>'ADJ DETAIL-INPUT'!BC18</f>
        <v>0</v>
      </c>
      <c r="BC19" s="405">
        <f>'ADJ DETAIL-INPUT'!BD18</f>
        <v>0</v>
      </c>
      <c r="BD19" s="405">
        <f>'ADJ DETAIL-INPUT'!BE18</f>
        <v>0</v>
      </c>
      <c r="BE19" s="405">
        <f>'ADJ DETAIL-INPUT'!BF18</f>
        <v>0</v>
      </c>
      <c r="BF19" s="405">
        <f>'ADJ DETAIL-INPUT'!BJ18</f>
        <v>0</v>
      </c>
      <c r="BG19" s="405">
        <f>'ADJ DETAIL-INPUT'!BK18</f>
        <v>0</v>
      </c>
      <c r="BH19" s="405">
        <f>'ADJ DETAIL-INPUT'!BL18</f>
        <v>0</v>
      </c>
      <c r="BI19" s="405">
        <f>'ADJ DETAIL-INPUT'!BM18</f>
        <v>0</v>
      </c>
      <c r="BJ19" s="405">
        <f>'ADJ DETAIL-INPUT'!BN18</f>
        <v>0</v>
      </c>
      <c r="BK19" s="405">
        <f>'ADJ DETAIL-INPUT'!BO18</f>
        <v>0</v>
      </c>
      <c r="BL19" s="405">
        <f>'ADJ DETAIL-INPUT'!BP18</f>
        <v>0</v>
      </c>
      <c r="BM19" s="405">
        <f>'ADJ DETAIL-INPUT'!BQ18</f>
        <v>0</v>
      </c>
      <c r="BN19" s="405">
        <f>'ADJ DETAIL-INPUT'!BR18</f>
        <v>0</v>
      </c>
      <c r="BO19" s="405">
        <f>'ADJ DETAIL-INPUT'!BS18</f>
        <v>2797</v>
      </c>
      <c r="BP19" s="405">
        <f>'ADJ DETAIL-INPUT'!BT18</f>
        <v>0</v>
      </c>
      <c r="BQ19" s="405">
        <f>'ADJ DETAIL-INPUT'!BU18</f>
        <v>0</v>
      </c>
      <c r="BR19" s="405">
        <f>'ADJ DETAIL-INPUT'!BV18</f>
        <v>0</v>
      </c>
    </row>
    <row r="20" spans="1:70" s="396" customFormat="1" ht="6.75" customHeight="1">
      <c r="A20" s="394"/>
      <c r="E20" s="399"/>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row>
    <row r="21" spans="1:70" s="396" customFormat="1">
      <c r="A21" s="394"/>
      <c r="B21" s="396" t="str">
        <f>'ADJ DETAIL-INPUT'!B20</f>
        <v xml:space="preserve">EXPENSES  </v>
      </c>
      <c r="E21" s="399"/>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c r="BQ21" s="405"/>
      <c r="BR21" s="405"/>
    </row>
    <row r="22" spans="1:70" s="396" customFormat="1">
      <c r="A22" s="394"/>
      <c r="B22" s="396" t="str">
        <f>'ADJ DETAIL-INPUT'!B21</f>
        <v xml:space="preserve">Production and Transmission  </v>
      </c>
      <c r="E22" s="399"/>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row>
    <row r="23" spans="1:70" s="396" customFormat="1">
      <c r="A23" s="394">
        <f>'ADJ DETAIL-INPUT'!A22</f>
        <v>7</v>
      </c>
      <c r="C23" s="396" t="str">
        <f>'ADJ DETAIL-INPUT'!C22</f>
        <v xml:space="preserve">Operating Expenses  </v>
      </c>
      <c r="E23" s="399">
        <f>'ADJ DETAIL-INPUT'!E22</f>
        <v>156285</v>
      </c>
      <c r="F23" s="405">
        <f>'ADJ DETAIL-INPUT'!F22</f>
        <v>0</v>
      </c>
      <c r="G23" s="405">
        <f>'ADJ DETAIL-INPUT'!G22</f>
        <v>0</v>
      </c>
      <c r="H23" s="405">
        <f>'ADJ DETAIL-INPUT'!H22</f>
        <v>0</v>
      </c>
      <c r="I23" s="405">
        <f>'ADJ DETAIL-INPUT'!I22</f>
        <v>0</v>
      </c>
      <c r="J23" s="405">
        <f>'ADJ DETAIL-INPUT'!J22</f>
        <v>0</v>
      </c>
      <c r="K23" s="405">
        <f>'ADJ DETAIL-INPUT'!K22</f>
        <v>0</v>
      </c>
      <c r="L23" s="405">
        <f>'ADJ DETAIL-INPUT'!L22</f>
        <v>0</v>
      </c>
      <c r="M23" s="405">
        <f>'ADJ DETAIL-INPUT'!M22</f>
        <v>0</v>
      </c>
      <c r="N23" s="405">
        <f>'ADJ DETAIL-INPUT'!N22</f>
        <v>0</v>
      </c>
      <c r="O23" s="405">
        <f>'ADJ DETAIL-INPUT'!O22</f>
        <v>0</v>
      </c>
      <c r="P23" s="405">
        <f>'ADJ DETAIL-INPUT'!P22</f>
        <v>0</v>
      </c>
      <c r="Q23" s="405">
        <f>'ADJ DETAIL-INPUT'!Q22</f>
        <v>0</v>
      </c>
      <c r="R23" s="405">
        <f>'ADJ DETAIL-INPUT'!R22</f>
        <v>0</v>
      </c>
      <c r="S23" s="405">
        <f>'ADJ DETAIL-INPUT'!S22</f>
        <v>-216</v>
      </c>
      <c r="T23" s="405">
        <f>'ADJ DETAIL-INPUT'!T22</f>
        <v>0</v>
      </c>
      <c r="U23" s="405">
        <f>'ADJ DETAIL-INPUT'!U22</f>
        <v>0</v>
      </c>
      <c r="V23" s="405">
        <f>'ADJ DETAIL-INPUT'!V22</f>
        <v>0</v>
      </c>
      <c r="W23" s="405">
        <f>'ADJ DETAIL-INPUT'!W22</f>
        <v>0</v>
      </c>
      <c r="X23" s="405">
        <f>'ADJ DETAIL-INPUT'!X22</f>
        <v>19854</v>
      </c>
      <c r="Y23" s="405">
        <f>'ADJ DETAIL-INPUT'!Y22</f>
        <v>-6</v>
      </c>
      <c r="Z23" s="405">
        <f>'ADJ DETAIL-INPUT'!Z22</f>
        <v>-1694</v>
      </c>
      <c r="AA23" s="405">
        <f>'ADJ DETAIL-INPUT'!AA22</f>
        <v>-44130</v>
      </c>
      <c r="AB23" s="405">
        <f>'ADJ DETAIL-INPUT'!AB22</f>
        <v>0</v>
      </c>
      <c r="AC23" s="405">
        <f>'ADJ DETAIL-INPUT'!AD22</f>
        <v>31129</v>
      </c>
      <c r="AD23" s="405">
        <f>'ADJ DETAIL-INPUT'!AE22</f>
        <v>0</v>
      </c>
      <c r="AE23" s="405">
        <f>'ADJ DETAIL-INPUT'!AF22</f>
        <v>0</v>
      </c>
      <c r="AF23" s="405">
        <f>'ADJ DETAIL-INPUT'!AG22</f>
        <v>153</v>
      </c>
      <c r="AG23" s="405">
        <f>'ADJ DETAIL-INPUT'!AH22</f>
        <v>0</v>
      </c>
      <c r="AH23" s="405">
        <f>'ADJ DETAIL-INPUT'!AI22</f>
        <v>0</v>
      </c>
      <c r="AI23" s="405">
        <f>'ADJ DETAIL-INPUT'!AJ22</f>
        <v>0</v>
      </c>
      <c r="AJ23" s="405">
        <f>'ADJ DETAIL-INPUT'!AK22</f>
        <v>0</v>
      </c>
      <c r="AK23" s="405">
        <f>'ADJ DETAIL-INPUT'!AL22</f>
        <v>2387</v>
      </c>
      <c r="AL23" s="405">
        <f>'ADJ DETAIL-INPUT'!AM22</f>
        <v>0</v>
      </c>
      <c r="AM23" s="405">
        <f>'ADJ DETAIL-INPUT'!AN22</f>
        <v>-138</v>
      </c>
      <c r="AN23" s="405">
        <f>'ADJ DETAIL-INPUT'!AO22</f>
        <v>0</v>
      </c>
      <c r="AO23" s="405">
        <f>'ADJ DETAIL-INPUT'!AP22</f>
        <v>0</v>
      </c>
      <c r="AP23" s="405">
        <f>'ADJ DETAIL-INPUT'!AQ22</f>
        <v>0</v>
      </c>
      <c r="AQ23" s="405">
        <f>'ADJ DETAIL-INPUT'!AR22</f>
        <v>0</v>
      </c>
      <c r="AR23" s="405">
        <f>'ADJ DETAIL-INPUT'!AS22</f>
        <v>4906.6769999999997</v>
      </c>
      <c r="AS23" s="405">
        <f>'ADJ DETAIL-INPUT'!AT22</f>
        <v>0</v>
      </c>
      <c r="AT23" s="405">
        <f>'ADJ DETAIL-INPUT'!AU22</f>
        <v>0</v>
      </c>
      <c r="AU23" s="405">
        <f>'ADJ DETAIL-INPUT'!AV22</f>
        <v>947</v>
      </c>
      <c r="AV23" s="405">
        <f>'ADJ DETAIL-INPUT'!AW22</f>
        <v>0</v>
      </c>
      <c r="AW23" s="405">
        <f>'ADJ DETAIL-INPUT'!AX22</f>
        <v>0</v>
      </c>
      <c r="AX23" s="405">
        <f>'ADJ DETAIL-INPUT'!AY22</f>
        <v>0</v>
      </c>
      <c r="AY23" s="405">
        <f>'ADJ DETAIL-INPUT'!AZ22</f>
        <v>0</v>
      </c>
      <c r="AZ23" s="405">
        <f>'ADJ DETAIL-INPUT'!BA22</f>
        <v>-171</v>
      </c>
      <c r="BA23" s="405">
        <f>'ADJ DETAIL-INPUT'!BB22</f>
        <v>52</v>
      </c>
      <c r="BB23" s="405">
        <f>'ADJ DETAIL-INPUT'!BC22</f>
        <v>0</v>
      </c>
      <c r="BC23" s="405">
        <f>'ADJ DETAIL-INPUT'!BD22</f>
        <v>0</v>
      </c>
      <c r="BD23" s="405">
        <f>'ADJ DETAIL-INPUT'!BE22</f>
        <v>0</v>
      </c>
      <c r="BE23" s="405">
        <f>'ADJ DETAIL-INPUT'!BF22</f>
        <v>0</v>
      </c>
      <c r="BF23" s="405">
        <f>'ADJ DETAIL-INPUT'!BJ22</f>
        <v>0</v>
      </c>
      <c r="BG23" s="405">
        <f>'ADJ DETAIL-INPUT'!BK22</f>
        <v>0</v>
      </c>
      <c r="BH23" s="405">
        <f>'ADJ DETAIL-INPUT'!BL22</f>
        <v>703</v>
      </c>
      <c r="BI23" s="405">
        <f>'ADJ DETAIL-INPUT'!BM22</f>
        <v>162</v>
      </c>
      <c r="BJ23" s="405">
        <f>'ADJ DETAIL-INPUT'!BN22</f>
        <v>0</v>
      </c>
      <c r="BK23" s="405">
        <f>'ADJ DETAIL-INPUT'!BO22</f>
        <v>0</v>
      </c>
      <c r="BL23" s="405">
        <f>'ADJ DETAIL-INPUT'!BP22</f>
        <v>0</v>
      </c>
      <c r="BM23" s="405">
        <f>'ADJ DETAIL-INPUT'!BQ22</f>
        <v>2180.7449999999999</v>
      </c>
      <c r="BN23" s="405">
        <f>'ADJ DETAIL-INPUT'!BR22</f>
        <v>0</v>
      </c>
      <c r="BO23" s="405">
        <f>'ADJ DETAIL-INPUT'!BS22</f>
        <v>0</v>
      </c>
      <c r="BP23" s="405">
        <f>'ADJ DETAIL-INPUT'!BT22</f>
        <v>0</v>
      </c>
      <c r="BQ23" s="405">
        <f>'ADJ DETAIL-INPUT'!BU22</f>
        <v>0</v>
      </c>
      <c r="BR23" s="405">
        <f>'ADJ DETAIL-INPUT'!BV22</f>
        <v>0</v>
      </c>
    </row>
    <row r="24" spans="1:70" s="396" customFormat="1">
      <c r="A24" s="394">
        <f>'ADJ DETAIL-INPUT'!A23</f>
        <v>8</v>
      </c>
      <c r="C24" s="396" t="str">
        <f>'ADJ DETAIL-INPUT'!C23</f>
        <v xml:space="preserve">Purchased Power  </v>
      </c>
      <c r="E24" s="399">
        <f>'ADJ DETAIL-INPUT'!E23</f>
        <v>95039</v>
      </c>
      <c r="F24" s="405">
        <f>'ADJ DETAIL-INPUT'!F23</f>
        <v>0</v>
      </c>
      <c r="G24" s="405">
        <f>'ADJ DETAIL-INPUT'!G23</f>
        <v>0</v>
      </c>
      <c r="H24" s="405">
        <f>'ADJ DETAIL-INPUT'!H23</f>
        <v>0</v>
      </c>
      <c r="I24" s="405">
        <f>'ADJ DETAIL-INPUT'!I23</f>
        <v>0</v>
      </c>
      <c r="J24" s="405">
        <f>'ADJ DETAIL-INPUT'!J23</f>
        <v>0</v>
      </c>
      <c r="K24" s="405">
        <f>'ADJ DETAIL-INPUT'!K23</f>
        <v>0</v>
      </c>
      <c r="L24" s="405">
        <f>'ADJ DETAIL-INPUT'!L23</f>
        <v>0</v>
      </c>
      <c r="M24" s="405">
        <f>'ADJ DETAIL-INPUT'!M23</f>
        <v>0</v>
      </c>
      <c r="N24" s="405">
        <f>'ADJ DETAIL-INPUT'!N23</f>
        <v>0</v>
      </c>
      <c r="O24" s="405">
        <f>'ADJ DETAIL-INPUT'!O23</f>
        <v>0</v>
      </c>
      <c r="P24" s="405">
        <f>'ADJ DETAIL-INPUT'!P23</f>
        <v>0</v>
      </c>
      <c r="Q24" s="405">
        <f>'ADJ DETAIL-INPUT'!Q23</f>
        <v>0</v>
      </c>
      <c r="R24" s="405">
        <f>'ADJ DETAIL-INPUT'!R23</f>
        <v>0</v>
      </c>
      <c r="S24" s="405">
        <f>'ADJ DETAIL-INPUT'!S23</f>
        <v>0</v>
      </c>
      <c r="T24" s="405">
        <f>'ADJ DETAIL-INPUT'!T23</f>
        <v>0</v>
      </c>
      <c r="U24" s="405">
        <f>'ADJ DETAIL-INPUT'!U23</f>
        <v>0</v>
      </c>
      <c r="V24" s="405">
        <f>'ADJ DETAIL-INPUT'!V23</f>
        <v>0</v>
      </c>
      <c r="W24" s="405">
        <f>'ADJ DETAIL-INPUT'!W23</f>
        <v>0</v>
      </c>
      <c r="X24" s="405">
        <f>'ADJ DETAIL-INPUT'!X23</f>
        <v>0</v>
      </c>
      <c r="Y24" s="405">
        <f>'ADJ DETAIL-INPUT'!Y23</f>
        <v>0</v>
      </c>
      <c r="Z24" s="405">
        <f>'ADJ DETAIL-INPUT'!Z23</f>
        <v>0</v>
      </c>
      <c r="AA24" s="405">
        <f>'ADJ DETAIL-INPUT'!AA23</f>
        <v>-20806</v>
      </c>
      <c r="AB24" s="405">
        <f>'ADJ DETAIL-INPUT'!AB23</f>
        <v>0</v>
      </c>
      <c r="AC24" s="405">
        <f>'ADJ DETAIL-INPUT'!AD23</f>
        <v>5539</v>
      </c>
      <c r="AD24" s="405">
        <f>'ADJ DETAIL-INPUT'!AE23</f>
        <v>0</v>
      </c>
      <c r="AE24" s="405">
        <f>'ADJ DETAIL-INPUT'!AF23</f>
        <v>0</v>
      </c>
      <c r="AF24" s="405">
        <f>'ADJ DETAIL-INPUT'!AG23</f>
        <v>0</v>
      </c>
      <c r="AG24" s="405">
        <f>'ADJ DETAIL-INPUT'!AH23</f>
        <v>0</v>
      </c>
      <c r="AH24" s="405">
        <f>'ADJ DETAIL-INPUT'!AI23</f>
        <v>0</v>
      </c>
      <c r="AI24" s="405">
        <f>'ADJ DETAIL-INPUT'!AJ23</f>
        <v>0</v>
      </c>
      <c r="AJ24" s="405">
        <f>'ADJ DETAIL-INPUT'!AK23</f>
        <v>0</v>
      </c>
      <c r="AK24" s="405">
        <f>'ADJ DETAIL-INPUT'!AL23</f>
        <v>0</v>
      </c>
      <c r="AL24" s="405">
        <f>'ADJ DETAIL-INPUT'!AM23</f>
        <v>0</v>
      </c>
      <c r="AM24" s="405">
        <f>'ADJ DETAIL-INPUT'!AN23</f>
        <v>0</v>
      </c>
      <c r="AN24" s="405">
        <f>'ADJ DETAIL-INPUT'!AO23</f>
        <v>0</v>
      </c>
      <c r="AO24" s="405">
        <f>'ADJ DETAIL-INPUT'!AP23</f>
        <v>0</v>
      </c>
      <c r="AP24" s="405">
        <f>'ADJ DETAIL-INPUT'!AQ23</f>
        <v>0</v>
      </c>
      <c r="AQ24" s="405">
        <f>'ADJ DETAIL-INPUT'!AR23</f>
        <v>0</v>
      </c>
      <c r="AR24" s="405">
        <f>'ADJ DETAIL-INPUT'!AS23</f>
        <v>0</v>
      </c>
      <c r="AS24" s="405">
        <f>'ADJ DETAIL-INPUT'!AT23</f>
        <v>0</v>
      </c>
      <c r="AT24" s="405">
        <f>'ADJ DETAIL-INPUT'!AU23</f>
        <v>0</v>
      </c>
      <c r="AU24" s="405">
        <f>'ADJ DETAIL-INPUT'!AV23</f>
        <v>0</v>
      </c>
      <c r="AV24" s="405">
        <f>'ADJ DETAIL-INPUT'!AW23</f>
        <v>0</v>
      </c>
      <c r="AW24" s="405">
        <f>'ADJ DETAIL-INPUT'!AX23</f>
        <v>0</v>
      </c>
      <c r="AX24" s="405">
        <f>'ADJ DETAIL-INPUT'!AY23</f>
        <v>0</v>
      </c>
      <c r="AY24" s="405">
        <f>'ADJ DETAIL-INPUT'!AZ23</f>
        <v>0</v>
      </c>
      <c r="AZ24" s="405">
        <f>'ADJ DETAIL-INPUT'!BA23</f>
        <v>0</v>
      </c>
      <c r="BA24" s="405">
        <f>'ADJ DETAIL-INPUT'!BB23</f>
        <v>0</v>
      </c>
      <c r="BB24" s="405">
        <f>'ADJ DETAIL-INPUT'!BC23</f>
        <v>0</v>
      </c>
      <c r="BC24" s="405">
        <f>'ADJ DETAIL-INPUT'!BD23</f>
        <v>0</v>
      </c>
      <c r="BD24" s="405">
        <f>'ADJ DETAIL-INPUT'!BE23</f>
        <v>0</v>
      </c>
      <c r="BE24" s="405">
        <f>'ADJ DETAIL-INPUT'!BF23</f>
        <v>0</v>
      </c>
      <c r="BF24" s="405">
        <f>'ADJ DETAIL-INPUT'!BJ23</f>
        <v>0</v>
      </c>
      <c r="BG24" s="405">
        <f>'ADJ DETAIL-INPUT'!BK23</f>
        <v>0</v>
      </c>
      <c r="BH24" s="405">
        <f>'ADJ DETAIL-INPUT'!BL23</f>
        <v>0</v>
      </c>
      <c r="BI24" s="405">
        <f>'ADJ DETAIL-INPUT'!BM23</f>
        <v>0</v>
      </c>
      <c r="BJ24" s="405">
        <f>'ADJ DETAIL-INPUT'!BN23</f>
        <v>0</v>
      </c>
      <c r="BK24" s="405">
        <f>'ADJ DETAIL-INPUT'!BO23</f>
        <v>0</v>
      </c>
      <c r="BL24" s="405">
        <f>'ADJ DETAIL-INPUT'!BP23</f>
        <v>0</v>
      </c>
      <c r="BM24" s="405">
        <f>'ADJ DETAIL-INPUT'!BQ23</f>
        <v>0</v>
      </c>
      <c r="BN24" s="405">
        <f>'ADJ DETAIL-INPUT'!BR23</f>
        <v>0</v>
      </c>
      <c r="BO24" s="405">
        <f>'ADJ DETAIL-INPUT'!BS23</f>
        <v>0</v>
      </c>
      <c r="BP24" s="405">
        <f>'ADJ DETAIL-INPUT'!BT23</f>
        <v>0</v>
      </c>
      <c r="BQ24" s="405">
        <f>'ADJ DETAIL-INPUT'!BU23</f>
        <v>0</v>
      </c>
      <c r="BR24" s="405">
        <f>'ADJ DETAIL-INPUT'!BV23</f>
        <v>0</v>
      </c>
    </row>
    <row r="25" spans="1:70" s="396" customFormat="1">
      <c r="A25" s="394">
        <f>'ADJ DETAIL-INPUT'!A24</f>
        <v>9</v>
      </c>
      <c r="C25" s="396" t="str">
        <f>'ADJ DETAIL-INPUT'!C24</f>
        <v xml:space="preserve">Depreciation/Amortization  </v>
      </c>
      <c r="E25" s="399">
        <f>'ADJ DETAIL-INPUT'!E24</f>
        <v>42507</v>
      </c>
      <c r="F25" s="405">
        <f>'ADJ DETAIL-INPUT'!F24</f>
        <v>0</v>
      </c>
      <c r="G25" s="405">
        <f>'ADJ DETAIL-INPUT'!G24</f>
        <v>0</v>
      </c>
      <c r="H25" s="405">
        <f>'ADJ DETAIL-INPUT'!H24</f>
        <v>0</v>
      </c>
      <c r="I25" s="405">
        <f>'ADJ DETAIL-INPUT'!I24</f>
        <v>0</v>
      </c>
      <c r="J25" s="405">
        <f>'ADJ DETAIL-INPUT'!J24</f>
        <v>0</v>
      </c>
      <c r="K25" s="405">
        <f>'ADJ DETAIL-INPUT'!K24</f>
        <v>0</v>
      </c>
      <c r="L25" s="405">
        <f>'ADJ DETAIL-INPUT'!L24</f>
        <v>0</v>
      </c>
      <c r="M25" s="405">
        <f>'ADJ DETAIL-INPUT'!M24</f>
        <v>0</v>
      </c>
      <c r="N25" s="405">
        <f>'ADJ DETAIL-INPUT'!N24</f>
        <v>0</v>
      </c>
      <c r="O25" s="405">
        <f>'ADJ DETAIL-INPUT'!O24</f>
        <v>0</v>
      </c>
      <c r="P25" s="405">
        <f>'ADJ DETAIL-INPUT'!P24</f>
        <v>0</v>
      </c>
      <c r="Q25" s="405">
        <f>'ADJ DETAIL-INPUT'!Q24</f>
        <v>0</v>
      </c>
      <c r="R25" s="405">
        <f>'ADJ DETAIL-INPUT'!R24</f>
        <v>0</v>
      </c>
      <c r="S25" s="405">
        <f>'ADJ DETAIL-INPUT'!S24</f>
        <v>0</v>
      </c>
      <c r="T25" s="405">
        <f>'ADJ DETAIL-INPUT'!T24</f>
        <v>0</v>
      </c>
      <c r="U25" s="405">
        <f>'ADJ DETAIL-INPUT'!U24</f>
        <v>0</v>
      </c>
      <c r="V25" s="405">
        <f>'ADJ DETAIL-INPUT'!V24</f>
        <v>0</v>
      </c>
      <c r="W25" s="405">
        <f>'ADJ DETAIL-INPUT'!W24</f>
        <v>0</v>
      </c>
      <c r="X25" s="405">
        <f>'ADJ DETAIL-INPUT'!X24</f>
        <v>0</v>
      </c>
      <c r="Y25" s="405">
        <f>'ADJ DETAIL-INPUT'!Y24</f>
        <v>0</v>
      </c>
      <c r="Z25" s="405">
        <f>'ADJ DETAIL-INPUT'!Z24</f>
        <v>0</v>
      </c>
      <c r="AA25" s="405">
        <f>'ADJ DETAIL-INPUT'!AA24</f>
        <v>0</v>
      </c>
      <c r="AB25" s="405">
        <f>'ADJ DETAIL-INPUT'!AB24</f>
        <v>0</v>
      </c>
      <c r="AC25" s="405">
        <f>'ADJ DETAIL-INPUT'!AD24</f>
        <v>0</v>
      </c>
      <c r="AD25" s="405">
        <f>'ADJ DETAIL-INPUT'!AE24</f>
        <v>0</v>
      </c>
      <c r="AE25" s="405">
        <f>'ADJ DETAIL-INPUT'!AF24</f>
        <v>0</v>
      </c>
      <c r="AF25" s="405">
        <f>'ADJ DETAIL-INPUT'!AG24</f>
        <v>0</v>
      </c>
      <c r="AG25" s="405">
        <f>'ADJ DETAIL-INPUT'!AH24</f>
        <v>0</v>
      </c>
      <c r="AH25" s="405">
        <f>'ADJ DETAIL-INPUT'!AI24</f>
        <v>0</v>
      </c>
      <c r="AI25" s="405">
        <f>'ADJ DETAIL-INPUT'!AJ24</f>
        <v>0</v>
      </c>
      <c r="AJ25" s="405">
        <f>'ADJ DETAIL-INPUT'!AK24</f>
        <v>0</v>
      </c>
      <c r="AK25" s="405">
        <f>'ADJ DETAIL-INPUT'!AL24</f>
        <v>0</v>
      </c>
      <c r="AL25" s="405">
        <f>'ADJ DETAIL-INPUT'!AM24</f>
        <v>0</v>
      </c>
      <c r="AM25" s="405">
        <f>'ADJ DETAIL-INPUT'!AN24</f>
        <v>0</v>
      </c>
      <c r="AN25" s="405">
        <f>'ADJ DETAIL-INPUT'!AO24</f>
        <v>0</v>
      </c>
      <c r="AO25" s="405">
        <f>'ADJ DETAIL-INPUT'!AP24</f>
        <v>0</v>
      </c>
      <c r="AP25" s="405">
        <f>'ADJ DETAIL-INPUT'!AQ24</f>
        <v>0</v>
      </c>
      <c r="AQ25" s="405">
        <f>'ADJ DETAIL-INPUT'!AR24</f>
        <v>0</v>
      </c>
      <c r="AR25" s="405">
        <f>'ADJ DETAIL-INPUT'!AS24</f>
        <v>0</v>
      </c>
      <c r="AS25" s="405">
        <f>'ADJ DETAIL-INPUT'!AT24</f>
        <v>619</v>
      </c>
      <c r="AT25" s="405">
        <f>'ADJ DETAIL-INPUT'!AU24</f>
        <v>0</v>
      </c>
      <c r="AU25" s="405">
        <f>'ADJ DETAIL-INPUT'!AV24</f>
        <v>4</v>
      </c>
      <c r="AV25" s="405">
        <f>'ADJ DETAIL-INPUT'!AW24</f>
        <v>2</v>
      </c>
      <c r="AW25" s="405">
        <f>'ADJ DETAIL-INPUT'!AX24</f>
        <v>148</v>
      </c>
      <c r="AX25" s="405">
        <f>'ADJ DETAIL-INPUT'!AY24</f>
        <v>1952</v>
      </c>
      <c r="AY25" s="405">
        <f>'ADJ DETAIL-INPUT'!AZ24</f>
        <v>671</v>
      </c>
      <c r="AZ25" s="405">
        <f>'ADJ DETAIL-INPUT'!BA24</f>
        <v>0</v>
      </c>
      <c r="BA25" s="405">
        <f>'ADJ DETAIL-INPUT'!BB24</f>
        <v>38</v>
      </c>
      <c r="BB25" s="405">
        <f>'ADJ DETAIL-INPUT'!BC24</f>
        <v>59</v>
      </c>
      <c r="BC25" s="405">
        <f>'ADJ DETAIL-INPUT'!BD24</f>
        <v>296</v>
      </c>
      <c r="BD25" s="405">
        <f>'ADJ DETAIL-INPUT'!BE24</f>
        <v>0</v>
      </c>
      <c r="BE25" s="405">
        <f>'ADJ DETAIL-INPUT'!BF24</f>
        <v>0</v>
      </c>
      <c r="BF25" s="405">
        <f>'ADJ DETAIL-INPUT'!BJ24</f>
        <v>0</v>
      </c>
      <c r="BG25" s="405">
        <f>'ADJ DETAIL-INPUT'!BK24</f>
        <v>0</v>
      </c>
      <c r="BH25" s="405">
        <f>'ADJ DETAIL-INPUT'!BL24</f>
        <v>0</v>
      </c>
      <c r="BI25" s="405">
        <f>'ADJ DETAIL-INPUT'!BM24</f>
        <v>0</v>
      </c>
      <c r="BJ25" s="405">
        <f>'ADJ DETAIL-INPUT'!BN24</f>
        <v>0</v>
      </c>
      <c r="BK25" s="405">
        <f>'ADJ DETAIL-INPUT'!BO24</f>
        <v>0</v>
      </c>
      <c r="BL25" s="405">
        <f>'ADJ DETAIL-INPUT'!BP24</f>
        <v>0</v>
      </c>
      <c r="BM25" s="405">
        <f>'ADJ DETAIL-INPUT'!BQ24</f>
        <v>0</v>
      </c>
      <c r="BN25" s="405">
        <f>'ADJ DETAIL-INPUT'!BR24</f>
        <v>597</v>
      </c>
      <c r="BO25" s="405">
        <f>'ADJ DETAIL-INPUT'!BS24</f>
        <v>0</v>
      </c>
      <c r="BP25" s="405">
        <f>'ADJ DETAIL-INPUT'!BT24</f>
        <v>59</v>
      </c>
      <c r="BQ25" s="405">
        <f>'ADJ DETAIL-INPUT'!BU24</f>
        <v>0</v>
      </c>
      <c r="BR25" s="405">
        <f>'ADJ DETAIL-INPUT'!BV24</f>
        <v>0</v>
      </c>
    </row>
    <row r="26" spans="1:70" s="396" customFormat="1">
      <c r="A26" s="394">
        <f>'ADJ DETAIL-INPUT'!A25</f>
        <v>10</v>
      </c>
      <c r="C26" s="399" t="str">
        <f>'ADJ DETAIL-INPUT'!C25</f>
        <v>Regulatory Amortization</v>
      </c>
      <c r="D26" s="399"/>
      <c r="E26" s="399">
        <f>'ADJ DETAIL-INPUT'!E25</f>
        <v>-12607</v>
      </c>
      <c r="F26" s="406">
        <f>'ADJ DETAIL-INPUT'!F25</f>
        <v>0</v>
      </c>
      <c r="G26" s="406">
        <f>'ADJ DETAIL-INPUT'!G25</f>
        <v>0</v>
      </c>
      <c r="H26" s="406">
        <f>'ADJ DETAIL-INPUT'!H25</f>
        <v>0</v>
      </c>
      <c r="I26" s="406">
        <f>'ADJ DETAIL-INPUT'!I25</f>
        <v>0</v>
      </c>
      <c r="J26" s="406">
        <f>'ADJ DETAIL-INPUT'!J25</f>
        <v>0</v>
      </c>
      <c r="K26" s="406">
        <f>'ADJ DETAIL-INPUT'!K25</f>
        <v>0</v>
      </c>
      <c r="L26" s="406">
        <f>'ADJ DETAIL-INPUT'!L25</f>
        <v>0</v>
      </c>
      <c r="M26" s="406">
        <f>'ADJ DETAIL-INPUT'!M25</f>
        <v>0</v>
      </c>
      <c r="N26" s="406">
        <f>'ADJ DETAIL-INPUT'!N25</f>
        <v>0</v>
      </c>
      <c r="O26" s="406">
        <f>'ADJ DETAIL-INPUT'!O25</f>
        <v>0</v>
      </c>
      <c r="P26" s="406">
        <f>'ADJ DETAIL-INPUT'!P25</f>
        <v>0</v>
      </c>
      <c r="Q26" s="406">
        <f>'ADJ DETAIL-INPUT'!Q25</f>
        <v>0</v>
      </c>
      <c r="R26" s="406">
        <f>'ADJ DETAIL-INPUT'!R25</f>
        <v>0</v>
      </c>
      <c r="S26" s="406">
        <f>'ADJ DETAIL-INPUT'!S25</f>
        <v>9792</v>
      </c>
      <c r="T26" s="406">
        <f>'ADJ DETAIL-INPUT'!T25</f>
        <v>0</v>
      </c>
      <c r="U26" s="406">
        <f>'ADJ DETAIL-INPUT'!U25</f>
        <v>0</v>
      </c>
      <c r="V26" s="406">
        <f>'ADJ DETAIL-INPUT'!V25</f>
        <v>0</v>
      </c>
      <c r="W26" s="406">
        <f>'ADJ DETAIL-INPUT'!W25</f>
        <v>0</v>
      </c>
      <c r="X26" s="406">
        <f>'ADJ DETAIL-INPUT'!X25</f>
        <v>0</v>
      </c>
      <c r="Y26" s="406">
        <f>'ADJ DETAIL-INPUT'!Y25</f>
        <v>0</v>
      </c>
      <c r="Z26" s="406">
        <f>'ADJ DETAIL-INPUT'!Z25</f>
        <v>0</v>
      </c>
      <c r="AA26" s="406">
        <f>'ADJ DETAIL-INPUT'!AA25</f>
        <v>0</v>
      </c>
      <c r="AB26" s="406">
        <f>'ADJ DETAIL-INPUT'!AB25</f>
        <v>0</v>
      </c>
      <c r="AC26" s="406">
        <f>'ADJ DETAIL-INPUT'!AD25</f>
        <v>0</v>
      </c>
      <c r="AD26" s="406">
        <f>'ADJ DETAIL-INPUT'!AE25</f>
        <v>0</v>
      </c>
      <c r="AE26" s="406">
        <f>'ADJ DETAIL-INPUT'!AF25</f>
        <v>0</v>
      </c>
      <c r="AF26" s="406">
        <f>'ADJ DETAIL-INPUT'!AG25</f>
        <v>-71</v>
      </c>
      <c r="AG26" s="406">
        <f>'ADJ DETAIL-INPUT'!AH25</f>
        <v>0</v>
      </c>
      <c r="AH26" s="406">
        <f>'ADJ DETAIL-INPUT'!AI25</f>
        <v>0</v>
      </c>
      <c r="AI26" s="406">
        <f>'ADJ DETAIL-INPUT'!AJ25</f>
        <v>1007</v>
      </c>
      <c r="AJ26" s="406">
        <f>'ADJ DETAIL-INPUT'!AK25</f>
        <v>0</v>
      </c>
      <c r="AK26" s="406">
        <f>'ADJ DETAIL-INPUT'!AL25</f>
        <v>0</v>
      </c>
      <c r="AL26" s="406">
        <f>'ADJ DETAIL-INPUT'!AM25</f>
        <v>0</v>
      </c>
      <c r="AM26" s="406">
        <f>'ADJ DETAIL-INPUT'!AN25</f>
        <v>0</v>
      </c>
      <c r="AN26" s="406">
        <f>'ADJ DETAIL-INPUT'!AO25</f>
        <v>0</v>
      </c>
      <c r="AO26" s="406">
        <f>'ADJ DETAIL-INPUT'!AP25</f>
        <v>0</v>
      </c>
      <c r="AP26" s="406">
        <f>'ADJ DETAIL-INPUT'!AQ25</f>
        <v>0</v>
      </c>
      <c r="AQ26" s="406">
        <f>'ADJ DETAIL-INPUT'!AR25</f>
        <v>0</v>
      </c>
      <c r="AR26" s="406">
        <f>'ADJ DETAIL-INPUT'!AS25</f>
        <v>0</v>
      </c>
      <c r="AS26" s="406">
        <f>'ADJ DETAIL-INPUT'!AT25</f>
        <v>0</v>
      </c>
      <c r="AT26" s="406">
        <f>'ADJ DETAIL-INPUT'!AU25</f>
        <v>0</v>
      </c>
      <c r="AU26" s="406">
        <f>'ADJ DETAIL-INPUT'!AV25</f>
        <v>0</v>
      </c>
      <c r="AV26" s="406">
        <f>'ADJ DETAIL-INPUT'!AW25</f>
        <v>0</v>
      </c>
      <c r="AW26" s="406">
        <f>'ADJ DETAIL-INPUT'!AX25</f>
        <v>431</v>
      </c>
      <c r="AX26" s="406">
        <f>'ADJ DETAIL-INPUT'!AY25</f>
        <v>0</v>
      </c>
      <c r="AY26" s="406">
        <f>'ADJ DETAIL-INPUT'!AZ25</f>
        <v>0</v>
      </c>
      <c r="AZ26" s="406">
        <f>'ADJ DETAIL-INPUT'!BA25</f>
        <v>0</v>
      </c>
      <c r="BA26" s="406">
        <f>'ADJ DETAIL-INPUT'!BB25</f>
        <v>0</v>
      </c>
      <c r="BB26" s="406">
        <f>'ADJ DETAIL-INPUT'!BC25</f>
        <v>0</v>
      </c>
      <c r="BC26" s="406">
        <f>'ADJ DETAIL-INPUT'!BD25</f>
        <v>647</v>
      </c>
      <c r="BD26" s="406">
        <f>'ADJ DETAIL-INPUT'!BE25</f>
        <v>-160</v>
      </c>
      <c r="BE26" s="406">
        <f>'ADJ DETAIL-INPUT'!BF25</f>
        <v>0</v>
      </c>
      <c r="BF26" s="406">
        <f>'ADJ DETAIL-INPUT'!BJ25</f>
        <v>0</v>
      </c>
      <c r="BG26" s="406">
        <f>'ADJ DETAIL-INPUT'!BK25</f>
        <v>0</v>
      </c>
      <c r="BH26" s="406">
        <f>'ADJ DETAIL-INPUT'!BL25</f>
        <v>0</v>
      </c>
      <c r="BI26" s="406">
        <f>'ADJ DETAIL-INPUT'!BM25</f>
        <v>0</v>
      </c>
      <c r="BJ26" s="406">
        <f>'ADJ DETAIL-INPUT'!BN25</f>
        <v>0</v>
      </c>
      <c r="BK26" s="406">
        <f>'ADJ DETAIL-INPUT'!BO25</f>
        <v>0</v>
      </c>
      <c r="BL26" s="406">
        <f>'ADJ DETAIL-INPUT'!BP25</f>
        <v>0</v>
      </c>
      <c r="BM26" s="406">
        <f>'ADJ DETAIL-INPUT'!BQ25</f>
        <v>0</v>
      </c>
      <c r="BN26" s="406">
        <f>'ADJ DETAIL-INPUT'!BR25</f>
        <v>0</v>
      </c>
      <c r="BO26" s="406">
        <f>'ADJ DETAIL-INPUT'!BS25</f>
        <v>0</v>
      </c>
      <c r="BP26" s="406">
        <f>'ADJ DETAIL-INPUT'!BT25</f>
        <v>0</v>
      </c>
      <c r="BQ26" s="406">
        <f>'ADJ DETAIL-INPUT'!BU25</f>
        <v>0</v>
      </c>
      <c r="BR26" s="406">
        <f>'ADJ DETAIL-INPUT'!BV25</f>
        <v>0</v>
      </c>
    </row>
    <row r="27" spans="1:70" s="396" customFormat="1">
      <c r="A27" s="394">
        <f>'ADJ DETAIL-INPUT'!A26</f>
        <v>11</v>
      </c>
      <c r="C27" s="396" t="str">
        <f>'ADJ DETAIL-INPUT'!C26</f>
        <v xml:space="preserve">Taxes  </v>
      </c>
      <c r="E27" s="732">
        <f>'ADJ DETAIL-INPUT'!E26</f>
        <v>15827</v>
      </c>
      <c r="F27" s="414">
        <f>'ADJ DETAIL-INPUT'!F26</f>
        <v>0</v>
      </c>
      <c r="G27" s="414">
        <f>'ADJ DETAIL-INPUT'!G26</f>
        <v>0</v>
      </c>
      <c r="H27" s="414">
        <f>'ADJ DETAIL-INPUT'!H26</f>
        <v>0</v>
      </c>
      <c r="I27" s="414">
        <f>'ADJ DETAIL-INPUT'!I26</f>
        <v>0</v>
      </c>
      <c r="J27" s="414">
        <f>'ADJ DETAIL-INPUT'!J26</f>
        <v>1</v>
      </c>
      <c r="K27" s="414">
        <f>'ADJ DETAIL-INPUT'!K26</f>
        <v>0</v>
      </c>
      <c r="L27" s="414">
        <f>'ADJ DETAIL-INPUT'!L26</f>
        <v>0</v>
      </c>
      <c r="M27" s="414">
        <f>'ADJ DETAIL-INPUT'!M26</f>
        <v>0</v>
      </c>
      <c r="N27" s="414">
        <f>'ADJ DETAIL-INPUT'!N26</f>
        <v>0</v>
      </c>
      <c r="O27" s="414">
        <f>'ADJ DETAIL-INPUT'!O26</f>
        <v>0</v>
      </c>
      <c r="P27" s="414">
        <f>'ADJ DETAIL-INPUT'!P26</f>
        <v>0</v>
      </c>
      <c r="Q27" s="414">
        <f>'ADJ DETAIL-INPUT'!Q26</f>
        <v>0</v>
      </c>
      <c r="R27" s="414">
        <f>'ADJ DETAIL-INPUT'!R26</f>
        <v>0</v>
      </c>
      <c r="S27" s="414">
        <f>'ADJ DETAIL-INPUT'!S26</f>
        <v>0</v>
      </c>
      <c r="T27" s="414">
        <f>'ADJ DETAIL-INPUT'!T26</f>
        <v>0</v>
      </c>
      <c r="U27" s="414">
        <f>'ADJ DETAIL-INPUT'!U26</f>
        <v>0</v>
      </c>
      <c r="V27" s="414">
        <f>'ADJ DETAIL-INPUT'!V26</f>
        <v>0</v>
      </c>
      <c r="W27" s="414">
        <f>'ADJ DETAIL-INPUT'!W26</f>
        <v>0</v>
      </c>
      <c r="X27" s="414">
        <f>'ADJ DETAIL-INPUT'!X26</f>
        <v>0</v>
      </c>
      <c r="Y27" s="414">
        <f>'ADJ DETAIL-INPUT'!Y26</f>
        <v>0</v>
      </c>
      <c r="Z27" s="414">
        <f>'ADJ DETAIL-INPUT'!Z26</f>
        <v>0</v>
      </c>
      <c r="AA27" s="414">
        <f>'ADJ DETAIL-INPUT'!AA26</f>
        <v>0</v>
      </c>
      <c r="AB27" s="414">
        <f>'ADJ DETAIL-INPUT'!AB26</f>
        <v>0</v>
      </c>
      <c r="AC27" s="414">
        <f>'ADJ DETAIL-INPUT'!AD26</f>
        <v>0</v>
      </c>
      <c r="AD27" s="414">
        <f>'ADJ DETAIL-INPUT'!AE26</f>
        <v>0</v>
      </c>
      <c r="AE27" s="414">
        <f>'ADJ DETAIL-INPUT'!AF26</f>
        <v>0</v>
      </c>
      <c r="AF27" s="414">
        <f>'ADJ DETAIL-INPUT'!AG26</f>
        <v>0</v>
      </c>
      <c r="AG27" s="414">
        <f>'ADJ DETAIL-INPUT'!AH26</f>
        <v>0</v>
      </c>
      <c r="AH27" s="414">
        <f>'ADJ DETAIL-INPUT'!AI26</f>
        <v>0</v>
      </c>
      <c r="AI27" s="414">
        <f>'ADJ DETAIL-INPUT'!AJ26</f>
        <v>0</v>
      </c>
      <c r="AJ27" s="414">
        <f>'ADJ DETAIL-INPUT'!AK26</f>
        <v>0</v>
      </c>
      <c r="AK27" s="414">
        <f>'ADJ DETAIL-INPUT'!AL26</f>
        <v>0</v>
      </c>
      <c r="AL27" s="414">
        <f>'ADJ DETAIL-INPUT'!AM26</f>
        <v>0</v>
      </c>
      <c r="AM27" s="414">
        <f>'ADJ DETAIL-INPUT'!AN26</f>
        <v>0</v>
      </c>
      <c r="AN27" s="414">
        <f>'ADJ DETAIL-INPUT'!AO26</f>
        <v>0</v>
      </c>
      <c r="AO27" s="414">
        <f>'ADJ DETAIL-INPUT'!AP26</f>
        <v>57</v>
      </c>
      <c r="AP27" s="414">
        <f>'ADJ DETAIL-INPUT'!AQ26</f>
        <v>0</v>
      </c>
      <c r="AQ27" s="414">
        <f>'ADJ DETAIL-INPUT'!AR26</f>
        <v>0</v>
      </c>
      <c r="AR27" s="414">
        <f>'ADJ DETAIL-INPUT'!AS26</f>
        <v>0</v>
      </c>
      <c r="AS27" s="414">
        <f>'ADJ DETAIL-INPUT'!AT26</f>
        <v>0</v>
      </c>
      <c r="AT27" s="414">
        <f>'ADJ DETAIL-INPUT'!AU26</f>
        <v>0</v>
      </c>
      <c r="AU27" s="414">
        <f>'ADJ DETAIL-INPUT'!AV26</f>
        <v>0</v>
      </c>
      <c r="AV27" s="414">
        <f>'ADJ DETAIL-INPUT'!AW26</f>
        <v>0</v>
      </c>
      <c r="AW27" s="414">
        <f>'ADJ DETAIL-INPUT'!AX26</f>
        <v>0</v>
      </c>
      <c r="AX27" s="414">
        <f>'ADJ DETAIL-INPUT'!AY26</f>
        <v>0</v>
      </c>
      <c r="AY27" s="414">
        <f>'ADJ DETAIL-INPUT'!AZ26</f>
        <v>0</v>
      </c>
      <c r="AZ27" s="414">
        <f>'ADJ DETAIL-INPUT'!BA26</f>
        <v>0</v>
      </c>
      <c r="BA27" s="414">
        <f>'ADJ DETAIL-INPUT'!BB26</f>
        <v>0</v>
      </c>
      <c r="BB27" s="414">
        <f>'ADJ DETAIL-INPUT'!BC26</f>
        <v>0</v>
      </c>
      <c r="BC27" s="414">
        <f>'ADJ DETAIL-INPUT'!BD26</f>
        <v>0</v>
      </c>
      <c r="BD27" s="414">
        <f>'ADJ DETAIL-INPUT'!BE26</f>
        <v>0</v>
      </c>
      <c r="BE27" s="414">
        <f>'ADJ DETAIL-INPUT'!BF26</f>
        <v>0</v>
      </c>
      <c r="BF27" s="414">
        <f>'ADJ DETAIL-INPUT'!BJ26</f>
        <v>0</v>
      </c>
      <c r="BG27" s="414">
        <f>'ADJ DETAIL-INPUT'!BK26</f>
        <v>0</v>
      </c>
      <c r="BH27" s="414">
        <f>'ADJ DETAIL-INPUT'!BL26</f>
        <v>0</v>
      </c>
      <c r="BI27" s="414">
        <f>'ADJ DETAIL-INPUT'!BM26</f>
        <v>0</v>
      </c>
      <c r="BJ27" s="414">
        <f>'ADJ DETAIL-INPUT'!BN26</f>
        <v>153</v>
      </c>
      <c r="BK27" s="414">
        <f>'ADJ DETAIL-INPUT'!BO26</f>
        <v>0</v>
      </c>
      <c r="BL27" s="414">
        <f>'ADJ DETAIL-INPUT'!BP26</f>
        <v>0</v>
      </c>
      <c r="BM27" s="414">
        <f>'ADJ DETAIL-INPUT'!BQ26</f>
        <v>0</v>
      </c>
      <c r="BN27" s="414">
        <f>'ADJ DETAIL-INPUT'!BR26</f>
        <v>0</v>
      </c>
      <c r="BO27" s="414">
        <f>'ADJ DETAIL-INPUT'!BS26</f>
        <v>0</v>
      </c>
      <c r="BP27" s="414">
        <f>'ADJ DETAIL-INPUT'!BT26</f>
        <v>0</v>
      </c>
      <c r="BQ27" s="414">
        <f>'ADJ DETAIL-INPUT'!BU26</f>
        <v>0</v>
      </c>
      <c r="BR27" s="414">
        <f>'ADJ DETAIL-INPUT'!BV26</f>
        <v>0</v>
      </c>
    </row>
    <row r="28" spans="1:70" s="396" customFormat="1">
      <c r="A28" s="394">
        <f>'ADJ DETAIL-INPUT'!A27</f>
        <v>12</v>
      </c>
      <c r="B28" s="396" t="str">
        <f>'ADJ DETAIL-INPUT'!B27</f>
        <v xml:space="preserve">Total Production &amp; Transmission  </v>
      </c>
      <c r="E28" s="399">
        <f>'ADJ DETAIL-INPUT'!E27</f>
        <v>297051</v>
      </c>
      <c r="F28" s="405">
        <f>'ADJ DETAIL-INPUT'!F27</f>
        <v>0</v>
      </c>
      <c r="G28" s="405">
        <f>'ADJ DETAIL-INPUT'!G27</f>
        <v>0</v>
      </c>
      <c r="H28" s="405">
        <f>'ADJ DETAIL-INPUT'!H27</f>
        <v>0</v>
      </c>
      <c r="I28" s="405">
        <f>'ADJ DETAIL-INPUT'!I27</f>
        <v>0</v>
      </c>
      <c r="J28" s="405">
        <f>'ADJ DETAIL-INPUT'!J27</f>
        <v>1</v>
      </c>
      <c r="K28" s="405">
        <f>'ADJ DETAIL-INPUT'!K27</f>
        <v>0</v>
      </c>
      <c r="L28" s="405">
        <f>'ADJ DETAIL-INPUT'!L27</f>
        <v>0</v>
      </c>
      <c r="M28" s="405">
        <f>'ADJ DETAIL-INPUT'!M27</f>
        <v>0</v>
      </c>
      <c r="N28" s="405">
        <f>'ADJ DETAIL-INPUT'!N27</f>
        <v>0</v>
      </c>
      <c r="O28" s="405">
        <f>'ADJ DETAIL-INPUT'!O27</f>
        <v>0</v>
      </c>
      <c r="P28" s="405">
        <f>'ADJ DETAIL-INPUT'!P27</f>
        <v>0</v>
      </c>
      <c r="Q28" s="405">
        <f>'ADJ DETAIL-INPUT'!Q27</f>
        <v>0</v>
      </c>
      <c r="R28" s="405">
        <f>'ADJ DETAIL-INPUT'!R27</f>
        <v>0</v>
      </c>
      <c r="S28" s="405">
        <f>'ADJ DETAIL-INPUT'!S27</f>
        <v>9576</v>
      </c>
      <c r="T28" s="405">
        <f>'ADJ DETAIL-INPUT'!T27</f>
        <v>0</v>
      </c>
      <c r="U28" s="405">
        <f>'ADJ DETAIL-INPUT'!U27</f>
        <v>0</v>
      </c>
      <c r="V28" s="405">
        <f>'ADJ DETAIL-INPUT'!V27</f>
        <v>0</v>
      </c>
      <c r="W28" s="405">
        <f>'ADJ DETAIL-INPUT'!W27</f>
        <v>0</v>
      </c>
      <c r="X28" s="405">
        <f>'ADJ DETAIL-INPUT'!X27</f>
        <v>19854</v>
      </c>
      <c r="Y28" s="405">
        <f>'ADJ DETAIL-INPUT'!Y27</f>
        <v>-6</v>
      </c>
      <c r="Z28" s="405">
        <f>'ADJ DETAIL-INPUT'!Z27</f>
        <v>-1694</v>
      </c>
      <c r="AA28" s="405">
        <f>'ADJ DETAIL-INPUT'!AA27</f>
        <v>-64936</v>
      </c>
      <c r="AB28" s="405">
        <f>'ADJ DETAIL-INPUT'!AB27</f>
        <v>0</v>
      </c>
      <c r="AC28" s="405">
        <f>'ADJ DETAIL-INPUT'!AD27</f>
        <v>36668</v>
      </c>
      <c r="AD28" s="405">
        <f>'ADJ DETAIL-INPUT'!AE27</f>
        <v>0</v>
      </c>
      <c r="AE28" s="405">
        <f>'ADJ DETAIL-INPUT'!AF27</f>
        <v>0</v>
      </c>
      <c r="AF28" s="405">
        <f>'ADJ DETAIL-INPUT'!AG27</f>
        <v>82</v>
      </c>
      <c r="AG28" s="405">
        <f>'ADJ DETAIL-INPUT'!AH27</f>
        <v>0</v>
      </c>
      <c r="AH28" s="405">
        <f>'ADJ DETAIL-INPUT'!AI27</f>
        <v>0</v>
      </c>
      <c r="AI28" s="405">
        <f>'ADJ DETAIL-INPUT'!AJ27</f>
        <v>1007</v>
      </c>
      <c r="AJ28" s="405">
        <f>'ADJ DETAIL-INPUT'!AK27</f>
        <v>0</v>
      </c>
      <c r="AK28" s="405">
        <f>'ADJ DETAIL-INPUT'!AL27</f>
        <v>2387</v>
      </c>
      <c r="AL28" s="405">
        <f>'ADJ DETAIL-INPUT'!AM27</f>
        <v>0</v>
      </c>
      <c r="AM28" s="405">
        <f>'ADJ DETAIL-INPUT'!AN27</f>
        <v>-138</v>
      </c>
      <c r="AN28" s="405">
        <f>'ADJ DETAIL-INPUT'!AO27</f>
        <v>0</v>
      </c>
      <c r="AO28" s="405">
        <f>'ADJ DETAIL-INPUT'!AP27</f>
        <v>57</v>
      </c>
      <c r="AP28" s="405">
        <f>'ADJ DETAIL-INPUT'!AQ27</f>
        <v>0</v>
      </c>
      <c r="AQ28" s="405">
        <f>'ADJ DETAIL-INPUT'!AR27</f>
        <v>0</v>
      </c>
      <c r="AR28" s="405">
        <f>'ADJ DETAIL-INPUT'!AS27</f>
        <v>4906.6769999999997</v>
      </c>
      <c r="AS28" s="405">
        <f>'ADJ DETAIL-INPUT'!AT27</f>
        <v>619</v>
      </c>
      <c r="AT28" s="405">
        <f>'ADJ DETAIL-INPUT'!AU27</f>
        <v>0</v>
      </c>
      <c r="AU28" s="405">
        <f>'ADJ DETAIL-INPUT'!AV27</f>
        <v>951</v>
      </c>
      <c r="AV28" s="405">
        <f>'ADJ DETAIL-INPUT'!AW27</f>
        <v>2</v>
      </c>
      <c r="AW28" s="405">
        <f>'ADJ DETAIL-INPUT'!AX27</f>
        <v>579</v>
      </c>
      <c r="AX28" s="405">
        <f>'ADJ DETAIL-INPUT'!AY27</f>
        <v>1952</v>
      </c>
      <c r="AY28" s="405">
        <f>'ADJ DETAIL-INPUT'!AZ27</f>
        <v>671</v>
      </c>
      <c r="AZ28" s="405">
        <f>'ADJ DETAIL-INPUT'!BA27</f>
        <v>-171</v>
      </c>
      <c r="BA28" s="405">
        <f>'ADJ DETAIL-INPUT'!BB27</f>
        <v>90</v>
      </c>
      <c r="BB28" s="405">
        <f>'ADJ DETAIL-INPUT'!BC27</f>
        <v>59</v>
      </c>
      <c r="BC28" s="405">
        <f>'ADJ DETAIL-INPUT'!BD27</f>
        <v>943</v>
      </c>
      <c r="BD28" s="405">
        <f>'ADJ DETAIL-INPUT'!BE27</f>
        <v>-160</v>
      </c>
      <c r="BE28" s="405">
        <f>'ADJ DETAIL-INPUT'!BF27</f>
        <v>0</v>
      </c>
      <c r="BF28" s="405">
        <f>'ADJ DETAIL-INPUT'!BJ27</f>
        <v>0</v>
      </c>
      <c r="BG28" s="405">
        <f>'ADJ DETAIL-INPUT'!BK27</f>
        <v>0</v>
      </c>
      <c r="BH28" s="405">
        <f>'ADJ DETAIL-INPUT'!BL27</f>
        <v>703</v>
      </c>
      <c r="BI28" s="405">
        <f>'ADJ DETAIL-INPUT'!BM27</f>
        <v>162</v>
      </c>
      <c r="BJ28" s="405">
        <f>'ADJ DETAIL-INPUT'!BN27</f>
        <v>153</v>
      </c>
      <c r="BK28" s="405">
        <f>'ADJ DETAIL-INPUT'!BO27</f>
        <v>0</v>
      </c>
      <c r="BL28" s="405">
        <f>'ADJ DETAIL-INPUT'!BP27</f>
        <v>0</v>
      </c>
      <c r="BM28" s="405">
        <f>'ADJ DETAIL-INPUT'!BQ27</f>
        <v>2180.7449999999999</v>
      </c>
      <c r="BN28" s="405">
        <f>'ADJ DETAIL-INPUT'!BR27</f>
        <v>597</v>
      </c>
      <c r="BO28" s="405">
        <f>'ADJ DETAIL-INPUT'!BS27</f>
        <v>0</v>
      </c>
      <c r="BP28" s="405">
        <f>'ADJ DETAIL-INPUT'!BT27</f>
        <v>59</v>
      </c>
      <c r="BQ28" s="405">
        <f>'ADJ DETAIL-INPUT'!BU27</f>
        <v>0</v>
      </c>
      <c r="BR28" s="405">
        <f>'ADJ DETAIL-INPUT'!BV27</f>
        <v>0</v>
      </c>
    </row>
    <row r="29" spans="1:70" s="396" customFormat="1" ht="6.75" customHeight="1">
      <c r="A29" s="394"/>
      <c r="E29" s="399"/>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row>
    <row r="30" spans="1:70" s="396" customFormat="1">
      <c r="A30" s="394"/>
      <c r="B30" s="396" t="str">
        <f>'ADJ DETAIL-INPUT'!B29</f>
        <v xml:space="preserve">Distribution  </v>
      </c>
      <c r="E30" s="399"/>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row>
    <row r="31" spans="1:70" s="396" customFormat="1">
      <c r="A31" s="394">
        <f>'ADJ DETAIL-INPUT'!A30</f>
        <v>13</v>
      </c>
      <c r="C31" s="396" t="str">
        <f>'ADJ DETAIL-INPUT'!C30</f>
        <v xml:space="preserve">Operating Expenses  </v>
      </c>
      <c r="E31" s="733">
        <f>'ADJ DETAIL-INPUT'!E30</f>
        <v>24622</v>
      </c>
      <c r="F31" s="405">
        <f>'ADJ DETAIL-INPUT'!F30</f>
        <v>0</v>
      </c>
      <c r="G31" s="405">
        <f>'ADJ DETAIL-INPUT'!G30</f>
        <v>0</v>
      </c>
      <c r="H31" s="405">
        <f>'ADJ DETAIL-INPUT'!H30</f>
        <v>0</v>
      </c>
      <c r="I31" s="405">
        <f>'ADJ DETAIL-INPUT'!I30</f>
        <v>0</v>
      </c>
      <c r="J31" s="405">
        <f>'ADJ DETAIL-INPUT'!J30</f>
        <v>0</v>
      </c>
      <c r="K31" s="405">
        <f>'ADJ DETAIL-INPUT'!K30</f>
        <v>0</v>
      </c>
      <c r="L31" s="405">
        <f>'ADJ DETAIL-INPUT'!L30</f>
        <v>0</v>
      </c>
      <c r="M31" s="405">
        <f>'ADJ DETAIL-INPUT'!M30</f>
        <v>0</v>
      </c>
      <c r="N31" s="405">
        <f>'ADJ DETAIL-INPUT'!N30</f>
        <v>0</v>
      </c>
      <c r="O31" s="405">
        <f>'ADJ DETAIL-INPUT'!O30</f>
        <v>0</v>
      </c>
      <c r="P31" s="405">
        <f>'ADJ DETAIL-INPUT'!P30</f>
        <v>0</v>
      </c>
      <c r="Q31" s="405">
        <f>'ADJ DETAIL-INPUT'!Q30</f>
        <v>0</v>
      </c>
      <c r="R31" s="405">
        <f>'ADJ DETAIL-INPUT'!R30</f>
        <v>0</v>
      </c>
      <c r="S31" s="405">
        <f>'ADJ DETAIL-INPUT'!S30</f>
        <v>0</v>
      </c>
      <c r="T31" s="405">
        <f>'ADJ DETAIL-INPUT'!T30</f>
        <v>0</v>
      </c>
      <c r="U31" s="405">
        <f>'ADJ DETAIL-INPUT'!U30</f>
        <v>0</v>
      </c>
      <c r="V31" s="405">
        <f>'ADJ DETAIL-INPUT'!V30</f>
        <v>0</v>
      </c>
      <c r="W31" s="405">
        <f>'ADJ DETAIL-INPUT'!W30</f>
        <v>0</v>
      </c>
      <c r="X31" s="405">
        <f>'ADJ DETAIL-INPUT'!X30</f>
        <v>0</v>
      </c>
      <c r="Y31" s="405">
        <f>'ADJ DETAIL-INPUT'!Y30</f>
        <v>0</v>
      </c>
      <c r="Z31" s="405">
        <f>'ADJ DETAIL-INPUT'!Z30</f>
        <v>0</v>
      </c>
      <c r="AA31" s="405">
        <f>'ADJ DETAIL-INPUT'!AA30</f>
        <v>0</v>
      </c>
      <c r="AB31" s="405">
        <f>'ADJ DETAIL-INPUT'!AB30</f>
        <v>0</v>
      </c>
      <c r="AC31" s="405">
        <f>'ADJ DETAIL-INPUT'!AD30</f>
        <v>0</v>
      </c>
      <c r="AD31" s="405">
        <f>'ADJ DETAIL-INPUT'!AE30</f>
        <v>0</v>
      </c>
      <c r="AE31" s="405">
        <f>'ADJ DETAIL-INPUT'!AF30</f>
        <v>0</v>
      </c>
      <c r="AF31" s="405">
        <f>'ADJ DETAIL-INPUT'!AG30</f>
        <v>0</v>
      </c>
      <c r="AG31" s="405">
        <f>'ADJ DETAIL-INPUT'!AH30</f>
        <v>0</v>
      </c>
      <c r="AH31" s="405">
        <f>'ADJ DETAIL-INPUT'!AI30</f>
        <v>0</v>
      </c>
      <c r="AI31" s="405">
        <f>'ADJ DETAIL-INPUT'!AJ30</f>
        <v>0</v>
      </c>
      <c r="AJ31" s="405">
        <f>'ADJ DETAIL-INPUT'!AK30</f>
        <v>0</v>
      </c>
      <c r="AK31" s="405">
        <f>'ADJ DETAIL-INPUT'!AL30</f>
        <v>1604</v>
      </c>
      <c r="AL31" s="405">
        <f>'ADJ DETAIL-INPUT'!AM30</f>
        <v>0</v>
      </c>
      <c r="AM31" s="405">
        <f>'ADJ DETAIL-INPUT'!AN30</f>
        <v>-87</v>
      </c>
      <c r="AN31" s="405">
        <f>'ADJ DETAIL-INPUT'!AO30</f>
        <v>-1.468</v>
      </c>
      <c r="AO31" s="405">
        <f>'ADJ DETAIL-INPUT'!AP30</f>
        <v>0</v>
      </c>
      <c r="AP31" s="405">
        <f>'ADJ DETAIL-INPUT'!AQ30</f>
        <v>0</v>
      </c>
      <c r="AQ31" s="405">
        <f>'ADJ DETAIL-INPUT'!AR30</f>
        <v>0</v>
      </c>
      <c r="AR31" s="405">
        <f>'ADJ DETAIL-INPUT'!AS30</f>
        <v>1806.367</v>
      </c>
      <c r="AS31" s="405">
        <f>'ADJ DETAIL-INPUT'!AT30</f>
        <v>0</v>
      </c>
      <c r="AT31" s="405">
        <f>'ADJ DETAIL-INPUT'!AU30</f>
        <v>0</v>
      </c>
      <c r="AU31" s="405">
        <f>'ADJ DETAIL-INPUT'!AV30</f>
        <v>0</v>
      </c>
      <c r="AV31" s="405">
        <f>'ADJ DETAIL-INPUT'!AW30</f>
        <v>0</v>
      </c>
      <c r="AW31" s="405">
        <f>'ADJ DETAIL-INPUT'!AX30</f>
        <v>0</v>
      </c>
      <c r="AX31" s="405">
        <f>'ADJ DETAIL-INPUT'!AY30</f>
        <v>0</v>
      </c>
      <c r="AY31" s="405">
        <f>'ADJ DETAIL-INPUT'!AZ30</f>
        <v>0</v>
      </c>
      <c r="AZ31" s="405">
        <f>'ADJ DETAIL-INPUT'!BA30</f>
        <v>-577</v>
      </c>
      <c r="BA31" s="405">
        <f>'ADJ DETAIL-INPUT'!BB30</f>
        <v>2950</v>
      </c>
      <c r="BB31" s="405">
        <f>'ADJ DETAIL-INPUT'!BC30</f>
        <v>0</v>
      </c>
      <c r="BC31" s="405">
        <f>'ADJ DETAIL-INPUT'!BD30</f>
        <v>0</v>
      </c>
      <c r="BD31" s="405">
        <f>'ADJ DETAIL-INPUT'!BE30</f>
        <v>0</v>
      </c>
      <c r="BE31" s="405">
        <f>'ADJ DETAIL-INPUT'!BF30</f>
        <v>0</v>
      </c>
      <c r="BF31" s="405">
        <f>'ADJ DETAIL-INPUT'!BJ30</f>
        <v>0</v>
      </c>
      <c r="BG31" s="405">
        <f>'ADJ DETAIL-INPUT'!BK30</f>
        <v>0</v>
      </c>
      <c r="BH31" s="405">
        <f>'ADJ DETAIL-INPUT'!BL30</f>
        <v>473</v>
      </c>
      <c r="BI31" s="405">
        <f>'ADJ DETAIL-INPUT'!BM30</f>
        <v>101</v>
      </c>
      <c r="BJ31" s="405">
        <f>'ADJ DETAIL-INPUT'!BN30</f>
        <v>0</v>
      </c>
      <c r="BK31" s="405">
        <f>'ADJ DETAIL-INPUT'!BO30</f>
        <v>0</v>
      </c>
      <c r="BL31" s="405">
        <f>'ADJ DETAIL-INPUT'!BP30</f>
        <v>0</v>
      </c>
      <c r="BM31" s="405">
        <f>'ADJ DETAIL-INPUT'!BQ30</f>
        <v>802.83</v>
      </c>
      <c r="BN31" s="405">
        <f>'ADJ DETAIL-INPUT'!BR30</f>
        <v>0</v>
      </c>
      <c r="BO31" s="405">
        <f>'ADJ DETAIL-INPUT'!BS30</f>
        <v>0</v>
      </c>
      <c r="BP31" s="405">
        <f>'ADJ DETAIL-INPUT'!BT30</f>
        <v>0</v>
      </c>
      <c r="BQ31" s="405">
        <f>'ADJ DETAIL-INPUT'!BU30</f>
        <v>0</v>
      </c>
      <c r="BR31" s="405">
        <f>'ADJ DETAIL-INPUT'!BV30</f>
        <v>0</v>
      </c>
    </row>
    <row r="32" spans="1:70" s="396" customFormat="1">
      <c r="A32" s="394">
        <f>'ADJ DETAIL-INPUT'!A31</f>
        <v>14</v>
      </c>
      <c r="C32" s="396" t="str">
        <f>'ADJ DETAIL-INPUT'!C31</f>
        <v>Depreciation/Amortization</v>
      </c>
      <c r="E32" s="733">
        <f>'ADJ DETAIL-INPUT'!E31</f>
        <v>34676</v>
      </c>
      <c r="F32" s="405">
        <f>'ADJ DETAIL-INPUT'!F31</f>
        <v>0</v>
      </c>
      <c r="G32" s="405">
        <f>'ADJ DETAIL-INPUT'!G31</f>
        <v>0</v>
      </c>
      <c r="H32" s="405">
        <f>'ADJ DETAIL-INPUT'!H31</f>
        <v>0</v>
      </c>
      <c r="I32" s="405">
        <f>'ADJ DETAIL-INPUT'!I31</f>
        <v>0</v>
      </c>
      <c r="J32" s="405">
        <f>'ADJ DETAIL-INPUT'!J31</f>
        <v>0</v>
      </c>
      <c r="K32" s="405">
        <f>'ADJ DETAIL-INPUT'!K31</f>
        <v>0</v>
      </c>
      <c r="L32" s="405">
        <f>'ADJ DETAIL-INPUT'!L31</f>
        <v>0</v>
      </c>
      <c r="M32" s="405">
        <f>'ADJ DETAIL-INPUT'!M31</f>
        <v>0</v>
      </c>
      <c r="N32" s="405">
        <f>'ADJ DETAIL-INPUT'!N31</f>
        <v>0</v>
      </c>
      <c r="O32" s="405">
        <f>'ADJ DETAIL-INPUT'!O31</f>
        <v>0</v>
      </c>
      <c r="P32" s="405">
        <f>'ADJ DETAIL-INPUT'!P31</f>
        <v>0</v>
      </c>
      <c r="Q32" s="405">
        <f>'ADJ DETAIL-INPUT'!Q31</f>
        <v>-63</v>
      </c>
      <c r="R32" s="405">
        <f>'ADJ DETAIL-INPUT'!R31</f>
        <v>0</v>
      </c>
      <c r="S32" s="405">
        <f>'ADJ DETAIL-INPUT'!S31</f>
        <v>0</v>
      </c>
      <c r="T32" s="405">
        <f>'ADJ DETAIL-INPUT'!T31</f>
        <v>0</v>
      </c>
      <c r="U32" s="405">
        <f>'ADJ DETAIL-INPUT'!U31</f>
        <v>0</v>
      </c>
      <c r="V32" s="405">
        <f>'ADJ DETAIL-INPUT'!V31</f>
        <v>0</v>
      </c>
      <c r="W32" s="405">
        <f>'ADJ DETAIL-INPUT'!W31</f>
        <v>0</v>
      </c>
      <c r="X32" s="405">
        <f>'ADJ DETAIL-INPUT'!X31</f>
        <v>0</v>
      </c>
      <c r="Y32" s="405">
        <f>'ADJ DETAIL-INPUT'!Y31</f>
        <v>0</v>
      </c>
      <c r="Z32" s="405">
        <f>'ADJ DETAIL-INPUT'!Z31</f>
        <v>0</v>
      </c>
      <c r="AA32" s="405">
        <f>'ADJ DETAIL-INPUT'!AA31</f>
        <v>0</v>
      </c>
      <c r="AB32" s="405">
        <f>'ADJ DETAIL-INPUT'!AB31</f>
        <v>0</v>
      </c>
      <c r="AC32" s="405">
        <f>'ADJ DETAIL-INPUT'!AD31</f>
        <v>0</v>
      </c>
      <c r="AD32" s="405">
        <f>'ADJ DETAIL-INPUT'!AE31</f>
        <v>0</v>
      </c>
      <c r="AE32" s="405">
        <f>'ADJ DETAIL-INPUT'!AF31</f>
        <v>0</v>
      </c>
      <c r="AF32" s="405">
        <f>'ADJ DETAIL-INPUT'!AG31</f>
        <v>0</v>
      </c>
      <c r="AG32" s="405">
        <f>'ADJ DETAIL-INPUT'!AH31</f>
        <v>0</v>
      </c>
      <c r="AH32" s="405">
        <f>'ADJ DETAIL-INPUT'!AI31</f>
        <v>0</v>
      </c>
      <c r="AI32" s="405">
        <f>'ADJ DETAIL-INPUT'!AJ31</f>
        <v>0</v>
      </c>
      <c r="AJ32" s="405">
        <f>'ADJ DETAIL-INPUT'!AK31</f>
        <v>0</v>
      </c>
      <c r="AK32" s="405">
        <f>'ADJ DETAIL-INPUT'!AL31</f>
        <v>0</v>
      </c>
      <c r="AL32" s="405">
        <f>'ADJ DETAIL-INPUT'!AM31</f>
        <v>0</v>
      </c>
      <c r="AM32" s="405">
        <f>'ADJ DETAIL-INPUT'!AN31</f>
        <v>0</v>
      </c>
      <c r="AN32" s="405">
        <f>'ADJ DETAIL-INPUT'!AO31</f>
        <v>0</v>
      </c>
      <c r="AO32" s="405">
        <f>'ADJ DETAIL-INPUT'!AP31</f>
        <v>0</v>
      </c>
      <c r="AP32" s="405">
        <f>'ADJ DETAIL-INPUT'!AQ31</f>
        <v>0</v>
      </c>
      <c r="AQ32" s="405">
        <f>'ADJ DETAIL-INPUT'!AR31</f>
        <v>0</v>
      </c>
      <c r="AR32" s="405">
        <f>'ADJ DETAIL-INPUT'!AS31</f>
        <v>0</v>
      </c>
      <c r="AS32" s="405">
        <f>'ADJ DETAIL-INPUT'!AT31</f>
        <v>462</v>
      </c>
      <c r="AT32" s="405">
        <f>'ADJ DETAIL-INPUT'!AU31</f>
        <v>0</v>
      </c>
      <c r="AU32" s="405">
        <f>'ADJ DETAIL-INPUT'!AV31</f>
        <v>1</v>
      </c>
      <c r="AV32" s="405">
        <f>'ADJ DETAIL-INPUT'!AW31</f>
        <v>3</v>
      </c>
      <c r="AW32" s="405">
        <f>'ADJ DETAIL-INPUT'!AX31</f>
        <v>0</v>
      </c>
      <c r="AX32" s="405">
        <f>'ADJ DETAIL-INPUT'!AY31</f>
        <v>1873</v>
      </c>
      <c r="AY32" s="405">
        <f>'ADJ DETAIL-INPUT'!AZ31</f>
        <v>1793</v>
      </c>
      <c r="AZ32" s="405">
        <f>'ADJ DETAIL-INPUT'!BA31</f>
        <v>0</v>
      </c>
      <c r="BA32" s="405">
        <f>'ADJ DETAIL-INPUT'!BB31</f>
        <v>187</v>
      </c>
      <c r="BB32" s="405">
        <f>'ADJ DETAIL-INPUT'!BC31</f>
        <v>336</v>
      </c>
      <c r="BC32" s="405">
        <f>'ADJ DETAIL-INPUT'!BD31</f>
        <v>0</v>
      </c>
      <c r="BD32" s="405">
        <f>'ADJ DETAIL-INPUT'!BE31</f>
        <v>0</v>
      </c>
      <c r="BE32" s="405">
        <f>'ADJ DETAIL-INPUT'!BF31</f>
        <v>0</v>
      </c>
      <c r="BF32" s="405">
        <f>'ADJ DETAIL-INPUT'!BJ31</f>
        <v>0</v>
      </c>
      <c r="BG32" s="405">
        <f>'ADJ DETAIL-INPUT'!BK31</f>
        <v>0</v>
      </c>
      <c r="BH32" s="405">
        <f>'ADJ DETAIL-INPUT'!BL31</f>
        <v>0</v>
      </c>
      <c r="BI32" s="405">
        <f>'ADJ DETAIL-INPUT'!BM31</f>
        <v>0</v>
      </c>
      <c r="BJ32" s="405">
        <f>'ADJ DETAIL-INPUT'!BN31</f>
        <v>0</v>
      </c>
      <c r="BK32" s="405">
        <f>'ADJ DETAIL-INPUT'!BO31</f>
        <v>0</v>
      </c>
      <c r="BL32" s="405">
        <f>'ADJ DETAIL-INPUT'!BP31</f>
        <v>0</v>
      </c>
      <c r="BM32" s="405">
        <f>'ADJ DETAIL-INPUT'!BQ31</f>
        <v>0</v>
      </c>
      <c r="BN32" s="405">
        <f>'ADJ DETAIL-INPUT'!BR31</f>
        <v>2432</v>
      </c>
      <c r="BO32" s="405">
        <f>'ADJ DETAIL-INPUT'!BS31</f>
        <v>0</v>
      </c>
      <c r="BP32" s="405">
        <f>'ADJ DETAIL-INPUT'!BT31</f>
        <v>384</v>
      </c>
      <c r="BQ32" s="405">
        <f>'ADJ DETAIL-INPUT'!BU31</f>
        <v>0</v>
      </c>
      <c r="BR32" s="405">
        <f>'ADJ DETAIL-INPUT'!BV31</f>
        <v>0</v>
      </c>
    </row>
    <row r="33" spans="1:70" s="396" customFormat="1">
      <c r="A33" s="394" t="str">
        <f>'ADJ DETAIL-INPUT'!A32</f>
        <v>14a</v>
      </c>
      <c r="C33" s="396" t="str">
        <f>'ADJ DETAIL-INPUT'!C32</f>
        <v>Regulatory Amortization</v>
      </c>
      <c r="E33" s="733">
        <f>'ADJ DETAIL-INPUT'!E32</f>
        <v>0</v>
      </c>
      <c r="F33" s="405">
        <f>'ADJ DETAIL-INPUT'!F32</f>
        <v>0</v>
      </c>
      <c r="G33" s="405">
        <f>'ADJ DETAIL-INPUT'!G32</f>
        <v>0</v>
      </c>
      <c r="H33" s="405">
        <f>'ADJ DETAIL-INPUT'!H32</f>
        <v>0</v>
      </c>
      <c r="I33" s="405">
        <f>'ADJ DETAIL-INPUT'!I32</f>
        <v>0</v>
      </c>
      <c r="J33" s="405">
        <f>'ADJ DETAIL-INPUT'!J32</f>
        <v>0</v>
      </c>
      <c r="K33" s="405">
        <f>'ADJ DETAIL-INPUT'!K32</f>
        <v>0</v>
      </c>
      <c r="L33" s="405">
        <f>'ADJ DETAIL-INPUT'!L32</f>
        <v>0</v>
      </c>
      <c r="M33" s="405">
        <f>'ADJ DETAIL-INPUT'!M32</f>
        <v>0</v>
      </c>
      <c r="N33" s="405">
        <f>'ADJ DETAIL-INPUT'!N32</f>
        <v>0</v>
      </c>
      <c r="O33" s="405">
        <f>'ADJ DETAIL-INPUT'!O32</f>
        <v>0</v>
      </c>
      <c r="P33" s="405">
        <f>'ADJ DETAIL-INPUT'!P32</f>
        <v>0</v>
      </c>
      <c r="Q33" s="405">
        <f>'ADJ DETAIL-INPUT'!Q32</f>
        <v>0</v>
      </c>
      <c r="R33" s="405">
        <f>'ADJ DETAIL-INPUT'!R32</f>
        <v>0</v>
      </c>
      <c r="S33" s="405">
        <f>'ADJ DETAIL-INPUT'!S32</f>
        <v>0</v>
      </c>
      <c r="T33" s="405">
        <f>'ADJ DETAIL-INPUT'!T32</f>
        <v>0</v>
      </c>
      <c r="U33" s="405">
        <f>'ADJ DETAIL-INPUT'!U32</f>
        <v>0</v>
      </c>
      <c r="V33" s="405">
        <f>'ADJ DETAIL-INPUT'!V32</f>
        <v>0</v>
      </c>
      <c r="W33" s="405">
        <f>'ADJ DETAIL-INPUT'!W32</f>
        <v>0</v>
      </c>
      <c r="X33" s="405">
        <f>'ADJ DETAIL-INPUT'!X32</f>
        <v>0</v>
      </c>
      <c r="Y33" s="405">
        <f>'ADJ DETAIL-INPUT'!Y32</f>
        <v>0</v>
      </c>
      <c r="Z33" s="405">
        <f>'ADJ DETAIL-INPUT'!Z32</f>
        <v>0</v>
      </c>
      <c r="AA33" s="405">
        <f>'ADJ DETAIL-INPUT'!AA32</f>
        <v>0</v>
      </c>
      <c r="AB33" s="405">
        <f>'ADJ DETAIL-INPUT'!AB32</f>
        <v>0</v>
      </c>
      <c r="AC33" s="405">
        <f>'ADJ DETAIL-INPUT'!AD32</f>
        <v>0</v>
      </c>
      <c r="AD33" s="405">
        <f>'ADJ DETAIL-INPUT'!AE32</f>
        <v>0</v>
      </c>
      <c r="AE33" s="405">
        <f>'ADJ DETAIL-INPUT'!AF32</f>
        <v>0</v>
      </c>
      <c r="AF33" s="405">
        <f>'ADJ DETAIL-INPUT'!AG32</f>
        <v>0</v>
      </c>
      <c r="AG33" s="405">
        <f>'ADJ DETAIL-INPUT'!AH32</f>
        <v>0</v>
      </c>
      <c r="AH33" s="405">
        <f>'ADJ DETAIL-INPUT'!AI32</f>
        <v>0</v>
      </c>
      <c r="AI33" s="405">
        <f>'ADJ DETAIL-INPUT'!AJ32</f>
        <v>0</v>
      </c>
      <c r="AJ33" s="405">
        <f>'ADJ DETAIL-INPUT'!AK32</f>
        <v>0</v>
      </c>
      <c r="AK33" s="405">
        <f>'ADJ DETAIL-INPUT'!AL32</f>
        <v>0</v>
      </c>
      <c r="AL33" s="405">
        <f>'ADJ DETAIL-INPUT'!AM32</f>
        <v>0</v>
      </c>
      <c r="AM33" s="405">
        <f>'ADJ DETAIL-INPUT'!AN32</f>
        <v>0</v>
      </c>
      <c r="AN33" s="405">
        <f>'ADJ DETAIL-INPUT'!AO32</f>
        <v>0</v>
      </c>
      <c r="AO33" s="405">
        <f>'ADJ DETAIL-INPUT'!AP32</f>
        <v>0</v>
      </c>
      <c r="AP33" s="405">
        <f>'ADJ DETAIL-INPUT'!AQ32</f>
        <v>0</v>
      </c>
      <c r="AQ33" s="405">
        <f>'ADJ DETAIL-INPUT'!AR32</f>
        <v>0</v>
      </c>
      <c r="AR33" s="405">
        <f>'ADJ DETAIL-INPUT'!AS32</f>
        <v>0</v>
      </c>
      <c r="AS33" s="405">
        <f>'ADJ DETAIL-INPUT'!AT32</f>
        <v>0</v>
      </c>
      <c r="AT33" s="405">
        <f>'ADJ DETAIL-INPUT'!AU32</f>
        <v>62</v>
      </c>
      <c r="AU33" s="405">
        <f>'ADJ DETAIL-INPUT'!AV32</f>
        <v>0</v>
      </c>
      <c r="AV33" s="405">
        <f>'ADJ DETAIL-INPUT'!AW32</f>
        <v>0</v>
      </c>
      <c r="AW33" s="405">
        <f>'ADJ DETAIL-INPUT'!AX32</f>
        <v>0</v>
      </c>
      <c r="AX33" s="405">
        <f>'ADJ DETAIL-INPUT'!AY32</f>
        <v>0</v>
      </c>
      <c r="AY33" s="405">
        <f>'ADJ DETAIL-INPUT'!AZ32</f>
        <v>0</v>
      </c>
      <c r="AZ33" s="405">
        <f>'ADJ DETAIL-INPUT'!BA32</f>
        <v>0</v>
      </c>
      <c r="BA33" s="405">
        <f>'ADJ DETAIL-INPUT'!BB32</f>
        <v>0</v>
      </c>
      <c r="BB33" s="405">
        <f>'ADJ DETAIL-INPUT'!BC32</f>
        <v>0</v>
      </c>
      <c r="BC33" s="405">
        <f>'ADJ DETAIL-INPUT'!BD32</f>
        <v>0</v>
      </c>
      <c r="BD33" s="405">
        <f>'ADJ DETAIL-INPUT'!BE32</f>
        <v>0</v>
      </c>
      <c r="BE33" s="405">
        <f>'ADJ DETAIL-INPUT'!BF32</f>
        <v>0</v>
      </c>
      <c r="BF33" s="405">
        <f>'ADJ DETAIL-INPUT'!BJ32</f>
        <v>0</v>
      </c>
      <c r="BG33" s="405">
        <f>'ADJ DETAIL-INPUT'!BK32</f>
        <v>0</v>
      </c>
      <c r="BH33" s="405">
        <f>'ADJ DETAIL-INPUT'!BL32</f>
        <v>0</v>
      </c>
      <c r="BI33" s="405">
        <f>'ADJ DETAIL-INPUT'!BM32</f>
        <v>0</v>
      </c>
      <c r="BJ33" s="405">
        <f>'ADJ DETAIL-INPUT'!BN32</f>
        <v>0</v>
      </c>
      <c r="BK33" s="405">
        <f>'ADJ DETAIL-INPUT'!BO32</f>
        <v>0</v>
      </c>
      <c r="BL33" s="405">
        <f>'ADJ DETAIL-INPUT'!BP32</f>
        <v>46</v>
      </c>
      <c r="BM33" s="405">
        <f>'ADJ DETAIL-INPUT'!BQ32</f>
        <v>0</v>
      </c>
      <c r="BN33" s="405">
        <f>'ADJ DETAIL-INPUT'!BR32</f>
        <v>0</v>
      </c>
      <c r="BO33" s="405">
        <f>'ADJ DETAIL-INPUT'!BS32</f>
        <v>0</v>
      </c>
      <c r="BP33" s="405">
        <f>'ADJ DETAIL-INPUT'!BT32</f>
        <v>0</v>
      </c>
      <c r="BQ33" s="405">
        <f>'ADJ DETAIL-INPUT'!BU32</f>
        <v>0</v>
      </c>
      <c r="BR33" s="405">
        <f>'ADJ DETAIL-INPUT'!BV32</f>
        <v>0</v>
      </c>
    </row>
    <row r="34" spans="1:70" s="396" customFormat="1">
      <c r="A34" s="394">
        <f>'ADJ DETAIL-INPUT'!A33</f>
        <v>15</v>
      </c>
      <c r="C34" s="396" t="str">
        <f>'ADJ DETAIL-INPUT'!C33</f>
        <v xml:space="preserve">Taxes  </v>
      </c>
      <c r="E34" s="732">
        <f>'ADJ DETAIL-INPUT'!E33</f>
        <v>49705</v>
      </c>
      <c r="F34" s="414">
        <f>'ADJ DETAIL-INPUT'!F33</f>
        <v>0</v>
      </c>
      <c r="G34" s="414">
        <f>'ADJ DETAIL-INPUT'!G33</f>
        <v>0</v>
      </c>
      <c r="H34" s="414">
        <f>'ADJ DETAIL-INPUT'!H33</f>
        <v>0</v>
      </c>
      <c r="I34" s="414">
        <f>'ADJ DETAIL-INPUT'!I33</f>
        <v>-19456</v>
      </c>
      <c r="J34" s="414">
        <f>'ADJ DETAIL-INPUT'!J33</f>
        <v>1</v>
      </c>
      <c r="K34" s="414">
        <f>'ADJ DETAIL-INPUT'!K33</f>
        <v>0</v>
      </c>
      <c r="L34" s="414">
        <f>'ADJ DETAIL-INPUT'!L33</f>
        <v>0</v>
      </c>
      <c r="M34" s="414">
        <f>'ADJ DETAIL-INPUT'!M33</f>
        <v>0</v>
      </c>
      <c r="N34" s="414">
        <f>'ADJ DETAIL-INPUT'!N33</f>
        <v>0</v>
      </c>
      <c r="O34" s="414">
        <f>'ADJ DETAIL-INPUT'!O33</f>
        <v>0</v>
      </c>
      <c r="P34" s="414">
        <f>'ADJ DETAIL-INPUT'!P33</f>
        <v>18</v>
      </c>
      <c r="Q34" s="414">
        <f>'ADJ DETAIL-INPUT'!Q33</f>
        <v>0</v>
      </c>
      <c r="R34" s="414">
        <f>'ADJ DETAIL-INPUT'!R33</f>
        <v>-315</v>
      </c>
      <c r="S34" s="414">
        <f>'ADJ DETAIL-INPUT'!S33</f>
        <v>-1022</v>
      </c>
      <c r="T34" s="414">
        <f>'ADJ DETAIL-INPUT'!T33</f>
        <v>0</v>
      </c>
      <c r="U34" s="414">
        <f>'ADJ DETAIL-INPUT'!U33</f>
        <v>0</v>
      </c>
      <c r="V34" s="414">
        <f>'ADJ DETAIL-INPUT'!V33</f>
        <v>0</v>
      </c>
      <c r="W34" s="414">
        <f>'ADJ DETAIL-INPUT'!W33</f>
        <v>0</v>
      </c>
      <c r="X34" s="414">
        <f>'ADJ DETAIL-INPUT'!X33</f>
        <v>887</v>
      </c>
      <c r="Y34" s="414">
        <f>'ADJ DETAIL-INPUT'!Y33</f>
        <v>0</v>
      </c>
      <c r="Z34" s="414">
        <f>'ADJ DETAIL-INPUT'!Z33</f>
        <v>0</v>
      </c>
      <c r="AA34" s="414">
        <f>'ADJ DETAIL-INPUT'!AA33</f>
        <v>0</v>
      </c>
      <c r="AB34" s="414">
        <f>'ADJ DETAIL-INPUT'!AB33</f>
        <v>0</v>
      </c>
      <c r="AC34" s="414">
        <f>'ADJ DETAIL-INPUT'!AD33</f>
        <v>0</v>
      </c>
      <c r="AD34" s="414">
        <f>'ADJ DETAIL-INPUT'!AE33</f>
        <v>0</v>
      </c>
      <c r="AE34" s="414">
        <f>'ADJ DETAIL-INPUT'!AF33</f>
        <v>574</v>
      </c>
      <c r="AF34" s="414">
        <f>'ADJ DETAIL-INPUT'!AG33</f>
        <v>0</v>
      </c>
      <c r="AG34" s="414">
        <f>'ADJ DETAIL-INPUT'!AH33</f>
        <v>0</v>
      </c>
      <c r="AH34" s="414">
        <f>'ADJ DETAIL-INPUT'!AI33</f>
        <v>0</v>
      </c>
      <c r="AI34" s="414">
        <f>'ADJ DETAIL-INPUT'!AJ33</f>
        <v>0</v>
      </c>
      <c r="AJ34" s="414">
        <f>'ADJ DETAIL-INPUT'!AK33</f>
        <v>0</v>
      </c>
      <c r="AK34" s="414">
        <f>'ADJ DETAIL-INPUT'!AL33</f>
        <v>0</v>
      </c>
      <c r="AL34" s="414">
        <f>'ADJ DETAIL-INPUT'!AM33</f>
        <v>0</v>
      </c>
      <c r="AM34" s="414">
        <f>'ADJ DETAIL-INPUT'!AN33</f>
        <v>0</v>
      </c>
      <c r="AN34" s="414">
        <f>'ADJ DETAIL-INPUT'!AO33</f>
        <v>0</v>
      </c>
      <c r="AO34" s="414">
        <f>'ADJ DETAIL-INPUT'!AP33</f>
        <v>905</v>
      </c>
      <c r="AP34" s="414">
        <f>'ADJ DETAIL-INPUT'!AQ33</f>
        <v>0</v>
      </c>
      <c r="AQ34" s="414">
        <f>'ADJ DETAIL-INPUT'!AR33</f>
        <v>0</v>
      </c>
      <c r="AR34" s="414">
        <f>'ADJ DETAIL-INPUT'!AS33</f>
        <v>0</v>
      </c>
      <c r="AS34" s="414">
        <f>'ADJ DETAIL-INPUT'!AT33</f>
        <v>0</v>
      </c>
      <c r="AT34" s="414">
        <f>'ADJ DETAIL-INPUT'!AU33</f>
        <v>0</v>
      </c>
      <c r="AU34" s="414">
        <f>'ADJ DETAIL-INPUT'!AV33</f>
        <v>0</v>
      </c>
      <c r="AV34" s="414">
        <f>'ADJ DETAIL-INPUT'!AW33</f>
        <v>0</v>
      </c>
      <c r="AW34" s="414">
        <f>'ADJ DETAIL-INPUT'!AX33</f>
        <v>0</v>
      </c>
      <c r="AX34" s="414">
        <f>'ADJ DETAIL-INPUT'!AY33</f>
        <v>0</v>
      </c>
      <c r="AY34" s="414">
        <f>'ADJ DETAIL-INPUT'!AZ33</f>
        <v>0</v>
      </c>
      <c r="AZ34" s="414">
        <f>'ADJ DETAIL-INPUT'!BA33</f>
        <v>0</v>
      </c>
      <c r="BA34" s="414">
        <f>'ADJ DETAIL-INPUT'!BB33</f>
        <v>0</v>
      </c>
      <c r="BB34" s="414">
        <f>'ADJ DETAIL-INPUT'!BC33</f>
        <v>0</v>
      </c>
      <c r="BC34" s="414">
        <f>'ADJ DETAIL-INPUT'!BD33</f>
        <v>0</v>
      </c>
      <c r="BD34" s="414">
        <f>'ADJ DETAIL-INPUT'!BE33</f>
        <v>0</v>
      </c>
      <c r="BE34" s="414">
        <f>'ADJ DETAIL-INPUT'!BF33</f>
        <v>0</v>
      </c>
      <c r="BF34" s="414">
        <f>'ADJ DETAIL-INPUT'!BJ33</f>
        <v>0</v>
      </c>
      <c r="BG34" s="414">
        <f>'ADJ DETAIL-INPUT'!BK33</f>
        <v>0</v>
      </c>
      <c r="BH34" s="414">
        <f>'ADJ DETAIL-INPUT'!BL33</f>
        <v>0</v>
      </c>
      <c r="BI34" s="414">
        <f>'ADJ DETAIL-INPUT'!BM33</f>
        <v>0</v>
      </c>
      <c r="BJ34" s="414">
        <f>'ADJ DETAIL-INPUT'!BN33</f>
        <v>473</v>
      </c>
      <c r="BK34" s="414">
        <f>'ADJ DETAIL-INPUT'!BO33</f>
        <v>0</v>
      </c>
      <c r="BL34" s="414">
        <f>'ADJ DETAIL-INPUT'!BP33</f>
        <v>0</v>
      </c>
      <c r="BM34" s="414">
        <f>'ADJ DETAIL-INPUT'!BQ33</f>
        <v>0</v>
      </c>
      <c r="BN34" s="414">
        <f>'ADJ DETAIL-INPUT'!BR33</f>
        <v>0</v>
      </c>
      <c r="BO34" s="414">
        <f>'ADJ DETAIL-INPUT'!BS33</f>
        <v>0</v>
      </c>
      <c r="BP34" s="414">
        <f>'ADJ DETAIL-INPUT'!BT33</f>
        <v>0</v>
      </c>
      <c r="BQ34" s="414">
        <f>'ADJ DETAIL-INPUT'!BU33</f>
        <v>0</v>
      </c>
      <c r="BR34" s="414">
        <f>'ADJ DETAIL-INPUT'!BV33</f>
        <v>0</v>
      </c>
    </row>
    <row r="35" spans="1:70" s="396" customFormat="1">
      <c r="A35" s="394">
        <f>'ADJ DETAIL-INPUT'!A34</f>
        <v>16</v>
      </c>
      <c r="B35" s="396" t="str">
        <f>'ADJ DETAIL-INPUT'!B34</f>
        <v xml:space="preserve">Total Distribution  </v>
      </c>
      <c r="E35" s="399">
        <f>'ADJ DETAIL-INPUT'!E34</f>
        <v>109003</v>
      </c>
      <c r="F35" s="405">
        <f>'ADJ DETAIL-INPUT'!F34</f>
        <v>0</v>
      </c>
      <c r="G35" s="405">
        <f>'ADJ DETAIL-INPUT'!G34</f>
        <v>0</v>
      </c>
      <c r="H35" s="405">
        <f>'ADJ DETAIL-INPUT'!H34</f>
        <v>0</v>
      </c>
      <c r="I35" s="405">
        <f>'ADJ DETAIL-INPUT'!I34</f>
        <v>-19456</v>
      </c>
      <c r="J35" s="405">
        <f>'ADJ DETAIL-INPUT'!J34</f>
        <v>1</v>
      </c>
      <c r="K35" s="405">
        <f>'ADJ DETAIL-INPUT'!K34</f>
        <v>0</v>
      </c>
      <c r="L35" s="405">
        <f>'ADJ DETAIL-INPUT'!L34</f>
        <v>0</v>
      </c>
      <c r="M35" s="405">
        <f>'ADJ DETAIL-INPUT'!M34</f>
        <v>0</v>
      </c>
      <c r="N35" s="405">
        <f>'ADJ DETAIL-INPUT'!N34</f>
        <v>0</v>
      </c>
      <c r="O35" s="405">
        <f>'ADJ DETAIL-INPUT'!O34</f>
        <v>0</v>
      </c>
      <c r="P35" s="405">
        <f>'ADJ DETAIL-INPUT'!P34</f>
        <v>18</v>
      </c>
      <c r="Q35" s="405">
        <f>'ADJ DETAIL-INPUT'!Q34</f>
        <v>-63</v>
      </c>
      <c r="R35" s="405">
        <f>'ADJ DETAIL-INPUT'!R34</f>
        <v>-315</v>
      </c>
      <c r="S35" s="405">
        <f>'ADJ DETAIL-INPUT'!S34</f>
        <v>-1022</v>
      </c>
      <c r="T35" s="405">
        <f>'ADJ DETAIL-INPUT'!T34</f>
        <v>0</v>
      </c>
      <c r="U35" s="405">
        <f>'ADJ DETAIL-INPUT'!U34</f>
        <v>0</v>
      </c>
      <c r="V35" s="405">
        <f>'ADJ DETAIL-INPUT'!V34</f>
        <v>0</v>
      </c>
      <c r="W35" s="405">
        <f>'ADJ DETAIL-INPUT'!W34</f>
        <v>0</v>
      </c>
      <c r="X35" s="405">
        <f>'ADJ DETAIL-INPUT'!X34</f>
        <v>887</v>
      </c>
      <c r="Y35" s="405">
        <f>'ADJ DETAIL-INPUT'!Y34</f>
        <v>0</v>
      </c>
      <c r="Z35" s="405">
        <f>'ADJ DETAIL-INPUT'!Z34</f>
        <v>0</v>
      </c>
      <c r="AA35" s="405">
        <f>'ADJ DETAIL-INPUT'!AA34</f>
        <v>0</v>
      </c>
      <c r="AB35" s="405">
        <f>'ADJ DETAIL-INPUT'!AB34</f>
        <v>0</v>
      </c>
      <c r="AC35" s="405">
        <f>'ADJ DETAIL-INPUT'!AD34</f>
        <v>0</v>
      </c>
      <c r="AD35" s="405">
        <f>'ADJ DETAIL-INPUT'!AE34</f>
        <v>0</v>
      </c>
      <c r="AE35" s="405">
        <f>'ADJ DETAIL-INPUT'!AF34</f>
        <v>574</v>
      </c>
      <c r="AF35" s="405">
        <f>'ADJ DETAIL-INPUT'!AG34</f>
        <v>0</v>
      </c>
      <c r="AG35" s="405">
        <f>'ADJ DETAIL-INPUT'!AH34</f>
        <v>0</v>
      </c>
      <c r="AH35" s="405">
        <f>'ADJ DETAIL-INPUT'!AI34</f>
        <v>0</v>
      </c>
      <c r="AI35" s="405">
        <f>'ADJ DETAIL-INPUT'!AJ34</f>
        <v>0</v>
      </c>
      <c r="AJ35" s="405">
        <f>'ADJ DETAIL-INPUT'!AK34</f>
        <v>0</v>
      </c>
      <c r="AK35" s="405">
        <f>'ADJ DETAIL-INPUT'!AL34</f>
        <v>1604</v>
      </c>
      <c r="AL35" s="405">
        <f>'ADJ DETAIL-INPUT'!AM34</f>
        <v>0</v>
      </c>
      <c r="AM35" s="405">
        <f>'ADJ DETAIL-INPUT'!AN34</f>
        <v>-87</v>
      </c>
      <c r="AN35" s="405">
        <f>'ADJ DETAIL-INPUT'!AO34</f>
        <v>-1.468</v>
      </c>
      <c r="AO35" s="405">
        <f>'ADJ DETAIL-INPUT'!AP34</f>
        <v>905</v>
      </c>
      <c r="AP35" s="405">
        <f>'ADJ DETAIL-INPUT'!AQ34</f>
        <v>0</v>
      </c>
      <c r="AQ35" s="405">
        <f>'ADJ DETAIL-INPUT'!AR34</f>
        <v>0</v>
      </c>
      <c r="AR35" s="405">
        <f>'ADJ DETAIL-INPUT'!AS34</f>
        <v>1806.367</v>
      </c>
      <c r="AS35" s="405">
        <f>'ADJ DETAIL-INPUT'!AT34</f>
        <v>462</v>
      </c>
      <c r="AT35" s="405">
        <f>'ADJ DETAIL-INPUT'!AU34</f>
        <v>62</v>
      </c>
      <c r="AU35" s="405">
        <f>'ADJ DETAIL-INPUT'!AV34</f>
        <v>1</v>
      </c>
      <c r="AV35" s="405">
        <f>'ADJ DETAIL-INPUT'!AW34</f>
        <v>3</v>
      </c>
      <c r="AW35" s="405">
        <f>'ADJ DETAIL-INPUT'!AX34</f>
        <v>0</v>
      </c>
      <c r="AX35" s="405">
        <f>'ADJ DETAIL-INPUT'!AY34</f>
        <v>1873</v>
      </c>
      <c r="AY35" s="405">
        <f>'ADJ DETAIL-INPUT'!AZ34</f>
        <v>1793</v>
      </c>
      <c r="AZ35" s="405">
        <f>'ADJ DETAIL-INPUT'!BA34</f>
        <v>-577</v>
      </c>
      <c r="BA35" s="405">
        <f>'ADJ DETAIL-INPUT'!BB34</f>
        <v>3137</v>
      </c>
      <c r="BB35" s="405">
        <f>'ADJ DETAIL-INPUT'!BC34</f>
        <v>336</v>
      </c>
      <c r="BC35" s="405">
        <f>'ADJ DETAIL-INPUT'!BD34</f>
        <v>0</v>
      </c>
      <c r="BD35" s="405">
        <f>'ADJ DETAIL-INPUT'!BE34</f>
        <v>0</v>
      </c>
      <c r="BE35" s="405">
        <f>'ADJ DETAIL-INPUT'!BF34</f>
        <v>0</v>
      </c>
      <c r="BF35" s="405">
        <f>'ADJ DETAIL-INPUT'!BJ34</f>
        <v>0</v>
      </c>
      <c r="BG35" s="405">
        <f>'ADJ DETAIL-INPUT'!BK34</f>
        <v>0</v>
      </c>
      <c r="BH35" s="405">
        <f>'ADJ DETAIL-INPUT'!BL34</f>
        <v>473</v>
      </c>
      <c r="BI35" s="405">
        <f>'ADJ DETAIL-INPUT'!BM34</f>
        <v>101</v>
      </c>
      <c r="BJ35" s="405">
        <f>'ADJ DETAIL-INPUT'!BN34</f>
        <v>473</v>
      </c>
      <c r="BK35" s="405">
        <f>'ADJ DETAIL-INPUT'!BO34</f>
        <v>0</v>
      </c>
      <c r="BL35" s="405">
        <f>'ADJ DETAIL-INPUT'!BP34</f>
        <v>46</v>
      </c>
      <c r="BM35" s="405">
        <f>'ADJ DETAIL-INPUT'!BQ34</f>
        <v>802.83</v>
      </c>
      <c r="BN35" s="405">
        <f>'ADJ DETAIL-INPUT'!BR34</f>
        <v>2432</v>
      </c>
      <c r="BO35" s="405">
        <f>'ADJ DETAIL-INPUT'!BS34</f>
        <v>0</v>
      </c>
      <c r="BP35" s="405">
        <f>'ADJ DETAIL-INPUT'!BT34</f>
        <v>384</v>
      </c>
      <c r="BQ35" s="405">
        <f>'ADJ DETAIL-INPUT'!BU34</f>
        <v>0</v>
      </c>
      <c r="BR35" s="405">
        <f>'ADJ DETAIL-INPUT'!BV34</f>
        <v>0</v>
      </c>
    </row>
    <row r="36" spans="1:70" s="396" customFormat="1" ht="6" customHeight="1">
      <c r="E36" s="399"/>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row>
    <row r="37" spans="1:70" s="396" customFormat="1">
      <c r="A37" s="394">
        <f>'ADJ DETAIL-INPUT'!A36</f>
        <v>17</v>
      </c>
      <c r="B37" s="396" t="str">
        <f>'ADJ DETAIL-INPUT'!B36</f>
        <v xml:space="preserve">Customer Accounting  </v>
      </c>
      <c r="E37" s="733">
        <f>'ADJ DETAIL-INPUT'!E36</f>
        <v>15849</v>
      </c>
      <c r="F37" s="405">
        <f>'ADJ DETAIL-INPUT'!F36</f>
        <v>0</v>
      </c>
      <c r="G37" s="405">
        <f>'ADJ DETAIL-INPUT'!G36</f>
        <v>1</v>
      </c>
      <c r="H37" s="405">
        <f>'ADJ DETAIL-INPUT'!H36</f>
        <v>0</v>
      </c>
      <c r="I37" s="405">
        <f>'ADJ DETAIL-INPUT'!I36</f>
        <v>0</v>
      </c>
      <c r="J37" s="405">
        <f>'ADJ DETAIL-INPUT'!J36</f>
        <v>0</v>
      </c>
      <c r="K37" s="405">
        <f>'ADJ DETAIL-INPUT'!K36</f>
        <v>1572</v>
      </c>
      <c r="L37" s="405">
        <f>'ADJ DETAIL-INPUT'!L36</f>
        <v>0</v>
      </c>
      <c r="M37" s="405">
        <f>'ADJ DETAIL-INPUT'!M36</f>
        <v>0</v>
      </c>
      <c r="N37" s="405">
        <f>'ADJ DETAIL-INPUT'!N36</f>
        <v>0</v>
      </c>
      <c r="O37" s="405">
        <f>'ADJ DETAIL-INPUT'!O36</f>
        <v>0</v>
      </c>
      <c r="P37" s="405">
        <f>'ADJ DETAIL-INPUT'!P36</f>
        <v>0</v>
      </c>
      <c r="Q37" s="405">
        <f>'ADJ DETAIL-INPUT'!Q36</f>
        <v>0</v>
      </c>
      <c r="R37" s="405">
        <f>'ADJ DETAIL-INPUT'!R36</f>
        <v>-27</v>
      </c>
      <c r="S37" s="405">
        <f>'ADJ DETAIL-INPUT'!S36</f>
        <v>-88</v>
      </c>
      <c r="T37" s="405">
        <f>'ADJ DETAIL-INPUT'!T36</f>
        <v>0</v>
      </c>
      <c r="U37" s="405">
        <f>'ADJ DETAIL-INPUT'!U36</f>
        <v>0</v>
      </c>
      <c r="V37" s="405">
        <f>'ADJ DETAIL-INPUT'!V36</f>
        <v>0</v>
      </c>
      <c r="W37" s="405">
        <f>'ADJ DETAIL-INPUT'!W36</f>
        <v>0</v>
      </c>
      <c r="X37" s="405">
        <f>'ADJ DETAIL-INPUT'!X36</f>
        <v>76</v>
      </c>
      <c r="Y37" s="405">
        <f>'ADJ DETAIL-INPUT'!Y36</f>
        <v>0</v>
      </c>
      <c r="Z37" s="405">
        <f>'ADJ DETAIL-INPUT'!Z36</f>
        <v>0</v>
      </c>
      <c r="AA37" s="405">
        <f>'ADJ DETAIL-INPUT'!AA36</f>
        <v>0</v>
      </c>
      <c r="AB37" s="405">
        <f>'ADJ DETAIL-INPUT'!AB36</f>
        <v>0</v>
      </c>
      <c r="AC37" s="405">
        <f>'ADJ DETAIL-INPUT'!AD36</f>
        <v>0</v>
      </c>
      <c r="AD37" s="405">
        <f>'ADJ DETAIL-INPUT'!AE36</f>
        <v>0</v>
      </c>
      <c r="AE37" s="405">
        <f>'ADJ DETAIL-INPUT'!AF36</f>
        <v>49</v>
      </c>
      <c r="AF37" s="405">
        <f>'ADJ DETAIL-INPUT'!AG36</f>
        <v>0</v>
      </c>
      <c r="AG37" s="405">
        <f>'ADJ DETAIL-INPUT'!AH36</f>
        <v>0</v>
      </c>
      <c r="AH37" s="405">
        <f>'ADJ DETAIL-INPUT'!AI36</f>
        <v>-1682</v>
      </c>
      <c r="AI37" s="405">
        <f>'ADJ DETAIL-INPUT'!AJ36</f>
        <v>0</v>
      </c>
      <c r="AJ37" s="405">
        <f>'ADJ DETAIL-INPUT'!AK36</f>
        <v>0</v>
      </c>
      <c r="AK37" s="405">
        <f>'ADJ DETAIL-INPUT'!AL36</f>
        <v>328</v>
      </c>
      <c r="AL37" s="405">
        <f>'ADJ DETAIL-INPUT'!AM36</f>
        <v>0</v>
      </c>
      <c r="AM37" s="405">
        <f>'ADJ DETAIL-INPUT'!AN36</f>
        <v>-39</v>
      </c>
      <c r="AN37" s="405">
        <f>'ADJ DETAIL-INPUT'!AO36</f>
        <v>-11.215</v>
      </c>
      <c r="AO37" s="405">
        <f>'ADJ DETAIL-INPUT'!AP36</f>
        <v>0</v>
      </c>
      <c r="AP37" s="405">
        <f>'ADJ DETAIL-INPUT'!AQ36</f>
        <v>0</v>
      </c>
      <c r="AQ37" s="405">
        <f>'ADJ DETAIL-INPUT'!AR36</f>
        <v>0</v>
      </c>
      <c r="AR37" s="405">
        <f>'ADJ DETAIL-INPUT'!AS36</f>
        <v>315.69099999999997</v>
      </c>
      <c r="AS37" s="405">
        <f>'ADJ DETAIL-INPUT'!AT36</f>
        <v>0</v>
      </c>
      <c r="AT37" s="405">
        <f>'ADJ DETAIL-INPUT'!AU36</f>
        <v>0</v>
      </c>
      <c r="AU37" s="405">
        <f>'ADJ DETAIL-INPUT'!AV36</f>
        <v>0</v>
      </c>
      <c r="AV37" s="405">
        <f>'ADJ DETAIL-INPUT'!AW36</f>
        <v>0</v>
      </c>
      <c r="AW37" s="405">
        <f>'ADJ DETAIL-INPUT'!AX36</f>
        <v>0</v>
      </c>
      <c r="AX37" s="405">
        <f>'ADJ DETAIL-INPUT'!AY36</f>
        <v>0</v>
      </c>
      <c r="AY37" s="405">
        <f>'ADJ DETAIL-INPUT'!AZ36</f>
        <v>0</v>
      </c>
      <c r="AZ37" s="405">
        <f>'ADJ DETAIL-INPUT'!BA36</f>
        <v>0</v>
      </c>
      <c r="BA37" s="405">
        <f>'ADJ DETAIL-INPUT'!BB36</f>
        <v>0</v>
      </c>
      <c r="BB37" s="405">
        <f>'ADJ DETAIL-INPUT'!BC36</f>
        <v>0</v>
      </c>
      <c r="BC37" s="405">
        <f>'ADJ DETAIL-INPUT'!BD36</f>
        <v>0</v>
      </c>
      <c r="BD37" s="405">
        <f>'ADJ DETAIL-INPUT'!BE36</f>
        <v>0</v>
      </c>
      <c r="BE37" s="405">
        <f>'ADJ DETAIL-INPUT'!BF36</f>
        <v>0</v>
      </c>
      <c r="BF37" s="405">
        <f>'ADJ DETAIL-INPUT'!BJ36</f>
        <v>0</v>
      </c>
      <c r="BG37" s="405">
        <f>'ADJ DETAIL-INPUT'!BK36</f>
        <v>0</v>
      </c>
      <c r="BH37" s="405">
        <f>'ADJ DETAIL-INPUT'!BL36</f>
        <v>116</v>
      </c>
      <c r="BI37" s="405">
        <f>'ADJ DETAIL-INPUT'!BM36</f>
        <v>46</v>
      </c>
      <c r="BJ37" s="405">
        <f>'ADJ DETAIL-INPUT'!BN36</f>
        <v>0</v>
      </c>
      <c r="BK37" s="405">
        <f>'ADJ DETAIL-INPUT'!BO36</f>
        <v>0</v>
      </c>
      <c r="BL37" s="405">
        <f>'ADJ DETAIL-INPUT'!BP36</f>
        <v>0</v>
      </c>
      <c r="BM37" s="405">
        <f>'ADJ DETAIL-INPUT'!BQ36</f>
        <v>140.30699999999999</v>
      </c>
      <c r="BN37" s="405">
        <f>'ADJ DETAIL-INPUT'!BR36</f>
        <v>0</v>
      </c>
      <c r="BO37" s="405">
        <f>'ADJ DETAIL-INPUT'!BS36</f>
        <v>0</v>
      </c>
      <c r="BP37" s="405">
        <f>'ADJ DETAIL-INPUT'!BT36</f>
        <v>0</v>
      </c>
      <c r="BQ37" s="405">
        <f>'ADJ DETAIL-INPUT'!BU36</f>
        <v>0</v>
      </c>
      <c r="BR37" s="405">
        <f>'ADJ DETAIL-INPUT'!BV36</f>
        <v>0</v>
      </c>
    </row>
    <row r="38" spans="1:70" s="396" customFormat="1">
      <c r="A38" s="394">
        <f>'ADJ DETAIL-INPUT'!A37</f>
        <v>18</v>
      </c>
      <c r="B38" s="396" t="str">
        <f>'ADJ DETAIL-INPUT'!B37</f>
        <v xml:space="preserve">Customer Service &amp; Information  </v>
      </c>
      <c r="E38" s="733">
        <f>'ADJ DETAIL-INPUT'!E37</f>
        <v>25245</v>
      </c>
      <c r="F38" s="405">
        <f>'ADJ DETAIL-INPUT'!F37</f>
        <v>0</v>
      </c>
      <c r="G38" s="405">
        <f>'ADJ DETAIL-INPUT'!G37</f>
        <v>0</v>
      </c>
      <c r="H38" s="405">
        <f>'ADJ DETAIL-INPUT'!H37</f>
        <v>0</v>
      </c>
      <c r="I38" s="405">
        <f>'ADJ DETAIL-INPUT'!I37</f>
        <v>0</v>
      </c>
      <c r="J38" s="405">
        <f>'ADJ DETAIL-INPUT'!J37</f>
        <v>0</v>
      </c>
      <c r="K38" s="405">
        <f>'ADJ DETAIL-INPUT'!K37</f>
        <v>0</v>
      </c>
      <c r="L38" s="405">
        <f>'ADJ DETAIL-INPUT'!L37</f>
        <v>0</v>
      </c>
      <c r="M38" s="405">
        <f>'ADJ DETAIL-INPUT'!M37</f>
        <v>0</v>
      </c>
      <c r="N38" s="405">
        <f>'ADJ DETAIL-INPUT'!N37</f>
        <v>0</v>
      </c>
      <c r="O38" s="405">
        <f>'ADJ DETAIL-INPUT'!O37</f>
        <v>0</v>
      </c>
      <c r="P38" s="405">
        <f>'ADJ DETAIL-INPUT'!P37</f>
        <v>0</v>
      </c>
      <c r="Q38" s="405">
        <f>'ADJ DETAIL-INPUT'!Q37</f>
        <v>0</v>
      </c>
      <c r="R38" s="405">
        <f>'ADJ DETAIL-INPUT'!R37</f>
        <v>0</v>
      </c>
      <c r="S38" s="405">
        <f>'ADJ DETAIL-INPUT'!S37</f>
        <v>-24041</v>
      </c>
      <c r="T38" s="405">
        <f>'ADJ DETAIL-INPUT'!T37</f>
        <v>0</v>
      </c>
      <c r="U38" s="405">
        <f>'ADJ DETAIL-INPUT'!U37</f>
        <v>0</v>
      </c>
      <c r="V38" s="405">
        <f>'ADJ DETAIL-INPUT'!V37</f>
        <v>0</v>
      </c>
      <c r="W38" s="405">
        <f>'ADJ DETAIL-INPUT'!W37</f>
        <v>0</v>
      </c>
      <c r="X38" s="405">
        <f>'ADJ DETAIL-INPUT'!X37</f>
        <v>0</v>
      </c>
      <c r="Y38" s="405">
        <f>'ADJ DETAIL-INPUT'!Y37</f>
        <v>0</v>
      </c>
      <c r="Z38" s="405">
        <f>'ADJ DETAIL-INPUT'!Z37</f>
        <v>0</v>
      </c>
      <c r="AA38" s="405">
        <f>'ADJ DETAIL-INPUT'!AA37</f>
        <v>0</v>
      </c>
      <c r="AB38" s="405">
        <f>'ADJ DETAIL-INPUT'!AB37</f>
        <v>0</v>
      </c>
      <c r="AC38" s="405">
        <f>'ADJ DETAIL-INPUT'!AD37</f>
        <v>0</v>
      </c>
      <c r="AD38" s="405">
        <f>'ADJ DETAIL-INPUT'!AE37</f>
        <v>0</v>
      </c>
      <c r="AE38" s="405">
        <f>'ADJ DETAIL-INPUT'!AF37</f>
        <v>0</v>
      </c>
      <c r="AF38" s="405">
        <f>'ADJ DETAIL-INPUT'!AG37</f>
        <v>0</v>
      </c>
      <c r="AG38" s="405">
        <f>'ADJ DETAIL-INPUT'!AH37</f>
        <v>0</v>
      </c>
      <c r="AH38" s="405">
        <f>'ADJ DETAIL-INPUT'!AI37</f>
        <v>0</v>
      </c>
      <c r="AI38" s="405">
        <f>'ADJ DETAIL-INPUT'!AJ37</f>
        <v>0</v>
      </c>
      <c r="AJ38" s="405">
        <f>'ADJ DETAIL-INPUT'!AK37</f>
        <v>0</v>
      </c>
      <c r="AK38" s="405">
        <f>'ADJ DETAIL-INPUT'!AL37</f>
        <v>16</v>
      </c>
      <c r="AL38" s="405">
        <f>'ADJ DETAIL-INPUT'!AM37</f>
        <v>0</v>
      </c>
      <c r="AM38" s="405">
        <f>'ADJ DETAIL-INPUT'!AN37</f>
        <v>-4</v>
      </c>
      <c r="AN38" s="405">
        <f>'ADJ DETAIL-INPUT'!AO37</f>
        <v>0</v>
      </c>
      <c r="AO38" s="405">
        <f>'ADJ DETAIL-INPUT'!AP37</f>
        <v>0</v>
      </c>
      <c r="AP38" s="405">
        <f>'ADJ DETAIL-INPUT'!AQ37</f>
        <v>0</v>
      </c>
      <c r="AQ38" s="405">
        <f>'ADJ DETAIL-INPUT'!AR37</f>
        <v>0</v>
      </c>
      <c r="AR38" s="405">
        <f>'ADJ DETAIL-INPUT'!AS37</f>
        <v>155.91900000000001</v>
      </c>
      <c r="AS38" s="405">
        <f>'ADJ DETAIL-INPUT'!AT37</f>
        <v>0</v>
      </c>
      <c r="AT38" s="405">
        <f>'ADJ DETAIL-INPUT'!AU37</f>
        <v>0</v>
      </c>
      <c r="AU38" s="405">
        <f>'ADJ DETAIL-INPUT'!AV37</f>
        <v>0</v>
      </c>
      <c r="AV38" s="405">
        <f>'ADJ DETAIL-INPUT'!AW37</f>
        <v>0</v>
      </c>
      <c r="AW38" s="405">
        <f>'ADJ DETAIL-INPUT'!AX37</f>
        <v>0</v>
      </c>
      <c r="AX38" s="405">
        <f>'ADJ DETAIL-INPUT'!AY37</f>
        <v>0</v>
      </c>
      <c r="AY38" s="405">
        <f>'ADJ DETAIL-INPUT'!AZ37</f>
        <v>0</v>
      </c>
      <c r="AZ38" s="405">
        <f>'ADJ DETAIL-INPUT'!BA37</f>
        <v>-73</v>
      </c>
      <c r="BA38" s="405">
        <f>'ADJ DETAIL-INPUT'!BB37</f>
        <v>0</v>
      </c>
      <c r="BB38" s="405">
        <f>'ADJ DETAIL-INPUT'!BC37</f>
        <v>0</v>
      </c>
      <c r="BC38" s="405">
        <f>'ADJ DETAIL-INPUT'!BD37</f>
        <v>0</v>
      </c>
      <c r="BD38" s="405">
        <f>'ADJ DETAIL-INPUT'!BE37</f>
        <v>0</v>
      </c>
      <c r="BE38" s="405">
        <f>'ADJ DETAIL-INPUT'!BF37</f>
        <v>0</v>
      </c>
      <c r="BF38" s="405">
        <f>'ADJ DETAIL-INPUT'!BJ37</f>
        <v>0</v>
      </c>
      <c r="BG38" s="405">
        <f>'ADJ DETAIL-INPUT'!BK37</f>
        <v>0</v>
      </c>
      <c r="BH38" s="405">
        <f>'ADJ DETAIL-INPUT'!BL37</f>
        <v>6</v>
      </c>
      <c r="BI38" s="405">
        <f>'ADJ DETAIL-INPUT'!BM37</f>
        <v>5</v>
      </c>
      <c r="BJ38" s="405">
        <f>'ADJ DETAIL-INPUT'!BN37</f>
        <v>0</v>
      </c>
      <c r="BK38" s="405">
        <f>'ADJ DETAIL-INPUT'!BO37</f>
        <v>0</v>
      </c>
      <c r="BL38" s="405">
        <f>'ADJ DETAIL-INPUT'!BP37</f>
        <v>0</v>
      </c>
      <c r="BM38" s="405">
        <f>'ADJ DETAIL-INPUT'!BQ37</f>
        <v>69.296999999999997</v>
      </c>
      <c r="BN38" s="405">
        <f>'ADJ DETAIL-INPUT'!BR37</f>
        <v>0</v>
      </c>
      <c r="BO38" s="405">
        <f>'ADJ DETAIL-INPUT'!BS37</f>
        <v>0</v>
      </c>
      <c r="BP38" s="405">
        <f>'ADJ DETAIL-INPUT'!BT37</f>
        <v>0</v>
      </c>
      <c r="BQ38" s="405">
        <f>'ADJ DETAIL-INPUT'!BU37</f>
        <v>0</v>
      </c>
      <c r="BR38" s="405">
        <f>'ADJ DETAIL-INPUT'!BV37</f>
        <v>0</v>
      </c>
    </row>
    <row r="39" spans="1:70" s="396" customFormat="1">
      <c r="A39" s="394">
        <f>'ADJ DETAIL-INPUT'!A38</f>
        <v>19</v>
      </c>
      <c r="B39" s="396" t="str">
        <f>'ADJ DETAIL-INPUT'!B38</f>
        <v xml:space="preserve">Sales Expenses  </v>
      </c>
      <c r="E39" s="733">
        <f>'ADJ DETAIL-INPUT'!E38</f>
        <v>0</v>
      </c>
      <c r="F39" s="405">
        <f>'ADJ DETAIL-INPUT'!F38</f>
        <v>0</v>
      </c>
      <c r="G39" s="405">
        <f>'ADJ DETAIL-INPUT'!G38</f>
        <v>0</v>
      </c>
      <c r="H39" s="405">
        <f>'ADJ DETAIL-INPUT'!H38</f>
        <v>0</v>
      </c>
      <c r="I39" s="405">
        <f>'ADJ DETAIL-INPUT'!I38</f>
        <v>0</v>
      </c>
      <c r="J39" s="405">
        <f>'ADJ DETAIL-INPUT'!J38</f>
        <v>0</v>
      </c>
      <c r="K39" s="405">
        <f>'ADJ DETAIL-INPUT'!K38</f>
        <v>0</v>
      </c>
      <c r="L39" s="405">
        <f>'ADJ DETAIL-INPUT'!L38</f>
        <v>0</v>
      </c>
      <c r="M39" s="405">
        <f>'ADJ DETAIL-INPUT'!M38</f>
        <v>0</v>
      </c>
      <c r="N39" s="405">
        <f>'ADJ DETAIL-INPUT'!N38</f>
        <v>0</v>
      </c>
      <c r="O39" s="405">
        <f>'ADJ DETAIL-INPUT'!O38</f>
        <v>0</v>
      </c>
      <c r="P39" s="405">
        <f>'ADJ DETAIL-INPUT'!P38</f>
        <v>0</v>
      </c>
      <c r="Q39" s="405">
        <f>'ADJ DETAIL-INPUT'!Q38</f>
        <v>0</v>
      </c>
      <c r="R39" s="405">
        <f>'ADJ DETAIL-INPUT'!R38</f>
        <v>0</v>
      </c>
      <c r="S39" s="405">
        <f>'ADJ DETAIL-INPUT'!S38</f>
        <v>0</v>
      </c>
      <c r="T39" s="405">
        <f>'ADJ DETAIL-INPUT'!T38</f>
        <v>0</v>
      </c>
      <c r="U39" s="405">
        <f>'ADJ DETAIL-INPUT'!U38</f>
        <v>0</v>
      </c>
      <c r="V39" s="405">
        <f>'ADJ DETAIL-INPUT'!V38</f>
        <v>0</v>
      </c>
      <c r="W39" s="405">
        <f>'ADJ DETAIL-INPUT'!W38</f>
        <v>0</v>
      </c>
      <c r="X39" s="405">
        <f>'ADJ DETAIL-INPUT'!X38</f>
        <v>0</v>
      </c>
      <c r="Y39" s="405">
        <f>'ADJ DETAIL-INPUT'!Y38</f>
        <v>0</v>
      </c>
      <c r="Z39" s="405">
        <f>'ADJ DETAIL-INPUT'!Z38</f>
        <v>0</v>
      </c>
      <c r="AA39" s="405">
        <f>'ADJ DETAIL-INPUT'!AA38</f>
        <v>0</v>
      </c>
      <c r="AB39" s="405">
        <f>'ADJ DETAIL-INPUT'!AB38</f>
        <v>0</v>
      </c>
      <c r="AC39" s="405">
        <f>'ADJ DETAIL-INPUT'!AD38</f>
        <v>0</v>
      </c>
      <c r="AD39" s="405">
        <f>'ADJ DETAIL-INPUT'!AE38</f>
        <v>0</v>
      </c>
      <c r="AE39" s="405">
        <f>'ADJ DETAIL-INPUT'!AF38</f>
        <v>0</v>
      </c>
      <c r="AF39" s="405">
        <f>'ADJ DETAIL-INPUT'!AG38</f>
        <v>0</v>
      </c>
      <c r="AG39" s="405">
        <f>'ADJ DETAIL-INPUT'!AH38</f>
        <v>0</v>
      </c>
      <c r="AH39" s="405">
        <f>'ADJ DETAIL-INPUT'!AI38</f>
        <v>0</v>
      </c>
      <c r="AI39" s="405">
        <f>'ADJ DETAIL-INPUT'!AJ38</f>
        <v>0</v>
      </c>
      <c r="AJ39" s="405">
        <f>'ADJ DETAIL-INPUT'!AK38</f>
        <v>0</v>
      </c>
      <c r="AK39" s="405">
        <f>'ADJ DETAIL-INPUT'!AL38</f>
        <v>0</v>
      </c>
      <c r="AL39" s="405">
        <f>'ADJ DETAIL-INPUT'!AM38</f>
        <v>0</v>
      </c>
      <c r="AM39" s="405">
        <f>'ADJ DETAIL-INPUT'!AN38</f>
        <v>0</v>
      </c>
      <c r="AN39" s="405">
        <f>'ADJ DETAIL-INPUT'!AO38</f>
        <v>0</v>
      </c>
      <c r="AO39" s="405">
        <f>'ADJ DETAIL-INPUT'!AP38</f>
        <v>0</v>
      </c>
      <c r="AP39" s="405">
        <f>'ADJ DETAIL-INPUT'!AQ38</f>
        <v>0</v>
      </c>
      <c r="AQ39" s="405">
        <f>'ADJ DETAIL-INPUT'!AR38</f>
        <v>0</v>
      </c>
      <c r="AR39" s="405">
        <f>'ADJ DETAIL-INPUT'!AS38</f>
        <v>0</v>
      </c>
      <c r="AS39" s="405">
        <f>'ADJ DETAIL-INPUT'!AT38</f>
        <v>0</v>
      </c>
      <c r="AT39" s="405">
        <f>'ADJ DETAIL-INPUT'!AU38</f>
        <v>0</v>
      </c>
      <c r="AU39" s="405">
        <f>'ADJ DETAIL-INPUT'!AV38</f>
        <v>0</v>
      </c>
      <c r="AV39" s="405">
        <f>'ADJ DETAIL-INPUT'!AW38</f>
        <v>0</v>
      </c>
      <c r="AW39" s="405">
        <f>'ADJ DETAIL-INPUT'!AX38</f>
        <v>0</v>
      </c>
      <c r="AX39" s="405">
        <f>'ADJ DETAIL-INPUT'!AY38</f>
        <v>0</v>
      </c>
      <c r="AY39" s="405">
        <f>'ADJ DETAIL-INPUT'!AZ38</f>
        <v>0</v>
      </c>
      <c r="AZ39" s="405">
        <f>'ADJ DETAIL-INPUT'!BA38</f>
        <v>0</v>
      </c>
      <c r="BA39" s="405">
        <f>'ADJ DETAIL-INPUT'!BB38</f>
        <v>0</v>
      </c>
      <c r="BB39" s="405">
        <f>'ADJ DETAIL-INPUT'!BC38</f>
        <v>0</v>
      </c>
      <c r="BC39" s="405">
        <f>'ADJ DETAIL-INPUT'!BD38</f>
        <v>0</v>
      </c>
      <c r="BD39" s="405">
        <f>'ADJ DETAIL-INPUT'!BE38</f>
        <v>0</v>
      </c>
      <c r="BE39" s="405">
        <f>'ADJ DETAIL-INPUT'!BF38</f>
        <v>0</v>
      </c>
      <c r="BF39" s="405">
        <f>'ADJ DETAIL-INPUT'!BJ38</f>
        <v>0</v>
      </c>
      <c r="BG39" s="405">
        <f>'ADJ DETAIL-INPUT'!BK38</f>
        <v>0</v>
      </c>
      <c r="BH39" s="405">
        <f>'ADJ DETAIL-INPUT'!BL38</f>
        <v>0</v>
      </c>
      <c r="BI39" s="405">
        <f>'ADJ DETAIL-INPUT'!BM38</f>
        <v>0</v>
      </c>
      <c r="BJ39" s="405">
        <f>'ADJ DETAIL-INPUT'!BN38</f>
        <v>0</v>
      </c>
      <c r="BK39" s="405">
        <f>'ADJ DETAIL-INPUT'!BO38</f>
        <v>0</v>
      </c>
      <c r="BL39" s="405">
        <f>'ADJ DETAIL-INPUT'!BP38</f>
        <v>0</v>
      </c>
      <c r="BM39" s="405">
        <f>'ADJ DETAIL-INPUT'!BQ38</f>
        <v>0</v>
      </c>
      <c r="BN39" s="405">
        <f>'ADJ DETAIL-INPUT'!BR38</f>
        <v>0</v>
      </c>
      <c r="BO39" s="405">
        <f>'ADJ DETAIL-INPUT'!BS38</f>
        <v>0</v>
      </c>
      <c r="BP39" s="405">
        <f>'ADJ DETAIL-INPUT'!BT38</f>
        <v>0</v>
      </c>
      <c r="BQ39" s="405">
        <f>'ADJ DETAIL-INPUT'!BU38</f>
        <v>0</v>
      </c>
      <c r="BR39" s="405">
        <f>'ADJ DETAIL-INPUT'!BV38</f>
        <v>0</v>
      </c>
    </row>
    <row r="40" spans="1:70" s="396" customFormat="1" ht="6" customHeight="1">
      <c r="A40" s="394"/>
      <c r="E40" s="399"/>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5"/>
      <c r="BQ40" s="405"/>
      <c r="BR40" s="405"/>
    </row>
    <row r="41" spans="1:70" s="396" customFormat="1">
      <c r="B41" s="396" t="str">
        <f>'ADJ DETAIL-INPUT'!B40</f>
        <v xml:space="preserve">Administrative &amp; General  </v>
      </c>
      <c r="E41" s="399"/>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row>
    <row r="42" spans="1:70" s="396" customFormat="1">
      <c r="A42" s="394">
        <f>'ADJ DETAIL-INPUT'!A41</f>
        <v>20</v>
      </c>
      <c r="C42" s="396" t="str">
        <f>'ADJ DETAIL-INPUT'!C41</f>
        <v xml:space="preserve">Operating Expenses  </v>
      </c>
      <c r="E42" s="733">
        <f>'ADJ DETAIL-INPUT'!E41</f>
        <v>73927</v>
      </c>
      <c r="F42" s="405">
        <f>'ADJ DETAIL-INPUT'!F41</f>
        <v>0</v>
      </c>
      <c r="G42" s="405">
        <f>'ADJ DETAIL-INPUT'!G41</f>
        <v>0</v>
      </c>
      <c r="H42" s="405">
        <f>'ADJ DETAIL-INPUT'!H41</f>
        <v>0</v>
      </c>
      <c r="I42" s="405">
        <f>'ADJ DETAIL-INPUT'!I41</f>
        <v>0</v>
      </c>
      <c r="J42" s="405">
        <f>'ADJ DETAIL-INPUT'!J41</f>
        <v>0</v>
      </c>
      <c r="K42" s="405">
        <f>'ADJ DETAIL-INPUT'!K41</f>
        <v>0</v>
      </c>
      <c r="L42" s="405">
        <f>'ADJ DETAIL-INPUT'!L41</f>
        <v>42</v>
      </c>
      <c r="M42" s="405">
        <f>'ADJ DETAIL-INPUT'!M41</f>
        <v>-124</v>
      </c>
      <c r="N42" s="405">
        <f>'ADJ DETAIL-INPUT'!N41</f>
        <v>0</v>
      </c>
      <c r="O42" s="405">
        <f>'ADJ DETAIL-INPUT'!O41</f>
        <v>-55</v>
      </c>
      <c r="P42" s="405">
        <f>'ADJ DETAIL-INPUT'!P41</f>
        <v>0</v>
      </c>
      <c r="Q42" s="405">
        <f>'ADJ DETAIL-INPUT'!Q41</f>
        <v>0</v>
      </c>
      <c r="R42" s="405">
        <f>'ADJ DETAIL-INPUT'!R41</f>
        <v>-16</v>
      </c>
      <c r="S42" s="405">
        <f>'ADJ DETAIL-INPUT'!S41</f>
        <v>-53</v>
      </c>
      <c r="T42" s="405">
        <f>'ADJ DETAIL-INPUT'!T41</f>
        <v>-1440</v>
      </c>
      <c r="U42" s="405">
        <f>'ADJ DETAIL-INPUT'!U41</f>
        <v>2739</v>
      </c>
      <c r="V42" s="405">
        <f>'ADJ DETAIL-INPUT'!V41</f>
        <v>0</v>
      </c>
      <c r="W42" s="405">
        <f>'ADJ DETAIL-INPUT'!W41</f>
        <v>0</v>
      </c>
      <c r="X42" s="405">
        <f>'ADJ DETAIL-INPUT'!X41</f>
        <v>46</v>
      </c>
      <c r="Y42" s="405">
        <f>'ADJ DETAIL-INPUT'!Y41</f>
        <v>0</v>
      </c>
      <c r="Z42" s="405">
        <f>'ADJ DETAIL-INPUT'!Z41</f>
        <v>0</v>
      </c>
      <c r="AA42" s="405">
        <f>'ADJ DETAIL-INPUT'!AA41</f>
        <v>0</v>
      </c>
      <c r="AB42" s="405">
        <f>'ADJ DETAIL-INPUT'!AB41</f>
        <v>0</v>
      </c>
      <c r="AC42" s="405">
        <f>'ADJ DETAIL-INPUT'!AD41</f>
        <v>0</v>
      </c>
      <c r="AD42" s="405">
        <f>'ADJ DETAIL-INPUT'!AE41</f>
        <v>0</v>
      </c>
      <c r="AE42" s="405">
        <f>'ADJ DETAIL-INPUT'!AF41</f>
        <v>30</v>
      </c>
      <c r="AF42" s="405">
        <f>'ADJ DETAIL-INPUT'!AG41</f>
        <v>0</v>
      </c>
      <c r="AG42" s="405">
        <f>'ADJ DETAIL-INPUT'!AH41</f>
        <v>0</v>
      </c>
      <c r="AH42" s="405">
        <f>'ADJ DETAIL-INPUT'!AI41</f>
        <v>-418</v>
      </c>
      <c r="AI42" s="405">
        <f>'ADJ DETAIL-INPUT'!AJ41</f>
        <v>0</v>
      </c>
      <c r="AJ42" s="405">
        <f>'ADJ DETAIL-INPUT'!AK41</f>
        <v>357</v>
      </c>
      <c r="AK42" s="405">
        <f>'ADJ DETAIL-INPUT'!AL41</f>
        <v>1804</v>
      </c>
      <c r="AL42" s="405">
        <f>'ADJ DETAIL-INPUT'!AM41</f>
        <v>64</v>
      </c>
      <c r="AM42" s="405">
        <f>'ADJ DETAIL-INPUT'!AN41</f>
        <v>-126</v>
      </c>
      <c r="AN42" s="405">
        <f>'ADJ DETAIL-INPUT'!AO41</f>
        <v>-56.759</v>
      </c>
      <c r="AO42" s="405">
        <f>'ADJ DETAIL-INPUT'!AP41</f>
        <v>0</v>
      </c>
      <c r="AP42" s="405">
        <f>'ADJ DETAIL-INPUT'!AQ41</f>
        <v>4292</v>
      </c>
      <c r="AQ42" s="405">
        <f>'ADJ DETAIL-INPUT'!AR41</f>
        <v>1262</v>
      </c>
      <c r="AR42" s="405">
        <f>'ADJ DETAIL-INPUT'!AS41</f>
        <v>2588.098</v>
      </c>
      <c r="AS42" s="405">
        <f>'ADJ DETAIL-INPUT'!AT41</f>
        <v>0</v>
      </c>
      <c r="AT42" s="405">
        <f>'ADJ DETAIL-INPUT'!AU41</f>
        <v>0</v>
      </c>
      <c r="AU42" s="405">
        <f>'ADJ DETAIL-INPUT'!AV41</f>
        <v>0</v>
      </c>
      <c r="AV42" s="405">
        <f>'ADJ DETAIL-INPUT'!AW41</f>
        <v>0</v>
      </c>
      <c r="AW42" s="405">
        <f>'ADJ DETAIL-INPUT'!AX41</f>
        <v>0</v>
      </c>
      <c r="AX42" s="405">
        <f>'ADJ DETAIL-INPUT'!AY41</f>
        <v>0</v>
      </c>
      <c r="AY42" s="405">
        <f>'ADJ DETAIL-INPUT'!AZ41</f>
        <v>0</v>
      </c>
      <c r="AZ42" s="405">
        <f>'ADJ DETAIL-INPUT'!BA41</f>
        <v>-71</v>
      </c>
      <c r="BA42" s="405">
        <f>'ADJ DETAIL-INPUT'!BB41</f>
        <v>0</v>
      </c>
      <c r="BB42" s="405">
        <f>'ADJ DETAIL-INPUT'!BC41</f>
        <v>0</v>
      </c>
      <c r="BC42" s="405">
        <f>'ADJ DETAIL-INPUT'!BD41</f>
        <v>0</v>
      </c>
      <c r="BD42" s="405">
        <f>'ADJ DETAIL-INPUT'!BE41</f>
        <v>0</v>
      </c>
      <c r="BE42" s="405">
        <f>'ADJ DETAIL-INPUT'!BF41</f>
        <v>0</v>
      </c>
      <c r="BF42" s="405">
        <f>'ADJ DETAIL-INPUT'!BJ41</f>
        <v>0</v>
      </c>
      <c r="BG42" s="405">
        <f>'ADJ DETAIL-INPUT'!BK41</f>
        <v>-791</v>
      </c>
      <c r="BH42" s="405">
        <f>'ADJ DETAIL-INPUT'!BL41</f>
        <v>651</v>
      </c>
      <c r="BI42" s="405">
        <f>'ADJ DETAIL-INPUT'!BM41</f>
        <v>148</v>
      </c>
      <c r="BJ42" s="405">
        <f>'ADJ DETAIL-INPUT'!BN41</f>
        <v>0</v>
      </c>
      <c r="BK42" s="405">
        <f>'ADJ DETAIL-INPUT'!BO41</f>
        <v>1512</v>
      </c>
      <c r="BL42" s="405">
        <f>'ADJ DETAIL-INPUT'!BP41</f>
        <v>0</v>
      </c>
      <c r="BM42" s="405">
        <f>'ADJ DETAIL-INPUT'!BQ41</f>
        <v>1150.2660000000001</v>
      </c>
      <c r="BN42" s="405">
        <f>'ADJ DETAIL-INPUT'!BR41</f>
        <v>0</v>
      </c>
      <c r="BO42" s="405">
        <f>'ADJ DETAIL-INPUT'!BS41</f>
        <v>-605</v>
      </c>
      <c r="BP42" s="405">
        <f>'ADJ DETAIL-INPUT'!BT41</f>
        <v>0</v>
      </c>
      <c r="BQ42" s="405">
        <f>'ADJ DETAIL-INPUT'!BU41</f>
        <v>0</v>
      </c>
      <c r="BR42" s="405">
        <f>'ADJ DETAIL-INPUT'!BV41</f>
        <v>0</v>
      </c>
    </row>
    <row r="43" spans="1:70" s="396" customFormat="1">
      <c r="A43" s="394">
        <f>'ADJ DETAIL-INPUT'!A42</f>
        <v>21</v>
      </c>
      <c r="C43" s="396" t="str">
        <f>'ADJ DETAIL-INPUT'!C42</f>
        <v>Depreciation/Amortization</v>
      </c>
      <c r="E43" s="733">
        <f>'ADJ DETAIL-INPUT'!E42</f>
        <v>41343</v>
      </c>
      <c r="F43" s="405">
        <f>'ADJ DETAIL-INPUT'!F42</f>
        <v>0</v>
      </c>
      <c r="G43" s="405">
        <f>'ADJ DETAIL-INPUT'!G42</f>
        <v>0</v>
      </c>
      <c r="H43" s="405">
        <f>'ADJ DETAIL-INPUT'!H42</f>
        <v>0</v>
      </c>
      <c r="I43" s="405">
        <f>'ADJ DETAIL-INPUT'!I42</f>
        <v>0</v>
      </c>
      <c r="J43" s="405">
        <f>'ADJ DETAIL-INPUT'!J42</f>
        <v>0</v>
      </c>
      <c r="K43" s="405">
        <f>'ADJ DETAIL-INPUT'!K42</f>
        <v>0</v>
      </c>
      <c r="L43" s="405">
        <f>'ADJ DETAIL-INPUT'!L42</f>
        <v>0</v>
      </c>
      <c r="M43" s="405">
        <f>'ADJ DETAIL-INPUT'!M42</f>
        <v>0</v>
      </c>
      <c r="N43" s="405">
        <f>'ADJ DETAIL-INPUT'!N42</f>
        <v>0</v>
      </c>
      <c r="O43" s="405">
        <f>'ADJ DETAIL-INPUT'!O42</f>
        <v>0</v>
      </c>
      <c r="P43" s="405">
        <f>'ADJ DETAIL-INPUT'!P42</f>
        <v>0</v>
      </c>
      <c r="Q43" s="405">
        <f>'ADJ DETAIL-INPUT'!Q42</f>
        <v>0</v>
      </c>
      <c r="R43" s="405">
        <f>'ADJ DETAIL-INPUT'!R42</f>
        <v>0</v>
      </c>
      <c r="S43" s="405">
        <f>'ADJ DETAIL-INPUT'!S42</f>
        <v>0</v>
      </c>
      <c r="T43" s="405">
        <f>'ADJ DETAIL-INPUT'!T42</f>
        <v>0</v>
      </c>
      <c r="U43" s="405">
        <f>'ADJ DETAIL-INPUT'!U42</f>
        <v>0</v>
      </c>
      <c r="V43" s="405">
        <f>'ADJ DETAIL-INPUT'!V42</f>
        <v>0</v>
      </c>
      <c r="W43" s="405">
        <f>'ADJ DETAIL-INPUT'!W42</f>
        <v>0</v>
      </c>
      <c r="X43" s="405">
        <f>'ADJ DETAIL-INPUT'!X42</f>
        <v>0</v>
      </c>
      <c r="Y43" s="405">
        <f>'ADJ DETAIL-INPUT'!Y42</f>
        <v>0</v>
      </c>
      <c r="Z43" s="405">
        <f>'ADJ DETAIL-INPUT'!Z42</f>
        <v>0</v>
      </c>
      <c r="AA43" s="405">
        <f>'ADJ DETAIL-INPUT'!AA42</f>
        <v>0</v>
      </c>
      <c r="AB43" s="405">
        <f>'ADJ DETAIL-INPUT'!AB42</f>
        <v>0</v>
      </c>
      <c r="AC43" s="405">
        <f>'ADJ DETAIL-INPUT'!AD42</f>
        <v>0</v>
      </c>
      <c r="AD43" s="405">
        <f>'ADJ DETAIL-INPUT'!AE42</f>
        <v>0</v>
      </c>
      <c r="AE43" s="405">
        <f>'ADJ DETAIL-INPUT'!AF42</f>
        <v>0</v>
      </c>
      <c r="AF43" s="405">
        <f>'ADJ DETAIL-INPUT'!AG42</f>
        <v>0</v>
      </c>
      <c r="AG43" s="405">
        <f>'ADJ DETAIL-INPUT'!AH42</f>
        <v>0</v>
      </c>
      <c r="AH43" s="405">
        <f>'ADJ DETAIL-INPUT'!AI42</f>
        <v>0</v>
      </c>
      <c r="AI43" s="405">
        <f>'ADJ DETAIL-INPUT'!AJ42</f>
        <v>0</v>
      </c>
      <c r="AJ43" s="405">
        <f>'ADJ DETAIL-INPUT'!AK42</f>
        <v>0</v>
      </c>
      <c r="AK43" s="405">
        <f>'ADJ DETAIL-INPUT'!AL42</f>
        <v>0</v>
      </c>
      <c r="AL43" s="405">
        <f>'ADJ DETAIL-INPUT'!AM42</f>
        <v>0</v>
      </c>
      <c r="AM43" s="405">
        <f>'ADJ DETAIL-INPUT'!AN42</f>
        <v>0</v>
      </c>
      <c r="AN43" s="405">
        <f>'ADJ DETAIL-INPUT'!AO42</f>
        <v>0</v>
      </c>
      <c r="AO43" s="405">
        <f>'ADJ DETAIL-INPUT'!AP42</f>
        <v>0</v>
      </c>
      <c r="AP43" s="405">
        <f>'ADJ DETAIL-INPUT'!AQ42</f>
        <v>0</v>
      </c>
      <c r="AQ43" s="405">
        <f>'ADJ DETAIL-INPUT'!AR42</f>
        <v>0</v>
      </c>
      <c r="AR43" s="405">
        <f>'ADJ DETAIL-INPUT'!AS42</f>
        <v>0</v>
      </c>
      <c r="AS43" s="405">
        <f>'ADJ DETAIL-INPUT'!AT42</f>
        <v>1084</v>
      </c>
      <c r="AT43" s="405">
        <f>'ADJ DETAIL-INPUT'!AU42</f>
        <v>0</v>
      </c>
      <c r="AU43" s="405">
        <f>'ADJ DETAIL-INPUT'!AV42</f>
        <v>1269</v>
      </c>
      <c r="AV43" s="405">
        <f>'ADJ DETAIL-INPUT'!AW42</f>
        <v>2</v>
      </c>
      <c r="AW43" s="405">
        <f>'ADJ DETAIL-INPUT'!AX42</f>
        <v>0</v>
      </c>
      <c r="AX43" s="405">
        <f>'ADJ DETAIL-INPUT'!AY42</f>
        <v>-1180</v>
      </c>
      <c r="AY43" s="405">
        <f>'ADJ DETAIL-INPUT'!AZ42</f>
        <v>-81</v>
      </c>
      <c r="AZ43" s="405">
        <f>'ADJ DETAIL-INPUT'!BA42</f>
        <v>0</v>
      </c>
      <c r="BA43" s="405">
        <f>'ADJ DETAIL-INPUT'!BB42</f>
        <v>38</v>
      </c>
      <c r="BB43" s="405">
        <f>'ADJ DETAIL-INPUT'!BC42</f>
        <v>27</v>
      </c>
      <c r="BC43" s="405">
        <f>'ADJ DETAIL-INPUT'!BD42</f>
        <v>0</v>
      </c>
      <c r="BD43" s="405">
        <f>'ADJ DETAIL-INPUT'!BE42</f>
        <v>0</v>
      </c>
      <c r="BE43" s="405">
        <f>'ADJ DETAIL-INPUT'!BF42</f>
        <v>461</v>
      </c>
      <c r="BF43" s="405">
        <f>'ADJ DETAIL-INPUT'!BJ42</f>
        <v>0</v>
      </c>
      <c r="BG43" s="405">
        <f>'ADJ DETAIL-INPUT'!BK42</f>
        <v>0</v>
      </c>
      <c r="BH43" s="405">
        <f>'ADJ DETAIL-INPUT'!BL42</f>
        <v>0</v>
      </c>
      <c r="BI43" s="405">
        <f>'ADJ DETAIL-INPUT'!BM42</f>
        <v>0</v>
      </c>
      <c r="BJ43" s="405">
        <f>'ADJ DETAIL-INPUT'!BN42</f>
        <v>0</v>
      </c>
      <c r="BK43" s="405">
        <f>'ADJ DETAIL-INPUT'!BO42</f>
        <v>0</v>
      </c>
      <c r="BL43" s="405">
        <f>'ADJ DETAIL-INPUT'!BP42</f>
        <v>0</v>
      </c>
      <c r="BM43" s="405">
        <f>'ADJ DETAIL-INPUT'!BQ42</f>
        <v>0</v>
      </c>
      <c r="BN43" s="405">
        <f>'ADJ DETAIL-INPUT'!BR42</f>
        <v>-1349</v>
      </c>
      <c r="BO43" s="405">
        <f>'ADJ DETAIL-INPUT'!BS42</f>
        <v>0</v>
      </c>
      <c r="BP43" s="405">
        <f>'ADJ DETAIL-INPUT'!BT42</f>
        <v>20</v>
      </c>
      <c r="BQ43" s="405">
        <f>'ADJ DETAIL-INPUT'!BU42</f>
        <v>0</v>
      </c>
      <c r="BR43" s="405">
        <f>'ADJ DETAIL-INPUT'!BV42</f>
        <v>33</v>
      </c>
    </row>
    <row r="44" spans="1:70" s="396" customFormat="1">
      <c r="A44" s="394">
        <f>'ADJ DETAIL-INPUT'!A43</f>
        <v>22</v>
      </c>
      <c r="C44" s="396" t="str">
        <f>'ADJ DETAIL-INPUT'!C43</f>
        <v>Regulatory Deferrals/Amortization</v>
      </c>
      <c r="E44" s="733">
        <f>'ADJ DETAIL-INPUT'!E43</f>
        <v>-20056</v>
      </c>
      <c r="F44" s="405">
        <f>'ADJ DETAIL-INPUT'!F43</f>
        <v>0</v>
      </c>
      <c r="G44" s="405">
        <f>'ADJ DETAIL-INPUT'!G43</f>
        <v>0</v>
      </c>
      <c r="H44" s="405">
        <f>'ADJ DETAIL-INPUT'!H43</f>
        <v>0</v>
      </c>
      <c r="I44" s="405">
        <f>'ADJ DETAIL-INPUT'!I43</f>
        <v>0</v>
      </c>
      <c r="J44" s="405">
        <f>'ADJ DETAIL-INPUT'!J43</f>
        <v>0</v>
      </c>
      <c r="K44" s="405">
        <f>'ADJ DETAIL-INPUT'!K43</f>
        <v>0</v>
      </c>
      <c r="L44" s="405">
        <f>'ADJ DETAIL-INPUT'!L43</f>
        <v>0</v>
      </c>
      <c r="M44" s="405">
        <f>'ADJ DETAIL-INPUT'!M43</f>
        <v>0</v>
      </c>
      <c r="N44" s="405">
        <f>'ADJ DETAIL-INPUT'!N43</f>
        <v>0</v>
      </c>
      <c r="O44" s="405">
        <f>'ADJ DETAIL-INPUT'!O43</f>
        <v>0</v>
      </c>
      <c r="P44" s="405">
        <f>'ADJ DETAIL-INPUT'!P43</f>
        <v>0</v>
      </c>
      <c r="Q44" s="405">
        <f>'ADJ DETAIL-INPUT'!Q43</f>
        <v>0</v>
      </c>
      <c r="R44" s="405">
        <f>'ADJ DETAIL-INPUT'!R43</f>
        <v>0</v>
      </c>
      <c r="S44" s="405">
        <f>'ADJ DETAIL-INPUT'!S43</f>
        <v>2612</v>
      </c>
      <c r="T44" s="405">
        <f>'ADJ DETAIL-INPUT'!T43</f>
        <v>0</v>
      </c>
      <c r="U44" s="405">
        <f>'ADJ DETAIL-INPUT'!U43</f>
        <v>0</v>
      </c>
      <c r="V44" s="405">
        <f>'ADJ DETAIL-INPUT'!V43</f>
        <v>0</v>
      </c>
      <c r="W44" s="405">
        <f>'ADJ DETAIL-INPUT'!W43</f>
        <v>0</v>
      </c>
      <c r="X44" s="405">
        <f>'ADJ DETAIL-INPUT'!X43</f>
        <v>0</v>
      </c>
      <c r="Y44" s="405">
        <f>'ADJ DETAIL-INPUT'!Y43</f>
        <v>0</v>
      </c>
      <c r="Z44" s="405">
        <f>'ADJ DETAIL-INPUT'!Z43</f>
        <v>0</v>
      </c>
      <c r="AA44" s="405">
        <f>'ADJ DETAIL-INPUT'!AA43</f>
        <v>0</v>
      </c>
      <c r="AB44" s="405">
        <f>'ADJ DETAIL-INPUT'!AB43</f>
        <v>0</v>
      </c>
      <c r="AC44" s="405">
        <f>'ADJ DETAIL-INPUT'!AD43</f>
        <v>0</v>
      </c>
      <c r="AD44" s="405">
        <f>'ADJ DETAIL-INPUT'!AE43</f>
        <v>0</v>
      </c>
      <c r="AE44" s="405">
        <f>'ADJ DETAIL-INPUT'!AF43</f>
        <v>0</v>
      </c>
      <c r="AF44" s="405">
        <f>'ADJ DETAIL-INPUT'!AG43</f>
        <v>1065</v>
      </c>
      <c r="AG44" s="405">
        <f>'ADJ DETAIL-INPUT'!AH43</f>
        <v>0</v>
      </c>
      <c r="AH44" s="405">
        <f>'ADJ DETAIL-INPUT'!AI43</f>
        <v>12856</v>
      </c>
      <c r="AI44" s="405">
        <f>'ADJ DETAIL-INPUT'!AJ43</f>
        <v>-127.5</v>
      </c>
      <c r="AJ44" s="405">
        <f>'ADJ DETAIL-INPUT'!AK43</f>
        <v>0</v>
      </c>
      <c r="AK44" s="405">
        <f>'ADJ DETAIL-INPUT'!AL43</f>
        <v>0</v>
      </c>
      <c r="AL44" s="405">
        <f>'ADJ DETAIL-INPUT'!AM43</f>
        <v>0</v>
      </c>
      <c r="AM44" s="405">
        <f>'ADJ DETAIL-INPUT'!AN43</f>
        <v>0</v>
      </c>
      <c r="AN44" s="405">
        <f>'ADJ DETAIL-INPUT'!AO43</f>
        <v>0</v>
      </c>
      <c r="AO44" s="405">
        <f>'ADJ DETAIL-INPUT'!AP43</f>
        <v>0</v>
      </c>
      <c r="AP44" s="405">
        <f>'ADJ DETAIL-INPUT'!AQ43</f>
        <v>0</v>
      </c>
      <c r="AQ44" s="405">
        <f>'ADJ DETAIL-INPUT'!AR43</f>
        <v>0</v>
      </c>
      <c r="AR44" s="405">
        <f>'ADJ DETAIL-INPUT'!AS43</f>
        <v>0</v>
      </c>
      <c r="AS44" s="405">
        <f>'ADJ DETAIL-INPUT'!AT43</f>
        <v>0</v>
      </c>
      <c r="AT44" s="405">
        <f>'ADJ DETAIL-INPUT'!AU43</f>
        <v>0</v>
      </c>
      <c r="AU44" s="405">
        <f>'ADJ DETAIL-INPUT'!AV43</f>
        <v>0</v>
      </c>
      <c r="AV44" s="405">
        <f>'ADJ DETAIL-INPUT'!AW43</f>
        <v>0</v>
      </c>
      <c r="AW44" s="405">
        <f>'ADJ DETAIL-INPUT'!AX43</f>
        <v>0</v>
      </c>
      <c r="AX44" s="405">
        <f>'ADJ DETAIL-INPUT'!AY43</f>
        <v>0</v>
      </c>
      <c r="AY44" s="405">
        <f>'ADJ DETAIL-INPUT'!AZ43</f>
        <v>0</v>
      </c>
      <c r="AZ44" s="405">
        <f>'ADJ DETAIL-INPUT'!BA43</f>
        <v>0</v>
      </c>
      <c r="BA44" s="405">
        <f>'ADJ DETAIL-INPUT'!BB43</f>
        <v>0</v>
      </c>
      <c r="BB44" s="405">
        <f>'ADJ DETAIL-INPUT'!BC43</f>
        <v>0</v>
      </c>
      <c r="BC44" s="405">
        <f>'ADJ DETAIL-INPUT'!BD43</f>
        <v>0</v>
      </c>
      <c r="BD44" s="405">
        <f>'ADJ DETAIL-INPUT'!BE43</f>
        <v>0</v>
      </c>
      <c r="BE44" s="405">
        <f>'ADJ DETAIL-INPUT'!BF43</f>
        <v>0</v>
      </c>
      <c r="BF44" s="405">
        <f>'ADJ DETAIL-INPUT'!BJ43</f>
        <v>0</v>
      </c>
      <c r="BG44" s="405">
        <f>'ADJ DETAIL-INPUT'!BK43</f>
        <v>0</v>
      </c>
      <c r="BH44" s="405">
        <f>'ADJ DETAIL-INPUT'!BL43</f>
        <v>0</v>
      </c>
      <c r="BI44" s="405">
        <f>'ADJ DETAIL-INPUT'!BM43</f>
        <v>0</v>
      </c>
      <c r="BJ44" s="405">
        <f>'ADJ DETAIL-INPUT'!BN43</f>
        <v>0</v>
      </c>
      <c r="BK44" s="405">
        <f>'ADJ DETAIL-INPUT'!BO43</f>
        <v>0</v>
      </c>
      <c r="BL44" s="405">
        <f>'ADJ DETAIL-INPUT'!BP43</f>
        <v>0</v>
      </c>
      <c r="BM44" s="405">
        <f>'ADJ DETAIL-INPUT'!BQ43</f>
        <v>0</v>
      </c>
      <c r="BN44" s="405">
        <f>'ADJ DETAIL-INPUT'!BR43</f>
        <v>0</v>
      </c>
      <c r="BO44" s="405">
        <f>'ADJ DETAIL-INPUT'!BS43</f>
        <v>0</v>
      </c>
      <c r="BP44" s="405">
        <f>'ADJ DETAIL-INPUT'!BT43</f>
        <v>0</v>
      </c>
      <c r="BQ44" s="405">
        <f>'ADJ DETAIL-INPUT'!BU43</f>
        <v>0</v>
      </c>
      <c r="BR44" s="405">
        <f>'ADJ DETAIL-INPUT'!BV43</f>
        <v>0</v>
      </c>
    </row>
    <row r="45" spans="1:70" s="396" customFormat="1">
      <c r="A45" s="418">
        <f>'ADJ DETAIL-INPUT'!A44</f>
        <v>23</v>
      </c>
      <c r="C45" s="396" t="str">
        <f>'ADJ DETAIL-INPUT'!C44</f>
        <v xml:space="preserve">Taxes  </v>
      </c>
      <c r="E45" s="732">
        <f>'ADJ DETAIL-INPUT'!E44</f>
        <v>3632</v>
      </c>
      <c r="F45" s="414">
        <f>'ADJ DETAIL-INPUT'!F44</f>
        <v>0</v>
      </c>
      <c r="G45" s="414">
        <f>'ADJ DETAIL-INPUT'!G44</f>
        <v>0</v>
      </c>
      <c r="H45" s="414">
        <f>'ADJ DETAIL-INPUT'!H44</f>
        <v>0</v>
      </c>
      <c r="I45" s="414">
        <f>'ADJ DETAIL-INPUT'!I44</f>
        <v>0</v>
      </c>
      <c r="J45" s="414">
        <f>'ADJ DETAIL-INPUT'!J44</f>
        <v>0</v>
      </c>
      <c r="K45" s="414">
        <f>'ADJ DETAIL-INPUT'!K44</f>
        <v>0</v>
      </c>
      <c r="L45" s="414">
        <f>'ADJ DETAIL-INPUT'!L44</f>
        <v>0</v>
      </c>
      <c r="M45" s="414">
        <f>'ADJ DETAIL-INPUT'!M44</f>
        <v>0</v>
      </c>
      <c r="N45" s="414">
        <f>'ADJ DETAIL-INPUT'!N44</f>
        <v>0</v>
      </c>
      <c r="O45" s="414">
        <f>'ADJ DETAIL-INPUT'!O44</f>
        <v>0</v>
      </c>
      <c r="P45" s="414">
        <f>'ADJ DETAIL-INPUT'!P44</f>
        <v>0</v>
      </c>
      <c r="Q45" s="414">
        <f>'ADJ DETAIL-INPUT'!Q44</f>
        <v>0</v>
      </c>
      <c r="R45" s="414">
        <f>'ADJ DETAIL-INPUT'!R44</f>
        <v>0</v>
      </c>
      <c r="S45" s="414">
        <f>'ADJ DETAIL-INPUT'!S44</f>
        <v>0</v>
      </c>
      <c r="T45" s="414">
        <f>'ADJ DETAIL-INPUT'!T44</f>
        <v>0</v>
      </c>
      <c r="U45" s="414">
        <f>'ADJ DETAIL-INPUT'!U44</f>
        <v>0</v>
      </c>
      <c r="V45" s="414">
        <f>'ADJ DETAIL-INPUT'!V44</f>
        <v>0</v>
      </c>
      <c r="W45" s="414">
        <f>'ADJ DETAIL-INPUT'!W44</f>
        <v>0</v>
      </c>
      <c r="X45" s="414">
        <f>'ADJ DETAIL-INPUT'!X44</f>
        <v>0</v>
      </c>
      <c r="Y45" s="414">
        <f>'ADJ DETAIL-INPUT'!Y44</f>
        <v>0</v>
      </c>
      <c r="Z45" s="414">
        <f>'ADJ DETAIL-INPUT'!Z44</f>
        <v>0</v>
      </c>
      <c r="AA45" s="414">
        <f>'ADJ DETAIL-INPUT'!AA44</f>
        <v>0</v>
      </c>
      <c r="AB45" s="414">
        <f>'ADJ DETAIL-INPUT'!AB44</f>
        <v>0</v>
      </c>
      <c r="AC45" s="414">
        <f>'ADJ DETAIL-INPUT'!AD44</f>
        <v>0</v>
      </c>
      <c r="AD45" s="414">
        <f>'ADJ DETAIL-INPUT'!AE44</f>
        <v>0</v>
      </c>
      <c r="AE45" s="414">
        <f>'ADJ DETAIL-INPUT'!AF44</f>
        <v>0</v>
      </c>
      <c r="AF45" s="414">
        <f>'ADJ DETAIL-INPUT'!AG44</f>
        <v>0</v>
      </c>
      <c r="AG45" s="414">
        <f>'ADJ DETAIL-INPUT'!AH44</f>
        <v>0</v>
      </c>
      <c r="AH45" s="414">
        <f>'ADJ DETAIL-INPUT'!AI44</f>
        <v>0</v>
      </c>
      <c r="AI45" s="414">
        <f>'ADJ DETAIL-INPUT'!AJ44</f>
        <v>0</v>
      </c>
      <c r="AJ45" s="414">
        <f>'ADJ DETAIL-INPUT'!AK44</f>
        <v>0</v>
      </c>
      <c r="AK45" s="414">
        <f>'ADJ DETAIL-INPUT'!AL44</f>
        <v>0</v>
      </c>
      <c r="AL45" s="414">
        <f>'ADJ DETAIL-INPUT'!AM44</f>
        <v>0</v>
      </c>
      <c r="AM45" s="414">
        <f>'ADJ DETAIL-INPUT'!AN44</f>
        <v>0</v>
      </c>
      <c r="AN45" s="414">
        <f>'ADJ DETAIL-INPUT'!AO44</f>
        <v>0</v>
      </c>
      <c r="AO45" s="414">
        <f>'ADJ DETAIL-INPUT'!AP44</f>
        <v>0</v>
      </c>
      <c r="AP45" s="414">
        <f>'ADJ DETAIL-INPUT'!AQ44</f>
        <v>0</v>
      </c>
      <c r="AQ45" s="414">
        <f>'ADJ DETAIL-INPUT'!AR44</f>
        <v>0</v>
      </c>
      <c r="AR45" s="414">
        <f>'ADJ DETAIL-INPUT'!AS44</f>
        <v>0</v>
      </c>
      <c r="AS45" s="414">
        <f>'ADJ DETAIL-INPUT'!AT44</f>
        <v>0</v>
      </c>
      <c r="AT45" s="414">
        <f>'ADJ DETAIL-INPUT'!AU44</f>
        <v>0</v>
      </c>
      <c r="AU45" s="414">
        <f>'ADJ DETAIL-INPUT'!AV44</f>
        <v>0</v>
      </c>
      <c r="AV45" s="414">
        <f>'ADJ DETAIL-INPUT'!AW44</f>
        <v>0</v>
      </c>
      <c r="AW45" s="414">
        <f>'ADJ DETAIL-INPUT'!AX44</f>
        <v>0</v>
      </c>
      <c r="AX45" s="414">
        <f>'ADJ DETAIL-INPUT'!AY44</f>
        <v>0</v>
      </c>
      <c r="AY45" s="414">
        <f>'ADJ DETAIL-INPUT'!AZ44</f>
        <v>0</v>
      </c>
      <c r="AZ45" s="414">
        <f>'ADJ DETAIL-INPUT'!BA44</f>
        <v>0</v>
      </c>
      <c r="BA45" s="414">
        <f>'ADJ DETAIL-INPUT'!BB44</f>
        <v>0</v>
      </c>
      <c r="BB45" s="414">
        <f>'ADJ DETAIL-INPUT'!BC44</f>
        <v>0</v>
      </c>
      <c r="BC45" s="414">
        <f>'ADJ DETAIL-INPUT'!BD44</f>
        <v>0</v>
      </c>
      <c r="BD45" s="414">
        <f>'ADJ DETAIL-INPUT'!BE44</f>
        <v>0</v>
      </c>
      <c r="BE45" s="414">
        <f>'ADJ DETAIL-INPUT'!BF44</f>
        <v>0</v>
      </c>
      <c r="BF45" s="414">
        <f>'ADJ DETAIL-INPUT'!BJ44</f>
        <v>0</v>
      </c>
      <c r="BG45" s="414">
        <f>'ADJ DETAIL-INPUT'!BK44</f>
        <v>0</v>
      </c>
      <c r="BH45" s="414">
        <f>'ADJ DETAIL-INPUT'!BL44</f>
        <v>0</v>
      </c>
      <c r="BI45" s="414">
        <f>'ADJ DETAIL-INPUT'!BM44</f>
        <v>0</v>
      </c>
      <c r="BJ45" s="414">
        <f>'ADJ DETAIL-INPUT'!BN44</f>
        <v>0</v>
      </c>
      <c r="BK45" s="414">
        <f>'ADJ DETAIL-INPUT'!BO44</f>
        <v>0</v>
      </c>
      <c r="BL45" s="414">
        <f>'ADJ DETAIL-INPUT'!BP44</f>
        <v>0</v>
      </c>
      <c r="BM45" s="414">
        <f>'ADJ DETAIL-INPUT'!BQ44</f>
        <v>0</v>
      </c>
      <c r="BN45" s="414">
        <f>'ADJ DETAIL-INPUT'!BR44</f>
        <v>0</v>
      </c>
      <c r="BO45" s="414">
        <f>'ADJ DETAIL-INPUT'!BS44</f>
        <v>0</v>
      </c>
      <c r="BP45" s="414">
        <f>'ADJ DETAIL-INPUT'!BT44</f>
        <v>0</v>
      </c>
      <c r="BQ45" s="414">
        <f>'ADJ DETAIL-INPUT'!BU44</f>
        <v>0</v>
      </c>
      <c r="BR45" s="414">
        <f>'ADJ DETAIL-INPUT'!BV44</f>
        <v>0</v>
      </c>
    </row>
    <row r="46" spans="1:70" s="396" customFormat="1">
      <c r="A46" s="394">
        <f>'ADJ DETAIL-INPUT'!A45</f>
        <v>24</v>
      </c>
      <c r="B46" s="396" t="str">
        <f>'ADJ DETAIL-INPUT'!B45</f>
        <v xml:space="preserve">Total Admin. &amp; General  </v>
      </c>
      <c r="E46" s="732">
        <f>'ADJ DETAIL-INPUT'!E45</f>
        <v>98846</v>
      </c>
      <c r="F46" s="414">
        <f>'ADJ DETAIL-INPUT'!F45</f>
        <v>0</v>
      </c>
      <c r="G46" s="414">
        <f>'ADJ DETAIL-INPUT'!G45</f>
        <v>0</v>
      </c>
      <c r="H46" s="414">
        <f>'ADJ DETAIL-INPUT'!H45</f>
        <v>0</v>
      </c>
      <c r="I46" s="414">
        <f>'ADJ DETAIL-INPUT'!I45</f>
        <v>0</v>
      </c>
      <c r="J46" s="414">
        <f>'ADJ DETAIL-INPUT'!J45</f>
        <v>0</v>
      </c>
      <c r="K46" s="414">
        <f>'ADJ DETAIL-INPUT'!K45</f>
        <v>0</v>
      </c>
      <c r="L46" s="414">
        <f>'ADJ DETAIL-INPUT'!L45</f>
        <v>42</v>
      </c>
      <c r="M46" s="414">
        <f>'ADJ DETAIL-INPUT'!M45</f>
        <v>-124</v>
      </c>
      <c r="N46" s="414">
        <f>'ADJ DETAIL-INPUT'!N45</f>
        <v>0</v>
      </c>
      <c r="O46" s="414">
        <f>'ADJ DETAIL-INPUT'!O45</f>
        <v>-55</v>
      </c>
      <c r="P46" s="414">
        <f>'ADJ DETAIL-INPUT'!P45</f>
        <v>0</v>
      </c>
      <c r="Q46" s="414">
        <f>'ADJ DETAIL-INPUT'!Q45</f>
        <v>0</v>
      </c>
      <c r="R46" s="414">
        <f>'ADJ DETAIL-INPUT'!R45</f>
        <v>-16</v>
      </c>
      <c r="S46" s="414">
        <f>'ADJ DETAIL-INPUT'!S45</f>
        <v>2559</v>
      </c>
      <c r="T46" s="414">
        <f>'ADJ DETAIL-INPUT'!T45</f>
        <v>-1440</v>
      </c>
      <c r="U46" s="414">
        <f>'ADJ DETAIL-INPUT'!U45</f>
        <v>2739</v>
      </c>
      <c r="V46" s="414">
        <f>'ADJ DETAIL-INPUT'!V45</f>
        <v>0</v>
      </c>
      <c r="W46" s="414">
        <f>'ADJ DETAIL-INPUT'!W45</f>
        <v>0</v>
      </c>
      <c r="X46" s="414">
        <f>'ADJ DETAIL-INPUT'!X45</f>
        <v>46</v>
      </c>
      <c r="Y46" s="414">
        <f>'ADJ DETAIL-INPUT'!Y45</f>
        <v>0</v>
      </c>
      <c r="Z46" s="414">
        <f>'ADJ DETAIL-INPUT'!Z45</f>
        <v>0</v>
      </c>
      <c r="AA46" s="414">
        <f>'ADJ DETAIL-INPUT'!AA45</f>
        <v>0</v>
      </c>
      <c r="AB46" s="414">
        <f>'ADJ DETAIL-INPUT'!AB45</f>
        <v>0</v>
      </c>
      <c r="AC46" s="414">
        <f>'ADJ DETAIL-INPUT'!AD45</f>
        <v>0</v>
      </c>
      <c r="AD46" s="414">
        <f>'ADJ DETAIL-INPUT'!AE45</f>
        <v>0</v>
      </c>
      <c r="AE46" s="414">
        <f>'ADJ DETAIL-INPUT'!AF45</f>
        <v>30</v>
      </c>
      <c r="AF46" s="414">
        <f>'ADJ DETAIL-INPUT'!AG45</f>
        <v>1065</v>
      </c>
      <c r="AG46" s="414">
        <f>'ADJ DETAIL-INPUT'!AH45</f>
        <v>0</v>
      </c>
      <c r="AH46" s="414">
        <f>'ADJ DETAIL-INPUT'!AI45</f>
        <v>12438</v>
      </c>
      <c r="AI46" s="414">
        <f>'ADJ DETAIL-INPUT'!AJ45</f>
        <v>-127.5</v>
      </c>
      <c r="AJ46" s="414">
        <f>'ADJ DETAIL-INPUT'!AK45</f>
        <v>357</v>
      </c>
      <c r="AK46" s="414">
        <f>'ADJ DETAIL-INPUT'!AL45</f>
        <v>1804</v>
      </c>
      <c r="AL46" s="414">
        <f>'ADJ DETAIL-INPUT'!AM45</f>
        <v>64</v>
      </c>
      <c r="AM46" s="414">
        <f>'ADJ DETAIL-INPUT'!AN45</f>
        <v>-126</v>
      </c>
      <c r="AN46" s="414">
        <f>'ADJ DETAIL-INPUT'!AO45</f>
        <v>-56.759</v>
      </c>
      <c r="AO46" s="414">
        <f>'ADJ DETAIL-INPUT'!AP45</f>
        <v>0</v>
      </c>
      <c r="AP46" s="414">
        <f>'ADJ DETAIL-INPUT'!AQ45</f>
        <v>4292</v>
      </c>
      <c r="AQ46" s="414">
        <f>'ADJ DETAIL-INPUT'!AR45</f>
        <v>1262</v>
      </c>
      <c r="AR46" s="414">
        <f>'ADJ DETAIL-INPUT'!AS45</f>
        <v>2588.098</v>
      </c>
      <c r="AS46" s="414">
        <f>'ADJ DETAIL-INPUT'!AT45</f>
        <v>1084</v>
      </c>
      <c r="AT46" s="414">
        <f>'ADJ DETAIL-INPUT'!AU45</f>
        <v>0</v>
      </c>
      <c r="AU46" s="414">
        <f>'ADJ DETAIL-INPUT'!AV45</f>
        <v>1269</v>
      </c>
      <c r="AV46" s="414">
        <f>'ADJ DETAIL-INPUT'!AW45</f>
        <v>2</v>
      </c>
      <c r="AW46" s="414">
        <f>'ADJ DETAIL-INPUT'!AX45</f>
        <v>0</v>
      </c>
      <c r="AX46" s="414">
        <f>'ADJ DETAIL-INPUT'!AY45</f>
        <v>-1180</v>
      </c>
      <c r="AY46" s="414">
        <f>'ADJ DETAIL-INPUT'!AZ45</f>
        <v>-81</v>
      </c>
      <c r="AZ46" s="414">
        <f>'ADJ DETAIL-INPUT'!BA45</f>
        <v>-71</v>
      </c>
      <c r="BA46" s="414">
        <f>'ADJ DETAIL-INPUT'!BB45</f>
        <v>38</v>
      </c>
      <c r="BB46" s="414">
        <f>'ADJ DETAIL-INPUT'!BC45</f>
        <v>27</v>
      </c>
      <c r="BC46" s="414">
        <f>'ADJ DETAIL-INPUT'!BD45</f>
        <v>0</v>
      </c>
      <c r="BD46" s="414">
        <f>'ADJ DETAIL-INPUT'!BE45</f>
        <v>0</v>
      </c>
      <c r="BE46" s="414">
        <f>'ADJ DETAIL-INPUT'!BF45</f>
        <v>461</v>
      </c>
      <c r="BF46" s="414">
        <f>'ADJ DETAIL-INPUT'!BJ45</f>
        <v>0</v>
      </c>
      <c r="BG46" s="414">
        <f>'ADJ DETAIL-INPUT'!BK45</f>
        <v>-791</v>
      </c>
      <c r="BH46" s="414">
        <f>'ADJ DETAIL-INPUT'!BL45</f>
        <v>651</v>
      </c>
      <c r="BI46" s="414">
        <f>'ADJ DETAIL-INPUT'!BM45</f>
        <v>148</v>
      </c>
      <c r="BJ46" s="414">
        <f>'ADJ DETAIL-INPUT'!BN45</f>
        <v>0</v>
      </c>
      <c r="BK46" s="414">
        <f>'ADJ DETAIL-INPUT'!BO45</f>
        <v>1512</v>
      </c>
      <c r="BL46" s="414">
        <f>'ADJ DETAIL-INPUT'!BP45</f>
        <v>0</v>
      </c>
      <c r="BM46" s="414">
        <f>'ADJ DETAIL-INPUT'!BQ45</f>
        <v>1150.2660000000001</v>
      </c>
      <c r="BN46" s="414">
        <f>'ADJ DETAIL-INPUT'!BR45</f>
        <v>-1349</v>
      </c>
      <c r="BO46" s="414">
        <f>'ADJ DETAIL-INPUT'!BS45</f>
        <v>-605</v>
      </c>
      <c r="BP46" s="414">
        <f>'ADJ DETAIL-INPUT'!BT45</f>
        <v>20</v>
      </c>
      <c r="BQ46" s="414">
        <f>'ADJ DETAIL-INPUT'!BU45</f>
        <v>0</v>
      </c>
      <c r="BR46" s="414">
        <f>'ADJ DETAIL-INPUT'!BV45</f>
        <v>33</v>
      </c>
    </row>
    <row r="47" spans="1:70" s="396" customFormat="1">
      <c r="A47" s="394">
        <f>'ADJ DETAIL-INPUT'!A46</f>
        <v>25</v>
      </c>
      <c r="B47" s="396" t="str">
        <f>'ADJ DETAIL-INPUT'!B46</f>
        <v xml:space="preserve">Total Electric Expenses  </v>
      </c>
      <c r="E47" s="732">
        <f>'ADJ DETAIL-INPUT'!E46</f>
        <v>545994</v>
      </c>
      <c r="F47" s="414">
        <f>'ADJ DETAIL-INPUT'!F46</f>
        <v>0</v>
      </c>
      <c r="G47" s="414">
        <f>'ADJ DETAIL-INPUT'!G46</f>
        <v>1</v>
      </c>
      <c r="H47" s="414">
        <f>'ADJ DETAIL-INPUT'!H46</f>
        <v>0</v>
      </c>
      <c r="I47" s="414">
        <f>'ADJ DETAIL-INPUT'!I46</f>
        <v>-19456</v>
      </c>
      <c r="J47" s="414">
        <f>'ADJ DETAIL-INPUT'!J46</f>
        <v>2</v>
      </c>
      <c r="K47" s="414">
        <f>'ADJ DETAIL-INPUT'!K46</f>
        <v>1572</v>
      </c>
      <c r="L47" s="414">
        <f>'ADJ DETAIL-INPUT'!L46</f>
        <v>42</v>
      </c>
      <c r="M47" s="414">
        <f>'ADJ DETAIL-INPUT'!M46</f>
        <v>-124</v>
      </c>
      <c r="N47" s="414">
        <f>'ADJ DETAIL-INPUT'!N46</f>
        <v>0</v>
      </c>
      <c r="O47" s="414">
        <f>'ADJ DETAIL-INPUT'!O46</f>
        <v>-55</v>
      </c>
      <c r="P47" s="414">
        <f>'ADJ DETAIL-INPUT'!P46</f>
        <v>18</v>
      </c>
      <c r="Q47" s="414">
        <f>'ADJ DETAIL-INPUT'!Q46</f>
        <v>-63</v>
      </c>
      <c r="R47" s="414">
        <f>'ADJ DETAIL-INPUT'!R46</f>
        <v>-358</v>
      </c>
      <c r="S47" s="414">
        <f>'ADJ DETAIL-INPUT'!S46</f>
        <v>-13016</v>
      </c>
      <c r="T47" s="414">
        <f>'ADJ DETAIL-INPUT'!T46</f>
        <v>-1440</v>
      </c>
      <c r="U47" s="414">
        <f>'ADJ DETAIL-INPUT'!U46</f>
        <v>2739</v>
      </c>
      <c r="V47" s="414">
        <f>'ADJ DETAIL-INPUT'!V46</f>
        <v>0</v>
      </c>
      <c r="W47" s="414">
        <f>'ADJ DETAIL-INPUT'!W46</f>
        <v>0</v>
      </c>
      <c r="X47" s="414">
        <f>'ADJ DETAIL-INPUT'!X46</f>
        <v>20863</v>
      </c>
      <c r="Y47" s="414">
        <f>'ADJ DETAIL-INPUT'!Y46</f>
        <v>-6</v>
      </c>
      <c r="Z47" s="414">
        <f>'ADJ DETAIL-INPUT'!Z46</f>
        <v>-1694</v>
      </c>
      <c r="AA47" s="414">
        <f>'ADJ DETAIL-INPUT'!AA46</f>
        <v>-64936</v>
      </c>
      <c r="AB47" s="414">
        <f>'ADJ DETAIL-INPUT'!AB46</f>
        <v>0</v>
      </c>
      <c r="AC47" s="414">
        <f>'ADJ DETAIL-INPUT'!AD46</f>
        <v>36668</v>
      </c>
      <c r="AD47" s="414">
        <f>'ADJ DETAIL-INPUT'!AE46</f>
        <v>0</v>
      </c>
      <c r="AE47" s="414">
        <f>'ADJ DETAIL-INPUT'!AF46</f>
        <v>653</v>
      </c>
      <c r="AF47" s="414">
        <f>'ADJ DETAIL-INPUT'!AG46</f>
        <v>1147</v>
      </c>
      <c r="AG47" s="414">
        <f>'ADJ DETAIL-INPUT'!AH46</f>
        <v>0</v>
      </c>
      <c r="AH47" s="414">
        <f>'ADJ DETAIL-INPUT'!AI46</f>
        <v>10756</v>
      </c>
      <c r="AI47" s="414">
        <f>'ADJ DETAIL-INPUT'!AJ46</f>
        <v>879.5</v>
      </c>
      <c r="AJ47" s="414">
        <f>'ADJ DETAIL-INPUT'!AK46</f>
        <v>357</v>
      </c>
      <c r="AK47" s="414">
        <f>'ADJ DETAIL-INPUT'!AL46</f>
        <v>6139</v>
      </c>
      <c r="AL47" s="414">
        <f>'ADJ DETAIL-INPUT'!AM46</f>
        <v>64</v>
      </c>
      <c r="AM47" s="414">
        <f>'ADJ DETAIL-INPUT'!AN46</f>
        <v>-394</v>
      </c>
      <c r="AN47" s="414">
        <f>'ADJ DETAIL-INPUT'!AO46</f>
        <v>-69.442000000000007</v>
      </c>
      <c r="AO47" s="414">
        <f>'ADJ DETAIL-INPUT'!AP46</f>
        <v>962</v>
      </c>
      <c r="AP47" s="414">
        <f>'ADJ DETAIL-INPUT'!AQ46</f>
        <v>4292</v>
      </c>
      <c r="AQ47" s="414">
        <f>'ADJ DETAIL-INPUT'!AR46</f>
        <v>1262</v>
      </c>
      <c r="AR47" s="414">
        <f>'ADJ DETAIL-INPUT'!AS46</f>
        <v>9772.7520000000004</v>
      </c>
      <c r="AS47" s="414">
        <f>'ADJ DETAIL-INPUT'!AT46</f>
        <v>2165</v>
      </c>
      <c r="AT47" s="414">
        <f>'ADJ DETAIL-INPUT'!AU46</f>
        <v>62</v>
      </c>
      <c r="AU47" s="414">
        <f>'ADJ DETAIL-INPUT'!AV46</f>
        <v>2221</v>
      </c>
      <c r="AV47" s="414">
        <f>'ADJ DETAIL-INPUT'!AW46</f>
        <v>7</v>
      </c>
      <c r="AW47" s="414">
        <f>'ADJ DETAIL-INPUT'!AX46</f>
        <v>579</v>
      </c>
      <c r="AX47" s="414">
        <f>'ADJ DETAIL-INPUT'!AY46</f>
        <v>2645</v>
      </c>
      <c r="AY47" s="414">
        <f>'ADJ DETAIL-INPUT'!AZ46</f>
        <v>2383</v>
      </c>
      <c r="AZ47" s="414">
        <f>'ADJ DETAIL-INPUT'!BA46</f>
        <v>-892</v>
      </c>
      <c r="BA47" s="414">
        <f>'ADJ DETAIL-INPUT'!BB46</f>
        <v>3265</v>
      </c>
      <c r="BB47" s="414">
        <f>'ADJ DETAIL-INPUT'!BC46</f>
        <v>422</v>
      </c>
      <c r="BC47" s="414">
        <f>'ADJ DETAIL-INPUT'!BD46</f>
        <v>943</v>
      </c>
      <c r="BD47" s="414">
        <f>'ADJ DETAIL-INPUT'!BE46</f>
        <v>-160</v>
      </c>
      <c r="BE47" s="414">
        <f>'ADJ DETAIL-INPUT'!BF46</f>
        <v>461</v>
      </c>
      <c r="BF47" s="414">
        <f>'ADJ DETAIL-INPUT'!BJ46</f>
        <v>0</v>
      </c>
      <c r="BG47" s="414">
        <f>'ADJ DETAIL-INPUT'!BK46</f>
        <v>-791</v>
      </c>
      <c r="BH47" s="414">
        <f>'ADJ DETAIL-INPUT'!BL46</f>
        <v>1949</v>
      </c>
      <c r="BI47" s="414">
        <f>'ADJ DETAIL-INPUT'!BM46</f>
        <v>462</v>
      </c>
      <c r="BJ47" s="414">
        <f>'ADJ DETAIL-INPUT'!BN46</f>
        <v>626</v>
      </c>
      <c r="BK47" s="414">
        <f>'ADJ DETAIL-INPUT'!BO46</f>
        <v>1512</v>
      </c>
      <c r="BL47" s="414">
        <f>'ADJ DETAIL-INPUT'!BP46</f>
        <v>46</v>
      </c>
      <c r="BM47" s="414">
        <f>'ADJ DETAIL-INPUT'!BQ46</f>
        <v>4343.4449999999997</v>
      </c>
      <c r="BN47" s="414">
        <f>'ADJ DETAIL-INPUT'!BR46</f>
        <v>1680</v>
      </c>
      <c r="BO47" s="414">
        <f>'ADJ DETAIL-INPUT'!BS46</f>
        <v>-605</v>
      </c>
      <c r="BP47" s="414">
        <f>'ADJ DETAIL-INPUT'!BT46</f>
        <v>463</v>
      </c>
      <c r="BQ47" s="414">
        <f>'ADJ DETAIL-INPUT'!BU46</f>
        <v>0</v>
      </c>
      <c r="BR47" s="414">
        <f>'ADJ DETAIL-INPUT'!BV46</f>
        <v>33</v>
      </c>
    </row>
    <row r="48" spans="1:70" s="396" customFormat="1" ht="6.75" customHeight="1">
      <c r="E48" s="399"/>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row>
    <row r="49" spans="1:70" s="396" customFormat="1">
      <c r="A49" s="394">
        <f>'ADJ DETAIL-INPUT'!A48</f>
        <v>26</v>
      </c>
      <c r="B49" s="396" t="str">
        <f>'ADJ DETAIL-INPUT'!B48</f>
        <v xml:space="preserve">OPERATING INCOME BEFORE FIT  </v>
      </c>
      <c r="E49" s="399">
        <f>'ADJ DETAIL-INPUT'!E48</f>
        <v>112592</v>
      </c>
      <c r="F49" s="405">
        <f>'ADJ DETAIL-INPUT'!F48</f>
        <v>0</v>
      </c>
      <c r="G49" s="405">
        <f>'ADJ DETAIL-INPUT'!G48</f>
        <v>-1</v>
      </c>
      <c r="H49" s="405">
        <f>'ADJ DETAIL-INPUT'!H48</f>
        <v>0</v>
      </c>
      <c r="I49" s="405">
        <f>'ADJ DETAIL-INPUT'!I48</f>
        <v>9</v>
      </c>
      <c r="J49" s="405">
        <f>'ADJ DETAIL-INPUT'!J48</f>
        <v>-2</v>
      </c>
      <c r="K49" s="405">
        <f>'ADJ DETAIL-INPUT'!K48</f>
        <v>-1572</v>
      </c>
      <c r="L49" s="405">
        <f>'ADJ DETAIL-INPUT'!L48</f>
        <v>-42</v>
      </c>
      <c r="M49" s="405">
        <f>'ADJ DETAIL-INPUT'!M48</f>
        <v>124</v>
      </c>
      <c r="N49" s="405">
        <f>'ADJ DETAIL-INPUT'!N48</f>
        <v>0</v>
      </c>
      <c r="O49" s="405">
        <f>'ADJ DETAIL-INPUT'!O48</f>
        <v>55</v>
      </c>
      <c r="P49" s="405">
        <f>'ADJ DETAIL-INPUT'!P48</f>
        <v>-18</v>
      </c>
      <c r="Q49" s="405">
        <f>'ADJ DETAIL-INPUT'!Q48</f>
        <v>63</v>
      </c>
      <c r="R49" s="405">
        <f>'ADJ DETAIL-INPUT'!R48</f>
        <v>-1634</v>
      </c>
      <c r="S49" s="405">
        <f>'ADJ DETAIL-INPUT'!S48</f>
        <v>-1</v>
      </c>
      <c r="T49" s="405">
        <f>'ADJ DETAIL-INPUT'!T48</f>
        <v>1440</v>
      </c>
      <c r="U49" s="405">
        <f>'ADJ DETAIL-INPUT'!U48</f>
        <v>-2739</v>
      </c>
      <c r="V49" s="405">
        <f>'ADJ DETAIL-INPUT'!V48</f>
        <v>0</v>
      </c>
      <c r="W49" s="405">
        <f>'ADJ DETAIL-INPUT'!W48</f>
        <v>0</v>
      </c>
      <c r="X49" s="405">
        <f>'ADJ DETAIL-INPUT'!X48</f>
        <v>2126</v>
      </c>
      <c r="Y49" s="405">
        <f>'ADJ DETAIL-INPUT'!Y48</f>
        <v>6</v>
      </c>
      <c r="Z49" s="405">
        <f>'ADJ DETAIL-INPUT'!Z48</f>
        <v>1694</v>
      </c>
      <c r="AA49" s="405">
        <f>'ADJ DETAIL-INPUT'!AA48</f>
        <v>5473</v>
      </c>
      <c r="AB49" s="405">
        <f>'ADJ DETAIL-INPUT'!AB48</f>
        <v>0</v>
      </c>
      <c r="AC49" s="405">
        <f>'ADJ DETAIL-INPUT'!AD48</f>
        <v>20560</v>
      </c>
      <c r="AD49" s="405">
        <f>'ADJ DETAIL-INPUT'!AE48</f>
        <v>10602</v>
      </c>
      <c r="AE49" s="405">
        <f>'ADJ DETAIL-INPUT'!AF48</f>
        <v>12710</v>
      </c>
      <c r="AF49" s="405">
        <f>'ADJ DETAIL-INPUT'!AG48</f>
        <v>-1147</v>
      </c>
      <c r="AG49" s="405">
        <f>'ADJ DETAIL-INPUT'!AH48</f>
        <v>0</v>
      </c>
      <c r="AH49" s="405">
        <f>'ADJ DETAIL-INPUT'!AI48</f>
        <v>-10756</v>
      </c>
      <c r="AI49" s="405">
        <f>'ADJ DETAIL-INPUT'!AJ48</f>
        <v>-879.5</v>
      </c>
      <c r="AJ49" s="405">
        <f>'ADJ DETAIL-INPUT'!AK48</f>
        <v>-357</v>
      </c>
      <c r="AK49" s="405">
        <f>'ADJ DETAIL-INPUT'!AL48</f>
        <v>-6139</v>
      </c>
      <c r="AL49" s="405">
        <f>'ADJ DETAIL-INPUT'!AM48</f>
        <v>-64</v>
      </c>
      <c r="AM49" s="405">
        <f>'ADJ DETAIL-INPUT'!AN48</f>
        <v>394</v>
      </c>
      <c r="AN49" s="405">
        <f>'ADJ DETAIL-INPUT'!AO48</f>
        <v>69.442000000000007</v>
      </c>
      <c r="AO49" s="405">
        <f>'ADJ DETAIL-INPUT'!AP48</f>
        <v>-962</v>
      </c>
      <c r="AP49" s="405">
        <f>'ADJ DETAIL-INPUT'!AQ48</f>
        <v>-4292</v>
      </c>
      <c r="AQ49" s="405">
        <f>'ADJ DETAIL-INPUT'!AR48</f>
        <v>-1262</v>
      </c>
      <c r="AR49" s="405">
        <f>'ADJ DETAIL-INPUT'!AS48</f>
        <v>-9772.7520000000004</v>
      </c>
      <c r="AS49" s="405">
        <f>'ADJ DETAIL-INPUT'!AT48</f>
        <v>-2165</v>
      </c>
      <c r="AT49" s="405">
        <f>'ADJ DETAIL-INPUT'!AU48</f>
        <v>-62</v>
      </c>
      <c r="AU49" s="405">
        <f>'ADJ DETAIL-INPUT'!AV48</f>
        <v>-2221</v>
      </c>
      <c r="AV49" s="405">
        <f>'ADJ DETAIL-INPUT'!AW48</f>
        <v>-7</v>
      </c>
      <c r="AW49" s="405">
        <f>'ADJ DETAIL-INPUT'!AX48</f>
        <v>-579</v>
      </c>
      <c r="AX49" s="405">
        <f>'ADJ DETAIL-INPUT'!AY48</f>
        <v>-2645</v>
      </c>
      <c r="AY49" s="405">
        <f>'ADJ DETAIL-INPUT'!AZ48</f>
        <v>-2383</v>
      </c>
      <c r="AZ49" s="405">
        <f>'ADJ DETAIL-INPUT'!BA48</f>
        <v>7815</v>
      </c>
      <c r="BA49" s="405">
        <f>'ADJ DETAIL-INPUT'!BB48</f>
        <v>-3265</v>
      </c>
      <c r="BB49" s="405">
        <f>'ADJ DETAIL-INPUT'!BC48</f>
        <v>-422</v>
      </c>
      <c r="BC49" s="405">
        <f>'ADJ DETAIL-INPUT'!BD48</f>
        <v>-943</v>
      </c>
      <c r="BD49" s="405">
        <f>'ADJ DETAIL-INPUT'!BE48</f>
        <v>160</v>
      </c>
      <c r="BE49" s="405">
        <f>'ADJ DETAIL-INPUT'!BF48</f>
        <v>-461</v>
      </c>
      <c r="BF49" s="405">
        <f>'ADJ DETAIL-INPUT'!BJ48</f>
        <v>0</v>
      </c>
      <c r="BG49" s="405">
        <f>'ADJ DETAIL-INPUT'!BK48</f>
        <v>791</v>
      </c>
      <c r="BH49" s="405">
        <f>'ADJ DETAIL-INPUT'!BL48</f>
        <v>-1949</v>
      </c>
      <c r="BI49" s="405">
        <f>'ADJ DETAIL-INPUT'!BM48</f>
        <v>-462</v>
      </c>
      <c r="BJ49" s="405">
        <f>'ADJ DETAIL-INPUT'!BN48</f>
        <v>-626</v>
      </c>
      <c r="BK49" s="405">
        <f>'ADJ DETAIL-INPUT'!BO48</f>
        <v>-1512</v>
      </c>
      <c r="BL49" s="405">
        <f>'ADJ DETAIL-INPUT'!BP48</f>
        <v>-46</v>
      </c>
      <c r="BM49" s="405">
        <f>'ADJ DETAIL-INPUT'!BQ48</f>
        <v>-4343.4449999999997</v>
      </c>
      <c r="BN49" s="405">
        <f>'ADJ DETAIL-INPUT'!BR48</f>
        <v>-1680</v>
      </c>
      <c r="BO49" s="405">
        <f>'ADJ DETAIL-INPUT'!BS48</f>
        <v>3402</v>
      </c>
      <c r="BP49" s="405">
        <f>'ADJ DETAIL-INPUT'!BT48</f>
        <v>-463</v>
      </c>
      <c r="BQ49" s="405">
        <f>'ADJ DETAIL-INPUT'!BU48</f>
        <v>0</v>
      </c>
      <c r="BR49" s="405">
        <f>'ADJ DETAIL-INPUT'!BV48</f>
        <v>-33</v>
      </c>
    </row>
    <row r="50" spans="1:70" s="396" customFormat="1" ht="6.75" customHeight="1">
      <c r="A50" s="394"/>
      <c r="E50" s="399"/>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row>
    <row r="51" spans="1:70" s="396" customFormat="1">
      <c r="A51" s="398"/>
      <c r="B51" s="396" t="str">
        <f>'ADJ DETAIL-INPUT'!B50</f>
        <v xml:space="preserve">FEDERAL INCOME TAX  </v>
      </c>
      <c r="E51" s="399">
        <f>'ADJ DETAIL-INPUT'!E50</f>
        <v>0</v>
      </c>
      <c r="F51" s="405">
        <f>'ADJ DETAIL-INPUT'!F50</f>
        <v>0</v>
      </c>
      <c r="G51" s="405">
        <f>'ADJ DETAIL-INPUT'!G50</f>
        <v>0</v>
      </c>
      <c r="H51" s="405">
        <f>'ADJ DETAIL-INPUT'!H50</f>
        <v>0</v>
      </c>
      <c r="I51" s="405">
        <f>'ADJ DETAIL-INPUT'!I50</f>
        <v>0</v>
      </c>
      <c r="J51" s="405">
        <f>'ADJ DETAIL-INPUT'!J50</f>
        <v>0</v>
      </c>
      <c r="K51" s="405">
        <f>'ADJ DETAIL-INPUT'!K50</f>
        <v>0</v>
      </c>
      <c r="L51" s="405">
        <f>'ADJ DETAIL-INPUT'!L50</f>
        <v>0</v>
      </c>
      <c r="M51" s="405">
        <f>'ADJ DETAIL-INPUT'!M50</f>
        <v>0</v>
      </c>
      <c r="N51" s="405">
        <f>'ADJ DETAIL-INPUT'!N50</f>
        <v>0</v>
      </c>
      <c r="O51" s="405">
        <f>'ADJ DETAIL-INPUT'!O50</f>
        <v>0</v>
      </c>
      <c r="P51" s="405">
        <f>'ADJ DETAIL-INPUT'!P50</f>
        <v>0</v>
      </c>
      <c r="Q51" s="405">
        <f>'ADJ DETAIL-INPUT'!Q50</f>
        <v>0</v>
      </c>
      <c r="R51" s="405">
        <f>'ADJ DETAIL-INPUT'!R50</f>
        <v>0</v>
      </c>
      <c r="S51" s="405">
        <f>'ADJ DETAIL-INPUT'!S50</f>
        <v>0</v>
      </c>
      <c r="T51" s="405">
        <f>'ADJ DETAIL-INPUT'!T50</f>
        <v>0</v>
      </c>
      <c r="U51" s="405">
        <f>'ADJ DETAIL-INPUT'!U50</f>
        <v>0</v>
      </c>
      <c r="V51" s="405">
        <f>'ADJ DETAIL-INPUT'!V50</f>
        <v>0</v>
      </c>
      <c r="W51" s="405">
        <f>'ADJ DETAIL-INPUT'!W50</f>
        <v>0</v>
      </c>
      <c r="X51" s="405">
        <f>'ADJ DETAIL-INPUT'!X50</f>
        <v>0</v>
      </c>
      <c r="Y51" s="405">
        <f>'ADJ DETAIL-INPUT'!Y50</f>
        <v>0</v>
      </c>
      <c r="Z51" s="405">
        <f>'ADJ DETAIL-INPUT'!Z50</f>
        <v>0</v>
      </c>
      <c r="AA51" s="405">
        <f>'ADJ DETAIL-INPUT'!AA50</f>
        <v>0</v>
      </c>
      <c r="AB51" s="405">
        <f>'ADJ DETAIL-INPUT'!AB50</f>
        <v>0</v>
      </c>
      <c r="AC51" s="405">
        <f>'ADJ DETAIL-INPUT'!AD50</f>
        <v>0</v>
      </c>
      <c r="AD51" s="405">
        <f>'ADJ DETAIL-INPUT'!AE50</f>
        <v>0</v>
      </c>
      <c r="AE51" s="405">
        <f>'ADJ DETAIL-INPUT'!AF50</f>
        <v>0</v>
      </c>
      <c r="AF51" s="405">
        <f>'ADJ DETAIL-INPUT'!AG50</f>
        <v>0</v>
      </c>
      <c r="AG51" s="405">
        <f>'ADJ DETAIL-INPUT'!AH50</f>
        <v>0</v>
      </c>
      <c r="AH51" s="405">
        <f>'ADJ DETAIL-INPUT'!AI50</f>
        <v>0</v>
      </c>
      <c r="AI51" s="405">
        <f>'ADJ DETAIL-INPUT'!AJ50</f>
        <v>0</v>
      </c>
      <c r="AJ51" s="405">
        <f>'ADJ DETAIL-INPUT'!AK50</f>
        <v>0</v>
      </c>
      <c r="AK51" s="405">
        <f>'ADJ DETAIL-INPUT'!AL50</f>
        <v>0</v>
      </c>
      <c r="AL51" s="405">
        <f>'ADJ DETAIL-INPUT'!AM50</f>
        <v>0</v>
      </c>
      <c r="AM51" s="405">
        <f>'ADJ DETAIL-INPUT'!AN50</f>
        <v>0</v>
      </c>
      <c r="AN51" s="405">
        <f>'ADJ DETAIL-INPUT'!AO50</f>
        <v>0</v>
      </c>
      <c r="AO51" s="405">
        <f>'ADJ DETAIL-INPUT'!AP50</f>
        <v>0</v>
      </c>
      <c r="AP51" s="405">
        <f>'ADJ DETAIL-INPUT'!AQ50</f>
        <v>0</v>
      </c>
      <c r="AQ51" s="405">
        <f>'ADJ DETAIL-INPUT'!AR50</f>
        <v>0</v>
      </c>
      <c r="AR51" s="405">
        <f>'ADJ DETAIL-INPUT'!AS50</f>
        <v>0</v>
      </c>
      <c r="AS51" s="405">
        <f>'ADJ DETAIL-INPUT'!AT50</f>
        <v>0</v>
      </c>
      <c r="AT51" s="405">
        <f>'ADJ DETAIL-INPUT'!AU50</f>
        <v>0</v>
      </c>
      <c r="AU51" s="405">
        <f>'ADJ DETAIL-INPUT'!AV50</f>
        <v>0</v>
      </c>
      <c r="AV51" s="405">
        <f>'ADJ DETAIL-INPUT'!AW50</f>
        <v>0</v>
      </c>
      <c r="AW51" s="405">
        <f>'ADJ DETAIL-INPUT'!AX50</f>
        <v>0</v>
      </c>
      <c r="AX51" s="405">
        <f>'ADJ DETAIL-INPUT'!AY50</f>
        <v>0</v>
      </c>
      <c r="AY51" s="405">
        <f>'ADJ DETAIL-INPUT'!AZ50</f>
        <v>0</v>
      </c>
      <c r="AZ51" s="405">
        <f>'ADJ DETAIL-INPUT'!BA50</f>
        <v>0</v>
      </c>
      <c r="BA51" s="405">
        <f>'ADJ DETAIL-INPUT'!BB50</f>
        <v>0</v>
      </c>
      <c r="BB51" s="405">
        <f>'ADJ DETAIL-INPUT'!BC50</f>
        <v>0</v>
      </c>
      <c r="BC51" s="405">
        <f>'ADJ DETAIL-INPUT'!BD50</f>
        <v>0</v>
      </c>
      <c r="BD51" s="405">
        <f>'ADJ DETAIL-INPUT'!BE50</f>
        <v>0</v>
      </c>
      <c r="BE51" s="405">
        <f>'ADJ DETAIL-INPUT'!BF50</f>
        <v>0</v>
      </c>
      <c r="BF51" s="405">
        <f>'ADJ DETAIL-INPUT'!BJ50</f>
        <v>0</v>
      </c>
      <c r="BG51" s="405">
        <f>'ADJ DETAIL-INPUT'!BK50</f>
        <v>0</v>
      </c>
      <c r="BH51" s="405">
        <f>'ADJ DETAIL-INPUT'!BL50</f>
        <v>0</v>
      </c>
      <c r="BI51" s="405">
        <f>'ADJ DETAIL-INPUT'!BM50</f>
        <v>0</v>
      </c>
      <c r="BJ51" s="405">
        <f>'ADJ DETAIL-INPUT'!BN50</f>
        <v>0</v>
      </c>
      <c r="BK51" s="405">
        <f>'ADJ DETAIL-INPUT'!BO50</f>
        <v>0</v>
      </c>
      <c r="BL51" s="405">
        <f>'ADJ DETAIL-INPUT'!BP50</f>
        <v>0</v>
      </c>
      <c r="BM51" s="405">
        <f>'ADJ DETAIL-INPUT'!BQ50</f>
        <v>0</v>
      </c>
      <c r="BN51" s="405">
        <f>'ADJ DETAIL-INPUT'!BR50</f>
        <v>0</v>
      </c>
      <c r="BO51" s="405">
        <f>'ADJ DETAIL-INPUT'!BS50</f>
        <v>0</v>
      </c>
      <c r="BP51" s="405">
        <f>'ADJ DETAIL-INPUT'!BT50</f>
        <v>0</v>
      </c>
      <c r="BQ51" s="405">
        <f>'ADJ DETAIL-INPUT'!BU50</f>
        <v>0</v>
      </c>
      <c r="BR51" s="405">
        <f>'ADJ DETAIL-INPUT'!BV50</f>
        <v>0</v>
      </c>
    </row>
    <row r="52" spans="1:70" s="396" customFormat="1">
      <c r="A52" s="418">
        <f>'ADJ DETAIL-INPUT'!A51</f>
        <v>27</v>
      </c>
      <c r="B52" s="396" t="str">
        <f>'ADJ DETAIL-INPUT'!B51</f>
        <v xml:space="preserve">Current Accrual </v>
      </c>
      <c r="E52" s="733">
        <f>'ADJ DETAIL-INPUT'!E51</f>
        <v>-2018</v>
      </c>
      <c r="F52" s="405">
        <f>'ADJ DETAIL-INPUT'!F51</f>
        <v>0</v>
      </c>
      <c r="G52" s="405">
        <f>'ADJ DETAIL-INPUT'!G51</f>
        <v>-0.21</v>
      </c>
      <c r="H52" s="405">
        <f>'ADJ DETAIL-INPUT'!H51</f>
        <v>0</v>
      </c>
      <c r="I52" s="405">
        <f>'ADJ DETAIL-INPUT'!I51</f>
        <v>1.89</v>
      </c>
      <c r="J52" s="405">
        <f>'ADJ DETAIL-INPUT'!J51</f>
        <v>-0.42</v>
      </c>
      <c r="K52" s="405">
        <f>'ADJ DETAIL-INPUT'!K51</f>
        <v>-330.12</v>
      </c>
      <c r="L52" s="405">
        <f>'ADJ DETAIL-INPUT'!L51</f>
        <v>-8.82</v>
      </c>
      <c r="M52" s="405">
        <f>'ADJ DETAIL-INPUT'!M51</f>
        <v>26.04</v>
      </c>
      <c r="N52" s="405">
        <f>'ADJ DETAIL-INPUT'!N51</f>
        <v>0</v>
      </c>
      <c r="O52" s="405">
        <f>'ADJ DETAIL-INPUT'!O51</f>
        <v>11.549999999999999</v>
      </c>
      <c r="P52" s="405">
        <f>'ADJ DETAIL-INPUT'!P51</f>
        <v>-3.78</v>
      </c>
      <c r="Q52" s="405">
        <f>'ADJ DETAIL-INPUT'!Q51</f>
        <v>13.229999999999999</v>
      </c>
      <c r="R52" s="405">
        <f>'ADJ DETAIL-INPUT'!R51</f>
        <v>-343.14</v>
      </c>
      <c r="S52" s="405">
        <f>'ADJ DETAIL-INPUT'!S51</f>
        <v>-0.21</v>
      </c>
      <c r="T52" s="405">
        <f>'ADJ DETAIL-INPUT'!T51</f>
        <v>302.39999999999998</v>
      </c>
      <c r="U52" s="405">
        <f>'ADJ DETAIL-INPUT'!U51</f>
        <v>-575.18999999999994</v>
      </c>
      <c r="V52" s="405">
        <f>'ADJ DETAIL-INPUT'!V51</f>
        <v>525</v>
      </c>
      <c r="W52" s="405">
        <f>'ADJ DETAIL-INPUT'!W51</f>
        <v>0</v>
      </c>
      <c r="X52" s="405">
        <f>'ADJ DETAIL-INPUT'!X51</f>
        <v>4616</v>
      </c>
      <c r="Y52" s="405">
        <f>'ADJ DETAIL-INPUT'!Y51</f>
        <v>1.26</v>
      </c>
      <c r="Z52" s="405">
        <f>'ADJ DETAIL-INPUT'!Z51</f>
        <v>355.74</v>
      </c>
      <c r="AA52" s="405">
        <f>'ADJ DETAIL-INPUT'!AA51</f>
        <v>1149.33</v>
      </c>
      <c r="AB52" s="405">
        <f>'ADJ DETAIL-INPUT'!AB51</f>
        <v>0</v>
      </c>
      <c r="AC52" s="405">
        <f>'ADJ DETAIL-INPUT'!AD51</f>
        <v>4317.5999999999995</v>
      </c>
      <c r="AD52" s="405">
        <f>'ADJ DETAIL-INPUT'!AE51</f>
        <v>2226.42</v>
      </c>
      <c r="AE52" s="405">
        <f>'ADJ DETAIL-INPUT'!AF51</f>
        <v>2669.1</v>
      </c>
      <c r="AF52" s="405">
        <f>'ADJ DETAIL-INPUT'!AG51</f>
        <v>-240.87</v>
      </c>
      <c r="AG52" s="405">
        <f>'ADJ DETAIL-INPUT'!AH51</f>
        <v>0</v>
      </c>
      <c r="AH52" s="405">
        <f>'ADJ DETAIL-INPUT'!AI51</f>
        <v>-2258.56</v>
      </c>
      <c r="AI52" s="405">
        <f>'ADJ DETAIL-INPUT'!AJ51</f>
        <v>-184.69499999999999</v>
      </c>
      <c r="AJ52" s="405">
        <f>'ADJ DETAIL-INPUT'!AK51</f>
        <v>-74.97</v>
      </c>
      <c r="AK52" s="405">
        <f>'ADJ DETAIL-INPUT'!AL51</f>
        <v>-1289.19</v>
      </c>
      <c r="AL52" s="405">
        <f>'ADJ DETAIL-INPUT'!AM51</f>
        <v>-13.44</v>
      </c>
      <c r="AM52" s="405">
        <f>'ADJ DETAIL-INPUT'!AN51</f>
        <v>82.74</v>
      </c>
      <c r="AN52" s="405">
        <f>'ADJ DETAIL-INPUT'!AO51</f>
        <v>14.582820000000002</v>
      </c>
      <c r="AO52" s="405">
        <f>'ADJ DETAIL-INPUT'!AP51</f>
        <v>-202.01999999999998</v>
      </c>
      <c r="AP52" s="405">
        <f>'ADJ DETAIL-INPUT'!AQ51</f>
        <v>-901.31999999999994</v>
      </c>
      <c r="AQ52" s="405">
        <f>'ADJ DETAIL-INPUT'!AR51</f>
        <v>-265.02</v>
      </c>
      <c r="AR52" s="405">
        <f>'ADJ DETAIL-INPUT'!AS51</f>
        <v>-2052.27792</v>
      </c>
      <c r="AS52" s="405">
        <f>'ADJ DETAIL-INPUT'!AT51</f>
        <v>-454.65</v>
      </c>
      <c r="AT52" s="405">
        <f>'ADJ DETAIL-INPUT'!AU51</f>
        <v>-13.02</v>
      </c>
      <c r="AU52" s="405">
        <f>'ADJ DETAIL-INPUT'!AV51</f>
        <v>-466.40999999999997</v>
      </c>
      <c r="AV52" s="405">
        <f>'ADJ DETAIL-INPUT'!AW51</f>
        <v>-1.47</v>
      </c>
      <c r="AW52" s="405">
        <f>'ADJ DETAIL-INPUT'!AX51</f>
        <v>-121.58999999999999</v>
      </c>
      <c r="AX52" s="405">
        <f>'ADJ DETAIL-INPUT'!AY51</f>
        <v>-555.44999999999993</v>
      </c>
      <c r="AY52" s="405">
        <f>'ADJ DETAIL-INPUT'!AZ51</f>
        <v>-500.43</v>
      </c>
      <c r="AZ52" s="405">
        <f>'ADJ DETAIL-INPUT'!BA51</f>
        <v>1641.1499999999999</v>
      </c>
      <c r="BA52" s="405">
        <f>'ADJ DETAIL-INPUT'!BB51</f>
        <v>-685.65</v>
      </c>
      <c r="BB52" s="405">
        <f>'ADJ DETAIL-INPUT'!BC51</f>
        <v>-88.61999999999999</v>
      </c>
      <c r="BC52" s="405">
        <f>'ADJ DETAIL-INPUT'!BD51</f>
        <v>-198.03</v>
      </c>
      <c r="BD52" s="405">
        <f>'ADJ DETAIL-INPUT'!BE51</f>
        <v>33.6</v>
      </c>
      <c r="BE52" s="405">
        <f>'ADJ DETAIL-INPUT'!BF51</f>
        <v>-96.81</v>
      </c>
      <c r="BF52" s="405">
        <f>'ADJ DETAIL-INPUT'!BJ51</f>
        <v>0</v>
      </c>
      <c r="BG52" s="405">
        <f>'ADJ DETAIL-INPUT'!BK51</f>
        <v>166.30999999999997</v>
      </c>
      <c r="BH52" s="405">
        <f>'ADJ DETAIL-INPUT'!BL51</f>
        <v>-409.28999999999996</v>
      </c>
      <c r="BI52" s="405">
        <f>'ADJ DETAIL-INPUT'!BM51</f>
        <v>-97.02</v>
      </c>
      <c r="BJ52" s="405">
        <f>'ADJ DETAIL-INPUT'!BN51</f>
        <v>-131.46</v>
      </c>
      <c r="BK52" s="405">
        <f>'ADJ DETAIL-INPUT'!BO51</f>
        <v>-317.52</v>
      </c>
      <c r="BL52" s="405">
        <f>'ADJ DETAIL-INPUT'!BP51</f>
        <v>-9.66</v>
      </c>
      <c r="BM52" s="405">
        <f>'ADJ DETAIL-INPUT'!BQ51</f>
        <v>-912.12344999999993</v>
      </c>
      <c r="BN52" s="405">
        <f>'ADJ DETAIL-INPUT'!BR51</f>
        <v>-352.8</v>
      </c>
      <c r="BO52" s="405">
        <f>'ADJ DETAIL-INPUT'!BS51</f>
        <v>714.42</v>
      </c>
      <c r="BP52" s="405">
        <f>'ADJ DETAIL-INPUT'!BT51</f>
        <v>-97.22999999999999</v>
      </c>
      <c r="BQ52" s="405">
        <f>'ADJ DETAIL-INPUT'!BU51</f>
        <v>0</v>
      </c>
      <c r="BR52" s="405">
        <f>'ADJ DETAIL-INPUT'!BV51</f>
        <v>-6.93</v>
      </c>
    </row>
    <row r="53" spans="1:70" s="399" customFormat="1">
      <c r="A53" s="394">
        <f>'ADJ DETAIL-INPUT'!A52</f>
        <v>28</v>
      </c>
      <c r="B53" s="399" t="str">
        <f>'ADJ DETAIL-INPUT'!B52</f>
        <v>Debt Interest</v>
      </c>
      <c r="E53" s="733">
        <f>'ADJ DETAIL-INPUT'!E52</f>
        <v>0</v>
      </c>
      <c r="F53" s="406">
        <f>'ADJ DETAIL-INPUT'!F52</f>
        <v>3.5271599999999999</v>
      </c>
      <c r="G53" s="406">
        <f>'ADJ DETAIL-INPUT'!G52</f>
        <v>-9.8553000000000002E-2</v>
      </c>
      <c r="H53" s="406">
        <f>'ADJ DETAIL-INPUT'!H52</f>
        <v>1.530165</v>
      </c>
      <c r="I53" s="406">
        <f>'ADJ DETAIL-INPUT'!I52</f>
        <v>0</v>
      </c>
      <c r="J53" s="406">
        <f>'ADJ DETAIL-INPUT'!J52</f>
        <v>0</v>
      </c>
      <c r="K53" s="406">
        <f>'ADJ DETAIL-INPUT'!K52</f>
        <v>0</v>
      </c>
      <c r="L53" s="406">
        <f>'ADJ DETAIL-INPUT'!L52</f>
        <v>0</v>
      </c>
      <c r="M53" s="406">
        <f>'ADJ DETAIL-INPUT'!M52</f>
        <v>0</v>
      </c>
      <c r="N53" s="406">
        <f>'ADJ DETAIL-INPUT'!N52</f>
        <v>0</v>
      </c>
      <c r="O53" s="406">
        <f>'ADJ DETAIL-INPUT'!O52</f>
        <v>0</v>
      </c>
      <c r="P53" s="406">
        <f>'ADJ DETAIL-INPUT'!P52</f>
        <v>0</v>
      </c>
      <c r="Q53" s="406">
        <f>'ADJ DETAIL-INPUT'!Q52</f>
        <v>0</v>
      </c>
      <c r="R53" s="406">
        <f>'ADJ DETAIL-INPUT'!R52</f>
        <v>0</v>
      </c>
      <c r="S53" s="406">
        <f>'ADJ DETAIL-INPUT'!S52</f>
        <v>0</v>
      </c>
      <c r="T53" s="406">
        <f>'ADJ DETAIL-INPUT'!T52</f>
        <v>0</v>
      </c>
      <c r="U53" s="406">
        <f>'ADJ DETAIL-INPUT'!U52</f>
        <v>0</v>
      </c>
      <c r="V53" s="406">
        <f>'ADJ DETAIL-INPUT'!V52</f>
        <v>0</v>
      </c>
      <c r="W53" s="406">
        <f>'ADJ DETAIL-INPUT'!W52</f>
        <v>-384.81834299999997</v>
      </c>
      <c r="X53" s="406">
        <f>'ADJ DETAIL-INPUT'!X52</f>
        <v>0</v>
      </c>
      <c r="Y53" s="406">
        <f>'ADJ DETAIL-INPUT'!Y52</f>
        <v>0</v>
      </c>
      <c r="Z53" s="406">
        <f>'ADJ DETAIL-INPUT'!Z52</f>
        <v>0</v>
      </c>
      <c r="AA53" s="406">
        <f>'ADJ DETAIL-INPUT'!AA52</f>
        <v>0</v>
      </c>
      <c r="AB53" s="406">
        <f>'ADJ DETAIL-INPUT'!AB52</f>
        <v>129.166674</v>
      </c>
      <c r="AC53" s="406">
        <f>'ADJ DETAIL-INPUT'!AD52</f>
        <v>0</v>
      </c>
      <c r="AD53" s="406">
        <f>'ADJ DETAIL-INPUT'!AE52</f>
        <v>0</v>
      </c>
      <c r="AE53" s="406">
        <f>'ADJ DETAIL-INPUT'!AF52</f>
        <v>0</v>
      </c>
      <c r="AF53" s="406">
        <f>'ADJ DETAIL-INPUT'!AG52</f>
        <v>0.14004900000000001</v>
      </c>
      <c r="AG53" s="406">
        <f>'ADJ DETAIL-INPUT'!AH52</f>
        <v>0</v>
      </c>
      <c r="AH53" s="406">
        <f>'ADJ DETAIL-INPUT'!AI52</f>
        <v>-157.77297899999999</v>
      </c>
      <c r="AI53" s="406">
        <f>'ADJ DETAIL-INPUT'!AJ52</f>
        <v>0</v>
      </c>
      <c r="AJ53" s="406">
        <f>'ADJ DETAIL-INPUT'!AK52</f>
        <v>0</v>
      </c>
      <c r="AK53" s="406">
        <f>'ADJ DETAIL-INPUT'!AL52</f>
        <v>0</v>
      </c>
      <c r="AL53" s="406">
        <f>'ADJ DETAIL-INPUT'!AM52</f>
        <v>0</v>
      </c>
      <c r="AM53" s="406">
        <f>'ADJ DETAIL-INPUT'!AN52</f>
        <v>0</v>
      </c>
      <c r="AN53" s="406">
        <f>'ADJ DETAIL-INPUT'!AO52</f>
        <v>0</v>
      </c>
      <c r="AO53" s="406">
        <f>'ADJ DETAIL-INPUT'!AP52</f>
        <v>0</v>
      </c>
      <c r="AP53" s="406">
        <f>'ADJ DETAIL-INPUT'!AQ52</f>
        <v>0</v>
      </c>
      <c r="AQ53" s="406">
        <f>'ADJ DETAIL-INPUT'!AR52</f>
        <v>0</v>
      </c>
      <c r="AR53" s="406">
        <f>'ADJ DETAIL-INPUT'!AS52</f>
        <v>0</v>
      </c>
      <c r="AS53" s="406">
        <f>'ADJ DETAIL-INPUT'!AT52</f>
        <v>-180.68240054333299</v>
      </c>
      <c r="AT53" s="406">
        <f>'ADJ DETAIL-INPUT'!AU52</f>
        <v>0</v>
      </c>
      <c r="AU53" s="406">
        <f>'ADJ DETAIL-INPUT'!AV52</f>
        <v>-32.688473999999999</v>
      </c>
      <c r="AV53" s="406">
        <f>'ADJ DETAIL-INPUT'!AW52</f>
        <v>-12.951938999999999</v>
      </c>
      <c r="AW53" s="406">
        <f>'ADJ DETAIL-INPUT'!AX52</f>
        <v>15.887780999999999</v>
      </c>
      <c r="AX53" s="406">
        <f>'ADJ DETAIL-INPUT'!AY52</f>
        <v>-406.65207751449088</v>
      </c>
      <c r="AY53" s="406">
        <f>'ADJ DETAIL-INPUT'!AZ52</f>
        <v>-73.555079257245453</v>
      </c>
      <c r="AZ53" s="406">
        <f>'ADJ DETAIL-INPUT'!BA52</f>
        <v>0</v>
      </c>
      <c r="BA53" s="406">
        <f>'ADJ DETAIL-INPUT'!BB52</f>
        <v>-71.611722</v>
      </c>
      <c r="BB53" s="406">
        <f>'ADJ DETAIL-INPUT'!BC52</f>
        <v>-37.009245</v>
      </c>
      <c r="BC53" s="406">
        <f>'ADJ DETAIL-INPUT'!BD52</f>
        <v>51.216437999999997</v>
      </c>
      <c r="BD53" s="406">
        <f>'ADJ DETAIL-INPUT'!BE52</f>
        <v>25.281437999999998</v>
      </c>
      <c r="BE53" s="406">
        <f>'ADJ DETAIL-INPUT'!BF52</f>
        <v>4.678674</v>
      </c>
      <c r="BF53" s="406">
        <f>'ADJ DETAIL-INPUT'!BJ52</f>
        <v>0</v>
      </c>
      <c r="BG53" s="406">
        <f>'ADJ DETAIL-INPUT'!BK52</f>
        <v>15.519504</v>
      </c>
      <c r="BH53" s="406">
        <f>'ADJ DETAIL-INPUT'!BL52</f>
        <v>0</v>
      </c>
      <c r="BI53" s="406">
        <f>'ADJ DETAIL-INPUT'!BM52</f>
        <v>0</v>
      </c>
      <c r="BJ53" s="406">
        <f>'ADJ DETAIL-INPUT'!BN52</f>
        <v>0</v>
      </c>
      <c r="BK53" s="406">
        <f>'ADJ DETAIL-INPUT'!BO52</f>
        <v>0</v>
      </c>
      <c r="BL53" s="406">
        <f>'ADJ DETAIL-INPUT'!BP52</f>
        <v>0</v>
      </c>
      <c r="BM53" s="406">
        <f>'ADJ DETAIL-INPUT'!BQ52</f>
        <v>0</v>
      </c>
      <c r="BN53" s="406">
        <f>'ADJ DETAIL-INPUT'!BR52</f>
        <v>-398.29063351449088</v>
      </c>
      <c r="BO53" s="406">
        <f>'ADJ DETAIL-INPUT'!BS52</f>
        <v>0</v>
      </c>
      <c r="BP53" s="406">
        <f>'ADJ DETAIL-INPUT'!BT52</f>
        <v>-81.384029999999996</v>
      </c>
      <c r="BQ53" s="406">
        <f>'ADJ DETAIL-INPUT'!BU52</f>
        <v>50.557688999999996</v>
      </c>
      <c r="BR53" s="406">
        <f>'ADJ DETAIL-INPUT'!BV52</f>
        <v>8.1384030000000003</v>
      </c>
    </row>
    <row r="54" spans="1:70" s="396" customFormat="1">
      <c r="A54" s="394">
        <f>'ADJ DETAIL-INPUT'!A53</f>
        <v>29</v>
      </c>
      <c r="B54" s="396" t="str">
        <f>'ADJ DETAIL-INPUT'!B53</f>
        <v xml:space="preserve">Deferred Income Taxes  </v>
      </c>
      <c r="E54" s="733">
        <f>'ADJ DETAIL-INPUT'!E53</f>
        <v>8368</v>
      </c>
      <c r="F54" s="405">
        <f>'ADJ DETAIL-INPUT'!F53</f>
        <v>0</v>
      </c>
      <c r="G54" s="405">
        <f>'ADJ DETAIL-INPUT'!G53</f>
        <v>0</v>
      </c>
      <c r="H54" s="405">
        <f>'ADJ DETAIL-INPUT'!H53</f>
        <v>0</v>
      </c>
      <c r="I54" s="405">
        <f>'ADJ DETAIL-INPUT'!I53</f>
        <v>0</v>
      </c>
      <c r="J54" s="405">
        <f>'ADJ DETAIL-INPUT'!J53</f>
        <v>0</v>
      </c>
      <c r="K54" s="405">
        <f>'ADJ DETAIL-INPUT'!K53</f>
        <v>0</v>
      </c>
      <c r="L54" s="405">
        <f>'ADJ DETAIL-INPUT'!L53</f>
        <v>0</v>
      </c>
      <c r="M54" s="405">
        <f>'ADJ DETAIL-INPUT'!M53</f>
        <v>0</v>
      </c>
      <c r="N54" s="405">
        <f>'ADJ DETAIL-INPUT'!N53</f>
        <v>813</v>
      </c>
      <c r="O54" s="405">
        <f>'ADJ DETAIL-INPUT'!O53</f>
        <v>0</v>
      </c>
      <c r="P54" s="405">
        <f>'ADJ DETAIL-INPUT'!P53</f>
        <v>0</v>
      </c>
      <c r="Q54" s="405">
        <f>'ADJ DETAIL-INPUT'!Q53</f>
        <v>0</v>
      </c>
      <c r="R54" s="405">
        <f>'ADJ DETAIL-INPUT'!R53</f>
        <v>0</v>
      </c>
      <c r="S54" s="405">
        <f>'ADJ DETAIL-INPUT'!S53</f>
        <v>0</v>
      </c>
      <c r="T54" s="405">
        <f>'ADJ DETAIL-INPUT'!T53</f>
        <v>0</v>
      </c>
      <c r="U54" s="405">
        <f>'ADJ DETAIL-INPUT'!U53</f>
        <v>0</v>
      </c>
      <c r="V54" s="405">
        <f>'ADJ DETAIL-INPUT'!V53</f>
        <v>0</v>
      </c>
      <c r="W54" s="405">
        <f>'ADJ DETAIL-INPUT'!W53</f>
        <v>0</v>
      </c>
      <c r="X54" s="405">
        <f>'ADJ DETAIL-INPUT'!X53</f>
        <v>-4169</v>
      </c>
      <c r="Y54" s="405">
        <f>'ADJ DETAIL-INPUT'!Y53</f>
        <v>0</v>
      </c>
      <c r="Z54" s="405">
        <f>'ADJ DETAIL-INPUT'!Z53</f>
        <v>0</v>
      </c>
      <c r="AA54" s="405">
        <f>'ADJ DETAIL-INPUT'!AA53</f>
        <v>0</v>
      </c>
      <c r="AB54" s="405">
        <f>'ADJ DETAIL-INPUT'!AB53</f>
        <v>0</v>
      </c>
      <c r="AC54" s="405">
        <f>'ADJ DETAIL-INPUT'!AD53</f>
        <v>0</v>
      </c>
      <c r="AD54" s="405">
        <f>'ADJ DETAIL-INPUT'!AE53</f>
        <v>0</v>
      </c>
      <c r="AE54" s="405">
        <f>'ADJ DETAIL-INPUT'!AF53</f>
        <v>0</v>
      </c>
      <c r="AF54" s="405">
        <f>'ADJ DETAIL-INPUT'!AG53</f>
        <v>0</v>
      </c>
      <c r="AG54" s="405">
        <f>'ADJ DETAIL-INPUT'!AH53</f>
        <v>634</v>
      </c>
      <c r="AH54" s="405">
        <f>'ADJ DETAIL-INPUT'!AI53</f>
        <v>0</v>
      </c>
      <c r="AI54" s="405">
        <f>'ADJ DETAIL-INPUT'!AJ53</f>
        <v>0</v>
      </c>
      <c r="AJ54" s="405">
        <f>'ADJ DETAIL-INPUT'!AK53</f>
        <v>0</v>
      </c>
      <c r="AK54" s="405">
        <f>'ADJ DETAIL-INPUT'!AL53</f>
        <v>0</v>
      </c>
      <c r="AL54" s="405">
        <f>'ADJ DETAIL-INPUT'!AM53</f>
        <v>0</v>
      </c>
      <c r="AM54" s="405">
        <f>'ADJ DETAIL-INPUT'!AN53</f>
        <v>0</v>
      </c>
      <c r="AN54" s="405">
        <f>'ADJ DETAIL-INPUT'!AO53</f>
        <v>0</v>
      </c>
      <c r="AO54" s="405">
        <f>'ADJ DETAIL-INPUT'!AP53</f>
        <v>0</v>
      </c>
      <c r="AP54" s="405">
        <f>'ADJ DETAIL-INPUT'!AQ53</f>
        <v>0</v>
      </c>
      <c r="AQ54" s="405">
        <f>'ADJ DETAIL-INPUT'!AR53</f>
        <v>0</v>
      </c>
      <c r="AR54" s="405">
        <f>'ADJ DETAIL-INPUT'!AS53</f>
        <v>0</v>
      </c>
      <c r="AS54" s="405">
        <f>'ADJ DETAIL-INPUT'!AT53</f>
        <v>0</v>
      </c>
      <c r="AT54" s="405">
        <f>'ADJ DETAIL-INPUT'!AU53</f>
        <v>0</v>
      </c>
      <c r="AU54" s="405">
        <f>'ADJ DETAIL-INPUT'!AV53</f>
        <v>0</v>
      </c>
      <c r="AV54" s="405">
        <f>'ADJ DETAIL-INPUT'!AW53</f>
        <v>0</v>
      </c>
      <c r="AW54" s="405">
        <f>'ADJ DETAIL-INPUT'!AX53</f>
        <v>0</v>
      </c>
      <c r="AX54" s="405">
        <f>'ADJ DETAIL-INPUT'!AY53</f>
        <v>0</v>
      </c>
      <c r="AY54" s="405">
        <f>'ADJ DETAIL-INPUT'!AZ53</f>
        <v>0</v>
      </c>
      <c r="AZ54" s="405">
        <f>'ADJ DETAIL-INPUT'!BA53</f>
        <v>0</v>
      </c>
      <c r="BA54" s="405">
        <f>'ADJ DETAIL-INPUT'!BB53</f>
        <v>0</v>
      </c>
      <c r="BB54" s="405">
        <f>'ADJ DETAIL-INPUT'!BC53</f>
        <v>0</v>
      </c>
      <c r="BC54" s="405">
        <f>'ADJ DETAIL-INPUT'!BD53</f>
        <v>0</v>
      </c>
      <c r="BD54" s="405">
        <f>'ADJ DETAIL-INPUT'!BE53</f>
        <v>0</v>
      </c>
      <c r="BE54" s="405">
        <f>'ADJ DETAIL-INPUT'!BF53</f>
        <v>0</v>
      </c>
      <c r="BF54" s="405">
        <f>'ADJ DETAIL-INPUT'!BJ53</f>
        <v>842</v>
      </c>
      <c r="BG54" s="405">
        <f>'ADJ DETAIL-INPUT'!BK53</f>
        <v>0</v>
      </c>
      <c r="BH54" s="405">
        <f>'ADJ DETAIL-INPUT'!BL53</f>
        <v>0</v>
      </c>
      <c r="BI54" s="405">
        <f>'ADJ DETAIL-INPUT'!BM53</f>
        <v>0</v>
      </c>
      <c r="BJ54" s="405">
        <f>'ADJ DETAIL-INPUT'!BN53</f>
        <v>0</v>
      </c>
      <c r="BK54" s="405">
        <f>'ADJ DETAIL-INPUT'!BO53</f>
        <v>0</v>
      </c>
      <c r="BL54" s="405">
        <f>'ADJ DETAIL-INPUT'!BP53</f>
        <v>0</v>
      </c>
      <c r="BM54" s="405">
        <f>'ADJ DETAIL-INPUT'!BQ53</f>
        <v>0</v>
      </c>
      <c r="BN54" s="405">
        <f>'ADJ DETAIL-INPUT'!BR53</f>
        <v>0</v>
      </c>
      <c r="BO54" s="405">
        <f>'ADJ DETAIL-INPUT'!BS53</f>
        <v>0</v>
      </c>
      <c r="BP54" s="405">
        <f>'ADJ DETAIL-INPUT'!BT53</f>
        <v>0</v>
      </c>
      <c r="BQ54" s="405">
        <f>'ADJ DETAIL-INPUT'!BU53</f>
        <v>0</v>
      </c>
      <c r="BR54" s="405">
        <f>'ADJ DETAIL-INPUT'!BV53</f>
        <v>0</v>
      </c>
    </row>
    <row r="55" spans="1:70" s="396" customFormat="1">
      <c r="A55" s="398">
        <f>'ADJ DETAIL-INPUT'!A54</f>
        <v>30</v>
      </c>
      <c r="B55" s="396" t="str">
        <f>'ADJ DETAIL-INPUT'!B54</f>
        <v>Amortized ITC - Noxon</v>
      </c>
      <c r="E55" s="732">
        <f>'ADJ DETAIL-INPUT'!E54</f>
        <v>-318</v>
      </c>
      <c r="F55" s="414">
        <f>'ADJ DETAIL-INPUT'!F54</f>
        <v>0</v>
      </c>
      <c r="G55" s="414">
        <f>'ADJ DETAIL-INPUT'!G54</f>
        <v>0</v>
      </c>
      <c r="H55" s="414">
        <f>'ADJ DETAIL-INPUT'!H54</f>
        <v>0</v>
      </c>
      <c r="I55" s="414">
        <f>'ADJ DETAIL-INPUT'!I54</f>
        <v>0</v>
      </c>
      <c r="J55" s="414">
        <f>'ADJ DETAIL-INPUT'!J54</f>
        <v>0</v>
      </c>
      <c r="K55" s="414">
        <f>'ADJ DETAIL-INPUT'!K54</f>
        <v>0</v>
      </c>
      <c r="L55" s="414">
        <f>'ADJ DETAIL-INPUT'!L54</f>
        <v>0</v>
      </c>
      <c r="M55" s="414">
        <f>'ADJ DETAIL-INPUT'!M54</f>
        <v>0</v>
      </c>
      <c r="N55" s="414">
        <f>'ADJ DETAIL-INPUT'!N54</f>
        <v>0</v>
      </c>
      <c r="O55" s="414">
        <f>'ADJ DETAIL-INPUT'!O54</f>
        <v>0</v>
      </c>
      <c r="P55" s="414">
        <f>'ADJ DETAIL-INPUT'!P54</f>
        <v>0</v>
      </c>
      <c r="Q55" s="414">
        <f>'ADJ DETAIL-INPUT'!Q54</f>
        <v>0</v>
      </c>
      <c r="R55" s="414">
        <f>'ADJ DETAIL-INPUT'!R54</f>
        <v>0</v>
      </c>
      <c r="S55" s="414">
        <f>'ADJ DETAIL-INPUT'!S54</f>
        <v>0</v>
      </c>
      <c r="T55" s="414">
        <f>'ADJ DETAIL-INPUT'!T54</f>
        <v>0</v>
      </c>
      <c r="U55" s="414">
        <f>'ADJ DETAIL-INPUT'!U54</f>
        <v>0</v>
      </c>
      <c r="V55" s="414">
        <f>'ADJ DETAIL-INPUT'!V54</f>
        <v>0</v>
      </c>
      <c r="W55" s="414">
        <f>'ADJ DETAIL-INPUT'!W54</f>
        <v>0</v>
      </c>
      <c r="X55" s="414">
        <f>'ADJ DETAIL-INPUT'!X54</f>
        <v>0</v>
      </c>
      <c r="Y55" s="414">
        <f>'ADJ DETAIL-INPUT'!Y54</f>
        <v>0</v>
      </c>
      <c r="Z55" s="414">
        <f>'ADJ DETAIL-INPUT'!Z54</f>
        <v>0</v>
      </c>
      <c r="AA55" s="414">
        <f>'ADJ DETAIL-INPUT'!AA54</f>
        <v>0</v>
      </c>
      <c r="AB55" s="414">
        <f>'ADJ DETAIL-INPUT'!AB54</f>
        <v>0</v>
      </c>
      <c r="AC55" s="414">
        <f>'ADJ DETAIL-INPUT'!AD54</f>
        <v>0</v>
      </c>
      <c r="AD55" s="414">
        <f>'ADJ DETAIL-INPUT'!AE54</f>
        <v>0</v>
      </c>
      <c r="AE55" s="414">
        <f>'ADJ DETAIL-INPUT'!AF54</f>
        <v>0</v>
      </c>
      <c r="AF55" s="414">
        <f>'ADJ DETAIL-INPUT'!AG54</f>
        <v>0</v>
      </c>
      <c r="AG55" s="414">
        <f>'ADJ DETAIL-INPUT'!AH54</f>
        <v>0</v>
      </c>
      <c r="AH55" s="414">
        <f>'ADJ DETAIL-INPUT'!AI54</f>
        <v>0</v>
      </c>
      <c r="AI55" s="414">
        <f>'ADJ DETAIL-INPUT'!AJ54</f>
        <v>0</v>
      </c>
      <c r="AJ55" s="414">
        <f>'ADJ DETAIL-INPUT'!AK54</f>
        <v>0</v>
      </c>
      <c r="AK55" s="414">
        <f>'ADJ DETAIL-INPUT'!AL54</f>
        <v>0</v>
      </c>
      <c r="AL55" s="414">
        <f>'ADJ DETAIL-INPUT'!AM54</f>
        <v>0</v>
      </c>
      <c r="AM55" s="414">
        <f>'ADJ DETAIL-INPUT'!AN54</f>
        <v>0</v>
      </c>
      <c r="AN55" s="414">
        <f>'ADJ DETAIL-INPUT'!AO54</f>
        <v>0</v>
      </c>
      <c r="AO55" s="414">
        <f>'ADJ DETAIL-INPUT'!AP54</f>
        <v>0</v>
      </c>
      <c r="AP55" s="414">
        <f>'ADJ DETAIL-INPUT'!AQ54</f>
        <v>0</v>
      </c>
      <c r="AQ55" s="414">
        <f>'ADJ DETAIL-INPUT'!AR54</f>
        <v>0</v>
      </c>
      <c r="AR55" s="414">
        <f>'ADJ DETAIL-INPUT'!AS54</f>
        <v>0</v>
      </c>
      <c r="AS55" s="414">
        <f>'ADJ DETAIL-INPUT'!AT54</f>
        <v>0</v>
      </c>
      <c r="AT55" s="414">
        <f>'ADJ DETAIL-INPUT'!AU54</f>
        <v>0</v>
      </c>
      <c r="AU55" s="414">
        <f>'ADJ DETAIL-INPUT'!AV54</f>
        <v>0</v>
      </c>
      <c r="AV55" s="414">
        <f>'ADJ DETAIL-INPUT'!AW54</f>
        <v>0</v>
      </c>
      <c r="AW55" s="414">
        <f>'ADJ DETAIL-INPUT'!AX54</f>
        <v>0</v>
      </c>
      <c r="AX55" s="414">
        <f>'ADJ DETAIL-INPUT'!AY54</f>
        <v>0</v>
      </c>
      <c r="AY55" s="414">
        <f>'ADJ DETAIL-INPUT'!AZ54</f>
        <v>0</v>
      </c>
      <c r="AZ55" s="414">
        <f>'ADJ DETAIL-INPUT'!BA54</f>
        <v>0</v>
      </c>
      <c r="BA55" s="414">
        <f>'ADJ DETAIL-INPUT'!BB54</f>
        <v>0</v>
      </c>
      <c r="BB55" s="414">
        <f>'ADJ DETAIL-INPUT'!BC54</f>
        <v>0</v>
      </c>
      <c r="BC55" s="414">
        <f>'ADJ DETAIL-INPUT'!BD54</f>
        <v>0</v>
      </c>
      <c r="BD55" s="414">
        <f>'ADJ DETAIL-INPUT'!BE54</f>
        <v>0</v>
      </c>
      <c r="BE55" s="414">
        <f>'ADJ DETAIL-INPUT'!BF54</f>
        <v>0</v>
      </c>
      <c r="BF55" s="414">
        <f>'ADJ DETAIL-INPUT'!BJ54</f>
        <v>0</v>
      </c>
      <c r="BG55" s="414">
        <f>'ADJ DETAIL-INPUT'!BK54</f>
        <v>0</v>
      </c>
      <c r="BH55" s="414">
        <f>'ADJ DETAIL-INPUT'!BL54</f>
        <v>0</v>
      </c>
      <c r="BI55" s="414">
        <f>'ADJ DETAIL-INPUT'!BM54</f>
        <v>0</v>
      </c>
      <c r="BJ55" s="414">
        <f>'ADJ DETAIL-INPUT'!BN54</f>
        <v>0</v>
      </c>
      <c r="BK55" s="414">
        <f>'ADJ DETAIL-INPUT'!BO54</f>
        <v>0</v>
      </c>
      <c r="BL55" s="414">
        <f>'ADJ DETAIL-INPUT'!BP54</f>
        <v>0</v>
      </c>
      <c r="BM55" s="414">
        <f>'ADJ DETAIL-INPUT'!BQ54</f>
        <v>0</v>
      </c>
      <c r="BN55" s="414">
        <f>'ADJ DETAIL-INPUT'!BR54</f>
        <v>0</v>
      </c>
      <c r="BO55" s="414">
        <f>'ADJ DETAIL-INPUT'!BS54</f>
        <v>0</v>
      </c>
      <c r="BP55" s="414">
        <f>'ADJ DETAIL-INPUT'!BT54</f>
        <v>0</v>
      </c>
      <c r="BQ55" s="414">
        <f>'ADJ DETAIL-INPUT'!BU54</f>
        <v>0</v>
      </c>
      <c r="BR55" s="414">
        <f>'ADJ DETAIL-INPUT'!BV54</f>
        <v>0</v>
      </c>
    </row>
    <row r="56" spans="1:70" s="396" customFormat="1">
      <c r="A56" s="398"/>
      <c r="E56" s="732"/>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4"/>
      <c r="BM56" s="414"/>
      <c r="BN56" s="414"/>
      <c r="BO56" s="414"/>
      <c r="BP56" s="414"/>
      <c r="BQ56" s="414"/>
      <c r="BR56" s="414"/>
    </row>
    <row r="57" spans="1:70" s="395" customFormat="1" ht="12.75" thickBot="1">
      <c r="A57" s="397">
        <f>'ADJ DETAIL-INPUT'!A56</f>
        <v>31</v>
      </c>
      <c r="B57" s="395" t="str">
        <f>'ADJ DETAIL-INPUT'!B56</f>
        <v xml:space="preserve">NET OPERATING INCOME  </v>
      </c>
      <c r="E57" s="423">
        <f>'ADJ DETAIL-INPUT'!E56</f>
        <v>106560</v>
      </c>
      <c r="F57" s="424">
        <f>'ADJ DETAIL-INPUT'!F56</f>
        <v>-3.5271599999999999</v>
      </c>
      <c r="G57" s="424">
        <f>'ADJ DETAIL-INPUT'!G56</f>
        <v>-0.69144700000000003</v>
      </c>
      <c r="H57" s="424">
        <f>'ADJ DETAIL-INPUT'!H56</f>
        <v>-1.530165</v>
      </c>
      <c r="I57" s="424">
        <f>'ADJ DETAIL-INPUT'!I56</f>
        <v>7.11</v>
      </c>
      <c r="J57" s="424">
        <f>'ADJ DETAIL-INPUT'!J56</f>
        <v>-1.58</v>
      </c>
      <c r="K57" s="424">
        <f>'ADJ DETAIL-INPUT'!K56</f>
        <v>-1241.8800000000001</v>
      </c>
      <c r="L57" s="424">
        <f>'ADJ DETAIL-INPUT'!L56</f>
        <v>-33.18</v>
      </c>
      <c r="M57" s="424">
        <f>'ADJ DETAIL-INPUT'!M56</f>
        <v>97.960000000000008</v>
      </c>
      <c r="N57" s="424">
        <f>'ADJ DETAIL-INPUT'!N56</f>
        <v>-813</v>
      </c>
      <c r="O57" s="424">
        <f>'ADJ DETAIL-INPUT'!O56</f>
        <v>43.45</v>
      </c>
      <c r="P57" s="424">
        <f>'ADJ DETAIL-INPUT'!P56</f>
        <v>-14.22</v>
      </c>
      <c r="Q57" s="424">
        <f>'ADJ DETAIL-INPUT'!Q56</f>
        <v>49.77</v>
      </c>
      <c r="R57" s="424">
        <f>'ADJ DETAIL-INPUT'!R56</f>
        <v>-1290.8600000000001</v>
      </c>
      <c r="S57" s="424">
        <f>'ADJ DETAIL-INPUT'!S56</f>
        <v>-0.79</v>
      </c>
      <c r="T57" s="424">
        <f>'ADJ DETAIL-INPUT'!T56</f>
        <v>1137.5999999999999</v>
      </c>
      <c r="U57" s="424">
        <f>'ADJ DETAIL-INPUT'!U56</f>
        <v>-2163.81</v>
      </c>
      <c r="V57" s="424">
        <f>'ADJ DETAIL-INPUT'!V56</f>
        <v>-525</v>
      </c>
      <c r="W57" s="424">
        <f>'ADJ DETAIL-INPUT'!W56</f>
        <v>384.81834299999997</v>
      </c>
      <c r="X57" s="424">
        <f>'ADJ DETAIL-INPUT'!X56</f>
        <v>1679</v>
      </c>
      <c r="Y57" s="424">
        <f>'ADJ DETAIL-INPUT'!Y56</f>
        <v>4.74</v>
      </c>
      <c r="Z57" s="424">
        <f>'ADJ DETAIL-INPUT'!Z56</f>
        <v>1338.26</v>
      </c>
      <c r="AA57" s="424">
        <f>'ADJ DETAIL-INPUT'!AA56</f>
        <v>4323.67</v>
      </c>
      <c r="AB57" s="424">
        <f>'ADJ DETAIL-INPUT'!AB56</f>
        <v>-129.166674</v>
      </c>
      <c r="AC57" s="424">
        <f>'ADJ DETAIL-INPUT'!AD56</f>
        <v>16242.400000000001</v>
      </c>
      <c r="AD57" s="424">
        <f>'ADJ DETAIL-INPUT'!AE56</f>
        <v>8375.58</v>
      </c>
      <c r="AE57" s="424">
        <f>'ADJ DETAIL-INPUT'!AF56</f>
        <v>10040.9</v>
      </c>
      <c r="AF57" s="424">
        <f>'ADJ DETAIL-INPUT'!AG56</f>
        <v>-906.27004899999997</v>
      </c>
      <c r="AG57" s="424">
        <f>'ADJ DETAIL-INPUT'!AH56</f>
        <v>-634</v>
      </c>
      <c r="AH57" s="424">
        <f>'ADJ DETAIL-INPUT'!AI56</f>
        <v>-8339.6670210000011</v>
      </c>
      <c r="AI57" s="424">
        <f>'ADJ DETAIL-INPUT'!AJ56</f>
        <v>-694.80500000000006</v>
      </c>
      <c r="AJ57" s="424">
        <f>'ADJ DETAIL-INPUT'!AK56</f>
        <v>-282.02999999999997</v>
      </c>
      <c r="AK57" s="424">
        <f>'ADJ DETAIL-INPUT'!AL56</f>
        <v>-4849.8099999999995</v>
      </c>
      <c r="AL57" s="424">
        <f>'ADJ DETAIL-INPUT'!AM56</f>
        <v>-50.56</v>
      </c>
      <c r="AM57" s="424">
        <f>'ADJ DETAIL-INPUT'!AN56</f>
        <v>311.26</v>
      </c>
      <c r="AN57" s="424">
        <f>'ADJ DETAIL-INPUT'!AO56</f>
        <v>54.859180000000009</v>
      </c>
      <c r="AO57" s="424">
        <f>'ADJ DETAIL-INPUT'!AP56</f>
        <v>-759.98</v>
      </c>
      <c r="AP57" s="424">
        <f>'ADJ DETAIL-INPUT'!AQ56</f>
        <v>-3390.6800000000003</v>
      </c>
      <c r="AQ57" s="424">
        <f>'ADJ DETAIL-INPUT'!AR56</f>
        <v>-996.98</v>
      </c>
      <c r="AR57" s="424">
        <f>'ADJ DETAIL-INPUT'!AS56</f>
        <v>-7720.47408</v>
      </c>
      <c r="AS57" s="424">
        <f>'ADJ DETAIL-INPUT'!AT56</f>
        <v>-1529.6675994566672</v>
      </c>
      <c r="AT57" s="424">
        <f>'ADJ DETAIL-INPUT'!AU56</f>
        <v>-48.980000000000004</v>
      </c>
      <c r="AU57" s="424">
        <f>'ADJ DETAIL-INPUT'!AV56</f>
        <v>-1721.9015260000001</v>
      </c>
      <c r="AV57" s="424">
        <f>'ADJ DETAIL-INPUT'!AW56</f>
        <v>7.4219390000000001</v>
      </c>
      <c r="AW57" s="424">
        <f>'ADJ DETAIL-INPUT'!AX56</f>
        <v>-473.29778099999999</v>
      </c>
      <c r="AX57" s="424">
        <f>'ADJ DETAIL-INPUT'!AY56</f>
        <v>-1682.8979224855093</v>
      </c>
      <c r="AY57" s="424">
        <f>'ADJ DETAIL-INPUT'!AZ56</f>
        <v>-1809.0149207427544</v>
      </c>
      <c r="AZ57" s="424">
        <f>'ADJ DETAIL-INPUT'!BA56</f>
        <v>6173.85</v>
      </c>
      <c r="BA57" s="424">
        <f>'ADJ DETAIL-INPUT'!BB56</f>
        <v>-2507.7382779999998</v>
      </c>
      <c r="BB57" s="424">
        <f>'ADJ DETAIL-INPUT'!BC56</f>
        <v>-296.37075500000003</v>
      </c>
      <c r="BC57" s="424">
        <f>'ADJ DETAIL-INPUT'!BD56</f>
        <v>-796.18643799999995</v>
      </c>
      <c r="BD57" s="424">
        <f>'ADJ DETAIL-INPUT'!BE56</f>
        <v>101.118562</v>
      </c>
      <c r="BE57" s="424">
        <f>'ADJ DETAIL-INPUT'!BF56</f>
        <v>-368.868674</v>
      </c>
      <c r="BF57" s="424">
        <f>'ADJ DETAIL-INPUT'!BJ56</f>
        <v>-842</v>
      </c>
      <c r="BG57" s="424">
        <f>'ADJ DETAIL-INPUT'!BK56</f>
        <v>609.17049599999996</v>
      </c>
      <c r="BH57" s="424">
        <f>'ADJ DETAIL-INPUT'!BL56</f>
        <v>-1539.71</v>
      </c>
      <c r="BI57" s="424">
        <f>'ADJ DETAIL-INPUT'!BM56</f>
        <v>-364.98</v>
      </c>
      <c r="BJ57" s="424">
        <f>'ADJ DETAIL-INPUT'!BN56</f>
        <v>-494.53999999999996</v>
      </c>
      <c r="BK57" s="424">
        <f>'ADJ DETAIL-INPUT'!BO56</f>
        <v>-1194.48</v>
      </c>
      <c r="BL57" s="424">
        <f>'ADJ DETAIL-INPUT'!BP56</f>
        <v>-36.340000000000003</v>
      </c>
      <c r="BM57" s="424">
        <f>'ADJ DETAIL-INPUT'!BQ56</f>
        <v>-3431.3215499999997</v>
      </c>
      <c r="BN57" s="424">
        <f>'ADJ DETAIL-INPUT'!BR56</f>
        <v>-928.90936648550905</v>
      </c>
      <c r="BO57" s="424">
        <f>'ADJ DETAIL-INPUT'!BS56</f>
        <v>2687.58</v>
      </c>
      <c r="BP57" s="424">
        <f>'ADJ DETAIL-INPUT'!BT56</f>
        <v>-284.38597000000004</v>
      </c>
      <c r="BQ57" s="424">
        <f>'ADJ DETAIL-INPUT'!BU56</f>
        <v>-50.557688999999996</v>
      </c>
      <c r="BR57" s="424">
        <f>'ADJ DETAIL-INPUT'!BV56</f>
        <v>-34.208403000000004</v>
      </c>
    </row>
    <row r="58" spans="1:70" ht="8.25" customHeight="1" thickTop="1">
      <c r="A58" s="397"/>
    </row>
    <row r="59" spans="1:70">
      <c r="A59" s="397"/>
      <c r="B59" s="381" t="str">
        <f>'ADJ DETAIL-INPUT'!B58</f>
        <v xml:space="preserve">RATE BASE  </v>
      </c>
    </row>
    <row r="60" spans="1:70">
      <c r="B60" s="381" t="str">
        <f>'ADJ DETAIL-INPUT'!B59</f>
        <v xml:space="preserve">PLANT IN SERVICE  </v>
      </c>
    </row>
    <row r="61" spans="1:70" s="395" customFormat="1">
      <c r="A61" s="421">
        <f>'ADJ DETAIL-INPUT'!A60</f>
        <v>32</v>
      </c>
      <c r="C61" s="395" t="str">
        <f>'ADJ DETAIL-INPUT'!C60</f>
        <v xml:space="preserve">Intangible  </v>
      </c>
      <c r="E61" s="911">
        <f>'ADJ DETAIL-INPUT'!E60</f>
        <v>230718</v>
      </c>
      <c r="F61" s="395">
        <f>'ADJ DETAIL-INPUT'!F60</f>
        <v>0</v>
      </c>
      <c r="G61" s="395">
        <f>'ADJ DETAIL-INPUT'!G60</f>
        <v>0</v>
      </c>
      <c r="H61" s="395">
        <f>'ADJ DETAIL-INPUT'!H60</f>
        <v>0</v>
      </c>
      <c r="I61" s="395">
        <f>'ADJ DETAIL-INPUT'!I60</f>
        <v>0</v>
      </c>
      <c r="J61" s="395">
        <f>'ADJ DETAIL-INPUT'!J60</f>
        <v>0</v>
      </c>
      <c r="K61" s="395">
        <f>'ADJ DETAIL-INPUT'!K60</f>
        <v>0</v>
      </c>
      <c r="L61" s="395">
        <f>'ADJ DETAIL-INPUT'!L60</f>
        <v>0</v>
      </c>
      <c r="M61" s="395">
        <f>'ADJ DETAIL-INPUT'!M60</f>
        <v>0</v>
      </c>
      <c r="N61" s="395">
        <f>'ADJ DETAIL-INPUT'!N60</f>
        <v>0</v>
      </c>
      <c r="O61" s="395">
        <f>'ADJ DETAIL-INPUT'!O60</f>
        <v>0</v>
      </c>
      <c r="P61" s="395">
        <f>'ADJ DETAIL-INPUT'!P60</f>
        <v>0</v>
      </c>
      <c r="Q61" s="395">
        <f>'ADJ DETAIL-INPUT'!Q60</f>
        <v>0</v>
      </c>
      <c r="R61" s="395">
        <f>'ADJ DETAIL-INPUT'!R60</f>
        <v>0</v>
      </c>
      <c r="S61" s="395">
        <f>'ADJ DETAIL-INPUT'!S60</f>
        <v>0</v>
      </c>
      <c r="T61" s="395">
        <f>'ADJ DETAIL-INPUT'!T60</f>
        <v>0</v>
      </c>
      <c r="U61" s="395">
        <f>'ADJ DETAIL-INPUT'!U60</f>
        <v>0</v>
      </c>
      <c r="V61" s="395">
        <f>'ADJ DETAIL-INPUT'!V60</f>
        <v>0</v>
      </c>
      <c r="W61" s="395">
        <f>'ADJ DETAIL-INPUT'!W60</f>
        <v>7692</v>
      </c>
      <c r="X61" s="395">
        <f>'ADJ DETAIL-INPUT'!X60</f>
        <v>0</v>
      </c>
      <c r="Y61" s="395">
        <f>'ADJ DETAIL-INPUT'!Y60</f>
        <v>0</v>
      </c>
      <c r="Z61" s="395">
        <f>'ADJ DETAIL-INPUT'!Z60</f>
        <v>0</v>
      </c>
      <c r="AA61" s="395">
        <f>'ADJ DETAIL-INPUT'!AA60</f>
        <v>0</v>
      </c>
      <c r="AB61" s="395">
        <f>'ADJ DETAIL-INPUT'!AB60</f>
        <v>0</v>
      </c>
      <c r="AC61" s="395">
        <f>'ADJ DETAIL-INPUT'!AD60</f>
        <v>0</v>
      </c>
      <c r="AD61" s="395">
        <f>'ADJ DETAIL-INPUT'!AE60</f>
        <v>0</v>
      </c>
      <c r="AE61" s="395">
        <f>'ADJ DETAIL-INPUT'!AF60</f>
        <v>0</v>
      </c>
      <c r="AF61" s="395">
        <f>'ADJ DETAIL-INPUT'!AG60</f>
        <v>0</v>
      </c>
      <c r="AG61" s="395">
        <f>'ADJ DETAIL-INPUT'!AH60</f>
        <v>0</v>
      </c>
      <c r="AH61" s="395">
        <f>'ADJ DETAIL-INPUT'!AI60</f>
        <v>0</v>
      </c>
      <c r="AI61" s="395">
        <f>'ADJ DETAIL-INPUT'!AJ60</f>
        <v>0</v>
      </c>
      <c r="AJ61" s="395">
        <f>'ADJ DETAIL-INPUT'!AK60</f>
        <v>0</v>
      </c>
      <c r="AK61" s="395">
        <f>'ADJ DETAIL-INPUT'!AL60</f>
        <v>0</v>
      </c>
      <c r="AL61" s="395">
        <f>'ADJ DETAIL-INPUT'!AM60</f>
        <v>0</v>
      </c>
      <c r="AM61" s="395">
        <f>'ADJ DETAIL-INPUT'!AN60</f>
        <v>0</v>
      </c>
      <c r="AN61" s="395">
        <f>'ADJ DETAIL-INPUT'!AO60</f>
        <v>0</v>
      </c>
      <c r="AO61" s="395">
        <f>'ADJ DETAIL-INPUT'!AP60</f>
        <v>0</v>
      </c>
      <c r="AP61" s="395">
        <f>'ADJ DETAIL-INPUT'!AQ60</f>
        <v>0</v>
      </c>
      <c r="AQ61" s="395">
        <f>'ADJ DETAIL-INPUT'!AR60</f>
        <v>0</v>
      </c>
      <c r="AR61" s="395">
        <f>'ADJ DETAIL-INPUT'!AS60</f>
        <v>0</v>
      </c>
      <c r="AS61" s="395">
        <f>'ADJ DETAIL-INPUT'!AT60</f>
        <v>4504</v>
      </c>
      <c r="AT61" s="395">
        <f>'ADJ DETAIL-INPUT'!AU60</f>
        <v>0</v>
      </c>
      <c r="AU61" s="395">
        <f>'ADJ DETAIL-INPUT'!AV60</f>
        <v>7172</v>
      </c>
      <c r="AV61" s="395">
        <f>'ADJ DETAIL-INPUT'!AW60</f>
        <v>99</v>
      </c>
      <c r="AW61" s="395">
        <f>'ADJ DETAIL-INPUT'!AX60</f>
        <v>0</v>
      </c>
      <c r="AX61" s="395">
        <f>'ADJ DETAIL-INPUT'!AY60</f>
        <v>-4853</v>
      </c>
      <c r="AY61" s="395">
        <f>'ADJ DETAIL-INPUT'!AZ60</f>
        <v>-3046</v>
      </c>
      <c r="AZ61" s="395">
        <f>'ADJ DETAIL-INPUT'!BA60</f>
        <v>0</v>
      </c>
      <c r="BA61" s="395">
        <f>'ADJ DETAIL-INPUT'!BB60</f>
        <v>66</v>
      </c>
      <c r="BB61" s="395">
        <f>'ADJ DETAIL-INPUT'!BC60</f>
        <v>0</v>
      </c>
      <c r="BC61" s="395">
        <f>'ADJ DETAIL-INPUT'!BD60</f>
        <v>0</v>
      </c>
      <c r="BD61" s="395">
        <f>'ADJ DETAIL-INPUT'!BE60</f>
        <v>0</v>
      </c>
      <c r="BE61" s="395">
        <f>'ADJ DETAIL-INPUT'!BF60</f>
        <v>125</v>
      </c>
      <c r="BF61" s="395">
        <f>'ADJ DETAIL-INPUT'!BJ60</f>
        <v>0</v>
      </c>
      <c r="BG61" s="395">
        <f>'ADJ DETAIL-INPUT'!BK60</f>
        <v>0</v>
      </c>
      <c r="BH61" s="395">
        <f>'ADJ DETAIL-INPUT'!BL60</f>
        <v>0</v>
      </c>
      <c r="BI61" s="395">
        <f>'ADJ DETAIL-INPUT'!BM60</f>
        <v>0</v>
      </c>
      <c r="BJ61" s="395">
        <f>'ADJ DETAIL-INPUT'!BN60</f>
        <v>0</v>
      </c>
      <c r="BK61" s="395">
        <f>'ADJ DETAIL-INPUT'!BO60</f>
        <v>0</v>
      </c>
      <c r="BL61" s="395">
        <f>'ADJ DETAIL-INPUT'!BP60</f>
        <v>0</v>
      </c>
      <c r="BM61" s="395">
        <f>'ADJ DETAIL-INPUT'!BQ60</f>
        <v>0</v>
      </c>
      <c r="BN61" s="395">
        <f>'ADJ DETAIL-INPUT'!BR60</f>
        <v>-385</v>
      </c>
      <c r="BO61" s="395">
        <f>'ADJ DETAIL-INPUT'!BS60</f>
        <v>0</v>
      </c>
      <c r="BP61" s="395">
        <f>'ADJ DETAIL-INPUT'!BT60</f>
        <v>-4</v>
      </c>
      <c r="BQ61" s="395">
        <f>'ADJ DETAIL-INPUT'!BU60</f>
        <v>0</v>
      </c>
      <c r="BR61" s="395">
        <f>'ADJ DETAIL-INPUT'!BV60</f>
        <v>243</v>
      </c>
    </row>
    <row r="62" spans="1:70" s="396" customFormat="1">
      <c r="A62" s="397">
        <f>'ADJ DETAIL-INPUT'!A61</f>
        <v>33</v>
      </c>
      <c r="C62" s="396" t="str">
        <f>'ADJ DETAIL-INPUT'!C61</f>
        <v xml:space="preserve">Production  </v>
      </c>
      <c r="E62" s="733">
        <f>'ADJ DETAIL-INPUT'!E61</f>
        <v>948067</v>
      </c>
      <c r="F62" s="405">
        <f>'ADJ DETAIL-INPUT'!F61</f>
        <v>0</v>
      </c>
      <c r="G62" s="405">
        <f>'ADJ DETAIL-INPUT'!G61</f>
        <v>0</v>
      </c>
      <c r="H62" s="405">
        <f>'ADJ DETAIL-INPUT'!H61</f>
        <v>0</v>
      </c>
      <c r="I62" s="405">
        <f>'ADJ DETAIL-INPUT'!I61</f>
        <v>0</v>
      </c>
      <c r="J62" s="405">
        <f>'ADJ DETAIL-INPUT'!J61</f>
        <v>0</v>
      </c>
      <c r="K62" s="405">
        <f>'ADJ DETAIL-INPUT'!K61</f>
        <v>0</v>
      </c>
      <c r="L62" s="405">
        <f>'ADJ DETAIL-INPUT'!L61</f>
        <v>0</v>
      </c>
      <c r="M62" s="405">
        <f>'ADJ DETAIL-INPUT'!M61</f>
        <v>0</v>
      </c>
      <c r="N62" s="405">
        <f>'ADJ DETAIL-INPUT'!N61</f>
        <v>0</v>
      </c>
      <c r="O62" s="405">
        <f>'ADJ DETAIL-INPUT'!O61</f>
        <v>0</v>
      </c>
      <c r="P62" s="405">
        <f>'ADJ DETAIL-INPUT'!P61</f>
        <v>0</v>
      </c>
      <c r="Q62" s="405">
        <f>'ADJ DETAIL-INPUT'!Q61</f>
        <v>0</v>
      </c>
      <c r="R62" s="405">
        <f>'ADJ DETAIL-INPUT'!R61</f>
        <v>0</v>
      </c>
      <c r="S62" s="405">
        <f>'ADJ DETAIL-INPUT'!S61</f>
        <v>0</v>
      </c>
      <c r="T62" s="405">
        <f>'ADJ DETAIL-INPUT'!T61</f>
        <v>0</v>
      </c>
      <c r="U62" s="405">
        <f>'ADJ DETAIL-INPUT'!U61</f>
        <v>0</v>
      </c>
      <c r="V62" s="405">
        <f>'ADJ DETAIL-INPUT'!V61</f>
        <v>0</v>
      </c>
      <c r="W62" s="405">
        <f>'ADJ DETAIL-INPUT'!W61</f>
        <v>14773</v>
      </c>
      <c r="X62" s="405">
        <f>'ADJ DETAIL-INPUT'!X61</f>
        <v>0</v>
      </c>
      <c r="Y62" s="405">
        <f>'ADJ DETAIL-INPUT'!Y61</f>
        <v>0</v>
      </c>
      <c r="Z62" s="405">
        <f>'ADJ DETAIL-INPUT'!Z61</f>
        <v>0</v>
      </c>
      <c r="AA62" s="405">
        <f>'ADJ DETAIL-INPUT'!AA61</f>
        <v>0</v>
      </c>
      <c r="AB62" s="405">
        <f>'ADJ DETAIL-INPUT'!AB61</f>
        <v>0</v>
      </c>
      <c r="AC62" s="405">
        <f>'ADJ DETAIL-INPUT'!AD61</f>
        <v>0</v>
      </c>
      <c r="AD62" s="405">
        <f>'ADJ DETAIL-INPUT'!AE61</f>
        <v>0</v>
      </c>
      <c r="AE62" s="405">
        <f>'ADJ DETAIL-INPUT'!AF61</f>
        <v>0</v>
      </c>
      <c r="AF62" s="405">
        <f>'ADJ DETAIL-INPUT'!AG61</f>
        <v>0</v>
      </c>
      <c r="AG62" s="405">
        <f>'ADJ DETAIL-INPUT'!AH61</f>
        <v>0</v>
      </c>
      <c r="AH62" s="405">
        <f>'ADJ DETAIL-INPUT'!AI61</f>
        <v>0</v>
      </c>
      <c r="AI62" s="405">
        <f>'ADJ DETAIL-INPUT'!AJ61</f>
        <v>0</v>
      </c>
      <c r="AJ62" s="405">
        <f>'ADJ DETAIL-INPUT'!AK61</f>
        <v>0</v>
      </c>
      <c r="AK62" s="405">
        <f>'ADJ DETAIL-INPUT'!AL61</f>
        <v>0</v>
      </c>
      <c r="AL62" s="405">
        <f>'ADJ DETAIL-INPUT'!AM61</f>
        <v>0</v>
      </c>
      <c r="AM62" s="405">
        <f>'ADJ DETAIL-INPUT'!AN61</f>
        <v>0</v>
      </c>
      <c r="AN62" s="405">
        <f>'ADJ DETAIL-INPUT'!AO61</f>
        <v>0</v>
      </c>
      <c r="AO62" s="405">
        <f>'ADJ DETAIL-INPUT'!AP61</f>
        <v>0</v>
      </c>
      <c r="AP62" s="405">
        <f>'ADJ DETAIL-INPUT'!AQ61</f>
        <v>0</v>
      </c>
      <c r="AQ62" s="405">
        <f>'ADJ DETAIL-INPUT'!AR61</f>
        <v>0</v>
      </c>
      <c r="AR62" s="405">
        <f>'ADJ DETAIL-INPUT'!AS61</f>
        <v>0</v>
      </c>
      <c r="AS62" s="405">
        <f>'ADJ DETAIL-INPUT'!AT61</f>
        <v>7849</v>
      </c>
      <c r="AT62" s="405">
        <f>'ADJ DETAIL-INPUT'!AU61</f>
        <v>0</v>
      </c>
      <c r="AU62" s="405">
        <f>'ADJ DETAIL-INPUT'!AV61</f>
        <v>78</v>
      </c>
      <c r="AV62" s="405">
        <f>'ADJ DETAIL-INPUT'!AW61</f>
        <v>0</v>
      </c>
      <c r="AW62" s="405">
        <f>'ADJ DETAIL-INPUT'!AX61</f>
        <v>-2001</v>
      </c>
      <c r="AX62" s="405">
        <f>'ADJ DETAIL-INPUT'!AY61</f>
        <v>50036</v>
      </c>
      <c r="AY62" s="405">
        <f>'ADJ DETAIL-INPUT'!AZ61</f>
        <v>16211</v>
      </c>
      <c r="AZ62" s="405">
        <f>'ADJ DETAIL-INPUT'!BA61</f>
        <v>0</v>
      </c>
      <c r="BA62" s="405">
        <f>'ADJ DETAIL-INPUT'!BB61</f>
        <v>0</v>
      </c>
      <c r="BB62" s="405">
        <f>'ADJ DETAIL-INPUT'!BC61</f>
        <v>0</v>
      </c>
      <c r="BC62" s="405">
        <f>'ADJ DETAIL-INPUT'!BD61</f>
        <v>0</v>
      </c>
      <c r="BD62" s="405">
        <f>'ADJ DETAIL-INPUT'!BE61</f>
        <v>0</v>
      </c>
      <c r="BE62" s="405">
        <f>'ADJ DETAIL-INPUT'!BF61</f>
        <v>0</v>
      </c>
      <c r="BF62" s="405">
        <f>'ADJ DETAIL-INPUT'!BJ61</f>
        <v>0</v>
      </c>
      <c r="BG62" s="405">
        <f>'ADJ DETAIL-INPUT'!BK61</f>
        <v>0</v>
      </c>
      <c r="BH62" s="405">
        <f>'ADJ DETAIL-INPUT'!BL61</f>
        <v>0</v>
      </c>
      <c r="BI62" s="405">
        <f>'ADJ DETAIL-INPUT'!BM61</f>
        <v>0</v>
      </c>
      <c r="BJ62" s="405">
        <f>'ADJ DETAIL-INPUT'!BN61</f>
        <v>0</v>
      </c>
      <c r="BK62" s="405">
        <f>'ADJ DETAIL-INPUT'!BO61</f>
        <v>0</v>
      </c>
      <c r="BL62" s="405">
        <f>'ADJ DETAIL-INPUT'!BP61</f>
        <v>0</v>
      </c>
      <c r="BM62" s="405">
        <f>'ADJ DETAIL-INPUT'!BQ61</f>
        <v>0</v>
      </c>
      <c r="BN62" s="405">
        <f>'ADJ DETAIL-INPUT'!BR61</f>
        <v>22238</v>
      </c>
      <c r="BO62" s="405">
        <f>'ADJ DETAIL-INPUT'!BS61</f>
        <v>0</v>
      </c>
      <c r="BP62" s="405">
        <f>'ADJ DETAIL-INPUT'!BT61</f>
        <v>0</v>
      </c>
      <c r="BQ62" s="405">
        <f>'ADJ DETAIL-INPUT'!BU61</f>
        <v>0</v>
      </c>
      <c r="BR62" s="405">
        <f>'ADJ DETAIL-INPUT'!BV61</f>
        <v>0</v>
      </c>
    </row>
    <row r="63" spans="1:70" s="396" customFormat="1">
      <c r="A63" s="397">
        <f>'ADJ DETAIL-INPUT'!A62</f>
        <v>34</v>
      </c>
      <c r="C63" s="396" t="str">
        <f>'ADJ DETAIL-INPUT'!C62</f>
        <v xml:space="preserve">Transmission  </v>
      </c>
      <c r="E63" s="733">
        <f>'ADJ DETAIL-INPUT'!E62</f>
        <v>575635</v>
      </c>
      <c r="F63" s="405">
        <f>'ADJ DETAIL-INPUT'!F62</f>
        <v>0</v>
      </c>
      <c r="G63" s="405">
        <f>'ADJ DETAIL-INPUT'!G62</f>
        <v>0</v>
      </c>
      <c r="H63" s="405">
        <f>'ADJ DETAIL-INPUT'!H62</f>
        <v>0</v>
      </c>
      <c r="I63" s="405">
        <f>'ADJ DETAIL-INPUT'!I62</f>
        <v>0</v>
      </c>
      <c r="J63" s="405">
        <f>'ADJ DETAIL-INPUT'!J62</f>
        <v>0</v>
      </c>
      <c r="K63" s="405">
        <f>'ADJ DETAIL-INPUT'!K62</f>
        <v>0</v>
      </c>
      <c r="L63" s="405">
        <f>'ADJ DETAIL-INPUT'!L62</f>
        <v>0</v>
      </c>
      <c r="M63" s="405">
        <f>'ADJ DETAIL-INPUT'!M62</f>
        <v>0</v>
      </c>
      <c r="N63" s="405">
        <f>'ADJ DETAIL-INPUT'!N62</f>
        <v>0</v>
      </c>
      <c r="O63" s="405">
        <f>'ADJ DETAIL-INPUT'!O62</f>
        <v>0</v>
      </c>
      <c r="P63" s="405">
        <f>'ADJ DETAIL-INPUT'!P62</f>
        <v>0</v>
      </c>
      <c r="Q63" s="405">
        <f>'ADJ DETAIL-INPUT'!Q62</f>
        <v>0</v>
      </c>
      <c r="R63" s="405">
        <f>'ADJ DETAIL-INPUT'!R62</f>
        <v>0</v>
      </c>
      <c r="S63" s="405">
        <f>'ADJ DETAIL-INPUT'!S62</f>
        <v>0</v>
      </c>
      <c r="T63" s="405">
        <f>'ADJ DETAIL-INPUT'!T62</f>
        <v>0</v>
      </c>
      <c r="U63" s="405">
        <f>'ADJ DETAIL-INPUT'!U62</f>
        <v>0</v>
      </c>
      <c r="V63" s="405">
        <f>'ADJ DETAIL-INPUT'!V62</f>
        <v>0</v>
      </c>
      <c r="W63" s="405">
        <f>'ADJ DETAIL-INPUT'!W62</f>
        <v>32625</v>
      </c>
      <c r="X63" s="405">
        <f>'ADJ DETAIL-INPUT'!X62</f>
        <v>0</v>
      </c>
      <c r="Y63" s="405">
        <f>'ADJ DETAIL-INPUT'!Y62</f>
        <v>0</v>
      </c>
      <c r="Z63" s="405">
        <f>'ADJ DETAIL-INPUT'!Z62</f>
        <v>0</v>
      </c>
      <c r="AA63" s="405">
        <f>'ADJ DETAIL-INPUT'!AA62</f>
        <v>0</v>
      </c>
      <c r="AB63" s="405">
        <f>'ADJ DETAIL-INPUT'!AB62</f>
        <v>0</v>
      </c>
      <c r="AC63" s="405">
        <f>'ADJ DETAIL-INPUT'!AD62</f>
        <v>0</v>
      </c>
      <c r="AD63" s="405">
        <f>'ADJ DETAIL-INPUT'!AE62</f>
        <v>0</v>
      </c>
      <c r="AE63" s="405">
        <f>'ADJ DETAIL-INPUT'!AF62</f>
        <v>0</v>
      </c>
      <c r="AF63" s="405">
        <f>'ADJ DETAIL-INPUT'!AG62</f>
        <v>0</v>
      </c>
      <c r="AG63" s="405">
        <f>'ADJ DETAIL-INPUT'!AH62</f>
        <v>0</v>
      </c>
      <c r="AH63" s="405">
        <f>'ADJ DETAIL-INPUT'!AI62</f>
        <v>0</v>
      </c>
      <c r="AI63" s="405">
        <f>'ADJ DETAIL-INPUT'!AJ62</f>
        <v>0</v>
      </c>
      <c r="AJ63" s="405">
        <f>'ADJ DETAIL-INPUT'!AK62</f>
        <v>0</v>
      </c>
      <c r="AK63" s="405">
        <f>'ADJ DETAIL-INPUT'!AL62</f>
        <v>0</v>
      </c>
      <c r="AL63" s="405">
        <f>'ADJ DETAIL-INPUT'!AM62</f>
        <v>0</v>
      </c>
      <c r="AM63" s="405">
        <f>'ADJ DETAIL-INPUT'!AN62</f>
        <v>0</v>
      </c>
      <c r="AN63" s="405">
        <f>'ADJ DETAIL-INPUT'!AO62</f>
        <v>0</v>
      </c>
      <c r="AO63" s="405">
        <f>'ADJ DETAIL-INPUT'!AP62</f>
        <v>0</v>
      </c>
      <c r="AP63" s="405">
        <f>'ADJ DETAIL-INPUT'!AQ62</f>
        <v>0</v>
      </c>
      <c r="AQ63" s="405">
        <f>'ADJ DETAIL-INPUT'!AR62</f>
        <v>0</v>
      </c>
      <c r="AR63" s="405">
        <f>'ADJ DETAIL-INPUT'!AS62</f>
        <v>0</v>
      </c>
      <c r="AS63" s="405">
        <f>'ADJ DETAIL-INPUT'!AT62</f>
        <v>14068</v>
      </c>
      <c r="AT63" s="405">
        <f>'ADJ DETAIL-INPUT'!AU62</f>
        <v>0</v>
      </c>
      <c r="AU63" s="405">
        <f>'ADJ DETAIL-INPUT'!AV62</f>
        <v>33</v>
      </c>
      <c r="AV63" s="405">
        <f>'ADJ DETAIL-INPUT'!AW62</f>
        <v>726</v>
      </c>
      <c r="AW63" s="405">
        <f>'ADJ DETAIL-INPUT'!AX62</f>
        <v>0</v>
      </c>
      <c r="AX63" s="405">
        <f>'ADJ DETAIL-INPUT'!AY62</f>
        <v>21649</v>
      </c>
      <c r="AY63" s="405">
        <f>'ADJ DETAIL-INPUT'!AZ62</f>
        <v>11028</v>
      </c>
      <c r="AZ63" s="405">
        <f>'ADJ DETAIL-INPUT'!BA62</f>
        <v>0</v>
      </c>
      <c r="BA63" s="405">
        <f>'ADJ DETAIL-INPUT'!BB62</f>
        <v>2757</v>
      </c>
      <c r="BB63" s="405">
        <f>'ADJ DETAIL-INPUT'!BC62</f>
        <v>1102</v>
      </c>
      <c r="BC63" s="405">
        <f>'ADJ DETAIL-INPUT'!BD62</f>
        <v>0</v>
      </c>
      <c r="BD63" s="405">
        <f>'ADJ DETAIL-INPUT'!BE62</f>
        <v>0</v>
      </c>
      <c r="BE63" s="405">
        <f>'ADJ DETAIL-INPUT'!BF62</f>
        <v>0</v>
      </c>
      <c r="BF63" s="405">
        <f>'ADJ DETAIL-INPUT'!BJ62</f>
        <v>0</v>
      </c>
      <c r="BG63" s="405">
        <f>'ADJ DETAIL-INPUT'!BK62</f>
        <v>0</v>
      </c>
      <c r="BH63" s="405">
        <f>'ADJ DETAIL-INPUT'!BL62</f>
        <v>0</v>
      </c>
      <c r="BI63" s="405">
        <f>'ADJ DETAIL-INPUT'!BM62</f>
        <v>0</v>
      </c>
      <c r="BJ63" s="405">
        <f>'ADJ DETAIL-INPUT'!BN62</f>
        <v>0</v>
      </c>
      <c r="BK63" s="405">
        <f>'ADJ DETAIL-INPUT'!BO62</f>
        <v>0</v>
      </c>
      <c r="BL63" s="405">
        <f>'ADJ DETAIL-INPUT'!BP62</f>
        <v>0</v>
      </c>
      <c r="BM63" s="405">
        <f>'ADJ DETAIL-INPUT'!BQ62</f>
        <v>0</v>
      </c>
      <c r="BN63" s="405">
        <f>'ADJ DETAIL-INPUT'!BR62</f>
        <v>27387</v>
      </c>
      <c r="BO63" s="405">
        <f>'ADJ DETAIL-INPUT'!BS62</f>
        <v>0</v>
      </c>
      <c r="BP63" s="405">
        <f>'ADJ DETAIL-INPUT'!BT62</f>
        <v>2757</v>
      </c>
      <c r="BQ63" s="405">
        <f>'ADJ DETAIL-INPUT'!BU62</f>
        <v>0</v>
      </c>
      <c r="BR63" s="405">
        <f>'ADJ DETAIL-INPUT'!BV62</f>
        <v>0</v>
      </c>
    </row>
    <row r="64" spans="1:70" s="396" customFormat="1">
      <c r="A64" s="397">
        <f>'ADJ DETAIL-INPUT'!A63</f>
        <v>35</v>
      </c>
      <c r="C64" s="396" t="str">
        <f>'ADJ DETAIL-INPUT'!C63</f>
        <v xml:space="preserve">Distribution  </v>
      </c>
      <c r="E64" s="733">
        <f>'ADJ DETAIL-INPUT'!E63</f>
        <v>1327782</v>
      </c>
      <c r="F64" s="405">
        <f>'ADJ DETAIL-INPUT'!F63</f>
        <v>0</v>
      </c>
      <c r="G64" s="405">
        <f>'ADJ DETAIL-INPUT'!G63</f>
        <v>0</v>
      </c>
      <c r="H64" s="405">
        <f>'ADJ DETAIL-INPUT'!H63</f>
        <v>0</v>
      </c>
      <c r="I64" s="405">
        <f>'ADJ DETAIL-INPUT'!I63</f>
        <v>0</v>
      </c>
      <c r="J64" s="405">
        <f>'ADJ DETAIL-INPUT'!J63</f>
        <v>0</v>
      </c>
      <c r="K64" s="405">
        <f>'ADJ DETAIL-INPUT'!K63</f>
        <v>0</v>
      </c>
      <c r="L64" s="405">
        <f>'ADJ DETAIL-INPUT'!L63</f>
        <v>0</v>
      </c>
      <c r="M64" s="405">
        <f>'ADJ DETAIL-INPUT'!M63</f>
        <v>0</v>
      </c>
      <c r="N64" s="405">
        <f>'ADJ DETAIL-INPUT'!N63</f>
        <v>0</v>
      </c>
      <c r="O64" s="405">
        <f>'ADJ DETAIL-INPUT'!O63</f>
        <v>0</v>
      </c>
      <c r="P64" s="405">
        <f>'ADJ DETAIL-INPUT'!P63</f>
        <v>0</v>
      </c>
      <c r="Q64" s="405">
        <f>'ADJ DETAIL-INPUT'!Q63</f>
        <v>0</v>
      </c>
      <c r="R64" s="405">
        <f>'ADJ DETAIL-INPUT'!R63</f>
        <v>0</v>
      </c>
      <c r="S64" s="405">
        <f>'ADJ DETAIL-INPUT'!S63</f>
        <v>0</v>
      </c>
      <c r="T64" s="405">
        <f>'ADJ DETAIL-INPUT'!T63</f>
        <v>0</v>
      </c>
      <c r="U64" s="405">
        <f>'ADJ DETAIL-INPUT'!U63</f>
        <v>0</v>
      </c>
      <c r="V64" s="405">
        <f>'ADJ DETAIL-INPUT'!V63</f>
        <v>0</v>
      </c>
      <c r="W64" s="405">
        <f>'ADJ DETAIL-INPUT'!W63</f>
        <v>29355</v>
      </c>
      <c r="X64" s="405">
        <f>'ADJ DETAIL-INPUT'!X63</f>
        <v>0</v>
      </c>
      <c r="Y64" s="405">
        <f>'ADJ DETAIL-INPUT'!Y63</f>
        <v>0</v>
      </c>
      <c r="Z64" s="405">
        <f>'ADJ DETAIL-INPUT'!Z63</f>
        <v>0</v>
      </c>
      <c r="AA64" s="405">
        <f>'ADJ DETAIL-INPUT'!AA63</f>
        <v>0</v>
      </c>
      <c r="AB64" s="405">
        <f>'ADJ DETAIL-INPUT'!AB63</f>
        <v>0</v>
      </c>
      <c r="AC64" s="405">
        <f>'ADJ DETAIL-INPUT'!AD63</f>
        <v>0</v>
      </c>
      <c r="AD64" s="405">
        <f>'ADJ DETAIL-INPUT'!AE63</f>
        <v>0</v>
      </c>
      <c r="AE64" s="405">
        <f>'ADJ DETAIL-INPUT'!AF63</f>
        <v>0</v>
      </c>
      <c r="AF64" s="405">
        <f>'ADJ DETAIL-INPUT'!AG63</f>
        <v>0</v>
      </c>
      <c r="AG64" s="405">
        <f>'ADJ DETAIL-INPUT'!AH63</f>
        <v>0</v>
      </c>
      <c r="AH64" s="405">
        <f>'ADJ DETAIL-INPUT'!AI63</f>
        <v>0</v>
      </c>
      <c r="AI64" s="405">
        <f>'ADJ DETAIL-INPUT'!AJ63</f>
        <v>0</v>
      </c>
      <c r="AJ64" s="405">
        <f>'ADJ DETAIL-INPUT'!AK63</f>
        <v>0</v>
      </c>
      <c r="AK64" s="405">
        <f>'ADJ DETAIL-INPUT'!AL63</f>
        <v>0</v>
      </c>
      <c r="AL64" s="405">
        <f>'ADJ DETAIL-INPUT'!AM63</f>
        <v>0</v>
      </c>
      <c r="AM64" s="405">
        <f>'ADJ DETAIL-INPUT'!AN63</f>
        <v>0</v>
      </c>
      <c r="AN64" s="405">
        <f>'ADJ DETAIL-INPUT'!AO63</f>
        <v>0</v>
      </c>
      <c r="AO64" s="405">
        <f>'ADJ DETAIL-INPUT'!AP63</f>
        <v>0</v>
      </c>
      <c r="AP64" s="405">
        <f>'ADJ DETAIL-INPUT'!AQ63</f>
        <v>0</v>
      </c>
      <c r="AQ64" s="405">
        <f>'ADJ DETAIL-INPUT'!AR63</f>
        <v>0</v>
      </c>
      <c r="AR64" s="405">
        <f>'ADJ DETAIL-INPUT'!AS63</f>
        <v>0</v>
      </c>
      <c r="AS64" s="405">
        <f>'ADJ DETAIL-INPUT'!AT63</f>
        <v>19613</v>
      </c>
      <c r="AT64" s="405">
        <f>'ADJ DETAIL-INPUT'!AU63</f>
        <v>0</v>
      </c>
      <c r="AU64" s="405">
        <f>'ADJ DETAIL-INPUT'!AV63</f>
        <v>44</v>
      </c>
      <c r="AV64" s="405">
        <f>'ADJ DETAIL-INPUT'!AW63</f>
        <v>1677</v>
      </c>
      <c r="AW64" s="405">
        <f>'ADJ DETAIL-INPUT'!AX63</f>
        <v>0</v>
      </c>
      <c r="AX64" s="405">
        <f>'ADJ DETAIL-INPUT'!AY63</f>
        <v>69477</v>
      </c>
      <c r="AY64" s="405">
        <f>'ADJ DETAIL-INPUT'!AZ63</f>
        <v>29256</v>
      </c>
      <c r="AZ64" s="405">
        <f>'ADJ DETAIL-INPUT'!BA63</f>
        <v>0</v>
      </c>
      <c r="BA64" s="405">
        <f>'ADJ DETAIL-INPUT'!BB63</f>
        <v>11489</v>
      </c>
      <c r="BB64" s="405">
        <f>'ADJ DETAIL-INPUT'!BC63</f>
        <v>6628</v>
      </c>
      <c r="BC64" s="405">
        <f>'ADJ DETAIL-INPUT'!BD63</f>
        <v>0</v>
      </c>
      <c r="BD64" s="405">
        <f>'ADJ DETAIL-INPUT'!BE63</f>
        <v>0</v>
      </c>
      <c r="BE64" s="405">
        <f>'ADJ DETAIL-INPUT'!BF63</f>
        <v>0</v>
      </c>
      <c r="BF64" s="405">
        <f>'ADJ DETAIL-INPUT'!BJ63</f>
        <v>0</v>
      </c>
      <c r="BG64" s="405">
        <f>'ADJ DETAIL-INPUT'!BK63</f>
        <v>0</v>
      </c>
      <c r="BH64" s="405">
        <f>'ADJ DETAIL-INPUT'!BL63</f>
        <v>0</v>
      </c>
      <c r="BI64" s="405">
        <f>'ADJ DETAIL-INPUT'!BM63</f>
        <v>0</v>
      </c>
      <c r="BJ64" s="405">
        <f>'ADJ DETAIL-INPUT'!BN63</f>
        <v>0</v>
      </c>
      <c r="BK64" s="405">
        <f>'ADJ DETAIL-INPUT'!BO63</f>
        <v>0</v>
      </c>
      <c r="BL64" s="405">
        <f>'ADJ DETAIL-INPUT'!BP63</f>
        <v>0</v>
      </c>
      <c r="BM64" s="405">
        <f>'ADJ DETAIL-INPUT'!BQ63</f>
        <v>0</v>
      </c>
      <c r="BN64" s="405">
        <f>'ADJ DETAIL-INPUT'!BR63</f>
        <v>91557</v>
      </c>
      <c r="BO64" s="405">
        <f>'ADJ DETAIL-INPUT'!BS63</f>
        <v>0</v>
      </c>
      <c r="BP64" s="405">
        <f>'ADJ DETAIL-INPUT'!BT63</f>
        <v>14464</v>
      </c>
      <c r="BQ64" s="405">
        <f>'ADJ DETAIL-INPUT'!BU63</f>
        <v>0</v>
      </c>
      <c r="BR64" s="405">
        <f>'ADJ DETAIL-INPUT'!BV63</f>
        <v>0</v>
      </c>
    </row>
    <row r="65" spans="1:70" s="396" customFormat="1">
      <c r="A65" s="397">
        <f>'ADJ DETAIL-INPUT'!A64</f>
        <v>36</v>
      </c>
      <c r="C65" s="396" t="str">
        <f>'ADJ DETAIL-INPUT'!C64</f>
        <v xml:space="preserve">General  </v>
      </c>
      <c r="E65" s="732">
        <f>'ADJ DETAIL-INPUT'!E64</f>
        <v>294532</v>
      </c>
      <c r="F65" s="414">
        <f>'ADJ DETAIL-INPUT'!F64</f>
        <v>0</v>
      </c>
      <c r="G65" s="414">
        <f>'ADJ DETAIL-INPUT'!G64</f>
        <v>0</v>
      </c>
      <c r="H65" s="414">
        <f>'ADJ DETAIL-INPUT'!H64</f>
        <v>0</v>
      </c>
      <c r="I65" s="414">
        <f>'ADJ DETAIL-INPUT'!I64</f>
        <v>0</v>
      </c>
      <c r="J65" s="414">
        <f>'ADJ DETAIL-INPUT'!J64</f>
        <v>0</v>
      </c>
      <c r="K65" s="414">
        <f>'ADJ DETAIL-INPUT'!K64</f>
        <v>0</v>
      </c>
      <c r="L65" s="414">
        <f>'ADJ DETAIL-INPUT'!L64</f>
        <v>0</v>
      </c>
      <c r="M65" s="414">
        <f>'ADJ DETAIL-INPUT'!M64</f>
        <v>0</v>
      </c>
      <c r="N65" s="414">
        <f>'ADJ DETAIL-INPUT'!N64</f>
        <v>0</v>
      </c>
      <c r="O65" s="414">
        <f>'ADJ DETAIL-INPUT'!O64</f>
        <v>0</v>
      </c>
      <c r="P65" s="414">
        <f>'ADJ DETAIL-INPUT'!P64</f>
        <v>0</v>
      </c>
      <c r="Q65" s="414">
        <f>'ADJ DETAIL-INPUT'!Q64</f>
        <v>0</v>
      </c>
      <c r="R65" s="414">
        <f>'ADJ DETAIL-INPUT'!R64</f>
        <v>0</v>
      </c>
      <c r="S65" s="414">
        <f>'ADJ DETAIL-INPUT'!S64</f>
        <v>0</v>
      </c>
      <c r="T65" s="414">
        <f>'ADJ DETAIL-INPUT'!T64</f>
        <v>0</v>
      </c>
      <c r="U65" s="414">
        <f>'ADJ DETAIL-INPUT'!U64</f>
        <v>0</v>
      </c>
      <c r="V65" s="414">
        <f>'ADJ DETAIL-INPUT'!V64</f>
        <v>0</v>
      </c>
      <c r="W65" s="414">
        <f>'ADJ DETAIL-INPUT'!W64</f>
        <v>10592</v>
      </c>
      <c r="X65" s="414">
        <f>'ADJ DETAIL-INPUT'!X64</f>
        <v>0</v>
      </c>
      <c r="Y65" s="414">
        <f>'ADJ DETAIL-INPUT'!Y64</f>
        <v>0</v>
      </c>
      <c r="Z65" s="414">
        <f>'ADJ DETAIL-INPUT'!Z64</f>
        <v>0</v>
      </c>
      <c r="AA65" s="414">
        <f>'ADJ DETAIL-INPUT'!AA64</f>
        <v>0</v>
      </c>
      <c r="AB65" s="414">
        <f>'ADJ DETAIL-INPUT'!AB64</f>
        <v>0</v>
      </c>
      <c r="AC65" s="414">
        <f>'ADJ DETAIL-INPUT'!AD64</f>
        <v>0</v>
      </c>
      <c r="AD65" s="414">
        <f>'ADJ DETAIL-INPUT'!AE64</f>
        <v>0</v>
      </c>
      <c r="AE65" s="414">
        <f>'ADJ DETAIL-INPUT'!AF64</f>
        <v>0</v>
      </c>
      <c r="AF65" s="414">
        <f>'ADJ DETAIL-INPUT'!AG64</f>
        <v>0</v>
      </c>
      <c r="AG65" s="414">
        <f>'ADJ DETAIL-INPUT'!AH64</f>
        <v>0</v>
      </c>
      <c r="AH65" s="414">
        <f>'ADJ DETAIL-INPUT'!AI64</f>
        <v>0</v>
      </c>
      <c r="AI65" s="414">
        <f>'ADJ DETAIL-INPUT'!AJ64</f>
        <v>0</v>
      </c>
      <c r="AJ65" s="414">
        <f>'ADJ DETAIL-INPUT'!AK64</f>
        <v>0</v>
      </c>
      <c r="AK65" s="414">
        <f>'ADJ DETAIL-INPUT'!AL64</f>
        <v>0</v>
      </c>
      <c r="AL65" s="414">
        <f>'ADJ DETAIL-INPUT'!AM64</f>
        <v>0</v>
      </c>
      <c r="AM65" s="414">
        <f>'ADJ DETAIL-INPUT'!AN64</f>
        <v>0</v>
      </c>
      <c r="AN65" s="414">
        <f>'ADJ DETAIL-INPUT'!AO64</f>
        <v>0</v>
      </c>
      <c r="AO65" s="414">
        <f>'ADJ DETAIL-INPUT'!AP64</f>
        <v>0</v>
      </c>
      <c r="AP65" s="414">
        <f>'ADJ DETAIL-INPUT'!AQ64</f>
        <v>0</v>
      </c>
      <c r="AQ65" s="414">
        <f>'ADJ DETAIL-INPUT'!AR64</f>
        <v>0</v>
      </c>
      <c r="AR65" s="414">
        <f>'ADJ DETAIL-INPUT'!AS64</f>
        <v>0</v>
      </c>
      <c r="AS65" s="414">
        <f>'ADJ DETAIL-INPUT'!AT64</f>
        <v>10374</v>
      </c>
      <c r="AT65" s="414">
        <f>'ADJ DETAIL-INPUT'!AU64</f>
        <v>0</v>
      </c>
      <c r="AU65" s="414">
        <f>'ADJ DETAIL-INPUT'!AV64</f>
        <v>484</v>
      </c>
      <c r="AV65" s="414">
        <f>'ADJ DETAIL-INPUT'!AW64</f>
        <v>2</v>
      </c>
      <c r="AW65" s="414">
        <f>'ADJ DETAIL-INPUT'!AX64</f>
        <v>0</v>
      </c>
      <c r="AX65" s="414">
        <f>'ADJ DETAIL-INPUT'!AY64</f>
        <v>8788</v>
      </c>
      <c r="AY65" s="414">
        <f>'ADJ DETAIL-INPUT'!AZ64</f>
        <v>2615</v>
      </c>
      <c r="AZ65" s="414">
        <f>'ADJ DETAIL-INPUT'!BA64</f>
        <v>0</v>
      </c>
      <c r="BA65" s="414">
        <f>'ADJ DETAIL-INPUT'!BB64</f>
        <v>477</v>
      </c>
      <c r="BB65" s="414">
        <f>'ADJ DETAIL-INPUT'!BC64</f>
        <v>208</v>
      </c>
      <c r="BC65" s="414">
        <f>'ADJ DETAIL-INPUT'!BD64</f>
        <v>0</v>
      </c>
      <c r="BD65" s="414">
        <f>'ADJ DETAIL-INPUT'!BE64</f>
        <v>0</v>
      </c>
      <c r="BE65" s="414">
        <f>'ADJ DETAIL-INPUT'!BF64</f>
        <v>0</v>
      </c>
      <c r="BF65" s="414">
        <f>'ADJ DETAIL-INPUT'!BJ64</f>
        <v>0</v>
      </c>
      <c r="BG65" s="414">
        <f>'ADJ DETAIL-INPUT'!BK64</f>
        <v>0</v>
      </c>
      <c r="BH65" s="414">
        <f>'ADJ DETAIL-INPUT'!BL64</f>
        <v>0</v>
      </c>
      <c r="BI65" s="414">
        <f>'ADJ DETAIL-INPUT'!BM64</f>
        <v>0</v>
      </c>
      <c r="BJ65" s="414">
        <f>'ADJ DETAIL-INPUT'!BN64</f>
        <v>0</v>
      </c>
      <c r="BK65" s="414">
        <f>'ADJ DETAIL-INPUT'!BO64</f>
        <v>0</v>
      </c>
      <c r="BL65" s="414">
        <f>'ADJ DETAIL-INPUT'!BP64</f>
        <v>0</v>
      </c>
      <c r="BM65" s="414">
        <f>'ADJ DETAIL-INPUT'!BQ64</f>
        <v>0</v>
      </c>
      <c r="BN65" s="414">
        <f>'ADJ DETAIL-INPUT'!BR64</f>
        <v>2012</v>
      </c>
      <c r="BO65" s="414">
        <f>'ADJ DETAIL-INPUT'!BS64</f>
        <v>0</v>
      </c>
      <c r="BP65" s="414">
        <f>'ADJ DETAIL-INPUT'!BT64</f>
        <v>477</v>
      </c>
      <c r="BQ65" s="414">
        <f>'ADJ DETAIL-INPUT'!BU64</f>
        <v>0</v>
      </c>
      <c r="BR65" s="414">
        <f>'ADJ DETAIL-INPUT'!BV64</f>
        <v>0</v>
      </c>
    </row>
    <row r="66" spans="1:70" s="396" customFormat="1">
      <c r="A66" s="397">
        <f>'ADJ DETAIL-INPUT'!A65</f>
        <v>37</v>
      </c>
      <c r="B66" s="396" t="str">
        <f>'ADJ DETAIL-INPUT'!B65</f>
        <v xml:space="preserve">Total Plant in Service  </v>
      </c>
      <c r="E66" s="406">
        <f>'ADJ DETAIL-INPUT'!E65</f>
        <v>3376734</v>
      </c>
      <c r="F66" s="405">
        <f>'ADJ DETAIL-INPUT'!F65</f>
        <v>0</v>
      </c>
      <c r="G66" s="405">
        <f>'ADJ DETAIL-INPUT'!G65</f>
        <v>0</v>
      </c>
      <c r="H66" s="405">
        <f>'ADJ DETAIL-INPUT'!H65</f>
        <v>0</v>
      </c>
      <c r="I66" s="405">
        <f>'ADJ DETAIL-INPUT'!I65</f>
        <v>0</v>
      </c>
      <c r="J66" s="405">
        <f>'ADJ DETAIL-INPUT'!J65</f>
        <v>0</v>
      </c>
      <c r="K66" s="405">
        <f>'ADJ DETAIL-INPUT'!K65</f>
        <v>0</v>
      </c>
      <c r="L66" s="405">
        <f>'ADJ DETAIL-INPUT'!L65</f>
        <v>0</v>
      </c>
      <c r="M66" s="405">
        <f>'ADJ DETAIL-INPUT'!M65</f>
        <v>0</v>
      </c>
      <c r="N66" s="405">
        <f>'ADJ DETAIL-INPUT'!N65</f>
        <v>0</v>
      </c>
      <c r="O66" s="405">
        <f>'ADJ DETAIL-INPUT'!O65</f>
        <v>0</v>
      </c>
      <c r="P66" s="405">
        <f>'ADJ DETAIL-INPUT'!P65</f>
        <v>0</v>
      </c>
      <c r="Q66" s="405">
        <f>'ADJ DETAIL-INPUT'!Q65</f>
        <v>0</v>
      </c>
      <c r="R66" s="405">
        <f>'ADJ DETAIL-INPUT'!R65</f>
        <v>0</v>
      </c>
      <c r="S66" s="405">
        <f>'ADJ DETAIL-INPUT'!S65</f>
        <v>0</v>
      </c>
      <c r="T66" s="405">
        <f>'ADJ DETAIL-INPUT'!T65</f>
        <v>0</v>
      </c>
      <c r="U66" s="405">
        <f>'ADJ DETAIL-INPUT'!U65</f>
        <v>0</v>
      </c>
      <c r="V66" s="405">
        <f>'ADJ DETAIL-INPUT'!V65</f>
        <v>0</v>
      </c>
      <c r="W66" s="405">
        <f>'ADJ DETAIL-INPUT'!W65</f>
        <v>95037</v>
      </c>
      <c r="X66" s="405">
        <f>'ADJ DETAIL-INPUT'!X65</f>
        <v>0</v>
      </c>
      <c r="Y66" s="405">
        <f>'ADJ DETAIL-INPUT'!Y65</f>
        <v>0</v>
      </c>
      <c r="Z66" s="405">
        <f>'ADJ DETAIL-INPUT'!Z65</f>
        <v>0</v>
      </c>
      <c r="AA66" s="405">
        <f>'ADJ DETAIL-INPUT'!AA65</f>
        <v>0</v>
      </c>
      <c r="AB66" s="405">
        <f>'ADJ DETAIL-INPUT'!AB65</f>
        <v>0</v>
      </c>
      <c r="AC66" s="405">
        <f>'ADJ DETAIL-INPUT'!AD65</f>
        <v>0</v>
      </c>
      <c r="AD66" s="405">
        <f>'ADJ DETAIL-INPUT'!AE65</f>
        <v>0</v>
      </c>
      <c r="AE66" s="405">
        <f>'ADJ DETAIL-INPUT'!AF65</f>
        <v>0</v>
      </c>
      <c r="AF66" s="405">
        <f>'ADJ DETAIL-INPUT'!AG65</f>
        <v>0</v>
      </c>
      <c r="AG66" s="405">
        <f>'ADJ DETAIL-INPUT'!AH65</f>
        <v>0</v>
      </c>
      <c r="AH66" s="405">
        <f>'ADJ DETAIL-INPUT'!AI65</f>
        <v>0</v>
      </c>
      <c r="AI66" s="405">
        <f>'ADJ DETAIL-INPUT'!AJ65</f>
        <v>0</v>
      </c>
      <c r="AJ66" s="405">
        <f>'ADJ DETAIL-INPUT'!AK65</f>
        <v>0</v>
      </c>
      <c r="AK66" s="405">
        <f>'ADJ DETAIL-INPUT'!AL65</f>
        <v>0</v>
      </c>
      <c r="AL66" s="405">
        <f>'ADJ DETAIL-INPUT'!AM65</f>
        <v>0</v>
      </c>
      <c r="AM66" s="405">
        <f>'ADJ DETAIL-INPUT'!AN65</f>
        <v>0</v>
      </c>
      <c r="AN66" s="405">
        <f>'ADJ DETAIL-INPUT'!AO65</f>
        <v>0</v>
      </c>
      <c r="AO66" s="405">
        <f>'ADJ DETAIL-INPUT'!AP65</f>
        <v>0</v>
      </c>
      <c r="AP66" s="405">
        <f>'ADJ DETAIL-INPUT'!AQ65</f>
        <v>0</v>
      </c>
      <c r="AQ66" s="405">
        <f>'ADJ DETAIL-INPUT'!AR65</f>
        <v>0</v>
      </c>
      <c r="AR66" s="405">
        <f>'ADJ DETAIL-INPUT'!AS65</f>
        <v>0</v>
      </c>
      <c r="AS66" s="405">
        <f>'ADJ DETAIL-INPUT'!AT65</f>
        <v>56408</v>
      </c>
      <c r="AT66" s="405">
        <f>'ADJ DETAIL-INPUT'!AU65</f>
        <v>0</v>
      </c>
      <c r="AU66" s="405">
        <f>'ADJ DETAIL-INPUT'!AV65</f>
        <v>7811</v>
      </c>
      <c r="AV66" s="405">
        <f>'ADJ DETAIL-INPUT'!AW65</f>
        <v>2504</v>
      </c>
      <c r="AW66" s="405">
        <f>'ADJ DETAIL-INPUT'!AX65</f>
        <v>-2001</v>
      </c>
      <c r="AX66" s="405">
        <f>'ADJ DETAIL-INPUT'!AY65</f>
        <v>145097</v>
      </c>
      <c r="AY66" s="405">
        <f>'ADJ DETAIL-INPUT'!AZ65</f>
        <v>56064</v>
      </c>
      <c r="AZ66" s="405">
        <f>'ADJ DETAIL-INPUT'!BA65</f>
        <v>0</v>
      </c>
      <c r="BA66" s="405">
        <f>'ADJ DETAIL-INPUT'!BB65</f>
        <v>14789</v>
      </c>
      <c r="BB66" s="405">
        <f>'ADJ DETAIL-INPUT'!BC65</f>
        <v>7938</v>
      </c>
      <c r="BC66" s="405">
        <f>'ADJ DETAIL-INPUT'!BD65</f>
        <v>0</v>
      </c>
      <c r="BD66" s="405">
        <f>'ADJ DETAIL-INPUT'!BE65</f>
        <v>0</v>
      </c>
      <c r="BE66" s="405">
        <f>'ADJ DETAIL-INPUT'!BF65</f>
        <v>125</v>
      </c>
      <c r="BF66" s="405">
        <f>'ADJ DETAIL-INPUT'!BJ65</f>
        <v>0</v>
      </c>
      <c r="BG66" s="405">
        <f>'ADJ DETAIL-INPUT'!BK65</f>
        <v>0</v>
      </c>
      <c r="BH66" s="405">
        <f>'ADJ DETAIL-INPUT'!BL65</f>
        <v>0</v>
      </c>
      <c r="BI66" s="405">
        <f>'ADJ DETAIL-INPUT'!BM65</f>
        <v>0</v>
      </c>
      <c r="BJ66" s="405">
        <f>'ADJ DETAIL-INPUT'!BN65</f>
        <v>0</v>
      </c>
      <c r="BK66" s="405">
        <f>'ADJ DETAIL-INPUT'!BO65</f>
        <v>0</v>
      </c>
      <c r="BL66" s="405">
        <f>'ADJ DETAIL-INPUT'!BP65</f>
        <v>0</v>
      </c>
      <c r="BM66" s="405">
        <f>'ADJ DETAIL-INPUT'!BQ65</f>
        <v>0</v>
      </c>
      <c r="BN66" s="405">
        <f>'ADJ DETAIL-INPUT'!BR65</f>
        <v>142809</v>
      </c>
      <c r="BO66" s="405">
        <f>'ADJ DETAIL-INPUT'!BS65</f>
        <v>0</v>
      </c>
      <c r="BP66" s="405">
        <f>'ADJ DETAIL-INPUT'!BT65</f>
        <v>17694</v>
      </c>
      <c r="BQ66" s="405">
        <f>'ADJ DETAIL-INPUT'!BU65</f>
        <v>0</v>
      </c>
      <c r="BR66" s="405">
        <f>'ADJ DETAIL-INPUT'!BV65</f>
        <v>243</v>
      </c>
    </row>
    <row r="67" spans="1:70" s="396" customFormat="1">
      <c r="A67" s="397"/>
      <c r="B67" s="396" t="str">
        <f>'ADJ DETAIL-INPUT'!B66</f>
        <v>ACCUMULATED DEPRECIATION/AMORT</v>
      </c>
      <c r="E67" s="406"/>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5"/>
      <c r="AZ67" s="405"/>
      <c r="BA67" s="405"/>
      <c r="BB67" s="405"/>
      <c r="BC67" s="405"/>
      <c r="BD67" s="405"/>
      <c r="BE67" s="405"/>
      <c r="BF67" s="405"/>
      <c r="BG67" s="405"/>
      <c r="BH67" s="405"/>
      <c r="BI67" s="405"/>
      <c r="BJ67" s="405"/>
      <c r="BK67" s="405"/>
      <c r="BL67" s="405"/>
      <c r="BM67" s="405"/>
      <c r="BN67" s="405"/>
      <c r="BO67" s="405"/>
      <c r="BP67" s="405"/>
      <c r="BQ67" s="405"/>
      <c r="BR67" s="405"/>
    </row>
    <row r="68" spans="1:70" s="396" customFormat="1">
      <c r="A68" s="397">
        <f>'ADJ DETAIL-INPUT'!A67</f>
        <v>38</v>
      </c>
      <c r="C68" s="395" t="str">
        <f>'ADJ DETAIL-INPUT'!C67</f>
        <v xml:space="preserve">Intangible  </v>
      </c>
      <c r="E68" s="733">
        <f>'ADJ DETAIL-INPUT'!E67</f>
        <v>-84845</v>
      </c>
      <c r="F68" s="405">
        <f>'ADJ DETAIL-INPUT'!F67</f>
        <v>0</v>
      </c>
      <c r="G68" s="405">
        <f>'ADJ DETAIL-INPUT'!G67</f>
        <v>0</v>
      </c>
      <c r="H68" s="405">
        <f>'ADJ DETAIL-INPUT'!H67</f>
        <v>0</v>
      </c>
      <c r="I68" s="405">
        <f>'ADJ DETAIL-INPUT'!I67</f>
        <v>0</v>
      </c>
      <c r="J68" s="405">
        <f>'ADJ DETAIL-INPUT'!J67</f>
        <v>0</v>
      </c>
      <c r="K68" s="405">
        <f>'ADJ DETAIL-INPUT'!K67</f>
        <v>0</v>
      </c>
      <c r="L68" s="405">
        <f>'ADJ DETAIL-INPUT'!L67</f>
        <v>0</v>
      </c>
      <c r="M68" s="405">
        <f>'ADJ DETAIL-INPUT'!M67</f>
        <v>0</v>
      </c>
      <c r="N68" s="405">
        <f>'ADJ DETAIL-INPUT'!N67</f>
        <v>0</v>
      </c>
      <c r="O68" s="405">
        <f>'ADJ DETAIL-INPUT'!O67</f>
        <v>0</v>
      </c>
      <c r="P68" s="405">
        <f>'ADJ DETAIL-INPUT'!P67</f>
        <v>0</v>
      </c>
      <c r="Q68" s="405">
        <f>'ADJ DETAIL-INPUT'!Q67</f>
        <v>0</v>
      </c>
      <c r="R68" s="405">
        <f>'ADJ DETAIL-INPUT'!R67</f>
        <v>0</v>
      </c>
      <c r="S68" s="405">
        <f>'ADJ DETAIL-INPUT'!S67</f>
        <v>0</v>
      </c>
      <c r="T68" s="405">
        <f>'ADJ DETAIL-INPUT'!T67</f>
        <v>0</v>
      </c>
      <c r="U68" s="405">
        <f>'ADJ DETAIL-INPUT'!U67</f>
        <v>0</v>
      </c>
      <c r="V68" s="405">
        <f>'ADJ DETAIL-INPUT'!V67</f>
        <v>0</v>
      </c>
      <c r="W68" s="405">
        <f>'ADJ DETAIL-INPUT'!W67</f>
        <v>-7817</v>
      </c>
      <c r="X68" s="405">
        <f>'ADJ DETAIL-INPUT'!X67</f>
        <v>0</v>
      </c>
      <c r="Y68" s="405">
        <f>'ADJ DETAIL-INPUT'!Y67</f>
        <v>0</v>
      </c>
      <c r="Z68" s="405">
        <f>'ADJ DETAIL-INPUT'!Z67</f>
        <v>0</v>
      </c>
      <c r="AA68" s="405">
        <f>'ADJ DETAIL-INPUT'!AA67</f>
        <v>0</v>
      </c>
      <c r="AB68" s="405">
        <f>'ADJ DETAIL-INPUT'!AB67</f>
        <v>0</v>
      </c>
      <c r="AC68" s="405">
        <f>'ADJ DETAIL-INPUT'!AD67</f>
        <v>0</v>
      </c>
      <c r="AD68" s="405">
        <f>'ADJ DETAIL-INPUT'!AE67</f>
        <v>0</v>
      </c>
      <c r="AE68" s="405">
        <f>'ADJ DETAIL-INPUT'!AF67</f>
        <v>0</v>
      </c>
      <c r="AF68" s="405">
        <f>'ADJ DETAIL-INPUT'!AG67</f>
        <v>0</v>
      </c>
      <c r="AG68" s="405">
        <f>'ADJ DETAIL-INPUT'!AH67</f>
        <v>0</v>
      </c>
      <c r="AH68" s="405">
        <f>'ADJ DETAIL-INPUT'!AI67</f>
        <v>-20967</v>
      </c>
      <c r="AI68" s="405">
        <f>'ADJ DETAIL-INPUT'!AJ67</f>
        <v>0</v>
      </c>
      <c r="AJ68" s="405">
        <f>'ADJ DETAIL-INPUT'!AK67</f>
        <v>0</v>
      </c>
      <c r="AK68" s="405">
        <f>'ADJ DETAIL-INPUT'!AL67</f>
        <v>0</v>
      </c>
      <c r="AL68" s="405">
        <f>'ADJ DETAIL-INPUT'!AM67</f>
        <v>0</v>
      </c>
      <c r="AM68" s="405">
        <f>'ADJ DETAIL-INPUT'!AN67</f>
        <v>0</v>
      </c>
      <c r="AN68" s="405">
        <f>'ADJ DETAIL-INPUT'!AO67</f>
        <v>0</v>
      </c>
      <c r="AO68" s="405">
        <f>'ADJ DETAIL-INPUT'!AP67</f>
        <v>0</v>
      </c>
      <c r="AP68" s="405">
        <f>'ADJ DETAIL-INPUT'!AQ67</f>
        <v>0</v>
      </c>
      <c r="AQ68" s="405">
        <f>'ADJ DETAIL-INPUT'!AR67</f>
        <v>0</v>
      </c>
      <c r="AR68" s="405">
        <f>'ADJ DETAIL-INPUT'!AS67</f>
        <v>0</v>
      </c>
      <c r="AS68" s="405">
        <f>'ADJ DETAIL-INPUT'!AT67</f>
        <v>-2856</v>
      </c>
      <c r="AT68" s="405">
        <f>'ADJ DETAIL-INPUT'!AU67</f>
        <v>0</v>
      </c>
      <c r="AU68" s="405">
        <f>'ADJ DETAIL-INPUT'!AV67</f>
        <v>-1227</v>
      </c>
      <c r="AV68" s="405">
        <f>'ADJ DETAIL-INPUT'!AW67</f>
        <v>-2</v>
      </c>
      <c r="AW68" s="405">
        <f>'ADJ DETAIL-INPUT'!AX67</f>
        <v>0</v>
      </c>
      <c r="AX68" s="405">
        <f>'ADJ DETAIL-INPUT'!AY67</f>
        <v>-6977.6830161031212</v>
      </c>
      <c r="AY68" s="405">
        <f>'ADJ DETAIL-INPUT'!AZ67</f>
        <v>-5330.8415080515606</v>
      </c>
      <c r="AZ68" s="405">
        <f>'ADJ DETAIL-INPUT'!BA67</f>
        <v>0</v>
      </c>
      <c r="BA68" s="405">
        <f>'ADJ DETAIL-INPUT'!BB67</f>
        <v>-31</v>
      </c>
      <c r="BB68" s="405">
        <f>'ADJ DETAIL-INPUT'!BC67</f>
        <v>-18</v>
      </c>
      <c r="BC68" s="405">
        <f>'ADJ DETAIL-INPUT'!BD67</f>
        <v>0</v>
      </c>
      <c r="BD68" s="405">
        <f>'ADJ DETAIL-INPUT'!BE67</f>
        <v>0</v>
      </c>
      <c r="BE68" s="405">
        <f>'ADJ DETAIL-INPUT'!BF67</f>
        <v>-832</v>
      </c>
      <c r="BF68" s="405">
        <f>'ADJ DETAIL-INPUT'!BJ67</f>
        <v>0</v>
      </c>
      <c r="BG68" s="405">
        <f>'ADJ DETAIL-INPUT'!BK67</f>
        <v>0</v>
      </c>
      <c r="BH68" s="405">
        <f>'ADJ DETAIL-INPUT'!BL67</f>
        <v>0</v>
      </c>
      <c r="BI68" s="405">
        <f>'ADJ DETAIL-INPUT'!BM67</f>
        <v>0</v>
      </c>
      <c r="BJ68" s="405">
        <f>'ADJ DETAIL-INPUT'!BN67</f>
        <v>0</v>
      </c>
      <c r="BK68" s="405">
        <f>'ADJ DETAIL-INPUT'!BO67</f>
        <v>0</v>
      </c>
      <c r="BL68" s="405">
        <f>'ADJ DETAIL-INPUT'!BP67</f>
        <v>0</v>
      </c>
      <c r="BM68" s="405">
        <f>'ADJ DETAIL-INPUT'!BQ67</f>
        <v>0</v>
      </c>
      <c r="BN68" s="405">
        <f>'ADJ DETAIL-INPUT'!BR67</f>
        <v>-4894.6830161031212</v>
      </c>
      <c r="BO68" s="405">
        <f>'ADJ DETAIL-INPUT'!BS67</f>
        <v>0</v>
      </c>
      <c r="BP68" s="405">
        <f>'ADJ DETAIL-INPUT'!BT67</f>
        <v>-34</v>
      </c>
      <c r="BQ68" s="405">
        <f>'ADJ DETAIL-INPUT'!BU67</f>
        <v>0</v>
      </c>
      <c r="BR68" s="405">
        <f>'ADJ DETAIL-INPUT'!BV67</f>
        <v>-1604</v>
      </c>
    </row>
    <row r="69" spans="1:70" s="396" customFormat="1">
      <c r="A69" s="397">
        <f>'ADJ DETAIL-INPUT'!A68</f>
        <v>39</v>
      </c>
      <c r="C69" s="396" t="str">
        <f>'ADJ DETAIL-INPUT'!C68</f>
        <v xml:space="preserve">Production  </v>
      </c>
      <c r="E69" s="733">
        <f>'ADJ DETAIL-INPUT'!E68</f>
        <v>-423739</v>
      </c>
      <c r="F69" s="405">
        <f>'ADJ DETAIL-INPUT'!F68</f>
        <v>0</v>
      </c>
      <c r="G69" s="405">
        <f>'ADJ DETAIL-INPUT'!G68</f>
        <v>0</v>
      </c>
      <c r="H69" s="405">
        <f>'ADJ DETAIL-INPUT'!H68</f>
        <v>0</v>
      </c>
      <c r="I69" s="405">
        <f>'ADJ DETAIL-INPUT'!I68</f>
        <v>0</v>
      </c>
      <c r="J69" s="405">
        <f>'ADJ DETAIL-INPUT'!J68</f>
        <v>0</v>
      </c>
      <c r="K69" s="405">
        <f>'ADJ DETAIL-INPUT'!K68</f>
        <v>0</v>
      </c>
      <c r="L69" s="405">
        <f>'ADJ DETAIL-INPUT'!L68</f>
        <v>0</v>
      </c>
      <c r="M69" s="405">
        <f>'ADJ DETAIL-INPUT'!M68</f>
        <v>0</v>
      </c>
      <c r="N69" s="405">
        <f>'ADJ DETAIL-INPUT'!N68</f>
        <v>0</v>
      </c>
      <c r="O69" s="405">
        <f>'ADJ DETAIL-INPUT'!O68</f>
        <v>0</v>
      </c>
      <c r="P69" s="405">
        <f>'ADJ DETAIL-INPUT'!P68</f>
        <v>0</v>
      </c>
      <c r="Q69" s="405">
        <f>'ADJ DETAIL-INPUT'!Q68</f>
        <v>0</v>
      </c>
      <c r="R69" s="405">
        <f>'ADJ DETAIL-INPUT'!R68</f>
        <v>0</v>
      </c>
      <c r="S69" s="405">
        <f>'ADJ DETAIL-INPUT'!S68</f>
        <v>0</v>
      </c>
      <c r="T69" s="405">
        <f>'ADJ DETAIL-INPUT'!T68</f>
        <v>0</v>
      </c>
      <c r="U69" s="405">
        <f>'ADJ DETAIL-INPUT'!U68</f>
        <v>0</v>
      </c>
      <c r="V69" s="405">
        <f>'ADJ DETAIL-INPUT'!V68</f>
        <v>0</v>
      </c>
      <c r="W69" s="405">
        <f>'ADJ DETAIL-INPUT'!W68</f>
        <v>-14429</v>
      </c>
      <c r="X69" s="405">
        <f>'ADJ DETAIL-INPUT'!X68</f>
        <v>0</v>
      </c>
      <c r="Y69" s="405">
        <f>'ADJ DETAIL-INPUT'!Y68</f>
        <v>0</v>
      </c>
      <c r="Z69" s="405">
        <f>'ADJ DETAIL-INPUT'!Z68</f>
        <v>0</v>
      </c>
      <c r="AA69" s="405">
        <f>'ADJ DETAIL-INPUT'!AA68</f>
        <v>0</v>
      </c>
      <c r="AB69" s="405">
        <f>'ADJ DETAIL-INPUT'!AB68</f>
        <v>0</v>
      </c>
      <c r="AC69" s="405">
        <f>'ADJ DETAIL-INPUT'!AD68</f>
        <v>0</v>
      </c>
      <c r="AD69" s="405">
        <f>'ADJ DETAIL-INPUT'!AE68</f>
        <v>0</v>
      </c>
      <c r="AE69" s="405">
        <f>'ADJ DETAIL-INPUT'!AF68</f>
        <v>0</v>
      </c>
      <c r="AF69" s="405">
        <f>'ADJ DETAIL-INPUT'!AG68</f>
        <v>0</v>
      </c>
      <c r="AG69" s="405">
        <f>'ADJ DETAIL-INPUT'!AH68</f>
        <v>0</v>
      </c>
      <c r="AH69" s="405">
        <f>'ADJ DETAIL-INPUT'!AI68</f>
        <v>0</v>
      </c>
      <c r="AI69" s="405">
        <f>'ADJ DETAIL-INPUT'!AJ68</f>
        <v>0</v>
      </c>
      <c r="AJ69" s="405">
        <f>'ADJ DETAIL-INPUT'!AK68</f>
        <v>0</v>
      </c>
      <c r="AK69" s="405">
        <f>'ADJ DETAIL-INPUT'!AL68</f>
        <v>0</v>
      </c>
      <c r="AL69" s="405">
        <f>'ADJ DETAIL-INPUT'!AM68</f>
        <v>0</v>
      </c>
      <c r="AM69" s="405">
        <f>'ADJ DETAIL-INPUT'!AN68</f>
        <v>0</v>
      </c>
      <c r="AN69" s="405">
        <f>'ADJ DETAIL-INPUT'!AO68</f>
        <v>0</v>
      </c>
      <c r="AO69" s="405">
        <f>'ADJ DETAIL-INPUT'!AP68</f>
        <v>0</v>
      </c>
      <c r="AP69" s="405">
        <f>'ADJ DETAIL-INPUT'!AQ68</f>
        <v>0</v>
      </c>
      <c r="AQ69" s="405">
        <f>'ADJ DETAIL-INPUT'!AR68</f>
        <v>0</v>
      </c>
      <c r="AR69" s="405">
        <f>'ADJ DETAIL-INPUT'!AS68</f>
        <v>0</v>
      </c>
      <c r="AS69" s="405">
        <f>'ADJ DETAIL-INPUT'!AT68</f>
        <v>-3724</v>
      </c>
      <c r="AT69" s="405">
        <f>'ADJ DETAIL-INPUT'!AU68</f>
        <v>0</v>
      </c>
      <c r="AU69" s="405">
        <f>'ADJ DETAIL-INPUT'!AV68</f>
        <v>-3</v>
      </c>
      <c r="AV69" s="405">
        <f>'ADJ DETAIL-INPUT'!AW68</f>
        <v>0</v>
      </c>
      <c r="AW69" s="405">
        <f>'ADJ DETAIL-INPUT'!AX68</f>
        <v>-2998</v>
      </c>
      <c r="AX69" s="405">
        <f>'ADJ DETAIL-INPUT'!AY68</f>
        <v>-12973.372335062933</v>
      </c>
      <c r="AY69" s="405">
        <f>'ADJ DETAIL-INPUT'!AZ68</f>
        <v>-7981.1861675314667</v>
      </c>
      <c r="AZ69" s="405">
        <f>'ADJ DETAIL-INPUT'!BA68</f>
        <v>0</v>
      </c>
      <c r="BA69" s="405">
        <f>'ADJ DETAIL-INPUT'!BB68</f>
        <v>0</v>
      </c>
      <c r="BB69" s="405">
        <f>'ADJ DETAIL-INPUT'!BC68</f>
        <v>0</v>
      </c>
      <c r="BC69" s="405">
        <f>'ADJ DETAIL-INPUT'!BD68</f>
        <v>-11969</v>
      </c>
      <c r="BD69" s="405">
        <f>'ADJ DETAIL-INPUT'!BE68</f>
        <v>-5984</v>
      </c>
      <c r="BE69" s="405">
        <f>'ADJ DETAIL-INPUT'!BF68</f>
        <v>-1</v>
      </c>
      <c r="BF69" s="405">
        <f>'ADJ DETAIL-INPUT'!BJ68</f>
        <v>0</v>
      </c>
      <c r="BG69" s="405">
        <f>'ADJ DETAIL-INPUT'!BK68</f>
        <v>0</v>
      </c>
      <c r="BH69" s="405">
        <f>'ADJ DETAIL-INPUT'!BL68</f>
        <v>0</v>
      </c>
      <c r="BI69" s="405">
        <f>'ADJ DETAIL-INPUT'!BM68</f>
        <v>0</v>
      </c>
      <c r="BJ69" s="405">
        <f>'ADJ DETAIL-INPUT'!BN68</f>
        <v>0</v>
      </c>
      <c r="BK69" s="405">
        <f>'ADJ DETAIL-INPUT'!BO68</f>
        <v>0</v>
      </c>
      <c r="BL69" s="405">
        <f>'ADJ DETAIL-INPUT'!BP68</f>
        <v>0</v>
      </c>
      <c r="BM69" s="405">
        <f>'ADJ DETAIL-INPUT'!BQ68</f>
        <v>0</v>
      </c>
      <c r="BN69" s="405">
        <f>'ADJ DETAIL-INPUT'!BR68</f>
        <v>-18495.372335062933</v>
      </c>
      <c r="BO69" s="405">
        <f>'ADJ DETAIL-INPUT'!BS68</f>
        <v>0</v>
      </c>
      <c r="BP69" s="405">
        <f>'ADJ DETAIL-INPUT'!BT68</f>
        <v>0</v>
      </c>
      <c r="BQ69" s="405">
        <f>'ADJ DETAIL-INPUT'!BU68</f>
        <v>-11969</v>
      </c>
      <c r="BR69" s="405">
        <f>'ADJ DETAIL-INPUT'!BV68</f>
        <v>-2</v>
      </c>
    </row>
    <row r="70" spans="1:70" s="396" customFormat="1">
      <c r="A70" s="397">
        <f>'ADJ DETAIL-INPUT'!A69</f>
        <v>40</v>
      </c>
      <c r="C70" s="396" t="str">
        <f>'ADJ DETAIL-INPUT'!C69</f>
        <v xml:space="preserve">Transmission  </v>
      </c>
      <c r="E70" s="733">
        <f>'ADJ DETAIL-INPUT'!E69</f>
        <v>-158761</v>
      </c>
      <c r="F70" s="405">
        <f>'ADJ DETAIL-INPUT'!F69</f>
        <v>0</v>
      </c>
      <c r="G70" s="405">
        <f>'ADJ DETAIL-INPUT'!G69</f>
        <v>0</v>
      </c>
      <c r="H70" s="405">
        <f>'ADJ DETAIL-INPUT'!H69</f>
        <v>0</v>
      </c>
      <c r="I70" s="405">
        <f>'ADJ DETAIL-INPUT'!I69</f>
        <v>0</v>
      </c>
      <c r="J70" s="405">
        <f>'ADJ DETAIL-INPUT'!J69</f>
        <v>0</v>
      </c>
      <c r="K70" s="405">
        <f>'ADJ DETAIL-INPUT'!K69</f>
        <v>0</v>
      </c>
      <c r="L70" s="405">
        <f>'ADJ DETAIL-INPUT'!L69</f>
        <v>0</v>
      </c>
      <c r="M70" s="405">
        <f>'ADJ DETAIL-INPUT'!M69</f>
        <v>0</v>
      </c>
      <c r="N70" s="405">
        <f>'ADJ DETAIL-INPUT'!N69</f>
        <v>0</v>
      </c>
      <c r="O70" s="405">
        <f>'ADJ DETAIL-INPUT'!O69</f>
        <v>0</v>
      </c>
      <c r="P70" s="405">
        <f>'ADJ DETAIL-INPUT'!P69</f>
        <v>0</v>
      </c>
      <c r="Q70" s="405">
        <f>'ADJ DETAIL-INPUT'!Q69</f>
        <v>0</v>
      </c>
      <c r="R70" s="405">
        <f>'ADJ DETAIL-INPUT'!R69</f>
        <v>0</v>
      </c>
      <c r="S70" s="405">
        <f>'ADJ DETAIL-INPUT'!S69</f>
        <v>0</v>
      </c>
      <c r="T70" s="405">
        <f>'ADJ DETAIL-INPUT'!T69</f>
        <v>0</v>
      </c>
      <c r="U70" s="405">
        <f>'ADJ DETAIL-INPUT'!U69</f>
        <v>0</v>
      </c>
      <c r="V70" s="405">
        <f>'ADJ DETAIL-INPUT'!V69</f>
        <v>0</v>
      </c>
      <c r="W70" s="405">
        <f>'ADJ DETAIL-INPUT'!W69</f>
        <v>-751</v>
      </c>
      <c r="X70" s="405">
        <f>'ADJ DETAIL-INPUT'!X69</f>
        <v>0</v>
      </c>
      <c r="Y70" s="405">
        <f>'ADJ DETAIL-INPUT'!Y69</f>
        <v>0</v>
      </c>
      <c r="Z70" s="405">
        <f>'ADJ DETAIL-INPUT'!Z69</f>
        <v>0</v>
      </c>
      <c r="AA70" s="405">
        <f>'ADJ DETAIL-INPUT'!AA69</f>
        <v>0</v>
      </c>
      <c r="AB70" s="405">
        <f>'ADJ DETAIL-INPUT'!AB69</f>
        <v>0</v>
      </c>
      <c r="AC70" s="405">
        <f>'ADJ DETAIL-INPUT'!AD69</f>
        <v>0</v>
      </c>
      <c r="AD70" s="405">
        <f>'ADJ DETAIL-INPUT'!AE69</f>
        <v>0</v>
      </c>
      <c r="AE70" s="405">
        <f>'ADJ DETAIL-INPUT'!AF69</f>
        <v>0</v>
      </c>
      <c r="AF70" s="405">
        <f>'ADJ DETAIL-INPUT'!AG69</f>
        <v>0</v>
      </c>
      <c r="AG70" s="405">
        <f>'ADJ DETAIL-INPUT'!AH69</f>
        <v>0</v>
      </c>
      <c r="AH70" s="405">
        <f>'ADJ DETAIL-INPUT'!AI69</f>
        <v>0</v>
      </c>
      <c r="AI70" s="405">
        <f>'ADJ DETAIL-INPUT'!AJ69</f>
        <v>0</v>
      </c>
      <c r="AJ70" s="405">
        <f>'ADJ DETAIL-INPUT'!AK69</f>
        <v>0</v>
      </c>
      <c r="AK70" s="405">
        <f>'ADJ DETAIL-INPUT'!AL69</f>
        <v>0</v>
      </c>
      <c r="AL70" s="405">
        <f>'ADJ DETAIL-INPUT'!AM69</f>
        <v>0</v>
      </c>
      <c r="AM70" s="405">
        <f>'ADJ DETAIL-INPUT'!AN69</f>
        <v>0</v>
      </c>
      <c r="AN70" s="405">
        <f>'ADJ DETAIL-INPUT'!AO69</f>
        <v>0</v>
      </c>
      <c r="AO70" s="405">
        <f>'ADJ DETAIL-INPUT'!AP69</f>
        <v>0</v>
      </c>
      <c r="AP70" s="405">
        <f>'ADJ DETAIL-INPUT'!AQ69</f>
        <v>0</v>
      </c>
      <c r="AQ70" s="405">
        <f>'ADJ DETAIL-INPUT'!AR69</f>
        <v>0</v>
      </c>
      <c r="AR70" s="405">
        <f>'ADJ DETAIL-INPUT'!AS69</f>
        <v>0</v>
      </c>
      <c r="AS70" s="405">
        <f>'ADJ DETAIL-INPUT'!AT69</f>
        <v>-1777.3002615513778</v>
      </c>
      <c r="AT70" s="405">
        <f>'ADJ DETAIL-INPUT'!AU69</f>
        <v>0</v>
      </c>
      <c r="AU70" s="405">
        <f>'ADJ DETAIL-INPUT'!AV69</f>
        <v>-1</v>
      </c>
      <c r="AV70" s="405">
        <f>'ADJ DETAIL-INPUT'!AW69</f>
        <v>-2</v>
      </c>
      <c r="AW70" s="405">
        <f>'ADJ DETAIL-INPUT'!AX69</f>
        <v>0</v>
      </c>
      <c r="AX70" s="405">
        <f>'ADJ DETAIL-INPUT'!AY69</f>
        <v>-10941.67323141093</v>
      </c>
      <c r="AY70" s="405">
        <f>'ADJ DETAIL-INPUT'!AZ69</f>
        <v>-5655.3366157054652</v>
      </c>
      <c r="AZ70" s="405">
        <f>'ADJ DETAIL-INPUT'!BA69</f>
        <v>0</v>
      </c>
      <c r="BA70" s="405">
        <f>'ADJ DETAIL-INPUT'!BB69</f>
        <v>-39</v>
      </c>
      <c r="BB70" s="405">
        <f>'ADJ DETAIL-INPUT'!BC69</f>
        <v>-44</v>
      </c>
      <c r="BC70" s="405">
        <f>'ADJ DETAIL-INPUT'!BD69</f>
        <v>0</v>
      </c>
      <c r="BD70" s="405">
        <f>'ADJ DETAIL-INPUT'!BE69</f>
        <v>0</v>
      </c>
      <c r="BE70" s="405">
        <f>'ADJ DETAIL-INPUT'!BF69</f>
        <v>0</v>
      </c>
      <c r="BF70" s="405">
        <f>'ADJ DETAIL-INPUT'!BJ69</f>
        <v>0</v>
      </c>
      <c r="BG70" s="405">
        <f>'ADJ DETAIL-INPUT'!BK69</f>
        <v>0</v>
      </c>
      <c r="BH70" s="405">
        <f>'ADJ DETAIL-INPUT'!BL69</f>
        <v>0</v>
      </c>
      <c r="BI70" s="405">
        <f>'ADJ DETAIL-INPUT'!BM69</f>
        <v>0</v>
      </c>
      <c r="BJ70" s="405">
        <f>'ADJ DETAIL-INPUT'!BN69</f>
        <v>0</v>
      </c>
      <c r="BK70" s="405">
        <f>'ADJ DETAIL-INPUT'!BO69</f>
        <v>0</v>
      </c>
      <c r="BL70" s="405">
        <f>'ADJ DETAIL-INPUT'!BP69</f>
        <v>0</v>
      </c>
      <c r="BM70" s="405">
        <f>'ADJ DETAIL-INPUT'!BQ69</f>
        <v>0</v>
      </c>
      <c r="BN70" s="405">
        <f>'ADJ DETAIL-INPUT'!BR69</f>
        <v>-11234.67323141093</v>
      </c>
      <c r="BO70" s="405">
        <f>'ADJ DETAIL-INPUT'!BS69</f>
        <v>0</v>
      </c>
      <c r="BP70" s="405">
        <f>'ADJ DETAIL-INPUT'!BT69</f>
        <v>-127</v>
      </c>
      <c r="BQ70" s="405">
        <f>'ADJ DETAIL-INPUT'!BU69</f>
        <v>0</v>
      </c>
      <c r="BR70" s="405">
        <f>'ADJ DETAIL-INPUT'!BV69</f>
        <v>-1</v>
      </c>
    </row>
    <row r="71" spans="1:70" s="396" customFormat="1">
      <c r="A71" s="397">
        <f>'ADJ DETAIL-INPUT'!A70</f>
        <v>41</v>
      </c>
      <c r="C71" s="396" t="str">
        <f>'ADJ DETAIL-INPUT'!C70</f>
        <v xml:space="preserve">Distribution  </v>
      </c>
      <c r="E71" s="733">
        <f>'ADJ DETAIL-INPUT'!E70</f>
        <v>-384189</v>
      </c>
      <c r="F71" s="405">
        <f>'ADJ DETAIL-INPUT'!F70</f>
        <v>0</v>
      </c>
      <c r="G71" s="405">
        <f>'ADJ DETAIL-INPUT'!G70</f>
        <v>0</v>
      </c>
      <c r="H71" s="405">
        <f>'ADJ DETAIL-INPUT'!H70</f>
        <v>0</v>
      </c>
      <c r="I71" s="405">
        <f>'ADJ DETAIL-INPUT'!I70</f>
        <v>0</v>
      </c>
      <c r="J71" s="405">
        <f>'ADJ DETAIL-INPUT'!J70</f>
        <v>0</v>
      </c>
      <c r="K71" s="405">
        <f>'ADJ DETAIL-INPUT'!K70</f>
        <v>0</v>
      </c>
      <c r="L71" s="405">
        <f>'ADJ DETAIL-INPUT'!L70</f>
        <v>0</v>
      </c>
      <c r="M71" s="405">
        <f>'ADJ DETAIL-INPUT'!M70</f>
        <v>0</v>
      </c>
      <c r="N71" s="405">
        <f>'ADJ DETAIL-INPUT'!N70</f>
        <v>0</v>
      </c>
      <c r="O71" s="405">
        <f>'ADJ DETAIL-INPUT'!O70</f>
        <v>0</v>
      </c>
      <c r="P71" s="405">
        <f>'ADJ DETAIL-INPUT'!P70</f>
        <v>0</v>
      </c>
      <c r="Q71" s="405">
        <f>'ADJ DETAIL-INPUT'!Q70</f>
        <v>0</v>
      </c>
      <c r="R71" s="405">
        <f>'ADJ DETAIL-INPUT'!R70</f>
        <v>0</v>
      </c>
      <c r="S71" s="405">
        <f>'ADJ DETAIL-INPUT'!S70</f>
        <v>0</v>
      </c>
      <c r="T71" s="405">
        <f>'ADJ DETAIL-INPUT'!T70</f>
        <v>0</v>
      </c>
      <c r="U71" s="405">
        <f>'ADJ DETAIL-INPUT'!U70</f>
        <v>0</v>
      </c>
      <c r="V71" s="405">
        <f>'ADJ DETAIL-INPUT'!V70</f>
        <v>0</v>
      </c>
      <c r="W71" s="405">
        <f>'ADJ DETAIL-INPUT'!W70</f>
        <v>-15212</v>
      </c>
      <c r="X71" s="405">
        <f>'ADJ DETAIL-INPUT'!X70</f>
        <v>0</v>
      </c>
      <c r="Y71" s="405">
        <f>'ADJ DETAIL-INPUT'!Y70</f>
        <v>0</v>
      </c>
      <c r="Z71" s="405">
        <f>'ADJ DETAIL-INPUT'!Z70</f>
        <v>0</v>
      </c>
      <c r="AA71" s="405">
        <f>'ADJ DETAIL-INPUT'!AA70</f>
        <v>0</v>
      </c>
      <c r="AB71" s="405">
        <f>'ADJ DETAIL-INPUT'!AB70</f>
        <v>0</v>
      </c>
      <c r="AC71" s="405">
        <f>'ADJ DETAIL-INPUT'!AD70</f>
        <v>0</v>
      </c>
      <c r="AD71" s="405">
        <f>'ADJ DETAIL-INPUT'!AE70</f>
        <v>0</v>
      </c>
      <c r="AE71" s="405">
        <f>'ADJ DETAIL-INPUT'!AF70</f>
        <v>0</v>
      </c>
      <c r="AF71" s="405">
        <f>'ADJ DETAIL-INPUT'!AG70</f>
        <v>0</v>
      </c>
      <c r="AG71" s="405">
        <f>'ADJ DETAIL-INPUT'!AH70</f>
        <v>0</v>
      </c>
      <c r="AH71" s="405">
        <f>'ADJ DETAIL-INPUT'!AI70</f>
        <v>0</v>
      </c>
      <c r="AI71" s="405">
        <f>'ADJ DETAIL-INPUT'!AJ70</f>
        <v>0</v>
      </c>
      <c r="AJ71" s="405">
        <f>'ADJ DETAIL-INPUT'!AK70</f>
        <v>0</v>
      </c>
      <c r="AK71" s="405">
        <f>'ADJ DETAIL-INPUT'!AL70</f>
        <v>0</v>
      </c>
      <c r="AL71" s="405">
        <f>'ADJ DETAIL-INPUT'!AM70</f>
        <v>0</v>
      </c>
      <c r="AM71" s="405">
        <f>'ADJ DETAIL-INPUT'!AN70</f>
        <v>0</v>
      </c>
      <c r="AN71" s="405">
        <f>'ADJ DETAIL-INPUT'!AO70</f>
        <v>0</v>
      </c>
      <c r="AO71" s="405">
        <f>'ADJ DETAIL-INPUT'!AP70</f>
        <v>0</v>
      </c>
      <c r="AP71" s="405">
        <f>'ADJ DETAIL-INPUT'!AQ70</f>
        <v>0</v>
      </c>
      <c r="AQ71" s="405">
        <f>'ADJ DETAIL-INPUT'!AR70</f>
        <v>0</v>
      </c>
      <c r="AR71" s="405">
        <f>'ADJ DETAIL-INPUT'!AS70</f>
        <v>0</v>
      </c>
      <c r="AS71" s="405">
        <f>'ADJ DETAIL-INPUT'!AT70</f>
        <v>-6858</v>
      </c>
      <c r="AT71" s="405">
        <f>'ADJ DETAIL-INPUT'!AU70</f>
        <v>0</v>
      </c>
      <c r="AU71" s="405">
        <f>'ADJ DETAIL-INPUT'!AV70</f>
        <v>-1</v>
      </c>
      <c r="AV71" s="405">
        <f>'ADJ DETAIL-INPUT'!AW70</f>
        <v>-3</v>
      </c>
      <c r="AW71" s="405">
        <f>'ADJ DETAIL-INPUT'!AX70</f>
        <v>0</v>
      </c>
      <c r="AX71" s="405">
        <f>'ADJ DETAIL-INPUT'!AY70</f>
        <v>-29646.372188550813</v>
      </c>
      <c r="AY71" s="405">
        <f>'ADJ DETAIL-INPUT'!AZ70</f>
        <v>-16237.186094275407</v>
      </c>
      <c r="AZ71" s="405">
        <f>'ADJ DETAIL-INPUT'!BA70</f>
        <v>0</v>
      </c>
      <c r="BA71" s="405">
        <f>'ADJ DETAIL-INPUT'!BB70</f>
        <v>-190</v>
      </c>
      <c r="BB71" s="405">
        <f>'ADJ DETAIL-INPUT'!BC70</f>
        <v>-230</v>
      </c>
      <c r="BC71" s="405">
        <f>'ADJ DETAIL-INPUT'!BD70</f>
        <v>0</v>
      </c>
      <c r="BD71" s="405">
        <f>'ADJ DETAIL-INPUT'!BE70</f>
        <v>0</v>
      </c>
      <c r="BE71" s="405">
        <f>'ADJ DETAIL-INPUT'!BF70</f>
        <v>-1</v>
      </c>
      <c r="BF71" s="405">
        <f>'ADJ DETAIL-INPUT'!BJ70</f>
        <v>0</v>
      </c>
      <c r="BG71" s="405">
        <f>'ADJ DETAIL-INPUT'!BK70</f>
        <v>0</v>
      </c>
      <c r="BH71" s="405">
        <f>'ADJ DETAIL-INPUT'!BL70</f>
        <v>0</v>
      </c>
      <c r="BI71" s="405">
        <f>'ADJ DETAIL-INPUT'!BM70</f>
        <v>0</v>
      </c>
      <c r="BJ71" s="405">
        <f>'ADJ DETAIL-INPUT'!BN70</f>
        <v>0</v>
      </c>
      <c r="BK71" s="405">
        <f>'ADJ DETAIL-INPUT'!BO70</f>
        <v>0</v>
      </c>
      <c r="BL71" s="405">
        <f>'ADJ DETAIL-INPUT'!BP70</f>
        <v>0</v>
      </c>
      <c r="BM71" s="405">
        <f>'ADJ DETAIL-INPUT'!BQ70</f>
        <v>0</v>
      </c>
      <c r="BN71" s="405">
        <f>'ADJ DETAIL-INPUT'!BR70</f>
        <v>-30633.372188550813</v>
      </c>
      <c r="BO71" s="405">
        <f>'ADJ DETAIL-INPUT'!BS70</f>
        <v>0</v>
      </c>
      <c r="BP71" s="405">
        <f>'ADJ DETAIL-INPUT'!BT70</f>
        <v>-716</v>
      </c>
      <c r="BQ71" s="405">
        <f>'ADJ DETAIL-INPUT'!BU70</f>
        <v>0</v>
      </c>
      <c r="BR71" s="405">
        <f>'ADJ DETAIL-INPUT'!BV70</f>
        <v>-1</v>
      </c>
    </row>
    <row r="72" spans="1:70" s="396" customFormat="1">
      <c r="A72" s="397">
        <f>'ADJ DETAIL-INPUT'!A71</f>
        <v>42</v>
      </c>
      <c r="C72" s="396" t="str">
        <f>'ADJ DETAIL-INPUT'!C71</f>
        <v xml:space="preserve">General  </v>
      </c>
      <c r="E72" s="733">
        <f>'ADJ DETAIL-INPUT'!E71</f>
        <v>-99285</v>
      </c>
      <c r="F72" s="405">
        <f>'ADJ DETAIL-INPUT'!F71</f>
        <v>0</v>
      </c>
      <c r="G72" s="405">
        <f>'ADJ DETAIL-INPUT'!G71</f>
        <v>0</v>
      </c>
      <c r="H72" s="405">
        <f>'ADJ DETAIL-INPUT'!H71</f>
        <v>0</v>
      </c>
      <c r="I72" s="405">
        <f>'ADJ DETAIL-INPUT'!I71</f>
        <v>0</v>
      </c>
      <c r="J72" s="405">
        <f>'ADJ DETAIL-INPUT'!J71</f>
        <v>0</v>
      </c>
      <c r="K72" s="405">
        <f>'ADJ DETAIL-INPUT'!K71</f>
        <v>0</v>
      </c>
      <c r="L72" s="405">
        <f>'ADJ DETAIL-INPUT'!L71</f>
        <v>0</v>
      </c>
      <c r="M72" s="405">
        <f>'ADJ DETAIL-INPUT'!M71</f>
        <v>0</v>
      </c>
      <c r="N72" s="405">
        <f>'ADJ DETAIL-INPUT'!N71</f>
        <v>0</v>
      </c>
      <c r="O72" s="405">
        <f>'ADJ DETAIL-INPUT'!O71</f>
        <v>0</v>
      </c>
      <c r="P72" s="405">
        <f>'ADJ DETAIL-INPUT'!P71</f>
        <v>0</v>
      </c>
      <c r="Q72" s="405">
        <f>'ADJ DETAIL-INPUT'!Q71</f>
        <v>0</v>
      </c>
      <c r="R72" s="405">
        <f>'ADJ DETAIL-INPUT'!R71</f>
        <v>0</v>
      </c>
      <c r="S72" s="405">
        <f>'ADJ DETAIL-INPUT'!S71</f>
        <v>0</v>
      </c>
      <c r="T72" s="405">
        <f>'ADJ DETAIL-INPUT'!T71</f>
        <v>0</v>
      </c>
      <c r="U72" s="405">
        <f>'ADJ DETAIL-INPUT'!U71</f>
        <v>0</v>
      </c>
      <c r="V72" s="405">
        <f>'ADJ DETAIL-INPUT'!V71</f>
        <v>0</v>
      </c>
      <c r="W72" s="405">
        <f>'ADJ DETAIL-INPUT'!W71</f>
        <v>-5762</v>
      </c>
      <c r="X72" s="405">
        <f>'ADJ DETAIL-INPUT'!X71</f>
        <v>0</v>
      </c>
      <c r="Y72" s="405">
        <f>'ADJ DETAIL-INPUT'!Y71</f>
        <v>0</v>
      </c>
      <c r="Z72" s="405">
        <f>'ADJ DETAIL-INPUT'!Z71</f>
        <v>0</v>
      </c>
      <c r="AA72" s="405">
        <f>'ADJ DETAIL-INPUT'!AA71</f>
        <v>0</v>
      </c>
      <c r="AB72" s="405">
        <f>'ADJ DETAIL-INPUT'!AB71</f>
        <v>0</v>
      </c>
      <c r="AC72" s="405">
        <f>'ADJ DETAIL-INPUT'!AD71</f>
        <v>0</v>
      </c>
      <c r="AD72" s="405">
        <f>'ADJ DETAIL-INPUT'!AE71</f>
        <v>0</v>
      </c>
      <c r="AE72" s="405">
        <f>'ADJ DETAIL-INPUT'!AF71</f>
        <v>0</v>
      </c>
      <c r="AF72" s="405">
        <f>'ADJ DETAIL-INPUT'!AG71</f>
        <v>0</v>
      </c>
      <c r="AG72" s="405">
        <f>'ADJ DETAIL-INPUT'!AH71</f>
        <v>0</v>
      </c>
      <c r="AH72" s="405">
        <f>'ADJ DETAIL-INPUT'!AI71</f>
        <v>0</v>
      </c>
      <c r="AI72" s="405">
        <f>'ADJ DETAIL-INPUT'!AJ71</f>
        <v>0</v>
      </c>
      <c r="AJ72" s="405">
        <f>'ADJ DETAIL-INPUT'!AK71</f>
        <v>0</v>
      </c>
      <c r="AK72" s="405">
        <f>'ADJ DETAIL-INPUT'!AL71</f>
        <v>0</v>
      </c>
      <c r="AL72" s="405">
        <f>'ADJ DETAIL-INPUT'!AM71</f>
        <v>0</v>
      </c>
      <c r="AM72" s="405">
        <f>'ADJ DETAIL-INPUT'!AN71</f>
        <v>0</v>
      </c>
      <c r="AN72" s="405">
        <f>'ADJ DETAIL-INPUT'!AO71</f>
        <v>0</v>
      </c>
      <c r="AO72" s="405">
        <f>'ADJ DETAIL-INPUT'!AP71</f>
        <v>0</v>
      </c>
      <c r="AP72" s="405">
        <f>'ADJ DETAIL-INPUT'!AQ71</f>
        <v>0</v>
      </c>
      <c r="AQ72" s="405">
        <f>'ADJ DETAIL-INPUT'!AR71</f>
        <v>0</v>
      </c>
      <c r="AR72" s="405">
        <f>'ADJ DETAIL-INPUT'!AS71</f>
        <v>0</v>
      </c>
      <c r="AS72" s="405">
        <f>'ADJ DETAIL-INPUT'!AT71</f>
        <v>-1143</v>
      </c>
      <c r="AT72" s="405">
        <f>'ADJ DETAIL-INPUT'!AU71</f>
        <v>0</v>
      </c>
      <c r="AU72" s="405">
        <f>'ADJ DETAIL-INPUT'!AV71</f>
        <v>-42</v>
      </c>
      <c r="AV72" s="405">
        <f>'ADJ DETAIL-INPUT'!AW71</f>
        <v>0</v>
      </c>
      <c r="AW72" s="405">
        <f>'ADJ DETAIL-INPUT'!AX71</f>
        <v>0</v>
      </c>
      <c r="AX72" s="405">
        <f>'ADJ DETAIL-INPUT'!AY71</f>
        <v>-5539.5808339443283</v>
      </c>
      <c r="AY72" s="405">
        <f>'ADJ DETAIL-INPUT'!AZ71</f>
        <v>-5984.7904169721642</v>
      </c>
      <c r="AZ72" s="405">
        <f>'ADJ DETAIL-INPUT'!BA71</f>
        <v>0</v>
      </c>
      <c r="BA72" s="405">
        <f>'ADJ DETAIL-INPUT'!BB71</f>
        <v>-9</v>
      </c>
      <c r="BB72" s="405">
        <f>'ADJ DETAIL-INPUT'!BC71</f>
        <v>-13</v>
      </c>
      <c r="BC72" s="405">
        <f>'ADJ DETAIL-INPUT'!BD71</f>
        <v>0</v>
      </c>
      <c r="BD72" s="405">
        <f>'ADJ DETAIL-INPUT'!BE71</f>
        <v>0</v>
      </c>
      <c r="BE72" s="405">
        <f>'ADJ DETAIL-INPUT'!BF71</f>
        <v>-28</v>
      </c>
      <c r="BF72" s="405">
        <f>'ADJ DETAIL-INPUT'!BJ71</f>
        <v>0</v>
      </c>
      <c r="BG72" s="405">
        <f>'ADJ DETAIL-INPUT'!BK71</f>
        <v>0</v>
      </c>
      <c r="BH72" s="405">
        <f>'ADJ DETAIL-INPUT'!BL71</f>
        <v>0</v>
      </c>
      <c r="BI72" s="405">
        <f>'ADJ DETAIL-INPUT'!BM71</f>
        <v>0</v>
      </c>
      <c r="BJ72" s="405">
        <f>'ADJ DETAIL-INPUT'!BN71</f>
        <v>0</v>
      </c>
      <c r="BK72" s="405">
        <f>'ADJ DETAIL-INPUT'!BO71</f>
        <v>0</v>
      </c>
      <c r="BL72" s="405">
        <f>'ADJ DETAIL-INPUT'!BP71</f>
        <v>0</v>
      </c>
      <c r="BM72" s="405">
        <f>'ADJ DETAIL-INPUT'!BQ71</f>
        <v>0</v>
      </c>
      <c r="BN72" s="405">
        <f>'ADJ DETAIL-INPUT'!BR71</f>
        <v>651.41916605567349</v>
      </c>
      <c r="BO72" s="405">
        <f>'ADJ DETAIL-INPUT'!BS71</f>
        <v>0</v>
      </c>
      <c r="BP72" s="405">
        <f>'ADJ DETAIL-INPUT'!BT71</f>
        <v>-40</v>
      </c>
      <c r="BQ72" s="405">
        <f>'ADJ DETAIL-INPUT'!BU71</f>
        <v>0</v>
      </c>
      <c r="BR72" s="405">
        <f>'ADJ DETAIL-INPUT'!BV71</f>
        <v>-54</v>
      </c>
    </row>
    <row r="73" spans="1:70" s="396" customFormat="1">
      <c r="A73" s="397">
        <f>'ADJ DETAIL-INPUT'!A72</f>
        <v>43</v>
      </c>
      <c r="B73" s="396" t="str">
        <f>'ADJ DETAIL-INPUT'!B72</f>
        <v>Total Accumulated Depreciation</v>
      </c>
      <c r="E73" s="422">
        <f>'ADJ DETAIL-INPUT'!E72</f>
        <v>-1150819</v>
      </c>
      <c r="F73" s="422">
        <f>'ADJ DETAIL-INPUT'!F72</f>
        <v>0</v>
      </c>
      <c r="G73" s="422">
        <f>'ADJ DETAIL-INPUT'!G72</f>
        <v>0</v>
      </c>
      <c r="H73" s="422">
        <f>'ADJ DETAIL-INPUT'!H72</f>
        <v>0</v>
      </c>
      <c r="I73" s="422">
        <f>'ADJ DETAIL-INPUT'!I72</f>
        <v>0</v>
      </c>
      <c r="J73" s="422">
        <f>'ADJ DETAIL-INPUT'!J72</f>
        <v>0</v>
      </c>
      <c r="K73" s="422">
        <f>'ADJ DETAIL-INPUT'!K72</f>
        <v>0</v>
      </c>
      <c r="L73" s="422">
        <f>'ADJ DETAIL-INPUT'!L72</f>
        <v>0</v>
      </c>
      <c r="M73" s="422">
        <f>'ADJ DETAIL-INPUT'!M72</f>
        <v>0</v>
      </c>
      <c r="N73" s="422">
        <f>'ADJ DETAIL-INPUT'!N72</f>
        <v>0</v>
      </c>
      <c r="O73" s="422">
        <f>'ADJ DETAIL-INPUT'!O72</f>
        <v>0</v>
      </c>
      <c r="P73" s="422">
        <f>'ADJ DETAIL-INPUT'!P72</f>
        <v>0</v>
      </c>
      <c r="Q73" s="422">
        <f>'ADJ DETAIL-INPUT'!Q72</f>
        <v>0</v>
      </c>
      <c r="R73" s="422">
        <f>'ADJ DETAIL-INPUT'!R72</f>
        <v>0</v>
      </c>
      <c r="S73" s="422">
        <f>'ADJ DETAIL-INPUT'!S72</f>
        <v>0</v>
      </c>
      <c r="T73" s="422">
        <f>'ADJ DETAIL-INPUT'!T72</f>
        <v>0</v>
      </c>
      <c r="U73" s="422">
        <f>'ADJ DETAIL-INPUT'!U72</f>
        <v>0</v>
      </c>
      <c r="V73" s="422">
        <f>'ADJ DETAIL-INPUT'!V72</f>
        <v>0</v>
      </c>
      <c r="W73" s="422">
        <f>'ADJ DETAIL-INPUT'!W72</f>
        <v>-43971</v>
      </c>
      <c r="X73" s="422">
        <f>'ADJ DETAIL-INPUT'!X72</f>
        <v>0</v>
      </c>
      <c r="Y73" s="422">
        <f>'ADJ DETAIL-INPUT'!Y72</f>
        <v>0</v>
      </c>
      <c r="Z73" s="422">
        <f>'ADJ DETAIL-INPUT'!Z72</f>
        <v>0</v>
      </c>
      <c r="AA73" s="422">
        <f>'ADJ DETAIL-INPUT'!AA72</f>
        <v>0</v>
      </c>
      <c r="AB73" s="422">
        <f>'ADJ DETAIL-INPUT'!AB72</f>
        <v>0</v>
      </c>
      <c r="AC73" s="422">
        <f>'ADJ DETAIL-INPUT'!AD72</f>
        <v>0</v>
      </c>
      <c r="AD73" s="422">
        <f>'ADJ DETAIL-INPUT'!AE72</f>
        <v>0</v>
      </c>
      <c r="AE73" s="422">
        <f>'ADJ DETAIL-INPUT'!AF72</f>
        <v>0</v>
      </c>
      <c r="AF73" s="422">
        <f>'ADJ DETAIL-INPUT'!AG72</f>
        <v>0</v>
      </c>
      <c r="AG73" s="422">
        <f>'ADJ DETAIL-INPUT'!AH72</f>
        <v>0</v>
      </c>
      <c r="AH73" s="422">
        <f>'ADJ DETAIL-INPUT'!AI72</f>
        <v>-20967</v>
      </c>
      <c r="AI73" s="422">
        <f>'ADJ DETAIL-INPUT'!AJ72</f>
        <v>0</v>
      </c>
      <c r="AJ73" s="422">
        <f>'ADJ DETAIL-INPUT'!AK72</f>
        <v>0</v>
      </c>
      <c r="AK73" s="422">
        <f>'ADJ DETAIL-INPUT'!AL72</f>
        <v>0</v>
      </c>
      <c r="AL73" s="422">
        <f>'ADJ DETAIL-INPUT'!AM72</f>
        <v>0</v>
      </c>
      <c r="AM73" s="422">
        <f>'ADJ DETAIL-INPUT'!AN72</f>
        <v>0</v>
      </c>
      <c r="AN73" s="422">
        <f>'ADJ DETAIL-INPUT'!AO72</f>
        <v>0</v>
      </c>
      <c r="AO73" s="422">
        <f>'ADJ DETAIL-INPUT'!AP72</f>
        <v>0</v>
      </c>
      <c r="AP73" s="422">
        <f>'ADJ DETAIL-INPUT'!AQ72</f>
        <v>0</v>
      </c>
      <c r="AQ73" s="422">
        <f>'ADJ DETAIL-INPUT'!AR72</f>
        <v>0</v>
      </c>
      <c r="AR73" s="422">
        <f>'ADJ DETAIL-INPUT'!AS72</f>
        <v>0</v>
      </c>
      <c r="AS73" s="422">
        <f>'ADJ DETAIL-INPUT'!AT72</f>
        <v>-16358.300261551378</v>
      </c>
      <c r="AT73" s="422">
        <f>'ADJ DETAIL-INPUT'!AU72</f>
        <v>0</v>
      </c>
      <c r="AU73" s="422">
        <f>'ADJ DETAIL-INPUT'!AV72</f>
        <v>-1274</v>
      </c>
      <c r="AV73" s="422">
        <f>'ADJ DETAIL-INPUT'!AW72</f>
        <v>-7</v>
      </c>
      <c r="AW73" s="422">
        <f>'ADJ DETAIL-INPUT'!AX72</f>
        <v>-2998</v>
      </c>
      <c r="AX73" s="422">
        <f>'ADJ DETAIL-INPUT'!AY72</f>
        <v>-66078.681605072125</v>
      </c>
      <c r="AY73" s="422">
        <f>'ADJ DETAIL-INPUT'!AZ72</f>
        <v>-41189.340802536062</v>
      </c>
      <c r="AZ73" s="422">
        <f>'ADJ DETAIL-INPUT'!BA72</f>
        <v>0</v>
      </c>
      <c r="BA73" s="422">
        <f>'ADJ DETAIL-INPUT'!BB72</f>
        <v>-269</v>
      </c>
      <c r="BB73" s="422">
        <f>'ADJ DETAIL-INPUT'!BC72</f>
        <v>-305</v>
      </c>
      <c r="BC73" s="422">
        <f>'ADJ DETAIL-INPUT'!BD72</f>
        <v>-11969</v>
      </c>
      <c r="BD73" s="422">
        <f>'ADJ DETAIL-INPUT'!BE72</f>
        <v>-5984</v>
      </c>
      <c r="BE73" s="422">
        <f>'ADJ DETAIL-INPUT'!BF72</f>
        <v>-862</v>
      </c>
      <c r="BF73" s="422">
        <f>'ADJ DETAIL-INPUT'!BJ72</f>
        <v>0</v>
      </c>
      <c r="BG73" s="422">
        <f>'ADJ DETAIL-INPUT'!BK72</f>
        <v>0</v>
      </c>
      <c r="BH73" s="422">
        <f>'ADJ DETAIL-INPUT'!BL72</f>
        <v>0</v>
      </c>
      <c r="BI73" s="422">
        <f>'ADJ DETAIL-INPUT'!BM72</f>
        <v>0</v>
      </c>
      <c r="BJ73" s="422">
        <f>'ADJ DETAIL-INPUT'!BN72</f>
        <v>0</v>
      </c>
      <c r="BK73" s="422">
        <f>'ADJ DETAIL-INPUT'!BO72</f>
        <v>0</v>
      </c>
      <c r="BL73" s="422">
        <f>'ADJ DETAIL-INPUT'!BP72</f>
        <v>0</v>
      </c>
      <c r="BM73" s="422">
        <f>'ADJ DETAIL-INPUT'!BQ72</f>
        <v>0</v>
      </c>
      <c r="BN73" s="422">
        <f>'ADJ DETAIL-INPUT'!BR72</f>
        <v>-64606.681605072125</v>
      </c>
      <c r="BO73" s="422">
        <f>'ADJ DETAIL-INPUT'!BS72</f>
        <v>0</v>
      </c>
      <c r="BP73" s="422">
        <f>'ADJ DETAIL-INPUT'!BT72</f>
        <v>-917</v>
      </c>
      <c r="BQ73" s="422">
        <f>'ADJ DETAIL-INPUT'!BU72</f>
        <v>-11969</v>
      </c>
      <c r="BR73" s="422">
        <f>'ADJ DETAIL-INPUT'!BV72</f>
        <v>-1662</v>
      </c>
    </row>
    <row r="74" spans="1:70" s="396" customFormat="1">
      <c r="A74" s="397">
        <f>'ADJ DETAIL-INPUT'!A73</f>
        <v>44</v>
      </c>
      <c r="B74" s="396" t="str">
        <f>'ADJ DETAIL-INPUT'!B73</f>
        <v xml:space="preserve">NET PLANT </v>
      </c>
      <c r="E74" s="422">
        <f>'ADJ DETAIL-INPUT'!E73</f>
        <v>2225915</v>
      </c>
      <c r="F74" s="422">
        <f>'ADJ DETAIL-INPUT'!F73</f>
        <v>0</v>
      </c>
      <c r="G74" s="422">
        <f>'ADJ DETAIL-INPUT'!G73</f>
        <v>0</v>
      </c>
      <c r="H74" s="422">
        <f>'ADJ DETAIL-INPUT'!H73</f>
        <v>0</v>
      </c>
      <c r="I74" s="422">
        <f>'ADJ DETAIL-INPUT'!I73</f>
        <v>0</v>
      </c>
      <c r="J74" s="422">
        <f>'ADJ DETAIL-INPUT'!J73</f>
        <v>0</v>
      </c>
      <c r="K74" s="422">
        <f>'ADJ DETAIL-INPUT'!K73</f>
        <v>0</v>
      </c>
      <c r="L74" s="422">
        <f>'ADJ DETAIL-INPUT'!L73</f>
        <v>0</v>
      </c>
      <c r="M74" s="422">
        <f>'ADJ DETAIL-INPUT'!M73</f>
        <v>0</v>
      </c>
      <c r="N74" s="422">
        <f>'ADJ DETAIL-INPUT'!N73</f>
        <v>0</v>
      </c>
      <c r="O74" s="422">
        <f>'ADJ DETAIL-INPUT'!O73</f>
        <v>0</v>
      </c>
      <c r="P74" s="422">
        <f>'ADJ DETAIL-INPUT'!P73</f>
        <v>0</v>
      </c>
      <c r="Q74" s="422">
        <f>'ADJ DETAIL-INPUT'!Q73</f>
        <v>0</v>
      </c>
      <c r="R74" s="422">
        <f>'ADJ DETAIL-INPUT'!R73</f>
        <v>0</v>
      </c>
      <c r="S74" s="422">
        <f>'ADJ DETAIL-INPUT'!S73</f>
        <v>0</v>
      </c>
      <c r="T74" s="422">
        <f>'ADJ DETAIL-INPUT'!T73</f>
        <v>0</v>
      </c>
      <c r="U74" s="422">
        <f>'ADJ DETAIL-INPUT'!U73</f>
        <v>0</v>
      </c>
      <c r="V74" s="422">
        <f>'ADJ DETAIL-INPUT'!V73</f>
        <v>0</v>
      </c>
      <c r="W74" s="422">
        <f>'ADJ DETAIL-INPUT'!W73</f>
        <v>51066</v>
      </c>
      <c r="X74" s="422">
        <f>'ADJ DETAIL-INPUT'!X73</f>
        <v>0</v>
      </c>
      <c r="Y74" s="422">
        <f>'ADJ DETAIL-INPUT'!Y73</f>
        <v>0</v>
      </c>
      <c r="Z74" s="422">
        <f>'ADJ DETAIL-INPUT'!Z73</f>
        <v>0</v>
      </c>
      <c r="AA74" s="422">
        <f>'ADJ DETAIL-INPUT'!AA73</f>
        <v>0</v>
      </c>
      <c r="AB74" s="422">
        <f>'ADJ DETAIL-INPUT'!AB73</f>
        <v>0</v>
      </c>
      <c r="AC74" s="422">
        <f>'ADJ DETAIL-INPUT'!AD73</f>
        <v>0</v>
      </c>
      <c r="AD74" s="422">
        <f>'ADJ DETAIL-INPUT'!AE73</f>
        <v>0</v>
      </c>
      <c r="AE74" s="422">
        <f>'ADJ DETAIL-INPUT'!AF73</f>
        <v>0</v>
      </c>
      <c r="AF74" s="422">
        <f>'ADJ DETAIL-INPUT'!AG73</f>
        <v>0</v>
      </c>
      <c r="AG74" s="422">
        <f>'ADJ DETAIL-INPUT'!AH73</f>
        <v>0</v>
      </c>
      <c r="AH74" s="422">
        <f>'ADJ DETAIL-INPUT'!AI73</f>
        <v>-20967</v>
      </c>
      <c r="AI74" s="422">
        <f>'ADJ DETAIL-INPUT'!AJ73</f>
        <v>0</v>
      </c>
      <c r="AJ74" s="422">
        <f>'ADJ DETAIL-INPUT'!AK73</f>
        <v>0</v>
      </c>
      <c r="AK74" s="422">
        <f>'ADJ DETAIL-INPUT'!AL73</f>
        <v>0</v>
      </c>
      <c r="AL74" s="422">
        <f>'ADJ DETAIL-INPUT'!AM73</f>
        <v>0</v>
      </c>
      <c r="AM74" s="422">
        <f>'ADJ DETAIL-INPUT'!AN73</f>
        <v>0</v>
      </c>
      <c r="AN74" s="422">
        <f>'ADJ DETAIL-INPUT'!AO73</f>
        <v>0</v>
      </c>
      <c r="AO74" s="422">
        <f>'ADJ DETAIL-INPUT'!AP73</f>
        <v>0</v>
      </c>
      <c r="AP74" s="422">
        <f>'ADJ DETAIL-INPUT'!AQ73</f>
        <v>0</v>
      </c>
      <c r="AQ74" s="422">
        <f>'ADJ DETAIL-INPUT'!AR73</f>
        <v>0</v>
      </c>
      <c r="AR74" s="422">
        <f>'ADJ DETAIL-INPUT'!AS73</f>
        <v>0</v>
      </c>
      <c r="AS74" s="422">
        <f>'ADJ DETAIL-INPUT'!AT73</f>
        <v>40049.699738448624</v>
      </c>
      <c r="AT74" s="422">
        <f>'ADJ DETAIL-INPUT'!AU73</f>
        <v>0</v>
      </c>
      <c r="AU74" s="422">
        <f>'ADJ DETAIL-INPUT'!AV73</f>
        <v>6537</v>
      </c>
      <c r="AV74" s="422">
        <f>'ADJ DETAIL-INPUT'!AW73</f>
        <v>2497</v>
      </c>
      <c r="AW74" s="422">
        <f>'ADJ DETAIL-INPUT'!AX73</f>
        <v>-4999</v>
      </c>
      <c r="AX74" s="422">
        <f>'ADJ DETAIL-INPUT'!AY73</f>
        <v>79018.318394927875</v>
      </c>
      <c r="AY74" s="422">
        <f>'ADJ DETAIL-INPUT'!AZ73</f>
        <v>14874.659197463938</v>
      </c>
      <c r="AZ74" s="422">
        <f>'ADJ DETAIL-INPUT'!BA73</f>
        <v>0</v>
      </c>
      <c r="BA74" s="422">
        <f>'ADJ DETAIL-INPUT'!BB73</f>
        <v>14520</v>
      </c>
      <c r="BB74" s="422">
        <f>'ADJ DETAIL-INPUT'!BC73</f>
        <v>7633</v>
      </c>
      <c r="BC74" s="422">
        <f>'ADJ DETAIL-INPUT'!BD73</f>
        <v>-11969</v>
      </c>
      <c r="BD74" s="422">
        <f>'ADJ DETAIL-INPUT'!BE73</f>
        <v>-5984</v>
      </c>
      <c r="BE74" s="422">
        <f>'ADJ DETAIL-INPUT'!BF73</f>
        <v>-737</v>
      </c>
      <c r="BF74" s="422">
        <f>'ADJ DETAIL-INPUT'!BJ73</f>
        <v>0</v>
      </c>
      <c r="BG74" s="422">
        <f>'ADJ DETAIL-INPUT'!BK73</f>
        <v>0</v>
      </c>
      <c r="BH74" s="422">
        <f>'ADJ DETAIL-INPUT'!BL73</f>
        <v>0</v>
      </c>
      <c r="BI74" s="422">
        <f>'ADJ DETAIL-INPUT'!BM73</f>
        <v>0</v>
      </c>
      <c r="BJ74" s="422">
        <f>'ADJ DETAIL-INPUT'!BN73</f>
        <v>0</v>
      </c>
      <c r="BK74" s="422">
        <f>'ADJ DETAIL-INPUT'!BO73</f>
        <v>0</v>
      </c>
      <c r="BL74" s="422">
        <f>'ADJ DETAIL-INPUT'!BP73</f>
        <v>0</v>
      </c>
      <c r="BM74" s="422">
        <f>'ADJ DETAIL-INPUT'!BQ73</f>
        <v>0</v>
      </c>
      <c r="BN74" s="422">
        <f>'ADJ DETAIL-INPUT'!BR73</f>
        <v>78202.318394927875</v>
      </c>
      <c r="BO74" s="422">
        <f>'ADJ DETAIL-INPUT'!BS73</f>
        <v>0</v>
      </c>
      <c r="BP74" s="422">
        <f>'ADJ DETAIL-INPUT'!BT73</f>
        <v>16777</v>
      </c>
      <c r="BQ74" s="422">
        <f>'ADJ DETAIL-INPUT'!BU73</f>
        <v>-11969</v>
      </c>
      <c r="BR74" s="422">
        <f>'ADJ DETAIL-INPUT'!BV73</f>
        <v>-1419</v>
      </c>
    </row>
    <row r="75" spans="1:70" s="396" customFormat="1" ht="6.75" customHeight="1">
      <c r="A75" s="397"/>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2"/>
      <c r="AY75" s="412"/>
      <c r="AZ75" s="412"/>
      <c r="BA75" s="412"/>
      <c r="BB75" s="412"/>
      <c r="BC75" s="412"/>
      <c r="BD75" s="412"/>
      <c r="BE75" s="412"/>
      <c r="BF75" s="412"/>
      <c r="BG75" s="412"/>
      <c r="BH75" s="412"/>
      <c r="BI75" s="412"/>
      <c r="BJ75" s="412"/>
      <c r="BK75" s="412"/>
      <c r="BL75" s="412"/>
      <c r="BM75" s="412"/>
      <c r="BN75" s="412"/>
      <c r="BO75" s="412"/>
      <c r="BP75" s="412"/>
      <c r="BQ75" s="412"/>
      <c r="BR75" s="412"/>
    </row>
    <row r="76" spans="1:70" s="396" customFormat="1">
      <c r="A76" s="398">
        <f>'ADJ DETAIL-INPUT'!A75</f>
        <v>45</v>
      </c>
      <c r="B76" s="396" t="str">
        <f>'ADJ DETAIL-INPUT'!B75</f>
        <v xml:space="preserve">DEFERRED TAXES  </v>
      </c>
      <c r="E76" s="413">
        <f>'ADJ DETAIL-INPUT'!E75</f>
        <v>-428637</v>
      </c>
      <c r="F76" s="414">
        <f>'ADJ DETAIL-INPUT'!F75</f>
        <v>-680</v>
      </c>
      <c r="G76" s="414">
        <f>'ADJ DETAIL-INPUT'!G75</f>
        <v>0</v>
      </c>
      <c r="H76" s="414">
        <f>'ADJ DETAIL-INPUT'!H75</f>
        <v>0</v>
      </c>
      <c r="I76" s="414">
        <f>'ADJ DETAIL-INPUT'!I75</f>
        <v>0</v>
      </c>
      <c r="J76" s="414">
        <f>'ADJ DETAIL-INPUT'!J75</f>
        <v>0</v>
      </c>
      <c r="K76" s="414">
        <f>'ADJ DETAIL-INPUT'!K75</f>
        <v>0</v>
      </c>
      <c r="L76" s="414">
        <f>'ADJ DETAIL-INPUT'!L75</f>
        <v>0</v>
      </c>
      <c r="M76" s="414">
        <f>'ADJ DETAIL-INPUT'!M75</f>
        <v>0</v>
      </c>
      <c r="N76" s="414">
        <f>'ADJ DETAIL-INPUT'!N75</f>
        <v>0</v>
      </c>
      <c r="O76" s="414">
        <f>'ADJ DETAIL-INPUT'!O75</f>
        <v>0</v>
      </c>
      <c r="P76" s="414">
        <f>'ADJ DETAIL-INPUT'!P75</f>
        <v>0</v>
      </c>
      <c r="Q76" s="414">
        <f>'ADJ DETAIL-INPUT'!Q75</f>
        <v>0</v>
      </c>
      <c r="R76" s="414">
        <f>'ADJ DETAIL-INPUT'!R75</f>
        <v>0</v>
      </c>
      <c r="S76" s="414">
        <f>'ADJ DETAIL-INPUT'!S75</f>
        <v>0</v>
      </c>
      <c r="T76" s="414">
        <f>'ADJ DETAIL-INPUT'!T75</f>
        <v>0</v>
      </c>
      <c r="U76" s="414">
        <f>'ADJ DETAIL-INPUT'!U75</f>
        <v>0</v>
      </c>
      <c r="V76" s="414">
        <f>'ADJ DETAIL-INPUT'!V75</f>
        <v>0</v>
      </c>
      <c r="W76" s="414">
        <f>'ADJ DETAIL-INPUT'!W75</f>
        <v>23123</v>
      </c>
      <c r="X76" s="414">
        <f>'ADJ DETAIL-INPUT'!X75</f>
        <v>0</v>
      </c>
      <c r="Y76" s="414">
        <f>'ADJ DETAIL-INPUT'!Y75</f>
        <v>0</v>
      </c>
      <c r="Z76" s="414">
        <f>'ADJ DETAIL-INPUT'!Z75</f>
        <v>0</v>
      </c>
      <c r="AA76" s="414">
        <f>'ADJ DETAIL-INPUT'!AA75</f>
        <v>0</v>
      </c>
      <c r="AB76" s="414">
        <f>'ADJ DETAIL-INPUT'!AB75</f>
        <v>0</v>
      </c>
      <c r="AC76" s="414">
        <f>'ADJ DETAIL-INPUT'!AD75</f>
        <v>0</v>
      </c>
      <c r="AD76" s="414">
        <f>'ADJ DETAIL-INPUT'!AE75</f>
        <v>0</v>
      </c>
      <c r="AE76" s="414">
        <f>'ADJ DETAIL-INPUT'!AF75</f>
        <v>0</v>
      </c>
      <c r="AF76" s="414">
        <f>'ADJ DETAIL-INPUT'!AG75</f>
        <v>0</v>
      </c>
      <c r="AG76" s="414">
        <f>'ADJ DETAIL-INPUT'!AH75</f>
        <v>0</v>
      </c>
      <c r="AH76" s="414">
        <f>'ADJ DETAIL-INPUT'!AI75</f>
        <v>0</v>
      </c>
      <c r="AI76" s="414">
        <f>'ADJ DETAIL-INPUT'!AJ75</f>
        <v>0</v>
      </c>
      <c r="AJ76" s="414">
        <f>'ADJ DETAIL-INPUT'!AK75</f>
        <v>0</v>
      </c>
      <c r="AK76" s="414">
        <f>'ADJ DETAIL-INPUT'!AL75</f>
        <v>0</v>
      </c>
      <c r="AL76" s="414">
        <f>'ADJ DETAIL-INPUT'!AM75</f>
        <v>0</v>
      </c>
      <c r="AM76" s="414">
        <f>'ADJ DETAIL-INPUT'!AN75</f>
        <v>0</v>
      </c>
      <c r="AN76" s="414">
        <f>'ADJ DETAIL-INPUT'!AO75</f>
        <v>0</v>
      </c>
      <c r="AO76" s="414">
        <f>'ADJ DETAIL-INPUT'!AP75</f>
        <v>0</v>
      </c>
      <c r="AP76" s="414">
        <f>'ADJ DETAIL-INPUT'!AQ75</f>
        <v>0</v>
      </c>
      <c r="AQ76" s="414">
        <f>'ADJ DETAIL-INPUT'!AR75</f>
        <v>0</v>
      </c>
      <c r="AR76" s="414">
        <f>'ADJ DETAIL-INPUT'!AS75</f>
        <v>0</v>
      </c>
      <c r="AS76" s="414">
        <f>'ADJ DETAIL-INPUT'!AT75</f>
        <v>-5216</v>
      </c>
      <c r="AT76" s="414">
        <f>'ADJ DETAIL-INPUT'!AU75</f>
        <v>0</v>
      </c>
      <c r="AU76" s="414">
        <f>'ADJ DETAIL-INPUT'!AV75</f>
        <v>-235</v>
      </c>
      <c r="AV76" s="414">
        <f>'ADJ DETAIL-INPUT'!AW75</f>
        <v>0</v>
      </c>
      <c r="AW76" s="414">
        <f>'ADJ DETAIL-INPUT'!AX75</f>
        <v>9</v>
      </c>
      <c r="AX76" s="414">
        <f>'ADJ DETAIL-INPUT'!AY75</f>
        <v>-620</v>
      </c>
      <c r="AY76" s="414">
        <f>'ADJ DETAIL-INPUT'!AZ75</f>
        <v>-694</v>
      </c>
      <c r="AZ76" s="414">
        <f>'ADJ DETAIL-INPUT'!BA75</f>
        <v>0</v>
      </c>
      <c r="BA76" s="414">
        <f>'ADJ DETAIL-INPUT'!BB75</f>
        <v>-714</v>
      </c>
      <c r="BB76" s="414">
        <f>'ADJ DETAIL-INPUT'!BC75</f>
        <v>-498</v>
      </c>
      <c r="BC76" s="414">
        <f>'ADJ DETAIL-INPUT'!BD75</f>
        <v>1</v>
      </c>
      <c r="BD76" s="414">
        <f>'ADJ DETAIL-INPUT'!BE75</f>
        <v>-1</v>
      </c>
      <c r="BE76" s="414">
        <f>'ADJ DETAIL-INPUT'!BF75</f>
        <v>-165</v>
      </c>
      <c r="BF76" s="414">
        <f>'ADJ DETAIL-INPUT'!BJ75</f>
        <v>0</v>
      </c>
      <c r="BG76" s="414">
        <f>'ADJ DETAIL-INPUT'!BK75</f>
        <v>0</v>
      </c>
      <c r="BH76" s="414">
        <f>'ADJ DETAIL-INPUT'!BL75</f>
        <v>0</v>
      </c>
      <c r="BI76" s="414">
        <f>'ADJ DETAIL-INPUT'!BM75</f>
        <v>0</v>
      </c>
      <c r="BJ76" s="414">
        <f>'ADJ DETAIL-INPUT'!BN75</f>
        <v>0</v>
      </c>
      <c r="BK76" s="414">
        <f>'ADJ DETAIL-INPUT'!BO75</f>
        <v>0</v>
      </c>
      <c r="BL76" s="414">
        <f>'ADJ DETAIL-INPUT'!BP75</f>
        <v>0</v>
      </c>
      <c r="BM76" s="414">
        <f>'ADJ DETAIL-INPUT'!BQ75</f>
        <v>0</v>
      </c>
      <c r="BN76" s="414">
        <f>'ADJ DETAIL-INPUT'!BR75</f>
        <v>-1416</v>
      </c>
      <c r="BO76" s="414">
        <f>'ADJ DETAIL-INPUT'!BS75</f>
        <v>0</v>
      </c>
      <c r="BP76" s="414">
        <f>'ADJ DETAIL-INPUT'!BT75</f>
        <v>-1087</v>
      </c>
      <c r="BQ76" s="414">
        <f>'ADJ DETAIL-INPUT'!BU75</f>
        <v>-1</v>
      </c>
      <c r="BR76" s="414">
        <f>'ADJ DETAIL-INPUT'!BV75</f>
        <v>-150</v>
      </c>
    </row>
    <row r="77" spans="1:70" s="396" customFormat="1">
      <c r="A77" s="398">
        <f>'ADJ DETAIL-INPUT'!A76</f>
        <v>46</v>
      </c>
      <c r="C77" s="396" t="str">
        <f>'ADJ DETAIL-INPUT'!C76</f>
        <v>Net Plant After DFIT</v>
      </c>
      <c r="E77" s="412">
        <f>'ADJ DETAIL-INPUT'!E76</f>
        <v>1797278</v>
      </c>
      <c r="F77" s="412">
        <f>'ADJ DETAIL-INPUT'!F76</f>
        <v>-680</v>
      </c>
      <c r="G77" s="412">
        <f>'ADJ DETAIL-INPUT'!G76</f>
        <v>0</v>
      </c>
      <c r="H77" s="412">
        <f>'ADJ DETAIL-INPUT'!H76</f>
        <v>0</v>
      </c>
      <c r="I77" s="412">
        <f>'ADJ DETAIL-INPUT'!I76</f>
        <v>0</v>
      </c>
      <c r="J77" s="412">
        <f>'ADJ DETAIL-INPUT'!J76</f>
        <v>0</v>
      </c>
      <c r="K77" s="412">
        <f>'ADJ DETAIL-INPUT'!K76</f>
        <v>0</v>
      </c>
      <c r="L77" s="412">
        <f>'ADJ DETAIL-INPUT'!L76</f>
        <v>0</v>
      </c>
      <c r="M77" s="412">
        <f>'ADJ DETAIL-INPUT'!M76</f>
        <v>0</v>
      </c>
      <c r="N77" s="412">
        <f>'ADJ DETAIL-INPUT'!N76</f>
        <v>0</v>
      </c>
      <c r="O77" s="412">
        <f>'ADJ DETAIL-INPUT'!O76</f>
        <v>0</v>
      </c>
      <c r="P77" s="412">
        <f>'ADJ DETAIL-INPUT'!P76</f>
        <v>0</v>
      </c>
      <c r="Q77" s="412">
        <f>'ADJ DETAIL-INPUT'!Q76</f>
        <v>0</v>
      </c>
      <c r="R77" s="412">
        <f>'ADJ DETAIL-INPUT'!R76</f>
        <v>0</v>
      </c>
      <c r="S77" s="412">
        <f>'ADJ DETAIL-INPUT'!S76</f>
        <v>0</v>
      </c>
      <c r="T77" s="412">
        <f>'ADJ DETAIL-INPUT'!T76</f>
        <v>0</v>
      </c>
      <c r="U77" s="412">
        <f>'ADJ DETAIL-INPUT'!U76</f>
        <v>0</v>
      </c>
      <c r="V77" s="412">
        <f>'ADJ DETAIL-INPUT'!V76</f>
        <v>0</v>
      </c>
      <c r="W77" s="412">
        <f>'ADJ DETAIL-INPUT'!W76</f>
        <v>74189</v>
      </c>
      <c r="X77" s="412">
        <f>'ADJ DETAIL-INPUT'!X76</f>
        <v>0</v>
      </c>
      <c r="Y77" s="412">
        <f>'ADJ DETAIL-INPUT'!Y76</f>
        <v>0</v>
      </c>
      <c r="Z77" s="412">
        <f>'ADJ DETAIL-INPUT'!Z76</f>
        <v>0</v>
      </c>
      <c r="AA77" s="412">
        <f>'ADJ DETAIL-INPUT'!AA76</f>
        <v>0</v>
      </c>
      <c r="AB77" s="412">
        <f>'ADJ DETAIL-INPUT'!AB76</f>
        <v>0</v>
      </c>
      <c r="AC77" s="412">
        <f>'ADJ DETAIL-INPUT'!AD76</f>
        <v>0</v>
      </c>
      <c r="AD77" s="412">
        <f>'ADJ DETAIL-INPUT'!AE76</f>
        <v>0</v>
      </c>
      <c r="AE77" s="412">
        <f>'ADJ DETAIL-INPUT'!AF76</f>
        <v>0</v>
      </c>
      <c r="AF77" s="412">
        <f>'ADJ DETAIL-INPUT'!AG76</f>
        <v>0</v>
      </c>
      <c r="AG77" s="412">
        <f>'ADJ DETAIL-INPUT'!AH76</f>
        <v>0</v>
      </c>
      <c r="AH77" s="412">
        <f>'ADJ DETAIL-INPUT'!AI76</f>
        <v>-20967</v>
      </c>
      <c r="AI77" s="412">
        <f>'ADJ DETAIL-INPUT'!AJ76</f>
        <v>0</v>
      </c>
      <c r="AJ77" s="412">
        <f>'ADJ DETAIL-INPUT'!AK76</f>
        <v>0</v>
      </c>
      <c r="AK77" s="412">
        <f>'ADJ DETAIL-INPUT'!AL76</f>
        <v>0</v>
      </c>
      <c r="AL77" s="412">
        <f>'ADJ DETAIL-INPUT'!AM76</f>
        <v>0</v>
      </c>
      <c r="AM77" s="412">
        <f>'ADJ DETAIL-INPUT'!AN76</f>
        <v>0</v>
      </c>
      <c r="AN77" s="412">
        <f>'ADJ DETAIL-INPUT'!AO76</f>
        <v>0</v>
      </c>
      <c r="AO77" s="412">
        <f>'ADJ DETAIL-INPUT'!AP76</f>
        <v>0</v>
      </c>
      <c r="AP77" s="412">
        <f>'ADJ DETAIL-INPUT'!AQ76</f>
        <v>0</v>
      </c>
      <c r="AQ77" s="412">
        <f>'ADJ DETAIL-INPUT'!AR76</f>
        <v>0</v>
      </c>
      <c r="AR77" s="412">
        <f>'ADJ DETAIL-INPUT'!AS76</f>
        <v>0</v>
      </c>
      <c r="AS77" s="412">
        <f>'ADJ DETAIL-INPUT'!AT76</f>
        <v>34833.699738448624</v>
      </c>
      <c r="AT77" s="412">
        <f>'ADJ DETAIL-INPUT'!AU76</f>
        <v>0</v>
      </c>
      <c r="AU77" s="412">
        <f>'ADJ DETAIL-INPUT'!AV76</f>
        <v>6302</v>
      </c>
      <c r="AV77" s="412">
        <f>'ADJ DETAIL-INPUT'!AW76</f>
        <v>2497</v>
      </c>
      <c r="AW77" s="412">
        <f>'ADJ DETAIL-INPUT'!AX76</f>
        <v>-4990</v>
      </c>
      <c r="AX77" s="412">
        <f>'ADJ DETAIL-INPUT'!AY76</f>
        <v>78398.318394927875</v>
      </c>
      <c r="AY77" s="412">
        <f>'ADJ DETAIL-INPUT'!AZ76</f>
        <v>14180.659197463938</v>
      </c>
      <c r="AZ77" s="412">
        <f>'ADJ DETAIL-INPUT'!BA76</f>
        <v>0</v>
      </c>
      <c r="BA77" s="412">
        <f>'ADJ DETAIL-INPUT'!BB76</f>
        <v>13806</v>
      </c>
      <c r="BB77" s="412">
        <f>'ADJ DETAIL-INPUT'!BC76</f>
        <v>7135</v>
      </c>
      <c r="BC77" s="412">
        <f>'ADJ DETAIL-INPUT'!BD76</f>
        <v>-11968</v>
      </c>
      <c r="BD77" s="412">
        <f>'ADJ DETAIL-INPUT'!BE76</f>
        <v>-5985</v>
      </c>
      <c r="BE77" s="412">
        <f>'ADJ DETAIL-INPUT'!BF76</f>
        <v>-902</v>
      </c>
      <c r="BF77" s="412">
        <f>'ADJ DETAIL-INPUT'!BJ76</f>
        <v>0</v>
      </c>
      <c r="BG77" s="412">
        <f>'ADJ DETAIL-INPUT'!BK76</f>
        <v>0</v>
      </c>
      <c r="BH77" s="412">
        <f>'ADJ DETAIL-INPUT'!BL76</f>
        <v>0</v>
      </c>
      <c r="BI77" s="412">
        <f>'ADJ DETAIL-INPUT'!BM76</f>
        <v>0</v>
      </c>
      <c r="BJ77" s="412">
        <f>'ADJ DETAIL-INPUT'!BN76</f>
        <v>0</v>
      </c>
      <c r="BK77" s="412">
        <f>'ADJ DETAIL-INPUT'!BO76</f>
        <v>0</v>
      </c>
      <c r="BL77" s="412">
        <f>'ADJ DETAIL-INPUT'!BP76</f>
        <v>0</v>
      </c>
      <c r="BM77" s="412">
        <f>'ADJ DETAIL-INPUT'!BQ76</f>
        <v>0</v>
      </c>
      <c r="BN77" s="412">
        <f>'ADJ DETAIL-INPUT'!BR76</f>
        <v>76786.318394927875</v>
      </c>
      <c r="BO77" s="412">
        <f>'ADJ DETAIL-INPUT'!BS76</f>
        <v>0</v>
      </c>
      <c r="BP77" s="412">
        <f>'ADJ DETAIL-INPUT'!BT76</f>
        <v>15690</v>
      </c>
      <c r="BQ77" s="412">
        <f>'ADJ DETAIL-INPUT'!BU76</f>
        <v>-11970</v>
      </c>
      <c r="BR77" s="412">
        <f>'ADJ DETAIL-INPUT'!BV76</f>
        <v>-1569</v>
      </c>
    </row>
    <row r="78" spans="1:70" s="396" customFormat="1">
      <c r="A78" s="397">
        <f>'ADJ DETAIL-INPUT'!A77</f>
        <v>47</v>
      </c>
      <c r="B78" s="396" t="str">
        <f>'ADJ DETAIL-INPUT'!B77</f>
        <v>DEFERRED DEBITS AND CREDITS &amp; OTHER</v>
      </c>
      <c r="E78" s="412">
        <f>'ADJ DETAIL-INPUT'!E77</f>
        <v>-24217</v>
      </c>
      <c r="F78" s="405">
        <f>'ADJ DETAIL-INPUT'!F77</f>
        <v>0</v>
      </c>
      <c r="G78" s="405">
        <f>'ADJ DETAIL-INPUT'!G77</f>
        <v>19</v>
      </c>
      <c r="H78" s="405">
        <f>'ADJ DETAIL-INPUT'!H77</f>
        <v>0</v>
      </c>
      <c r="I78" s="405">
        <f>'ADJ DETAIL-INPUT'!I77</f>
        <v>0</v>
      </c>
      <c r="J78" s="405">
        <f>'ADJ DETAIL-INPUT'!J77</f>
        <v>0</v>
      </c>
      <c r="K78" s="405">
        <f>'ADJ DETAIL-INPUT'!K77</f>
        <v>0</v>
      </c>
      <c r="L78" s="405">
        <f>'ADJ DETAIL-INPUT'!L77</f>
        <v>0</v>
      </c>
      <c r="M78" s="405">
        <f>'ADJ DETAIL-INPUT'!M77</f>
        <v>0</v>
      </c>
      <c r="N78" s="405">
        <f>'ADJ DETAIL-INPUT'!N77</f>
        <v>0</v>
      </c>
      <c r="O78" s="405">
        <f>'ADJ DETAIL-INPUT'!O77</f>
        <v>0</v>
      </c>
      <c r="P78" s="405">
        <f>'ADJ DETAIL-INPUT'!P77</f>
        <v>0</v>
      </c>
      <c r="Q78" s="405">
        <f>'ADJ DETAIL-INPUT'!Q77</f>
        <v>0</v>
      </c>
      <c r="R78" s="405">
        <f>'ADJ DETAIL-INPUT'!R77</f>
        <v>0</v>
      </c>
      <c r="S78" s="405">
        <f>'ADJ DETAIL-INPUT'!S77</f>
        <v>0</v>
      </c>
      <c r="T78" s="405">
        <f>'ADJ DETAIL-INPUT'!T77</f>
        <v>0</v>
      </c>
      <c r="U78" s="405">
        <f>'ADJ DETAIL-INPUT'!U77</f>
        <v>0</v>
      </c>
      <c r="V78" s="405">
        <f>'ADJ DETAIL-INPUT'!V77</f>
        <v>0</v>
      </c>
      <c r="W78" s="405">
        <f>'ADJ DETAIL-INPUT'!W77</f>
        <v>0</v>
      </c>
      <c r="X78" s="405">
        <f>'ADJ DETAIL-INPUT'!X77</f>
        <v>0</v>
      </c>
      <c r="Y78" s="405">
        <f>'ADJ DETAIL-INPUT'!Y77</f>
        <v>0</v>
      </c>
      <c r="Z78" s="405">
        <f>'ADJ DETAIL-INPUT'!Z77</f>
        <v>0</v>
      </c>
      <c r="AA78" s="405">
        <f>'ADJ DETAIL-INPUT'!AA77</f>
        <v>0</v>
      </c>
      <c r="AB78" s="405">
        <f>'ADJ DETAIL-INPUT'!AB77</f>
        <v>-24902</v>
      </c>
      <c r="AC78" s="405">
        <f>'ADJ DETAIL-INPUT'!AD77</f>
        <v>0</v>
      </c>
      <c r="AD78" s="405">
        <f>'ADJ DETAIL-INPUT'!AE77</f>
        <v>0</v>
      </c>
      <c r="AE78" s="405">
        <f>'ADJ DETAIL-INPUT'!AF77</f>
        <v>0</v>
      </c>
      <c r="AF78" s="405">
        <f>'ADJ DETAIL-INPUT'!AG77</f>
        <v>-27</v>
      </c>
      <c r="AG78" s="405">
        <f>'ADJ DETAIL-INPUT'!AH77</f>
        <v>0</v>
      </c>
      <c r="AH78" s="405">
        <f>'ADJ DETAIL-INPUT'!AI77</f>
        <v>51384</v>
      </c>
      <c r="AI78" s="405">
        <f>'ADJ DETAIL-INPUT'!AJ77</f>
        <v>0</v>
      </c>
      <c r="AJ78" s="405">
        <f>'ADJ DETAIL-INPUT'!AK77</f>
        <v>0</v>
      </c>
      <c r="AK78" s="405">
        <f>'ADJ DETAIL-INPUT'!AL77</f>
        <v>0</v>
      </c>
      <c r="AL78" s="405">
        <f>'ADJ DETAIL-INPUT'!AM77</f>
        <v>0</v>
      </c>
      <c r="AM78" s="405">
        <f>'ADJ DETAIL-INPUT'!AN77</f>
        <v>0</v>
      </c>
      <c r="AN78" s="405">
        <f>'ADJ DETAIL-INPUT'!AO77</f>
        <v>0</v>
      </c>
      <c r="AO78" s="405">
        <f>'ADJ DETAIL-INPUT'!AP77</f>
        <v>0</v>
      </c>
      <c r="AP78" s="405">
        <f>'ADJ DETAIL-INPUT'!AQ77</f>
        <v>0</v>
      </c>
      <c r="AQ78" s="405">
        <f>'ADJ DETAIL-INPUT'!AR77</f>
        <v>0</v>
      </c>
      <c r="AR78" s="405">
        <f>'ADJ DETAIL-INPUT'!AS77</f>
        <v>0</v>
      </c>
      <c r="AS78" s="405">
        <f>'ADJ DETAIL-INPUT'!AT77</f>
        <v>0</v>
      </c>
      <c r="AT78" s="405">
        <f>'ADJ DETAIL-INPUT'!AU77</f>
        <v>0</v>
      </c>
      <c r="AU78" s="405">
        <f>'ADJ DETAIL-INPUT'!AV77</f>
        <v>0</v>
      </c>
      <c r="AV78" s="405">
        <f>'ADJ DETAIL-INPUT'!AW77</f>
        <v>0</v>
      </c>
      <c r="AW78" s="405">
        <f>'ADJ DETAIL-INPUT'!AX77</f>
        <v>1927</v>
      </c>
      <c r="AX78" s="405">
        <f>'ADJ DETAIL-INPUT'!AY77</f>
        <v>0</v>
      </c>
      <c r="AY78" s="405">
        <f>'ADJ DETAIL-INPUT'!AZ77</f>
        <v>0</v>
      </c>
      <c r="AZ78" s="405">
        <f>'ADJ DETAIL-INPUT'!BA77</f>
        <v>0</v>
      </c>
      <c r="BA78" s="405">
        <f>'ADJ DETAIL-INPUT'!BB77</f>
        <v>0</v>
      </c>
      <c r="BB78" s="405">
        <f>'ADJ DETAIL-INPUT'!BC77</f>
        <v>0</v>
      </c>
      <c r="BC78" s="405">
        <f>'ADJ DETAIL-INPUT'!BD77</f>
        <v>2094</v>
      </c>
      <c r="BD78" s="405">
        <f>'ADJ DETAIL-INPUT'!BE77</f>
        <v>1111</v>
      </c>
      <c r="BE78" s="405">
        <f>'ADJ DETAIL-INPUT'!BF77</f>
        <v>0</v>
      </c>
      <c r="BF78" s="405">
        <f>'ADJ DETAIL-INPUT'!BJ77</f>
        <v>0</v>
      </c>
      <c r="BG78" s="405">
        <f>'ADJ DETAIL-INPUT'!BK77</f>
        <v>-2992</v>
      </c>
      <c r="BH78" s="405">
        <f>'ADJ DETAIL-INPUT'!BL77</f>
        <v>0</v>
      </c>
      <c r="BI78" s="405">
        <f>'ADJ DETAIL-INPUT'!BM77</f>
        <v>0</v>
      </c>
      <c r="BJ78" s="405">
        <f>'ADJ DETAIL-INPUT'!BN77</f>
        <v>0</v>
      </c>
      <c r="BK78" s="405">
        <f>'ADJ DETAIL-INPUT'!BO77</f>
        <v>0</v>
      </c>
      <c r="BL78" s="405">
        <f>'ADJ DETAIL-INPUT'!BP77</f>
        <v>0</v>
      </c>
      <c r="BM78" s="405">
        <f>'ADJ DETAIL-INPUT'!BQ77</f>
        <v>0</v>
      </c>
      <c r="BN78" s="405">
        <f>'ADJ DETAIL-INPUT'!BR77</f>
        <v>0</v>
      </c>
      <c r="BO78" s="405">
        <f>'ADJ DETAIL-INPUT'!BS77</f>
        <v>0</v>
      </c>
      <c r="BP78" s="405">
        <f>'ADJ DETAIL-INPUT'!BT77</f>
        <v>0</v>
      </c>
      <c r="BQ78" s="405">
        <f>'ADJ DETAIL-INPUT'!BU77</f>
        <v>2223</v>
      </c>
      <c r="BR78" s="405">
        <f>'ADJ DETAIL-INPUT'!BV77</f>
        <v>0</v>
      </c>
    </row>
    <row r="79" spans="1:70" s="396" customFormat="1">
      <c r="A79" s="397">
        <f>'ADJ DETAIL-INPUT'!A78</f>
        <v>48</v>
      </c>
      <c r="B79" s="396" t="str">
        <f>'ADJ DETAIL-INPUT'!B78</f>
        <v xml:space="preserve">WORKING CAPITAL </v>
      </c>
      <c r="E79" s="412">
        <f>'ADJ DETAIL-INPUT'!E78</f>
        <v>51595</v>
      </c>
      <c r="F79" s="414">
        <f>'ADJ DETAIL-INPUT'!F78</f>
        <v>0</v>
      </c>
      <c r="G79" s="414">
        <f>'ADJ DETAIL-INPUT'!G78</f>
        <v>0</v>
      </c>
      <c r="H79" s="414">
        <f>'ADJ DETAIL-INPUT'!H78</f>
        <v>-295</v>
      </c>
      <c r="I79" s="414">
        <f>'ADJ DETAIL-INPUT'!I78</f>
        <v>0</v>
      </c>
      <c r="J79" s="414">
        <f>'ADJ DETAIL-INPUT'!J78</f>
        <v>0</v>
      </c>
      <c r="K79" s="414">
        <f>'ADJ DETAIL-INPUT'!K78</f>
        <v>0</v>
      </c>
      <c r="L79" s="414">
        <f>'ADJ DETAIL-INPUT'!L78</f>
        <v>0</v>
      </c>
      <c r="M79" s="414">
        <f>'ADJ DETAIL-INPUT'!M78</f>
        <v>0</v>
      </c>
      <c r="N79" s="414">
        <f>'ADJ DETAIL-INPUT'!N78</f>
        <v>0</v>
      </c>
      <c r="O79" s="414">
        <f>'ADJ DETAIL-INPUT'!O78</f>
        <v>0</v>
      </c>
      <c r="P79" s="414">
        <f>'ADJ DETAIL-INPUT'!P78</f>
        <v>0</v>
      </c>
      <c r="Q79" s="414">
        <f>'ADJ DETAIL-INPUT'!Q78</f>
        <v>0</v>
      </c>
      <c r="R79" s="414">
        <f>'ADJ DETAIL-INPUT'!R78</f>
        <v>0</v>
      </c>
      <c r="S79" s="414">
        <f>'ADJ DETAIL-INPUT'!S78</f>
        <v>0</v>
      </c>
      <c r="T79" s="414">
        <f>'ADJ DETAIL-INPUT'!T78</f>
        <v>0</v>
      </c>
      <c r="U79" s="414">
        <f>'ADJ DETAIL-INPUT'!U78</f>
        <v>0</v>
      </c>
      <c r="V79" s="414">
        <f>'ADJ DETAIL-INPUT'!V78</f>
        <v>0</v>
      </c>
      <c r="W79" s="414">
        <f>'ADJ DETAIL-INPUT'!W78</f>
        <v>0</v>
      </c>
      <c r="X79" s="414">
        <f>'ADJ DETAIL-INPUT'!X78</f>
        <v>0</v>
      </c>
      <c r="Y79" s="414">
        <f>'ADJ DETAIL-INPUT'!Y78</f>
        <v>0</v>
      </c>
      <c r="Z79" s="414">
        <f>'ADJ DETAIL-INPUT'!Z78</f>
        <v>0</v>
      </c>
      <c r="AA79" s="414">
        <f>'ADJ DETAIL-INPUT'!AA78</f>
        <v>0</v>
      </c>
      <c r="AB79" s="414">
        <f>'ADJ DETAIL-INPUT'!AB78</f>
        <v>0</v>
      </c>
      <c r="AC79" s="414">
        <f>'ADJ DETAIL-INPUT'!AD78</f>
        <v>0</v>
      </c>
      <c r="AD79" s="414">
        <f>'ADJ DETAIL-INPUT'!AE78</f>
        <v>0</v>
      </c>
      <c r="AE79" s="414">
        <f>'ADJ DETAIL-INPUT'!AF78</f>
        <v>0</v>
      </c>
      <c r="AF79" s="414">
        <f>'ADJ DETAIL-INPUT'!AG78</f>
        <v>0</v>
      </c>
      <c r="AG79" s="414">
        <f>'ADJ DETAIL-INPUT'!AH78</f>
        <v>0</v>
      </c>
      <c r="AH79" s="414">
        <f>'ADJ DETAIL-INPUT'!AI78</f>
        <v>0</v>
      </c>
      <c r="AI79" s="414">
        <f>'ADJ DETAIL-INPUT'!AJ78</f>
        <v>0</v>
      </c>
      <c r="AJ79" s="414">
        <f>'ADJ DETAIL-INPUT'!AK78</f>
        <v>0</v>
      </c>
      <c r="AK79" s="414">
        <f>'ADJ DETAIL-INPUT'!AL78</f>
        <v>0</v>
      </c>
      <c r="AL79" s="414">
        <f>'ADJ DETAIL-INPUT'!AM78</f>
        <v>0</v>
      </c>
      <c r="AM79" s="414">
        <f>'ADJ DETAIL-INPUT'!AN78</f>
        <v>0</v>
      </c>
      <c r="AN79" s="414">
        <f>'ADJ DETAIL-INPUT'!AO78</f>
        <v>0</v>
      </c>
      <c r="AO79" s="414">
        <f>'ADJ DETAIL-INPUT'!AP78</f>
        <v>0</v>
      </c>
      <c r="AP79" s="414">
        <f>'ADJ DETAIL-INPUT'!AQ78</f>
        <v>0</v>
      </c>
      <c r="AQ79" s="414">
        <f>'ADJ DETAIL-INPUT'!AR78</f>
        <v>0</v>
      </c>
      <c r="AR79" s="414">
        <f>'ADJ DETAIL-INPUT'!AS78</f>
        <v>0</v>
      </c>
      <c r="AS79" s="414">
        <f>'ADJ DETAIL-INPUT'!AT78</f>
        <v>0</v>
      </c>
      <c r="AT79" s="414">
        <f>'ADJ DETAIL-INPUT'!AU78</f>
        <v>0</v>
      </c>
      <c r="AU79" s="414">
        <f>'ADJ DETAIL-INPUT'!AV78</f>
        <v>0</v>
      </c>
      <c r="AV79" s="414">
        <f>'ADJ DETAIL-INPUT'!AW78</f>
        <v>0</v>
      </c>
      <c r="AW79" s="414">
        <f>'ADJ DETAIL-INPUT'!AX78</f>
        <v>0</v>
      </c>
      <c r="AX79" s="414">
        <f>'ADJ DETAIL-INPUT'!AY78</f>
        <v>0</v>
      </c>
      <c r="AY79" s="414">
        <f>'ADJ DETAIL-INPUT'!AZ78</f>
        <v>0</v>
      </c>
      <c r="AZ79" s="414">
        <f>'ADJ DETAIL-INPUT'!BA78</f>
        <v>0</v>
      </c>
      <c r="BA79" s="414">
        <f>'ADJ DETAIL-INPUT'!BB78</f>
        <v>0</v>
      </c>
      <c r="BB79" s="414">
        <f>'ADJ DETAIL-INPUT'!BC78</f>
        <v>0</v>
      </c>
      <c r="BC79" s="414">
        <f>'ADJ DETAIL-INPUT'!BD78</f>
        <v>0</v>
      </c>
      <c r="BD79" s="414">
        <f>'ADJ DETAIL-INPUT'!BE78</f>
        <v>0</v>
      </c>
      <c r="BE79" s="414">
        <f>'ADJ DETAIL-INPUT'!BF78</f>
        <v>0</v>
      </c>
      <c r="BF79" s="414">
        <f>'ADJ DETAIL-INPUT'!BJ78</f>
        <v>0</v>
      </c>
      <c r="BG79" s="414">
        <f>'ADJ DETAIL-INPUT'!BK78</f>
        <v>0</v>
      </c>
      <c r="BH79" s="414">
        <f>'ADJ DETAIL-INPUT'!BL78</f>
        <v>0</v>
      </c>
      <c r="BI79" s="414">
        <f>'ADJ DETAIL-INPUT'!BM78</f>
        <v>0</v>
      </c>
      <c r="BJ79" s="414">
        <f>'ADJ DETAIL-INPUT'!BN78</f>
        <v>0</v>
      </c>
      <c r="BK79" s="414">
        <f>'ADJ DETAIL-INPUT'!BO78</f>
        <v>0</v>
      </c>
      <c r="BL79" s="414">
        <f>'ADJ DETAIL-INPUT'!BP78</f>
        <v>0</v>
      </c>
      <c r="BM79" s="414">
        <f>'ADJ DETAIL-INPUT'!BQ78</f>
        <v>0</v>
      </c>
      <c r="BN79" s="414">
        <f>'ADJ DETAIL-INPUT'!BR78</f>
        <v>0</v>
      </c>
      <c r="BO79" s="414">
        <f>'ADJ DETAIL-INPUT'!BS78</f>
        <v>0</v>
      </c>
      <c r="BP79" s="414">
        <f>'ADJ DETAIL-INPUT'!BT78</f>
        <v>0</v>
      </c>
      <c r="BQ79" s="414">
        <f>'ADJ DETAIL-INPUT'!BU78</f>
        <v>0</v>
      </c>
      <c r="BR79" s="414">
        <f>'ADJ DETAIL-INPUT'!BV78</f>
        <v>0</v>
      </c>
    </row>
    <row r="80" spans="1:70" s="396" customFormat="1" ht="6.75" customHeight="1">
      <c r="A80" s="398"/>
      <c r="E80" s="422">
        <f>'ADJ DETAIL-INPUT'!E79</f>
        <v>0</v>
      </c>
      <c r="F80" s="405">
        <f>'ADJ DETAIL-INPUT'!F79</f>
        <v>0</v>
      </c>
      <c r="G80" s="405">
        <f>'ADJ DETAIL-INPUT'!G79</f>
        <v>0</v>
      </c>
      <c r="H80" s="405">
        <f>'ADJ DETAIL-INPUT'!H79</f>
        <v>0</v>
      </c>
      <c r="I80" s="405">
        <f>'ADJ DETAIL-INPUT'!I79</f>
        <v>0</v>
      </c>
      <c r="J80" s="405">
        <f>'ADJ DETAIL-INPUT'!J79</f>
        <v>0</v>
      </c>
      <c r="K80" s="405">
        <f>'ADJ DETAIL-INPUT'!K79</f>
        <v>0</v>
      </c>
      <c r="L80" s="405">
        <f>'ADJ DETAIL-INPUT'!L79</f>
        <v>0</v>
      </c>
      <c r="M80" s="405">
        <f>'ADJ DETAIL-INPUT'!M79</f>
        <v>0</v>
      </c>
      <c r="N80" s="405">
        <f>'ADJ DETAIL-INPUT'!N79</f>
        <v>0</v>
      </c>
      <c r="O80" s="405">
        <f>'ADJ DETAIL-INPUT'!O79</f>
        <v>0</v>
      </c>
      <c r="P80" s="405">
        <f>'ADJ DETAIL-INPUT'!P79</f>
        <v>0</v>
      </c>
      <c r="Q80" s="405">
        <f>'ADJ DETAIL-INPUT'!Q79</f>
        <v>0</v>
      </c>
      <c r="R80" s="405">
        <f>'ADJ DETAIL-INPUT'!R79</f>
        <v>0</v>
      </c>
      <c r="S80" s="405">
        <f>'ADJ DETAIL-INPUT'!S79</f>
        <v>0</v>
      </c>
      <c r="T80" s="405">
        <f>'ADJ DETAIL-INPUT'!T79</f>
        <v>0</v>
      </c>
      <c r="U80" s="405">
        <f>'ADJ DETAIL-INPUT'!U79</f>
        <v>0</v>
      </c>
      <c r="V80" s="405">
        <f>'ADJ DETAIL-INPUT'!V79</f>
        <v>0</v>
      </c>
      <c r="W80" s="405">
        <f>'ADJ DETAIL-INPUT'!W79</f>
        <v>0</v>
      </c>
      <c r="X80" s="405">
        <f>'ADJ DETAIL-INPUT'!X79</f>
        <v>0</v>
      </c>
      <c r="Y80" s="405">
        <f>'ADJ DETAIL-INPUT'!Y79</f>
        <v>0</v>
      </c>
      <c r="Z80" s="405">
        <f>'ADJ DETAIL-INPUT'!Z79</f>
        <v>0</v>
      </c>
      <c r="AA80" s="405">
        <f>'ADJ DETAIL-INPUT'!AA79</f>
        <v>0</v>
      </c>
      <c r="AB80" s="405">
        <f>'ADJ DETAIL-INPUT'!AB79</f>
        <v>0</v>
      </c>
      <c r="AC80" s="405">
        <f>'ADJ DETAIL-INPUT'!AD79</f>
        <v>0</v>
      </c>
      <c r="AD80" s="405">
        <f>'ADJ DETAIL-INPUT'!AE79</f>
        <v>0</v>
      </c>
      <c r="AE80" s="405">
        <f>'ADJ DETAIL-INPUT'!AF79</f>
        <v>0</v>
      </c>
      <c r="AF80" s="405">
        <f>'ADJ DETAIL-INPUT'!AG79</f>
        <v>0</v>
      </c>
      <c r="AG80" s="405">
        <f>'ADJ DETAIL-INPUT'!AH79</f>
        <v>0</v>
      </c>
      <c r="AH80" s="405">
        <f>'ADJ DETAIL-INPUT'!AI79</f>
        <v>0</v>
      </c>
      <c r="AI80" s="405">
        <f>'ADJ DETAIL-INPUT'!AJ79</f>
        <v>0</v>
      </c>
      <c r="AJ80" s="405">
        <f>'ADJ DETAIL-INPUT'!AK79</f>
        <v>0</v>
      </c>
      <c r="AK80" s="405">
        <f>'ADJ DETAIL-INPUT'!AL79</f>
        <v>0</v>
      </c>
      <c r="AL80" s="405">
        <f>'ADJ DETAIL-INPUT'!AM79</f>
        <v>0</v>
      </c>
      <c r="AM80" s="405">
        <f>'ADJ DETAIL-INPUT'!AN79</f>
        <v>0</v>
      </c>
      <c r="AN80" s="405">
        <f>'ADJ DETAIL-INPUT'!AO79</f>
        <v>0</v>
      </c>
      <c r="AO80" s="405">
        <f>'ADJ DETAIL-INPUT'!AP79</f>
        <v>0</v>
      </c>
      <c r="AP80" s="405">
        <f>'ADJ DETAIL-INPUT'!AQ79</f>
        <v>0</v>
      </c>
      <c r="AQ80" s="405">
        <f>'ADJ DETAIL-INPUT'!AR79</f>
        <v>0</v>
      </c>
      <c r="AR80" s="405">
        <f>'ADJ DETAIL-INPUT'!AS79</f>
        <v>0</v>
      </c>
      <c r="AS80" s="405">
        <f>'ADJ DETAIL-INPUT'!AT79</f>
        <v>0</v>
      </c>
      <c r="AT80" s="405">
        <f>'ADJ DETAIL-INPUT'!AU79</f>
        <v>0</v>
      </c>
      <c r="AU80" s="405">
        <f>'ADJ DETAIL-INPUT'!AV79</f>
        <v>0</v>
      </c>
      <c r="AV80" s="405">
        <f>'ADJ DETAIL-INPUT'!AW79</f>
        <v>0</v>
      </c>
      <c r="AW80" s="405">
        <f>'ADJ DETAIL-INPUT'!AX79</f>
        <v>0</v>
      </c>
      <c r="AX80" s="405">
        <f>'ADJ DETAIL-INPUT'!AY79</f>
        <v>0</v>
      </c>
      <c r="AY80" s="405">
        <f>'ADJ DETAIL-INPUT'!AZ79</f>
        <v>0</v>
      </c>
      <c r="AZ80" s="405">
        <f>'ADJ DETAIL-INPUT'!BA79</f>
        <v>0</v>
      </c>
      <c r="BA80" s="405">
        <f>'ADJ DETAIL-INPUT'!BB79</f>
        <v>0</v>
      </c>
      <c r="BB80" s="405">
        <f>'ADJ DETAIL-INPUT'!BC79</f>
        <v>0</v>
      </c>
      <c r="BC80" s="405">
        <f>'ADJ DETAIL-INPUT'!BD79</f>
        <v>0</v>
      </c>
      <c r="BD80" s="405">
        <f>'ADJ DETAIL-INPUT'!BE79</f>
        <v>0</v>
      </c>
      <c r="BE80" s="405">
        <f>'ADJ DETAIL-INPUT'!BF79</f>
        <v>0</v>
      </c>
      <c r="BF80" s="405">
        <f>'ADJ DETAIL-INPUT'!BJ79</f>
        <v>0</v>
      </c>
      <c r="BG80" s="405">
        <f>'ADJ DETAIL-INPUT'!BK79</f>
        <v>0</v>
      </c>
      <c r="BH80" s="405">
        <f>'ADJ DETAIL-INPUT'!BL79</f>
        <v>0</v>
      </c>
      <c r="BI80" s="405">
        <f>'ADJ DETAIL-INPUT'!BM79</f>
        <v>0</v>
      </c>
      <c r="BJ80" s="405">
        <f>'ADJ DETAIL-INPUT'!BN79</f>
        <v>0</v>
      </c>
      <c r="BK80" s="405">
        <f>'ADJ DETAIL-INPUT'!BO79</f>
        <v>0</v>
      </c>
      <c r="BL80" s="405">
        <f>'ADJ DETAIL-INPUT'!BP79</f>
        <v>0</v>
      </c>
      <c r="BM80" s="405">
        <f>'ADJ DETAIL-INPUT'!BQ79</f>
        <v>0</v>
      </c>
      <c r="BN80" s="405">
        <f>'ADJ DETAIL-INPUT'!BR79</f>
        <v>0</v>
      </c>
      <c r="BO80" s="405">
        <f>'ADJ DETAIL-INPUT'!BS79</f>
        <v>0</v>
      </c>
      <c r="BP80" s="405">
        <f>'ADJ DETAIL-INPUT'!BT79</f>
        <v>0</v>
      </c>
      <c r="BQ80" s="405">
        <f>'ADJ DETAIL-INPUT'!BU79</f>
        <v>0</v>
      </c>
      <c r="BR80" s="405">
        <f>'ADJ DETAIL-INPUT'!BV79</f>
        <v>0</v>
      </c>
    </row>
    <row r="81" spans="1:70" s="395" customFormat="1" ht="12.75" thickBot="1">
      <c r="A81" s="394">
        <f>'ADJ DETAIL-INPUT'!A80</f>
        <v>49</v>
      </c>
      <c r="B81" s="395" t="str">
        <f>'ADJ DETAIL-INPUT'!B80</f>
        <v xml:space="preserve">TOTAL RATE BASE  </v>
      </c>
      <c r="E81" s="423">
        <f>'ADJ DETAIL-INPUT'!E80</f>
        <v>1824656</v>
      </c>
      <c r="F81" s="423">
        <f>'ADJ DETAIL-INPUT'!F80</f>
        <v>-680</v>
      </c>
      <c r="G81" s="423">
        <f>'ADJ DETAIL-INPUT'!G80</f>
        <v>19</v>
      </c>
      <c r="H81" s="423">
        <f>'ADJ DETAIL-INPUT'!H80</f>
        <v>-295</v>
      </c>
      <c r="I81" s="423">
        <f>'ADJ DETAIL-INPUT'!I80</f>
        <v>0</v>
      </c>
      <c r="J81" s="423">
        <f>'ADJ DETAIL-INPUT'!J80</f>
        <v>0</v>
      </c>
      <c r="K81" s="423">
        <f>'ADJ DETAIL-INPUT'!K80</f>
        <v>0</v>
      </c>
      <c r="L81" s="423">
        <f>'ADJ DETAIL-INPUT'!L80</f>
        <v>0</v>
      </c>
      <c r="M81" s="423">
        <f>'ADJ DETAIL-INPUT'!M80</f>
        <v>0</v>
      </c>
      <c r="N81" s="423">
        <f>'ADJ DETAIL-INPUT'!N80</f>
        <v>0</v>
      </c>
      <c r="O81" s="423">
        <f>'ADJ DETAIL-INPUT'!O80</f>
        <v>0</v>
      </c>
      <c r="P81" s="423">
        <f>'ADJ DETAIL-INPUT'!P80</f>
        <v>0</v>
      </c>
      <c r="Q81" s="423">
        <f>'ADJ DETAIL-INPUT'!Q80</f>
        <v>0</v>
      </c>
      <c r="R81" s="423">
        <f>'ADJ DETAIL-INPUT'!R80</f>
        <v>0</v>
      </c>
      <c r="S81" s="423">
        <f>'ADJ DETAIL-INPUT'!S80</f>
        <v>0</v>
      </c>
      <c r="T81" s="423">
        <f>'ADJ DETAIL-INPUT'!T80</f>
        <v>0</v>
      </c>
      <c r="U81" s="423">
        <f>'ADJ DETAIL-INPUT'!U80</f>
        <v>0</v>
      </c>
      <c r="V81" s="423">
        <f>'ADJ DETAIL-INPUT'!V80</f>
        <v>0</v>
      </c>
      <c r="W81" s="423">
        <f>'ADJ DETAIL-INPUT'!W80</f>
        <v>74189</v>
      </c>
      <c r="X81" s="423">
        <f>'ADJ DETAIL-INPUT'!X80</f>
        <v>0</v>
      </c>
      <c r="Y81" s="423">
        <f>'ADJ DETAIL-INPUT'!Y80</f>
        <v>0</v>
      </c>
      <c r="Z81" s="423">
        <f>'ADJ DETAIL-INPUT'!Z80</f>
        <v>0</v>
      </c>
      <c r="AA81" s="423">
        <f>'ADJ DETAIL-INPUT'!AA80</f>
        <v>0</v>
      </c>
      <c r="AB81" s="423">
        <f>'ADJ DETAIL-INPUT'!AB80</f>
        <v>-24902</v>
      </c>
      <c r="AC81" s="423">
        <f>'ADJ DETAIL-INPUT'!AD80</f>
        <v>0</v>
      </c>
      <c r="AD81" s="423">
        <f>'ADJ DETAIL-INPUT'!AE80</f>
        <v>0</v>
      </c>
      <c r="AE81" s="423">
        <f>'ADJ DETAIL-INPUT'!AF80</f>
        <v>0</v>
      </c>
      <c r="AF81" s="423">
        <f>'ADJ DETAIL-INPUT'!AG80</f>
        <v>-27</v>
      </c>
      <c r="AG81" s="423">
        <f>'ADJ DETAIL-INPUT'!AH80</f>
        <v>0</v>
      </c>
      <c r="AH81" s="423">
        <f>'ADJ DETAIL-INPUT'!AI80</f>
        <v>30417</v>
      </c>
      <c r="AI81" s="423">
        <f>'ADJ DETAIL-INPUT'!AJ80</f>
        <v>0</v>
      </c>
      <c r="AJ81" s="423">
        <f>'ADJ DETAIL-INPUT'!AK80</f>
        <v>0</v>
      </c>
      <c r="AK81" s="423">
        <f>'ADJ DETAIL-INPUT'!AL80</f>
        <v>0</v>
      </c>
      <c r="AL81" s="423">
        <f>'ADJ DETAIL-INPUT'!AM80</f>
        <v>0</v>
      </c>
      <c r="AM81" s="423">
        <f>'ADJ DETAIL-INPUT'!AN80</f>
        <v>0</v>
      </c>
      <c r="AN81" s="423">
        <f>'ADJ DETAIL-INPUT'!AO80</f>
        <v>0</v>
      </c>
      <c r="AO81" s="423">
        <f>'ADJ DETAIL-INPUT'!AP80</f>
        <v>0</v>
      </c>
      <c r="AP81" s="423">
        <f>'ADJ DETAIL-INPUT'!AQ80</f>
        <v>0</v>
      </c>
      <c r="AQ81" s="423">
        <f>'ADJ DETAIL-INPUT'!AR80</f>
        <v>0</v>
      </c>
      <c r="AR81" s="423">
        <f>'ADJ DETAIL-INPUT'!AS80</f>
        <v>0</v>
      </c>
      <c r="AS81" s="423">
        <f>'ADJ DETAIL-INPUT'!AT80</f>
        <v>34833.699738448624</v>
      </c>
      <c r="AT81" s="423">
        <f>'ADJ DETAIL-INPUT'!AU80</f>
        <v>0</v>
      </c>
      <c r="AU81" s="423">
        <f>'ADJ DETAIL-INPUT'!AV80</f>
        <v>6302</v>
      </c>
      <c r="AV81" s="423">
        <f>'ADJ DETAIL-INPUT'!AW80</f>
        <v>2497</v>
      </c>
      <c r="AW81" s="423">
        <f>'ADJ DETAIL-INPUT'!AX80</f>
        <v>-3063</v>
      </c>
      <c r="AX81" s="423">
        <f>'ADJ DETAIL-INPUT'!AY80</f>
        <v>78398.318394927875</v>
      </c>
      <c r="AY81" s="423">
        <f>'ADJ DETAIL-INPUT'!AZ80</f>
        <v>14180.659197463938</v>
      </c>
      <c r="AZ81" s="423">
        <f>'ADJ DETAIL-INPUT'!BA80</f>
        <v>0</v>
      </c>
      <c r="BA81" s="423">
        <f>'ADJ DETAIL-INPUT'!BB80</f>
        <v>13806</v>
      </c>
      <c r="BB81" s="423">
        <f>'ADJ DETAIL-INPUT'!BC80</f>
        <v>7135</v>
      </c>
      <c r="BC81" s="423">
        <f>'ADJ DETAIL-INPUT'!BD80</f>
        <v>-9874</v>
      </c>
      <c r="BD81" s="423">
        <f>'ADJ DETAIL-INPUT'!BE80</f>
        <v>-4874</v>
      </c>
      <c r="BE81" s="423">
        <f>'ADJ DETAIL-INPUT'!BF80</f>
        <v>-902</v>
      </c>
      <c r="BF81" s="423">
        <f>'ADJ DETAIL-INPUT'!BJ80</f>
        <v>0</v>
      </c>
      <c r="BG81" s="423">
        <f>'ADJ DETAIL-INPUT'!BK80</f>
        <v>-2992</v>
      </c>
      <c r="BH81" s="423">
        <f>'ADJ DETAIL-INPUT'!BL80</f>
        <v>0</v>
      </c>
      <c r="BI81" s="423">
        <f>'ADJ DETAIL-INPUT'!BM80</f>
        <v>0</v>
      </c>
      <c r="BJ81" s="423">
        <f>'ADJ DETAIL-INPUT'!BN80</f>
        <v>0</v>
      </c>
      <c r="BK81" s="423">
        <f>'ADJ DETAIL-INPUT'!BO80</f>
        <v>0</v>
      </c>
      <c r="BL81" s="423">
        <f>'ADJ DETAIL-INPUT'!BP80</f>
        <v>0</v>
      </c>
      <c r="BM81" s="423">
        <f>'ADJ DETAIL-INPUT'!BQ80</f>
        <v>0</v>
      </c>
      <c r="BN81" s="423">
        <f>'ADJ DETAIL-INPUT'!BR80</f>
        <v>76786.318394927875</v>
      </c>
      <c r="BO81" s="423">
        <f>'ADJ DETAIL-INPUT'!BS80</f>
        <v>0</v>
      </c>
      <c r="BP81" s="423">
        <f>'ADJ DETAIL-INPUT'!BT80</f>
        <v>15690</v>
      </c>
      <c r="BQ81" s="423">
        <f>'ADJ DETAIL-INPUT'!BU80</f>
        <v>-9747</v>
      </c>
      <c r="BR81" s="423">
        <f>'ADJ DETAIL-INPUT'!BV80</f>
        <v>-1569</v>
      </c>
    </row>
    <row r="82" spans="1:70" ht="12.75" thickTop="1">
      <c r="D82" s="400"/>
      <c r="E82" s="405"/>
    </row>
    <row r="83" spans="1:70">
      <c r="E83" s="405"/>
    </row>
  </sheetData>
  <sheetProtection formatCells="0" formatColumns="0" formatRows="0" insertColumns="0" insertRows="0" insertHyperlinks="0" deleteColumns="0" deleteRows="0" sort="0" autoFilter="0" pivotTables="0"/>
  <mergeCells count="3">
    <mergeCell ref="AA3:AA6"/>
    <mergeCell ref="W3:W6"/>
    <mergeCell ref="AB3:AB6"/>
  </mergeCells>
  <pageMargins left="1.25" right="0.51" top="0.4" bottom="0.5" header="0.27" footer="0.5"/>
  <pageSetup scale="83" firstPageNumber="4" fitToWidth="3" orientation="portrait" r:id="rId1"/>
  <headerFooter scaleWithDoc="0" alignWithMargins="0"/>
  <colBreaks count="65" manualBreakCount="65">
    <brk id="5" min="1" max="79" man="1"/>
    <brk id="6" min="1" max="79" man="1"/>
    <brk id="7" max="1048575" man="1"/>
    <brk id="8" min="1" max="79" man="1"/>
    <brk id="9" max="1048575" man="1"/>
    <brk id="10" min="1" max="79" man="1"/>
    <brk id="11" min="1" max="79" man="1"/>
    <brk id="12" min="1" max="79" man="1"/>
    <brk id="13" min="1" max="79" man="1"/>
    <brk id="14" min="1" max="79" man="1"/>
    <brk id="15" min="1" max="79" man="1"/>
    <brk id="16" min="1" max="79" man="1"/>
    <brk id="17" min="1" max="79" man="1"/>
    <brk id="18" min="1" max="79" man="1"/>
    <brk id="19" min="1" max="79"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brk id="51" max="1048575" man="1"/>
    <brk id="52" max="1048575" man="1"/>
    <brk id="53" max="1048575" man="1"/>
    <brk id="54" max="1048575" man="1"/>
    <brk id="55" max="1048575" man="1"/>
    <brk id="56" max="1048575" man="1"/>
    <brk id="58" max="1048575" man="1"/>
    <brk id="59" max="1048575" man="1"/>
    <brk id="60" max="1048575" man="1"/>
    <brk id="61" max="1048575" man="1"/>
    <brk id="62" max="1048575" man="1"/>
    <brk id="63" max="1048575" man="1"/>
    <brk id="64" max="1048575" man="1"/>
    <brk id="65" max="1048575" man="1"/>
    <brk id="66" max="1048575" man="1"/>
    <brk id="67" max="1048575" man="1"/>
    <brk id="68" max="1048575" man="1"/>
    <brk id="69" max="1048575" man="1"/>
    <brk id="5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F2898-3C37-4F8E-80E3-70B746539A0B}">
  <dimension ref="A1:Z92"/>
  <sheetViews>
    <sheetView workbookViewId="0">
      <selection activeCell="F1" sqref="F1:K3"/>
    </sheetView>
  </sheetViews>
  <sheetFormatPr defaultColWidth="9.140625" defaultRowHeight="12.75"/>
  <cols>
    <col min="1" max="1" width="4.5703125" style="382" customWidth="1"/>
    <col min="2" max="3" width="1.5703125" style="381" customWidth="1"/>
    <col min="4" max="4" width="25.42578125" style="381" customWidth="1"/>
    <col min="5" max="6" width="11.5703125" style="228" customWidth="1"/>
    <col min="7" max="7" width="12.42578125" style="228" customWidth="1"/>
    <col min="8" max="8" width="13.5703125" style="228" customWidth="1"/>
    <col min="9" max="9" width="17.5703125" style="228" customWidth="1"/>
    <col min="10" max="10" width="14.42578125" style="228" customWidth="1"/>
    <col min="11" max="11" width="13.42578125" style="228" customWidth="1"/>
    <col min="12" max="12" width="24" style="1149" customWidth="1"/>
    <col min="13" max="13" width="9.140625" style="1149"/>
    <col min="14" max="14" width="11.140625" style="1149" bestFit="1" customWidth="1"/>
    <col min="15" max="15" width="9.5703125" style="1149" bestFit="1" customWidth="1"/>
    <col min="16" max="16" width="9.140625" style="1149"/>
    <col min="17" max="17" width="11.140625" style="1149" bestFit="1" customWidth="1"/>
    <col min="18" max="18" width="9.140625" style="1165"/>
    <col min="19" max="37" width="9.140625" style="1149"/>
    <col min="38" max="38" width="14.5703125" style="1149" customWidth="1"/>
    <col min="39" max="16384" width="9.140625" style="1149"/>
  </cols>
  <sheetData>
    <row r="1" spans="1:23" ht="15" customHeight="1">
      <c r="A1" s="518" t="str">
        <f>'ADJ DETAIL-INPUT'!A1</f>
        <v xml:space="preserve">AVISTA UTILITIES  </v>
      </c>
      <c r="D1" s="382"/>
      <c r="E1" s="628"/>
      <c r="F1" s="1363" t="s">
        <v>1275</v>
      </c>
      <c r="G1" s="1363"/>
      <c r="H1" s="1363"/>
      <c r="I1" s="1363"/>
      <c r="J1" s="1363"/>
      <c r="K1" s="1363"/>
    </row>
    <row r="2" spans="1:23" ht="15">
      <c r="A2" s="518" t="str">
        <f>'ADJ DETAIL-INPUT'!A2</f>
        <v xml:space="preserve">WASHINGTON ELECTRIC RESULTS </v>
      </c>
      <c r="D2" s="382"/>
      <c r="F2" s="1363"/>
      <c r="G2" s="1363"/>
      <c r="H2" s="1363"/>
      <c r="I2" s="1363"/>
      <c r="J2" s="1363"/>
      <c r="K2" s="1363"/>
    </row>
    <row r="3" spans="1:23" ht="15" customHeight="1">
      <c r="A3" s="475" t="str">
        <f>'ADJ DETAIL-INPUT'!A3</f>
        <v>TWELVE MONTHS ENDED SEPTEMBER 30, 2021</v>
      </c>
      <c r="D3" s="382"/>
      <c r="F3" s="1364"/>
      <c r="G3" s="1364"/>
      <c r="H3" s="1364"/>
      <c r="I3" s="1364"/>
      <c r="J3" s="1364"/>
      <c r="K3" s="1364"/>
    </row>
    <row r="4" spans="1:23" ht="15">
      <c r="A4" s="518" t="str">
        <f>'ADJ DETAIL-INPUT'!A4</f>
        <v xml:space="preserve">(000'S OF DOLLARS)  </v>
      </c>
      <c r="D4" s="382"/>
      <c r="E4" s="1357" t="s">
        <v>1099</v>
      </c>
      <c r="F4" s="1358"/>
      <c r="G4" s="1358"/>
      <c r="H4" s="1359"/>
      <c r="I4" s="1359"/>
      <c r="J4" s="1359"/>
      <c r="K4" s="1360"/>
    </row>
    <row r="5" spans="1:23">
      <c r="A5" s="475"/>
      <c r="B5" s="384"/>
      <c r="C5" s="384"/>
      <c r="D5" s="383"/>
      <c r="E5" s="238" t="s">
        <v>166</v>
      </c>
      <c r="F5" s="239"/>
      <c r="G5" s="240"/>
      <c r="H5" s="239"/>
      <c r="I5" s="240"/>
      <c r="J5" s="238" t="s">
        <v>1096</v>
      </c>
      <c r="K5" s="240"/>
      <c r="Q5" s="248"/>
      <c r="W5" s="495"/>
    </row>
    <row r="6" spans="1:23">
      <c r="A6" s="385"/>
      <c r="B6" s="386"/>
      <c r="C6" s="387"/>
      <c r="D6" s="9"/>
      <c r="E6" s="241" t="s">
        <v>167</v>
      </c>
      <c r="F6" s="241" t="s">
        <v>134</v>
      </c>
      <c r="G6" s="721" t="s">
        <v>20</v>
      </c>
      <c r="H6" s="242" t="s">
        <v>134</v>
      </c>
      <c r="I6" s="721" t="s">
        <v>1098</v>
      </c>
      <c r="J6" s="242" t="s">
        <v>168</v>
      </c>
      <c r="K6" s="465" t="s">
        <v>1090</v>
      </c>
      <c r="Q6" s="248"/>
    </row>
    <row r="7" spans="1:23">
      <c r="A7" s="388" t="s">
        <v>8</v>
      </c>
      <c r="B7" s="389"/>
      <c r="C7" s="390"/>
      <c r="D7" s="13"/>
      <c r="E7" s="243" t="s">
        <v>9</v>
      </c>
      <c r="F7" s="243" t="s">
        <v>748</v>
      </c>
      <c r="G7" s="244" t="s">
        <v>745</v>
      </c>
      <c r="H7" s="244" t="s">
        <v>7</v>
      </c>
      <c r="I7" s="244" t="s">
        <v>644</v>
      </c>
      <c r="J7" s="244" t="s">
        <v>169</v>
      </c>
      <c r="K7" s="243" t="s">
        <v>168</v>
      </c>
      <c r="Q7" s="248"/>
    </row>
    <row r="8" spans="1:23">
      <c r="A8" s="391" t="s">
        <v>21</v>
      </c>
      <c r="B8" s="392"/>
      <c r="C8" s="393"/>
      <c r="D8" s="17" t="s">
        <v>22</v>
      </c>
      <c r="E8" s="245" t="s">
        <v>23</v>
      </c>
      <c r="F8" s="245" t="s">
        <v>144</v>
      </c>
      <c r="G8" s="246" t="s">
        <v>645</v>
      </c>
      <c r="H8" s="246" t="s">
        <v>144</v>
      </c>
      <c r="I8" s="246" t="s">
        <v>749</v>
      </c>
      <c r="J8" s="246" t="s">
        <v>170</v>
      </c>
      <c r="K8" s="245" t="s">
        <v>134</v>
      </c>
    </row>
    <row r="9" spans="1:23">
      <c r="A9" s="18"/>
      <c r="B9" s="19"/>
      <c r="C9" s="19"/>
      <c r="D9" s="19" t="s">
        <v>34</v>
      </c>
      <c r="E9" s="247" t="s">
        <v>35</v>
      </c>
      <c r="F9" s="627" t="s">
        <v>36</v>
      </c>
      <c r="G9" s="627" t="s">
        <v>37</v>
      </c>
      <c r="H9" s="247" t="s">
        <v>38</v>
      </c>
      <c r="I9" s="247" t="s">
        <v>39</v>
      </c>
      <c r="J9" s="247" t="s">
        <v>969</v>
      </c>
      <c r="K9" s="247" t="s">
        <v>1064</v>
      </c>
    </row>
    <row r="10" spans="1:23" ht="5.25" customHeight="1"/>
    <row r="11" spans="1:23" ht="5.25" customHeight="1"/>
    <row r="12" spans="1:23" ht="1.5" customHeight="1"/>
    <row r="13" spans="1:23">
      <c r="B13" s="381" t="s">
        <v>40</v>
      </c>
    </row>
    <row r="14" spans="1:23">
      <c r="A14" s="394">
        <v>1</v>
      </c>
      <c r="B14" s="395" t="s">
        <v>41</v>
      </c>
      <c r="C14" s="395"/>
      <c r="D14" s="395"/>
      <c r="E14" s="395">
        <f>'ADJ DETAIL-INPUT'!E13</f>
        <v>565624</v>
      </c>
      <c r="F14" s="395">
        <f>G14-E14</f>
        <v>-31096</v>
      </c>
      <c r="G14" s="395">
        <f>'ADJ DETAIL-INPUT'!AC13</f>
        <v>534528</v>
      </c>
      <c r="H14" s="395">
        <f>I14-G14</f>
        <v>14875</v>
      </c>
      <c r="I14" s="395">
        <f>'ADJ DETAIL-INPUT'!BH13</f>
        <v>549403</v>
      </c>
      <c r="J14" s="419">
        <f>PCCF!J9</f>
        <v>382</v>
      </c>
      <c r="K14" s="395">
        <f>I14+J14</f>
        <v>549785</v>
      </c>
      <c r="M14" s="1152"/>
    </row>
    <row r="15" spans="1:23">
      <c r="A15" s="394">
        <v>2</v>
      </c>
      <c r="B15" s="396" t="s">
        <v>42</v>
      </c>
      <c r="C15" s="396"/>
      <c r="D15" s="396"/>
      <c r="E15" s="405">
        <f>'ADJ DETAIL-INPUT'!E14</f>
        <v>1173</v>
      </c>
      <c r="F15" s="405">
        <f>G15-E15</f>
        <v>0</v>
      </c>
      <c r="G15" s="405">
        <f>'ADJ DETAIL-INPUT'!AC14</f>
        <v>1173</v>
      </c>
      <c r="H15" s="405">
        <f>I15-G15</f>
        <v>0</v>
      </c>
      <c r="I15" s="405">
        <f>'ADJ DETAIL-INPUT'!BH14</f>
        <v>1173</v>
      </c>
      <c r="J15" s="405"/>
      <c r="K15" s="405">
        <f t="shared" ref="K15:K16" si="0">I15+J15</f>
        <v>1173</v>
      </c>
      <c r="M15" s="1152"/>
    </row>
    <row r="16" spans="1:23">
      <c r="A16" s="394">
        <v>3</v>
      </c>
      <c r="B16" s="396" t="s">
        <v>43</v>
      </c>
      <c r="C16" s="396"/>
      <c r="D16" s="396"/>
      <c r="E16" s="414">
        <f>'ADJ DETAIL-INPUT'!E15</f>
        <v>50450</v>
      </c>
      <c r="F16" s="414">
        <f>G16-E16</f>
        <v>-13832</v>
      </c>
      <c r="G16" s="414">
        <f>'ADJ DETAIL-INPUT'!AC15</f>
        <v>36618</v>
      </c>
      <c r="H16" s="414">
        <f>I16-G16</f>
        <v>53093</v>
      </c>
      <c r="I16" s="414">
        <f>'ADJ DETAIL-INPUT'!BH15</f>
        <v>89711</v>
      </c>
      <c r="J16" s="414"/>
      <c r="K16" s="414">
        <f t="shared" si="0"/>
        <v>89711</v>
      </c>
      <c r="M16" s="1152"/>
    </row>
    <row r="17" spans="1:15">
      <c r="A17" s="394">
        <v>4</v>
      </c>
      <c r="B17" s="396"/>
      <c r="C17" s="396" t="s">
        <v>44</v>
      </c>
      <c r="D17" s="396"/>
      <c r="E17" s="405">
        <f>SUM(E14:E16)</f>
        <v>617247</v>
      </c>
      <c r="F17" s="405">
        <f>SUM(F14:F16)</f>
        <v>-44928</v>
      </c>
      <c r="G17" s="405">
        <f t="shared" ref="G17" si="1">SUM(G14:G16)</f>
        <v>572319</v>
      </c>
      <c r="H17" s="405">
        <f>SUM(H14:H16)</f>
        <v>67968</v>
      </c>
      <c r="I17" s="405">
        <f t="shared" ref="I17:K17" si="2">SUM(I14:I16)</f>
        <v>640287</v>
      </c>
      <c r="J17" s="405">
        <f t="shared" si="2"/>
        <v>382</v>
      </c>
      <c r="K17" s="405">
        <f t="shared" si="2"/>
        <v>640669</v>
      </c>
      <c r="M17" s="1152"/>
    </row>
    <row r="18" spans="1:15">
      <c r="A18" s="394">
        <v>5</v>
      </c>
      <c r="B18" s="396" t="s">
        <v>45</v>
      </c>
      <c r="C18" s="396"/>
      <c r="D18" s="396"/>
      <c r="E18" s="414">
        <f>'ADJ DETAIL-INPUT'!E17</f>
        <v>41339</v>
      </c>
      <c r="F18" s="414">
        <f>G18-E18</f>
        <v>-26002</v>
      </c>
      <c r="G18" s="414">
        <f>'ADJ DETAIL-INPUT'!AC17</f>
        <v>15337</v>
      </c>
      <c r="H18" s="414">
        <f>I18-G18</f>
        <v>20148</v>
      </c>
      <c r="I18" s="414">
        <f>'ADJ DETAIL-INPUT'!BH17</f>
        <v>35485</v>
      </c>
      <c r="J18" s="414"/>
      <c r="K18" s="414">
        <f>I18+J18</f>
        <v>35485</v>
      </c>
      <c r="M18" s="1152"/>
    </row>
    <row r="19" spans="1:15">
      <c r="A19" s="394">
        <v>6</v>
      </c>
      <c r="B19" s="396"/>
      <c r="C19" s="396" t="s">
        <v>46</v>
      </c>
      <c r="D19" s="396"/>
      <c r="E19" s="405">
        <f>SUM(E17:E18)</f>
        <v>658586</v>
      </c>
      <c r="F19" s="405">
        <f t="shared" ref="F19:K19" si="3">SUM(F17:F18)</f>
        <v>-70930</v>
      </c>
      <c r="G19" s="405">
        <f t="shared" si="3"/>
        <v>587656</v>
      </c>
      <c r="H19" s="405">
        <f t="shared" si="3"/>
        <v>88116</v>
      </c>
      <c r="I19" s="405">
        <f t="shared" si="3"/>
        <v>675772</v>
      </c>
      <c r="J19" s="405">
        <f t="shared" si="3"/>
        <v>382</v>
      </c>
      <c r="K19" s="405">
        <f t="shared" si="3"/>
        <v>676154</v>
      </c>
      <c r="M19" s="1152"/>
    </row>
    <row r="20" spans="1:15" ht="5.25" customHeight="1">
      <c r="A20" s="394"/>
      <c r="B20" s="396"/>
      <c r="C20" s="396"/>
      <c r="D20" s="396"/>
      <c r="E20" s="405"/>
      <c r="F20" s="405"/>
      <c r="G20" s="405"/>
      <c r="H20" s="405"/>
      <c r="I20" s="405"/>
      <c r="J20" s="405"/>
      <c r="K20" s="405"/>
      <c r="M20" s="1152"/>
    </row>
    <row r="21" spans="1:15">
      <c r="A21" s="394"/>
      <c r="B21" s="396" t="s">
        <v>47</v>
      </c>
      <c r="C21" s="396"/>
      <c r="D21" s="396"/>
      <c r="E21" s="405"/>
      <c r="F21" s="405"/>
      <c r="G21" s="405"/>
      <c r="H21" s="405"/>
      <c r="I21" s="405"/>
      <c r="J21" s="405"/>
      <c r="K21" s="405"/>
      <c r="M21" s="1152"/>
    </row>
    <row r="22" spans="1:15">
      <c r="A22" s="394"/>
      <c r="B22" s="396" t="s">
        <v>48</v>
      </c>
      <c r="C22" s="396"/>
      <c r="D22" s="396"/>
      <c r="E22" s="405"/>
      <c r="F22" s="405"/>
      <c r="G22" s="405"/>
      <c r="H22" s="405"/>
      <c r="I22" s="405"/>
      <c r="J22" s="405"/>
      <c r="K22" s="405"/>
      <c r="M22" s="1152"/>
      <c r="N22" s="1309"/>
      <c r="O22" s="1309"/>
    </row>
    <row r="23" spans="1:15">
      <c r="A23" s="394">
        <v>7</v>
      </c>
      <c r="B23" s="396"/>
      <c r="C23" s="396" t="s">
        <v>49</v>
      </c>
      <c r="D23" s="396"/>
      <c r="E23" s="405">
        <f>'ADJ DETAIL-INPUT'!E22</f>
        <v>156285</v>
      </c>
      <c r="F23" s="405">
        <f>G23-E23</f>
        <v>-26192</v>
      </c>
      <c r="G23" s="508">
        <f>'ADJ DETAIL-INPUT'!AC22</f>
        <v>130093</v>
      </c>
      <c r="H23" s="405">
        <f>I23-G23</f>
        <v>39265.676999999996</v>
      </c>
      <c r="I23" s="508">
        <f>'ADJ DETAIL-INPUT'!BH22</f>
        <v>169358.677</v>
      </c>
      <c r="J23" s="405"/>
      <c r="K23" s="405">
        <f>I23+J23</f>
        <v>169358.677</v>
      </c>
      <c r="M23" s="720"/>
      <c r="N23" s="248"/>
      <c r="O23" s="248"/>
    </row>
    <row r="24" spans="1:15">
      <c r="A24" s="394">
        <v>8</v>
      </c>
      <c r="B24" s="396"/>
      <c r="C24" s="396" t="s">
        <v>50</v>
      </c>
      <c r="D24" s="396"/>
      <c r="E24" s="405">
        <f>'ADJ DETAIL-INPUT'!E23</f>
        <v>95039</v>
      </c>
      <c r="F24" s="405">
        <f>G24-E24</f>
        <v>-20806</v>
      </c>
      <c r="G24" s="508">
        <f>'ADJ DETAIL-INPUT'!AC23</f>
        <v>74233</v>
      </c>
      <c r="H24" s="405">
        <f>I24-G24</f>
        <v>5539</v>
      </c>
      <c r="I24" s="508">
        <f>'ADJ DETAIL-INPUT'!BH23</f>
        <v>79772</v>
      </c>
      <c r="J24" s="405"/>
      <c r="K24" s="405">
        <f t="shared" ref="K24:K27" si="4">I24+J24</f>
        <v>79772</v>
      </c>
      <c r="M24" s="720"/>
      <c r="N24" s="248"/>
      <c r="O24" s="248"/>
    </row>
    <row r="25" spans="1:15">
      <c r="A25" s="394">
        <v>9</v>
      </c>
      <c r="B25" s="396"/>
      <c r="C25" s="396" t="s">
        <v>539</v>
      </c>
      <c r="D25" s="396"/>
      <c r="E25" s="405">
        <f>'ADJ DETAIL-INPUT'!E24</f>
        <v>42507</v>
      </c>
      <c r="F25" s="405">
        <f>G25-E25</f>
        <v>0</v>
      </c>
      <c r="G25" s="508">
        <f>'ADJ DETAIL-INPUT'!AC24</f>
        <v>42507</v>
      </c>
      <c r="H25" s="405">
        <f>I25-G25</f>
        <v>3789</v>
      </c>
      <c r="I25" s="508">
        <f>'ADJ DETAIL-INPUT'!BH24</f>
        <v>46296</v>
      </c>
      <c r="J25" s="405"/>
      <c r="K25" s="405">
        <f t="shared" si="4"/>
        <v>46296</v>
      </c>
      <c r="M25" s="720"/>
      <c r="N25" s="248"/>
      <c r="O25" s="248"/>
    </row>
    <row r="26" spans="1:15">
      <c r="A26" s="394">
        <v>10</v>
      </c>
      <c r="B26" s="396"/>
      <c r="C26" s="396" t="s">
        <v>678</v>
      </c>
      <c r="D26" s="396"/>
      <c r="E26" s="405">
        <f>'ADJ DETAIL-INPUT'!E25</f>
        <v>-12607</v>
      </c>
      <c r="F26" s="405">
        <f>G26-E26</f>
        <v>9792</v>
      </c>
      <c r="G26" s="508">
        <f>'ADJ DETAIL-INPUT'!AC25</f>
        <v>-2815</v>
      </c>
      <c r="H26" s="405">
        <f>I26-G26</f>
        <v>1854</v>
      </c>
      <c r="I26" s="508">
        <f>'ADJ DETAIL-INPUT'!BH25</f>
        <v>-961</v>
      </c>
      <c r="J26" s="405"/>
      <c r="K26" s="405">
        <f t="shared" si="4"/>
        <v>-961</v>
      </c>
      <c r="M26" s="720"/>
      <c r="N26" s="248"/>
      <c r="O26" s="248"/>
    </row>
    <row r="27" spans="1:15">
      <c r="A27" s="394">
        <v>11</v>
      </c>
      <c r="B27" s="396"/>
      <c r="C27" s="396" t="s">
        <v>27</v>
      </c>
      <c r="D27" s="396"/>
      <c r="E27" s="414">
        <f>'ADJ DETAIL-INPUT'!E26</f>
        <v>15827</v>
      </c>
      <c r="F27" s="414">
        <f>G27-E27</f>
        <v>1</v>
      </c>
      <c r="G27" s="509">
        <f>'ADJ DETAIL-INPUT'!AC26</f>
        <v>15828</v>
      </c>
      <c r="H27" s="414">
        <f>I27-G27</f>
        <v>57</v>
      </c>
      <c r="I27" s="509">
        <f>'ADJ DETAIL-INPUT'!BH26</f>
        <v>15885</v>
      </c>
      <c r="J27" s="414"/>
      <c r="K27" s="414">
        <f t="shared" si="4"/>
        <v>15885</v>
      </c>
      <c r="M27" s="720"/>
      <c r="N27" s="248"/>
      <c r="O27" s="248"/>
    </row>
    <row r="28" spans="1:15">
      <c r="A28" s="394">
        <v>12</v>
      </c>
      <c r="B28" s="396"/>
      <c r="C28" s="396"/>
      <c r="D28" s="396" t="s">
        <v>51</v>
      </c>
      <c r="E28" s="405">
        <f>SUM(E23:E27)</f>
        <v>297051</v>
      </c>
      <c r="F28" s="405">
        <f t="shared" ref="F28:K28" si="5">SUM(F23:F27)</f>
        <v>-37205</v>
      </c>
      <c r="G28" s="405">
        <f t="shared" si="5"/>
        <v>259846</v>
      </c>
      <c r="H28" s="405">
        <f t="shared" si="5"/>
        <v>50504.676999999996</v>
      </c>
      <c r="I28" s="405">
        <f t="shared" si="5"/>
        <v>310350.67700000003</v>
      </c>
      <c r="J28" s="405">
        <f t="shared" si="5"/>
        <v>0</v>
      </c>
      <c r="K28" s="405">
        <f t="shared" si="5"/>
        <v>310350.67700000003</v>
      </c>
      <c r="M28" s="720"/>
      <c r="N28" s="249"/>
      <c r="O28" s="249"/>
    </row>
    <row r="29" spans="1:15" ht="3.75" customHeight="1">
      <c r="A29" s="394"/>
      <c r="B29" s="396"/>
      <c r="C29" s="396"/>
      <c r="D29" s="396"/>
      <c r="E29" s="405"/>
      <c r="F29" s="405"/>
      <c r="G29" s="405"/>
      <c r="H29" s="405"/>
      <c r="I29" s="405"/>
      <c r="J29" s="405"/>
      <c r="K29" s="405"/>
      <c r="M29" s="720"/>
    </row>
    <row r="30" spans="1:15">
      <c r="A30" s="394"/>
      <c r="B30" s="396" t="s">
        <v>52</v>
      </c>
      <c r="C30" s="396"/>
      <c r="D30" s="396"/>
      <c r="E30" s="405"/>
      <c r="F30" s="405"/>
      <c r="G30" s="405"/>
      <c r="H30" s="405"/>
      <c r="I30" s="405"/>
      <c r="J30" s="405"/>
      <c r="K30" s="405"/>
      <c r="M30" s="720"/>
      <c r="N30" s="249"/>
      <c r="O30" s="249"/>
    </row>
    <row r="31" spans="1:15">
      <c r="A31" s="394">
        <v>13</v>
      </c>
      <c r="B31" s="396"/>
      <c r="C31" s="396" t="s">
        <v>49</v>
      </c>
      <c r="D31" s="396"/>
      <c r="E31" s="405">
        <f>'ADJ DETAIL-INPUT'!E30</f>
        <v>24622</v>
      </c>
      <c r="F31" s="405">
        <f>G31-E31</f>
        <v>0</v>
      </c>
      <c r="G31" s="416">
        <f>'ADJ DETAIL-INPUT'!AC30</f>
        <v>24622</v>
      </c>
      <c r="H31" s="405">
        <f>I31-G31</f>
        <v>5694.8989999999976</v>
      </c>
      <c r="I31" s="416">
        <f>'ADJ DETAIL-INPUT'!BH30</f>
        <v>30316.898999999998</v>
      </c>
      <c r="J31" s="405"/>
      <c r="K31" s="405">
        <f>I31+J31</f>
        <v>30316.898999999998</v>
      </c>
      <c r="M31" s="720"/>
      <c r="N31" s="1152"/>
      <c r="O31" s="1152"/>
    </row>
    <row r="32" spans="1:15">
      <c r="A32" s="394">
        <v>14</v>
      </c>
      <c r="B32" s="396"/>
      <c r="C32" s="396" t="s">
        <v>539</v>
      </c>
      <c r="D32" s="396"/>
      <c r="E32" s="405">
        <f>'ADJ DETAIL-INPUT'!E31</f>
        <v>34676</v>
      </c>
      <c r="F32" s="405">
        <f>G32-E32</f>
        <v>-63</v>
      </c>
      <c r="G32" s="416">
        <f>'ADJ DETAIL-INPUT'!AC31</f>
        <v>34613</v>
      </c>
      <c r="H32" s="405">
        <f>I32-G32</f>
        <v>4655</v>
      </c>
      <c r="I32" s="416">
        <f>'ADJ DETAIL-INPUT'!BH31</f>
        <v>39268</v>
      </c>
      <c r="J32" s="405"/>
      <c r="K32" s="405">
        <f t="shared" ref="K32:K34" si="6">I32+J32</f>
        <v>39268</v>
      </c>
      <c r="M32" s="1152"/>
    </row>
    <row r="33" spans="1:13">
      <c r="A33" s="394" t="s">
        <v>1234</v>
      </c>
      <c r="B33" s="396"/>
      <c r="C33" s="396" t="s">
        <v>537</v>
      </c>
      <c r="D33" s="396"/>
      <c r="E33" s="405">
        <f>'ADJ DETAIL-INPUT'!E32</f>
        <v>0</v>
      </c>
      <c r="F33" s="405">
        <f>G33-E33</f>
        <v>0</v>
      </c>
      <c r="G33" s="416">
        <f>'ADJ DETAIL-INPUT'!AC32</f>
        <v>0</v>
      </c>
      <c r="H33" s="405">
        <f>I33-G33</f>
        <v>62</v>
      </c>
      <c r="I33" s="416">
        <f>'ADJ DETAIL-INPUT'!BH32</f>
        <v>62</v>
      </c>
      <c r="J33" s="405"/>
      <c r="K33" s="405">
        <f t="shared" si="6"/>
        <v>62</v>
      </c>
      <c r="M33" s="1152"/>
    </row>
    <row r="34" spans="1:13">
      <c r="A34" s="394">
        <v>15</v>
      </c>
      <c r="B34" s="396"/>
      <c r="C34" s="396" t="s">
        <v>27</v>
      </c>
      <c r="D34" s="396"/>
      <c r="E34" s="414">
        <f>'ADJ DETAIL-INPUT'!E33</f>
        <v>49705</v>
      </c>
      <c r="F34" s="414">
        <f>G34-E34</f>
        <v>-19887</v>
      </c>
      <c r="G34" s="414">
        <f>'ADJ DETAIL-INPUT'!AC33</f>
        <v>29818</v>
      </c>
      <c r="H34" s="414">
        <f>I34-G34</f>
        <v>1479</v>
      </c>
      <c r="I34" s="414">
        <f>'ADJ DETAIL-INPUT'!BH33</f>
        <v>31297</v>
      </c>
      <c r="J34" s="414">
        <f>PCCF!J14</f>
        <v>1</v>
      </c>
      <c r="K34" s="414">
        <f t="shared" si="6"/>
        <v>31298</v>
      </c>
      <c r="M34" s="1152"/>
    </row>
    <row r="35" spans="1:13">
      <c r="A35" s="394">
        <v>16</v>
      </c>
      <c r="B35" s="396"/>
      <c r="C35" s="396"/>
      <c r="D35" s="396" t="s">
        <v>53</v>
      </c>
      <c r="E35" s="405">
        <f t="shared" ref="E35:K35" si="7">SUM(E31:E34)</f>
        <v>109003</v>
      </c>
      <c r="F35" s="405">
        <f t="shared" si="7"/>
        <v>-19950</v>
      </c>
      <c r="G35" s="405">
        <f t="shared" si="7"/>
        <v>89053</v>
      </c>
      <c r="H35" s="405">
        <f t="shared" si="7"/>
        <v>11890.898999999998</v>
      </c>
      <c r="I35" s="405">
        <f t="shared" si="7"/>
        <v>100943.899</v>
      </c>
      <c r="J35" s="405">
        <f t="shared" si="7"/>
        <v>1</v>
      </c>
      <c r="K35" s="405">
        <f t="shared" si="7"/>
        <v>100944.899</v>
      </c>
      <c r="M35" s="1152"/>
    </row>
    <row r="36" spans="1:13" ht="6.75" customHeight="1">
      <c r="A36" s="394"/>
      <c r="B36" s="396"/>
      <c r="C36" s="396"/>
      <c r="D36" s="396"/>
      <c r="E36" s="405"/>
      <c r="F36" s="405"/>
      <c r="G36" s="405"/>
      <c r="H36" s="405"/>
      <c r="I36" s="405"/>
      <c r="J36" s="405"/>
      <c r="K36" s="405"/>
      <c r="M36" s="1152"/>
    </row>
    <row r="37" spans="1:13">
      <c r="A37" s="394">
        <v>17</v>
      </c>
      <c r="B37" s="396" t="s">
        <v>54</v>
      </c>
      <c r="C37" s="396"/>
      <c r="D37" s="396"/>
      <c r="E37" s="405">
        <f>'ADJ DETAIL-INPUT'!E36</f>
        <v>15849</v>
      </c>
      <c r="F37" s="405">
        <f>G37-E37</f>
        <v>1534</v>
      </c>
      <c r="G37" s="416">
        <f>'ADJ DETAIL-INPUT'!AC36</f>
        <v>17383</v>
      </c>
      <c r="H37" s="405">
        <f>I37-G37</f>
        <v>-1039.5239999999994</v>
      </c>
      <c r="I37" s="416">
        <f>'ADJ DETAIL-INPUT'!BH36</f>
        <v>16343.476000000001</v>
      </c>
      <c r="J37" s="405">
        <f>PCCF!J12</f>
        <v>1</v>
      </c>
      <c r="K37" s="405">
        <f>I37+J37</f>
        <v>16344.476000000001</v>
      </c>
      <c r="M37" s="1152"/>
    </row>
    <row r="38" spans="1:13">
      <c r="A38" s="394">
        <v>18</v>
      </c>
      <c r="B38" s="396" t="s">
        <v>55</v>
      </c>
      <c r="C38" s="396"/>
      <c r="D38" s="396"/>
      <c r="E38" s="405">
        <f>'ADJ DETAIL-INPUT'!E37</f>
        <v>25245</v>
      </c>
      <c r="F38" s="405">
        <f>G38-E38</f>
        <v>-24041</v>
      </c>
      <c r="G38" s="416">
        <f>'ADJ DETAIL-INPUT'!AC37</f>
        <v>1204</v>
      </c>
      <c r="H38" s="405">
        <f>I38-G38</f>
        <v>94.919000000000096</v>
      </c>
      <c r="I38" s="416">
        <f>'ADJ DETAIL-INPUT'!BH37</f>
        <v>1298.9190000000001</v>
      </c>
      <c r="J38" s="405"/>
      <c r="K38" s="405">
        <f t="shared" ref="K38:K39" si="8">I38+J38</f>
        <v>1298.9190000000001</v>
      </c>
      <c r="M38" s="1152"/>
    </row>
    <row r="39" spans="1:13">
      <c r="A39" s="394">
        <v>19</v>
      </c>
      <c r="B39" s="396" t="s">
        <v>56</v>
      </c>
      <c r="C39" s="396"/>
      <c r="D39" s="396"/>
      <c r="E39" s="405">
        <f>'ADJ DETAIL-INPUT'!E38</f>
        <v>0</v>
      </c>
      <c r="F39" s="405">
        <f>G39-E39</f>
        <v>0</v>
      </c>
      <c r="G39" s="416">
        <f>'ADJ DETAIL-INPUT'!AC38</f>
        <v>0</v>
      </c>
      <c r="H39" s="405">
        <f>I39-G39</f>
        <v>0</v>
      </c>
      <c r="I39" s="416">
        <f>'ADJ DETAIL-INPUT'!BH38</f>
        <v>0</v>
      </c>
      <c r="J39" s="405"/>
      <c r="K39" s="405">
        <f t="shared" si="8"/>
        <v>0</v>
      </c>
      <c r="M39" s="1152"/>
    </row>
    <row r="40" spans="1:13" ht="6.75" customHeight="1">
      <c r="A40" s="396"/>
      <c r="B40" s="396"/>
      <c r="C40" s="396"/>
      <c r="D40" s="396"/>
      <c r="E40" s="405"/>
      <c r="F40" s="405"/>
      <c r="G40" s="405"/>
      <c r="H40" s="405"/>
      <c r="I40" s="405"/>
      <c r="J40" s="405"/>
      <c r="K40" s="405"/>
      <c r="M40" s="1152"/>
    </row>
    <row r="41" spans="1:13">
      <c r="A41" s="394"/>
      <c r="B41" s="396" t="s">
        <v>57</v>
      </c>
      <c r="C41" s="396"/>
      <c r="D41" s="396"/>
      <c r="E41" s="405"/>
      <c r="F41" s="405"/>
      <c r="G41" s="405"/>
      <c r="H41" s="405"/>
      <c r="I41" s="405"/>
      <c r="J41" s="405"/>
      <c r="K41" s="405"/>
      <c r="M41" s="1152"/>
    </row>
    <row r="42" spans="1:13">
      <c r="A42" s="394">
        <v>20</v>
      </c>
      <c r="B42" s="396"/>
      <c r="C42" s="396" t="s">
        <v>49</v>
      </c>
      <c r="D42" s="396"/>
      <c r="E42" s="405">
        <f>'ADJ DETAIL-INPUT'!E41</f>
        <v>73927</v>
      </c>
      <c r="F42" s="405">
        <f>G42-E42</f>
        <v>1139</v>
      </c>
      <c r="G42" s="416">
        <f>'ADJ DETAIL-INPUT'!AC41</f>
        <v>75066</v>
      </c>
      <c r="H42" s="405">
        <f>I42-G42</f>
        <v>4605.5929620253155</v>
      </c>
      <c r="I42" s="416">
        <f>'ADJ DETAIL-INPUT'!BH41</f>
        <v>79671.592962025316</v>
      </c>
      <c r="J42" s="405">
        <f>PCCF!J16</f>
        <v>15</v>
      </c>
      <c r="K42" s="405">
        <f t="shared" ref="K42:K45" si="9">I42+J42</f>
        <v>79686.592962025316</v>
      </c>
      <c r="M42" s="1152"/>
    </row>
    <row r="43" spans="1:13">
      <c r="A43" s="394">
        <v>21</v>
      </c>
      <c r="B43" s="396"/>
      <c r="C43" s="396" t="s">
        <v>539</v>
      </c>
      <c r="D43" s="396"/>
      <c r="E43" s="405">
        <f>'ADJ DETAIL-INPUT'!E42</f>
        <v>41343</v>
      </c>
      <c r="F43" s="405">
        <f>G43-E43</f>
        <v>0</v>
      </c>
      <c r="G43" s="416">
        <f>'ADJ DETAIL-INPUT'!AC42</f>
        <v>41343</v>
      </c>
      <c r="H43" s="405">
        <f>I43-G43</f>
        <v>1620</v>
      </c>
      <c r="I43" s="416">
        <f>'ADJ DETAIL-INPUT'!BH42</f>
        <v>42963</v>
      </c>
      <c r="J43" s="405"/>
      <c r="K43" s="405">
        <f t="shared" si="9"/>
        <v>42963</v>
      </c>
      <c r="M43" s="1152"/>
    </row>
    <row r="44" spans="1:13">
      <c r="A44" s="394">
        <v>22</v>
      </c>
      <c r="B44" s="396"/>
      <c r="C44" s="396" t="s">
        <v>678</v>
      </c>
      <c r="D44" s="396"/>
      <c r="E44" s="405">
        <f>'ADJ DETAIL-INPUT'!E43</f>
        <v>-20056</v>
      </c>
      <c r="F44" s="405">
        <f>G44-E44</f>
        <v>2612</v>
      </c>
      <c r="G44" s="416">
        <f>'ADJ DETAIL-INPUT'!AC43</f>
        <v>-17444</v>
      </c>
      <c r="H44" s="405">
        <f>I44-G44</f>
        <v>13793.5</v>
      </c>
      <c r="I44" s="416">
        <f>'ADJ DETAIL-INPUT'!BH43</f>
        <v>-3650.5</v>
      </c>
      <c r="J44" s="405"/>
      <c r="K44" s="405">
        <f t="shared" si="9"/>
        <v>-3650.5</v>
      </c>
      <c r="M44" s="1152"/>
    </row>
    <row r="45" spans="1:13">
      <c r="A45" s="418">
        <v>23</v>
      </c>
      <c r="B45" s="396"/>
      <c r="C45" s="396" t="s">
        <v>27</v>
      </c>
      <c r="D45" s="396"/>
      <c r="E45" s="414">
        <f>'ADJ DETAIL-INPUT'!E44</f>
        <v>3632</v>
      </c>
      <c r="F45" s="414">
        <f>G45-E45</f>
        <v>0</v>
      </c>
      <c r="G45" s="414">
        <f>'ADJ DETAIL-INPUT'!AC44</f>
        <v>3632</v>
      </c>
      <c r="H45" s="414">
        <f>I45-G45</f>
        <v>0</v>
      </c>
      <c r="I45" s="414">
        <f>'ADJ DETAIL-INPUT'!BH44</f>
        <v>3632</v>
      </c>
      <c r="J45" s="414"/>
      <c r="K45" s="414">
        <f t="shared" si="9"/>
        <v>3632</v>
      </c>
      <c r="M45" s="1152"/>
    </row>
    <row r="46" spans="1:13">
      <c r="A46" s="394">
        <v>24</v>
      </c>
      <c r="B46" s="396"/>
      <c r="C46" s="396"/>
      <c r="D46" s="396" t="s">
        <v>58</v>
      </c>
      <c r="E46" s="414">
        <f t="shared" ref="E46:K46" si="10">SUM(E42:E45)</f>
        <v>98846</v>
      </c>
      <c r="F46" s="414">
        <f t="shared" si="10"/>
        <v>3751</v>
      </c>
      <c r="G46" s="414">
        <f t="shared" si="10"/>
        <v>102597</v>
      </c>
      <c r="H46" s="414">
        <f t="shared" si="10"/>
        <v>20019.092962025316</v>
      </c>
      <c r="I46" s="414">
        <f t="shared" si="10"/>
        <v>122616.09296202532</v>
      </c>
      <c r="J46" s="414">
        <f t="shared" si="10"/>
        <v>15</v>
      </c>
      <c r="K46" s="414">
        <f t="shared" si="10"/>
        <v>122631.09296202532</v>
      </c>
      <c r="M46" s="1152"/>
    </row>
    <row r="47" spans="1:13">
      <c r="A47" s="394">
        <v>25</v>
      </c>
      <c r="B47" s="396" t="s">
        <v>59</v>
      </c>
      <c r="C47" s="396"/>
      <c r="D47" s="396"/>
      <c r="E47" s="414">
        <f t="shared" ref="E47:K47" si="11">E28+E35+E37+E38+E39+E46</f>
        <v>545994</v>
      </c>
      <c r="F47" s="414">
        <f t="shared" si="11"/>
        <v>-75911</v>
      </c>
      <c r="G47" s="414">
        <f t="shared" si="11"/>
        <v>470083</v>
      </c>
      <c r="H47" s="414">
        <f t="shared" si="11"/>
        <v>81470.063962025306</v>
      </c>
      <c r="I47" s="414">
        <f t="shared" si="11"/>
        <v>551553.06396202534</v>
      </c>
      <c r="J47" s="414">
        <f t="shared" si="11"/>
        <v>17</v>
      </c>
      <c r="K47" s="414">
        <f t="shared" si="11"/>
        <v>551570.06396202534</v>
      </c>
      <c r="M47" s="1152"/>
    </row>
    <row r="48" spans="1:13" ht="7.5" customHeight="1">
      <c r="A48" s="394"/>
      <c r="B48" s="396"/>
      <c r="C48" s="396"/>
      <c r="D48" s="396"/>
      <c r="E48" s="405"/>
      <c r="F48" s="405"/>
      <c r="G48" s="405"/>
      <c r="H48" s="405"/>
      <c r="I48" s="405"/>
      <c r="J48" s="405"/>
      <c r="K48" s="405"/>
      <c r="M48" s="1152"/>
    </row>
    <row r="49" spans="1:26">
      <c r="A49" s="394">
        <v>26</v>
      </c>
      <c r="B49" s="396" t="s">
        <v>60</v>
      </c>
      <c r="C49" s="396"/>
      <c r="D49" s="396"/>
      <c r="E49" s="405">
        <f t="shared" ref="E49:K49" si="12">E19-E47</f>
        <v>112592</v>
      </c>
      <c r="F49" s="405">
        <f t="shared" si="12"/>
        <v>4981</v>
      </c>
      <c r="G49" s="405">
        <f t="shared" si="12"/>
        <v>117573</v>
      </c>
      <c r="H49" s="405">
        <f t="shared" si="12"/>
        <v>6645.936037974694</v>
      </c>
      <c r="I49" s="405">
        <f t="shared" si="12"/>
        <v>124218.93603797466</v>
      </c>
      <c r="J49" s="405">
        <f t="shared" si="12"/>
        <v>365</v>
      </c>
      <c r="K49" s="405">
        <f t="shared" si="12"/>
        <v>124583.93603797466</v>
      </c>
      <c r="M49" s="1152"/>
    </row>
    <row r="50" spans="1:26" ht="5.25" customHeight="1">
      <c r="A50" s="394"/>
      <c r="B50" s="396"/>
      <c r="C50" s="396"/>
      <c r="D50" s="396"/>
      <c r="E50" s="405"/>
      <c r="F50" s="405"/>
      <c r="G50" s="405"/>
      <c r="H50" s="405"/>
      <c r="I50" s="405"/>
      <c r="J50" s="405"/>
      <c r="K50" s="405"/>
      <c r="M50" s="1152"/>
    </row>
    <row r="51" spans="1:26">
      <c r="A51" s="394"/>
      <c r="B51" s="396" t="s">
        <v>61</v>
      </c>
      <c r="C51" s="396"/>
      <c r="D51" s="396"/>
      <c r="E51" s="405"/>
      <c r="F51" s="405"/>
      <c r="G51" s="405"/>
      <c r="H51" s="405"/>
      <c r="I51" s="405"/>
      <c r="J51" s="405"/>
      <c r="K51" s="405"/>
      <c r="M51" s="1152"/>
    </row>
    <row r="52" spans="1:26">
      <c r="A52" s="394">
        <v>27</v>
      </c>
      <c r="B52" s="396" t="s">
        <v>62</v>
      </c>
      <c r="C52" s="396"/>
      <c r="D52" s="396"/>
      <c r="E52" s="405">
        <f>'ADJ DETAIL-INPUT'!E51</f>
        <v>-2018</v>
      </c>
      <c r="F52" s="405">
        <f>G52-E52</f>
        <v>5740.55</v>
      </c>
      <c r="G52" s="416">
        <f>'ADJ DETAIL-INPUT'!AC51</f>
        <v>3722.55</v>
      </c>
      <c r="H52" s="405">
        <f>I52-G52</f>
        <v>1395.8465679746823</v>
      </c>
      <c r="I52" s="416">
        <f>'ADJ DETAIL-INPUT'!BH51</f>
        <v>5118.3965679746825</v>
      </c>
      <c r="J52" s="405">
        <f>PCCF!J22</f>
        <v>77</v>
      </c>
      <c r="K52" s="405">
        <f>I52+J52</f>
        <v>5195.3965679746825</v>
      </c>
      <c r="M52" s="1152"/>
      <c r="N52" s="145"/>
      <c r="O52" s="145"/>
      <c r="Z52" s="145"/>
    </row>
    <row r="53" spans="1:26">
      <c r="A53" s="394">
        <v>28</v>
      </c>
      <c r="B53" s="381" t="s">
        <v>259</v>
      </c>
      <c r="E53" s="405">
        <f>'ADJ DETAIL-INPUT'!E52</f>
        <v>0</v>
      </c>
      <c r="F53" s="405">
        <f>G53-E53</f>
        <v>-250.69289699999996</v>
      </c>
      <c r="G53" s="416">
        <f>'ADJ DETAIL-INPUT'!AC52</f>
        <v>-250.69289699999996</v>
      </c>
      <c r="H53" s="405">
        <f>I53-G53</f>
        <v>-880.5330723150696</v>
      </c>
      <c r="I53" s="416">
        <f>'ADJ DETAIL-INPUT'!BH52</f>
        <v>-1131.2259693150695</v>
      </c>
      <c r="J53" s="405"/>
      <c r="K53" s="405">
        <f>I53+J53</f>
        <v>-1131.2259693150695</v>
      </c>
      <c r="M53" s="1152"/>
    </row>
    <row r="54" spans="1:26">
      <c r="A54" s="394">
        <v>29</v>
      </c>
      <c r="B54" s="396" t="s">
        <v>63</v>
      </c>
      <c r="C54" s="396"/>
      <c r="D54" s="396"/>
      <c r="E54" s="405">
        <f>'ADJ DETAIL-INPUT'!E53</f>
        <v>8368</v>
      </c>
      <c r="F54" s="405">
        <f>G54-E54</f>
        <v>-3356</v>
      </c>
      <c r="G54" s="416">
        <f>'ADJ DETAIL-INPUT'!AC53</f>
        <v>5012</v>
      </c>
      <c r="H54" s="405">
        <f>I54-G54</f>
        <v>634</v>
      </c>
      <c r="I54" s="416">
        <f>'ADJ DETAIL-INPUT'!BH53</f>
        <v>5646</v>
      </c>
      <c r="J54" s="405"/>
      <c r="K54" s="405">
        <f>I54+J54</f>
        <v>5646</v>
      </c>
      <c r="M54" s="1152"/>
      <c r="O54" s="145"/>
    </row>
    <row r="55" spans="1:26">
      <c r="A55" s="394">
        <v>30</v>
      </c>
      <c r="B55" s="396" t="s">
        <v>64</v>
      </c>
      <c r="C55" s="396"/>
      <c r="D55" s="396"/>
      <c r="E55" s="414">
        <f>'ADJ DETAIL-INPUT'!E54</f>
        <v>-318</v>
      </c>
      <c r="F55" s="414">
        <f>G55-E55</f>
        <v>0</v>
      </c>
      <c r="G55" s="414">
        <f>'ADJ DETAIL-INPUT'!AC54</f>
        <v>-318</v>
      </c>
      <c r="H55" s="414">
        <f>I55-G55</f>
        <v>0</v>
      </c>
      <c r="I55" s="414">
        <f>'ADJ DETAIL-INPUT'!BH54</f>
        <v>-318</v>
      </c>
      <c r="J55" s="414"/>
      <c r="K55" s="414">
        <f>I55+J55</f>
        <v>-318</v>
      </c>
      <c r="M55" s="1152"/>
    </row>
    <row r="56" spans="1:26" ht="12.75" customHeight="1">
      <c r="A56" s="394"/>
      <c r="B56" s="1361"/>
      <c r="C56" s="1361"/>
      <c r="D56" s="1361"/>
      <c r="E56" s="414"/>
      <c r="F56" s="414"/>
      <c r="G56" s="414"/>
      <c r="H56" s="414"/>
      <c r="I56" s="414"/>
      <c r="J56" s="414"/>
      <c r="K56" s="414"/>
      <c r="M56" s="1152"/>
    </row>
    <row r="57" spans="1:26" ht="13.5" thickBot="1">
      <c r="A57" s="382">
        <v>31</v>
      </c>
      <c r="B57" s="395" t="s">
        <v>65</v>
      </c>
      <c r="C57" s="395"/>
      <c r="D57" s="395"/>
      <c r="E57" s="983">
        <f>E49-SUM(E52:E56)</f>
        <v>106560</v>
      </c>
      <c r="F57" s="983">
        <f t="shared" ref="F57:K57" si="13">F49-SUM(F52:F56)</f>
        <v>2847.1428969999997</v>
      </c>
      <c r="G57" s="983">
        <f t="shared" si="13"/>
        <v>109407.142897</v>
      </c>
      <c r="H57" s="983">
        <f t="shared" si="13"/>
        <v>5496.6225423150809</v>
      </c>
      <c r="I57" s="983">
        <f t="shared" si="13"/>
        <v>114903.76543931506</v>
      </c>
      <c r="J57" s="983">
        <f t="shared" si="13"/>
        <v>288</v>
      </c>
      <c r="K57" s="983">
        <f t="shared" si="13"/>
        <v>115191.76543931506</v>
      </c>
      <c r="M57" s="1152"/>
      <c r="N57" s="1152"/>
    </row>
    <row r="58" spans="1:26" ht="5.25" customHeight="1" thickTop="1">
      <c r="E58" s="405"/>
      <c r="F58" s="405"/>
      <c r="G58" s="405"/>
      <c r="H58" s="405"/>
      <c r="I58" s="405"/>
      <c r="J58" s="405"/>
      <c r="K58" s="405"/>
      <c r="M58" s="1152"/>
      <c r="N58" s="99"/>
      <c r="Q58" s="99"/>
    </row>
    <row r="59" spans="1:26">
      <c r="B59" s="381" t="s">
        <v>66</v>
      </c>
      <c r="E59" s="405"/>
      <c r="F59" s="405"/>
      <c r="G59" s="405"/>
      <c r="H59" s="405"/>
      <c r="I59" s="405"/>
      <c r="J59" s="405"/>
      <c r="K59" s="405"/>
      <c r="M59" s="1152"/>
      <c r="N59" s="1152"/>
    </row>
    <row r="60" spans="1:26">
      <c r="A60" s="394"/>
      <c r="B60" s="381" t="s">
        <v>67</v>
      </c>
      <c r="E60" s="405"/>
      <c r="F60" s="405"/>
      <c r="G60" s="405"/>
      <c r="H60" s="405"/>
      <c r="I60" s="405"/>
      <c r="J60" s="405"/>
      <c r="K60" s="405"/>
      <c r="M60" s="1152"/>
      <c r="N60" s="1152"/>
    </row>
    <row r="61" spans="1:26">
      <c r="A61" s="394">
        <v>32</v>
      </c>
      <c r="B61" s="395"/>
      <c r="C61" s="395" t="s">
        <v>68</v>
      </c>
      <c r="D61" s="395"/>
      <c r="E61" s="395">
        <f>'ADJ DETAIL-INPUT'!E60</f>
        <v>230718</v>
      </c>
      <c r="F61" s="395">
        <f>G61-E61</f>
        <v>7692</v>
      </c>
      <c r="G61" s="506">
        <f>'ADJ DETAIL-INPUT'!AC60</f>
        <v>238410</v>
      </c>
      <c r="H61" s="395">
        <f>I61-G61</f>
        <v>4067</v>
      </c>
      <c r="I61" s="506">
        <f>'ADJ DETAIL-INPUT'!BH60</f>
        <v>242477</v>
      </c>
      <c r="J61" s="395"/>
      <c r="K61" s="395">
        <f>I61+J61</f>
        <v>242477</v>
      </c>
      <c r="M61" s="1152"/>
    </row>
    <row r="62" spans="1:26">
      <c r="A62" s="394">
        <v>33</v>
      </c>
      <c r="B62" s="396"/>
      <c r="C62" s="396" t="s">
        <v>69</v>
      </c>
      <c r="D62" s="396"/>
      <c r="E62" s="405">
        <f>'ADJ DETAIL-INPUT'!E61</f>
        <v>948067</v>
      </c>
      <c r="F62" s="405">
        <f>G62-E62</f>
        <v>14773</v>
      </c>
      <c r="G62" s="416">
        <f>'ADJ DETAIL-INPUT'!AC61</f>
        <v>962840</v>
      </c>
      <c r="H62" s="405">
        <f>I62-G62</f>
        <v>72173</v>
      </c>
      <c r="I62" s="416">
        <f>'ADJ DETAIL-INPUT'!BH61</f>
        <v>1035013</v>
      </c>
      <c r="J62" s="405"/>
      <c r="K62" s="405">
        <f t="shared" ref="K62:K65" si="14">I62+J62</f>
        <v>1035013</v>
      </c>
      <c r="M62" s="1152"/>
      <c r="N62" s="146"/>
    </row>
    <row r="63" spans="1:26">
      <c r="A63" s="394">
        <v>34</v>
      </c>
      <c r="B63" s="396"/>
      <c r="C63" s="396" t="s">
        <v>70</v>
      </c>
      <c r="D63" s="396"/>
      <c r="E63" s="405">
        <f>'ADJ DETAIL-INPUT'!E62</f>
        <v>575635</v>
      </c>
      <c r="F63" s="405">
        <f>G63-E63</f>
        <v>32625</v>
      </c>
      <c r="G63" s="416">
        <f>'ADJ DETAIL-INPUT'!AC62</f>
        <v>608260</v>
      </c>
      <c r="H63" s="405">
        <f>I63-G63</f>
        <v>51363</v>
      </c>
      <c r="I63" s="416">
        <f>'ADJ DETAIL-INPUT'!BH62</f>
        <v>659623</v>
      </c>
      <c r="J63" s="405"/>
      <c r="K63" s="405">
        <f t="shared" si="14"/>
        <v>659623</v>
      </c>
      <c r="M63" s="1152"/>
    </row>
    <row r="64" spans="1:26">
      <c r="A64" s="394">
        <v>35</v>
      </c>
      <c r="B64" s="396"/>
      <c r="C64" s="396" t="s">
        <v>52</v>
      </c>
      <c r="D64" s="396"/>
      <c r="E64" s="405">
        <f>'ADJ DETAIL-INPUT'!E63</f>
        <v>1327782</v>
      </c>
      <c r="F64" s="405">
        <f>G64-E64</f>
        <v>29355</v>
      </c>
      <c r="G64" s="416">
        <f>'ADJ DETAIL-INPUT'!AC63</f>
        <v>1357137</v>
      </c>
      <c r="H64" s="405">
        <f>I64-G64</f>
        <v>138184</v>
      </c>
      <c r="I64" s="416">
        <f>'ADJ DETAIL-INPUT'!BH63</f>
        <v>1495321</v>
      </c>
      <c r="J64" s="405"/>
      <c r="K64" s="405">
        <f t="shared" si="14"/>
        <v>1495321</v>
      </c>
      <c r="M64" s="1152"/>
    </row>
    <row r="65" spans="1:13">
      <c r="A65" s="394">
        <v>36</v>
      </c>
      <c r="B65" s="396"/>
      <c r="C65" s="396" t="s">
        <v>71</v>
      </c>
      <c r="D65" s="396"/>
      <c r="E65" s="414">
        <f>'ADJ DETAIL-INPUT'!E64</f>
        <v>294532</v>
      </c>
      <c r="F65" s="414">
        <f>G65-E65</f>
        <v>10592</v>
      </c>
      <c r="G65" s="414">
        <f>'ADJ DETAIL-INPUT'!AC64</f>
        <v>305124</v>
      </c>
      <c r="H65" s="414">
        <f>I65-G65</f>
        <v>22948</v>
      </c>
      <c r="I65" s="414">
        <f>'ADJ DETAIL-INPUT'!BH64</f>
        <v>328072</v>
      </c>
      <c r="J65" s="414"/>
      <c r="K65" s="414">
        <f t="shared" si="14"/>
        <v>328072</v>
      </c>
      <c r="M65" s="1152"/>
    </row>
    <row r="66" spans="1:13">
      <c r="A66" s="394">
        <v>37</v>
      </c>
      <c r="B66" s="396"/>
      <c r="C66" s="396"/>
      <c r="D66" s="396" t="s">
        <v>72</v>
      </c>
      <c r="E66" s="405">
        <f>SUM(E61:E65)</f>
        <v>3376734</v>
      </c>
      <c r="F66" s="405">
        <f t="shared" ref="F66:J66" si="15">SUM(F61:F65)</f>
        <v>95037</v>
      </c>
      <c r="G66" s="405">
        <f t="shared" si="15"/>
        <v>3471771</v>
      </c>
      <c r="H66" s="405">
        <f t="shared" si="15"/>
        <v>288735</v>
      </c>
      <c r="I66" s="405">
        <f t="shared" si="15"/>
        <v>3760506</v>
      </c>
      <c r="J66" s="405">
        <f t="shared" si="15"/>
        <v>0</v>
      </c>
      <c r="K66" s="405">
        <f>SUM(K61:K65)</f>
        <v>3760506</v>
      </c>
      <c r="M66" s="1152"/>
    </row>
    <row r="67" spans="1:13">
      <c r="A67" s="397"/>
      <c r="B67" s="396" t="s">
        <v>218</v>
      </c>
      <c r="C67" s="396"/>
      <c r="D67" s="396"/>
      <c r="E67" s="405"/>
      <c r="F67" s="405"/>
      <c r="G67" s="405"/>
      <c r="H67" s="405"/>
      <c r="I67" s="405"/>
      <c r="J67" s="405"/>
      <c r="K67" s="405"/>
      <c r="M67" s="1152"/>
    </row>
    <row r="68" spans="1:13">
      <c r="A68" s="397">
        <v>38</v>
      </c>
      <c r="B68" s="396"/>
      <c r="C68" s="395" t="s">
        <v>213</v>
      </c>
      <c r="D68" s="396"/>
      <c r="E68" s="405">
        <f>'ADJ DETAIL-INPUT'!E67</f>
        <v>-84845</v>
      </c>
      <c r="F68" s="405">
        <f>G68-E68</f>
        <v>-7817</v>
      </c>
      <c r="G68" s="416">
        <f>'ADJ DETAIL-INPUT'!AC67</f>
        <v>-92662</v>
      </c>
      <c r="H68" s="405">
        <f>I68-G68</f>
        <v>-38241.52452415468</v>
      </c>
      <c r="I68" s="416">
        <f>'ADJ DETAIL-INPUT'!BH67</f>
        <v>-130903.52452415468</v>
      </c>
      <c r="J68" s="416"/>
      <c r="K68" s="416">
        <f>I68+J68</f>
        <v>-130903.52452415468</v>
      </c>
      <c r="M68" s="1152"/>
    </row>
    <row r="69" spans="1:13">
      <c r="A69" s="397">
        <v>39</v>
      </c>
      <c r="B69" s="396"/>
      <c r="C69" s="396" t="s">
        <v>214</v>
      </c>
      <c r="D69" s="396"/>
      <c r="E69" s="405">
        <f>'ADJ DETAIL-INPUT'!E68</f>
        <v>-423739</v>
      </c>
      <c r="F69" s="405">
        <f>G69-E69</f>
        <v>-14429</v>
      </c>
      <c r="G69" s="416">
        <f>'ADJ DETAIL-INPUT'!AC68</f>
        <v>-438168</v>
      </c>
      <c r="H69" s="405">
        <f>I69-G69</f>
        <v>-44705.558502594416</v>
      </c>
      <c r="I69" s="416">
        <f>'ADJ DETAIL-INPUT'!BH68</f>
        <v>-482873.55850259442</v>
      </c>
      <c r="J69" s="405"/>
      <c r="K69" s="416">
        <f t="shared" ref="K69:K72" si="16">I69+J69</f>
        <v>-482873.55850259442</v>
      </c>
      <c r="M69" s="1152"/>
    </row>
    <row r="70" spans="1:13">
      <c r="A70" s="397">
        <v>40</v>
      </c>
      <c r="B70" s="396"/>
      <c r="C70" s="396" t="s">
        <v>215</v>
      </c>
      <c r="D70" s="396"/>
      <c r="E70" s="405">
        <f>'ADJ DETAIL-INPUT'!E69</f>
        <v>-158761</v>
      </c>
      <c r="F70" s="405">
        <f>G70-E70</f>
        <v>-751</v>
      </c>
      <c r="G70" s="416">
        <f>'ADJ DETAIL-INPUT'!AC69</f>
        <v>-159512</v>
      </c>
      <c r="H70" s="405">
        <f>I70-G70</f>
        <v>-18460.310108667763</v>
      </c>
      <c r="I70" s="416">
        <f>'ADJ DETAIL-INPUT'!BH69</f>
        <v>-177972.31010866776</v>
      </c>
      <c r="J70" s="405"/>
      <c r="K70" s="416">
        <f t="shared" si="16"/>
        <v>-177972.31010866776</v>
      </c>
      <c r="M70" s="1152"/>
    </row>
    <row r="71" spans="1:13">
      <c r="A71" s="397">
        <v>41</v>
      </c>
      <c r="B71" s="396"/>
      <c r="C71" s="396" t="s">
        <v>199</v>
      </c>
      <c r="D71" s="396"/>
      <c r="E71" s="405">
        <f>'ADJ DETAIL-INPUT'!E70</f>
        <v>-384189</v>
      </c>
      <c r="F71" s="405">
        <f>G71-E71</f>
        <v>-15212</v>
      </c>
      <c r="G71" s="416">
        <f>'ADJ DETAIL-INPUT'!AC70</f>
        <v>-399401</v>
      </c>
      <c r="H71" s="405">
        <f>I71-G71</f>
        <v>-53166.558282826212</v>
      </c>
      <c r="I71" s="416">
        <f>'ADJ DETAIL-INPUT'!BH70</f>
        <v>-452567.55828282621</v>
      </c>
      <c r="J71" s="405"/>
      <c r="K71" s="416">
        <f t="shared" si="16"/>
        <v>-452567.55828282621</v>
      </c>
      <c r="M71" s="1152"/>
    </row>
    <row r="72" spans="1:13">
      <c r="A72" s="397">
        <v>42</v>
      </c>
      <c r="B72" s="396"/>
      <c r="C72" s="396" t="s">
        <v>216</v>
      </c>
      <c r="D72" s="396"/>
      <c r="E72" s="405">
        <f>'ADJ DETAIL-INPUT'!E71</f>
        <v>-99285</v>
      </c>
      <c r="F72" s="414">
        <f>G72-E72</f>
        <v>-5762</v>
      </c>
      <c r="G72" s="416">
        <f>'ADJ DETAIL-INPUT'!AC71</f>
        <v>-105047</v>
      </c>
      <c r="H72" s="414">
        <f>I72-G72</f>
        <v>-12759.371250916491</v>
      </c>
      <c r="I72" s="416">
        <f>'ADJ DETAIL-INPUT'!BH71</f>
        <v>-117806.37125091649</v>
      </c>
      <c r="J72" s="414"/>
      <c r="K72" s="416">
        <f t="shared" si="16"/>
        <v>-117806.37125091649</v>
      </c>
      <c r="M72" s="1152"/>
    </row>
    <row r="73" spans="1:13">
      <c r="A73" s="397">
        <v>43</v>
      </c>
      <c r="B73" s="396" t="s">
        <v>262</v>
      </c>
      <c r="C73" s="396"/>
      <c r="D73" s="396"/>
      <c r="E73" s="257">
        <f>SUM(E68:E72)</f>
        <v>-1150819</v>
      </c>
      <c r="F73" s="257">
        <f t="shared" ref="F73" si="17">SUM(F68:F72)</f>
        <v>-43971</v>
      </c>
      <c r="G73" s="257">
        <f>SUM(G68:G72)</f>
        <v>-1194790</v>
      </c>
      <c r="H73" s="257">
        <f t="shared" ref="H73" si="18">SUM(H68:H72)</f>
        <v>-167333.32266915956</v>
      </c>
      <c r="I73" s="257">
        <f>SUM(I68:I72)</f>
        <v>-1362123.3226691594</v>
      </c>
      <c r="J73" s="257">
        <f>SUM(J68:J72)</f>
        <v>0</v>
      </c>
      <c r="K73" s="257">
        <f>SUM(K68:K72)</f>
        <v>-1362123.3226691594</v>
      </c>
      <c r="M73" s="1152"/>
    </row>
    <row r="74" spans="1:13">
      <c r="A74" s="397">
        <v>44</v>
      </c>
      <c r="B74" s="396" t="s">
        <v>544</v>
      </c>
      <c r="C74" s="396"/>
      <c r="D74" s="395"/>
      <c r="E74" s="416">
        <f>E66+E73</f>
        <v>2225915</v>
      </c>
      <c r="F74" s="416">
        <f t="shared" ref="F74:J74" si="19">F66+F73</f>
        <v>51066</v>
      </c>
      <c r="G74" s="416">
        <f t="shared" si="19"/>
        <v>2276981</v>
      </c>
      <c r="H74" s="416">
        <f t="shared" si="19"/>
        <v>121401.67733084044</v>
      </c>
      <c r="I74" s="416">
        <f t="shared" si="19"/>
        <v>2398382.6773308404</v>
      </c>
      <c r="J74" s="416">
        <f t="shared" si="19"/>
        <v>0</v>
      </c>
      <c r="K74" s="416">
        <f>K66+K73</f>
        <v>2398382.6773308404</v>
      </c>
      <c r="M74" s="1152"/>
    </row>
    <row r="75" spans="1:13" ht="5.25" customHeight="1">
      <c r="A75" s="397"/>
      <c r="B75" s="396"/>
      <c r="C75" s="396"/>
      <c r="E75" s="322"/>
      <c r="F75" s="322"/>
      <c r="G75" s="322"/>
      <c r="H75" s="322"/>
      <c r="I75" s="322"/>
      <c r="J75" s="322"/>
      <c r="K75" s="322"/>
      <c r="M75" s="1152"/>
    </row>
    <row r="76" spans="1:13">
      <c r="A76" s="398">
        <v>45</v>
      </c>
      <c r="B76" s="396" t="s">
        <v>219</v>
      </c>
      <c r="C76" s="396"/>
      <c r="D76" s="396"/>
      <c r="E76" s="414">
        <f>'ADJ DETAIL-INPUT'!E75</f>
        <v>-428637</v>
      </c>
      <c r="F76" s="414">
        <f>G76-E76</f>
        <v>22443</v>
      </c>
      <c r="G76" s="414">
        <f>'ADJ DETAIL-INPUT'!AC75</f>
        <v>-406194</v>
      </c>
      <c r="H76" s="414">
        <f>I76-G76</f>
        <v>-8133</v>
      </c>
      <c r="I76" s="414">
        <f>'ADJ DETAIL-INPUT'!BH75</f>
        <v>-414327</v>
      </c>
      <c r="J76" s="287"/>
      <c r="K76" s="414">
        <f>I76+J76</f>
        <v>-414327</v>
      </c>
      <c r="M76" s="1152"/>
    </row>
    <row r="77" spans="1:13">
      <c r="A77" s="398">
        <v>46</v>
      </c>
      <c r="B77" s="396"/>
      <c r="C77" s="396" t="s">
        <v>543</v>
      </c>
      <c r="D77" s="396"/>
      <c r="E77" s="416">
        <f>SUM(E74:E76)</f>
        <v>1797278</v>
      </c>
      <c r="F77" s="416">
        <f t="shared" ref="F77" si="20">SUM(F74:F76)</f>
        <v>73509</v>
      </c>
      <c r="G77" s="416">
        <f>SUM(G74:G76)</f>
        <v>1870787</v>
      </c>
      <c r="H77" s="416">
        <f t="shared" ref="H77:J77" si="21">SUM(H74:H76)</f>
        <v>113268.67733084044</v>
      </c>
      <c r="I77" s="416">
        <f>SUM(I74:I76)</f>
        <v>1984055.6773308404</v>
      </c>
      <c r="J77" s="416">
        <f t="shared" si="21"/>
        <v>0</v>
      </c>
      <c r="K77" s="416">
        <f>I77+J77</f>
        <v>1984055.6773308404</v>
      </c>
      <c r="M77" s="1152"/>
    </row>
    <row r="78" spans="1:13">
      <c r="A78" s="397">
        <v>47</v>
      </c>
      <c r="B78" s="396" t="s">
        <v>264</v>
      </c>
      <c r="C78" s="396"/>
      <c r="E78" s="405">
        <f>'ADJ DETAIL-INPUT'!E77</f>
        <v>-24217</v>
      </c>
      <c r="F78" s="405">
        <f>G78-E78</f>
        <v>-24883</v>
      </c>
      <c r="G78" s="416">
        <f>'ADJ DETAIL-INPUT'!AC77</f>
        <v>-49100</v>
      </c>
      <c r="H78" s="405">
        <f>I78-G78</f>
        <v>56489</v>
      </c>
      <c r="I78" s="416">
        <f>'ADJ DETAIL-INPUT'!BH77</f>
        <v>7389</v>
      </c>
      <c r="K78" s="416">
        <f>I78+J78</f>
        <v>7389</v>
      </c>
      <c r="M78" s="1152"/>
    </row>
    <row r="79" spans="1:13">
      <c r="A79" s="397">
        <v>48</v>
      </c>
      <c r="B79" s="396" t="s">
        <v>252</v>
      </c>
      <c r="C79" s="396"/>
      <c r="E79" s="414">
        <f>'ADJ DETAIL-INPUT'!E78</f>
        <v>51595</v>
      </c>
      <c r="F79" s="414">
        <f>G79-E79</f>
        <v>-295</v>
      </c>
      <c r="G79" s="414">
        <f>'ADJ DETAIL-INPUT'!AC78</f>
        <v>51300</v>
      </c>
      <c r="H79" s="414">
        <f>I79-G79</f>
        <v>0</v>
      </c>
      <c r="I79" s="414">
        <f>'ADJ DETAIL-INPUT'!BH78</f>
        <v>51300</v>
      </c>
      <c r="J79" s="287"/>
      <c r="K79" s="414">
        <f t="shared" ref="K79" si="22">I79+J79</f>
        <v>51300</v>
      </c>
      <c r="M79" s="1152"/>
    </row>
    <row r="80" spans="1:13" ht="2.25" customHeight="1">
      <c r="A80" s="398">
        <v>49</v>
      </c>
      <c r="B80" s="396"/>
      <c r="C80" s="396"/>
      <c r="D80" s="396"/>
      <c r="M80" s="1152"/>
    </row>
    <row r="81" spans="1:13" ht="13.5" thickBot="1">
      <c r="A81" s="394">
        <v>50</v>
      </c>
      <c r="B81" s="395" t="s">
        <v>220</v>
      </c>
      <c r="C81" s="395"/>
      <c r="D81" s="395"/>
      <c r="E81" s="324">
        <f>SUM(E77:E79)</f>
        <v>1824656</v>
      </c>
      <c r="F81" s="324">
        <f t="shared" ref="F81:K81" si="23">SUM(F77:F79)</f>
        <v>48331</v>
      </c>
      <c r="G81" s="324">
        <f t="shared" si="23"/>
        <v>1872987</v>
      </c>
      <c r="H81" s="324">
        <f t="shared" si="23"/>
        <v>169757.67733084044</v>
      </c>
      <c r="I81" s="324">
        <f t="shared" si="23"/>
        <v>2042744.6773308404</v>
      </c>
      <c r="J81" s="324">
        <f t="shared" si="23"/>
        <v>0</v>
      </c>
      <c r="K81" s="324">
        <f t="shared" si="23"/>
        <v>2042744.6773308404</v>
      </c>
      <c r="M81" s="1152"/>
    </row>
    <row r="82" spans="1:13" ht="13.5" thickTop="1">
      <c r="A82" s="394">
        <v>51</v>
      </c>
      <c r="B82" s="381" t="s">
        <v>614</v>
      </c>
      <c r="E82" s="255">
        <f>ROUND(E57/E81,4)</f>
        <v>5.8400000000000001E-2</v>
      </c>
      <c r="F82" s="255"/>
      <c r="G82" s="255">
        <f>ROUND(G57/G81,4)</f>
        <v>5.8400000000000001E-2</v>
      </c>
      <c r="I82" s="255">
        <f>ROUND(I57/I81,4)</f>
        <v>5.62E-2</v>
      </c>
      <c r="K82" s="255">
        <f>ROUND(K57/K81,4)</f>
        <v>5.6399999999999999E-2</v>
      </c>
    </row>
    <row r="83" spans="1:13" ht="6.75" customHeight="1">
      <c r="A83" s="1362"/>
      <c r="B83" s="1362"/>
      <c r="C83" s="1362"/>
      <c r="D83" s="1362"/>
      <c r="E83" s="1362"/>
      <c r="F83" s="1362"/>
      <c r="G83" s="1362"/>
      <c r="H83" s="1362"/>
      <c r="I83" s="1362"/>
      <c r="J83" s="1362"/>
      <c r="K83" s="1362"/>
    </row>
    <row r="85" spans="1:13">
      <c r="E85" s="355"/>
      <c r="F85" s="355"/>
    </row>
    <row r="86" spans="1:13">
      <c r="E86" s="355"/>
      <c r="F86" s="355"/>
    </row>
    <row r="90" spans="1:13">
      <c r="K90" s="351"/>
    </row>
    <row r="91" spans="1:13">
      <c r="K91" s="351"/>
    </row>
    <row r="92" spans="1:13">
      <c r="K92" s="351"/>
    </row>
  </sheetData>
  <mergeCells count="4">
    <mergeCell ref="E4:K4"/>
    <mergeCell ref="B56:D56"/>
    <mergeCell ref="A83:K83"/>
    <mergeCell ref="F1:K3"/>
  </mergeCells>
  <pageMargins left="0.75" right="0.51" top="1" bottom="0.5" header="0.5" footer="0.35"/>
  <pageSetup scale="72" orientation="portrait" r:id="rId1"/>
  <headerFooter scaleWithDoc="0" alignWithMargins="0">
    <oddHeader xml:space="preserve">&amp;R Exh. EMA-8 - REVISED (60-Day update)
Reflects Bench Request 1 -  Revised </oddHeader>
    <oddFooter>&amp;RPage &amp;P of &amp;N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0E41D-777F-4C04-9BD3-5190E220CECA}">
  <sheetPr codeName="Sheet10"/>
  <dimension ref="A1:V56"/>
  <sheetViews>
    <sheetView workbookViewId="0">
      <selection activeCell="C37" sqref="C37"/>
    </sheetView>
  </sheetViews>
  <sheetFormatPr defaultRowHeight="12.75"/>
  <cols>
    <col min="2" max="2" width="11.28515625" bestFit="1" customWidth="1"/>
    <col min="4" max="4" width="10.85546875" bestFit="1" customWidth="1"/>
    <col min="5" max="5" width="47.42578125" bestFit="1" customWidth="1"/>
    <col min="7" max="7" width="11.28515625" bestFit="1" customWidth="1"/>
    <col min="12" max="12" width="11.5703125" bestFit="1" customWidth="1"/>
    <col min="13" max="13" width="2.5703125" bestFit="1" customWidth="1"/>
    <col min="14" max="14" width="35.7109375" customWidth="1"/>
    <col min="15" max="15" width="13.7109375" customWidth="1"/>
    <col min="16" max="16" width="18.28515625" customWidth="1"/>
    <col min="17" max="17" width="17.5703125" customWidth="1"/>
    <col min="18" max="18" width="17.42578125" customWidth="1"/>
    <col min="20" max="20" width="11.28515625" bestFit="1" customWidth="1"/>
    <col min="22" max="22" width="8.7109375" customWidth="1"/>
  </cols>
  <sheetData>
    <row r="1" spans="1:20">
      <c r="A1" s="1179" t="s">
        <v>1146</v>
      </c>
      <c r="B1">
        <f>0.79/'CF '!E24</f>
        <v>1.0459503186838504</v>
      </c>
      <c r="C1" s="1179" t="s">
        <v>1151</v>
      </c>
      <c r="F1" s="1179" t="s">
        <v>1115</v>
      </c>
      <c r="G1" s="1175">
        <f>'ADJ SUMMARY'!F44</f>
        <v>6421.089006400156</v>
      </c>
      <c r="H1" s="1183">
        <v>2022</v>
      </c>
      <c r="I1" s="1183">
        <v>2023</v>
      </c>
      <c r="J1" s="1183">
        <v>2024</v>
      </c>
      <c r="K1" s="1184" t="s">
        <v>1145</v>
      </c>
      <c r="N1" s="1183">
        <v>2022</v>
      </c>
      <c r="O1" s="1183">
        <v>2023</v>
      </c>
      <c r="P1" s="1183">
        <v>2024</v>
      </c>
      <c r="S1" s="1175">
        <f>'ADJ SUMMARY'!F69</f>
        <v>1114.7976814326607</v>
      </c>
      <c r="T1" t="s">
        <v>1136</v>
      </c>
    </row>
    <row r="2" spans="1:20">
      <c r="B2" s="1198">
        <v>1.0457160000000001</v>
      </c>
      <c r="C2" s="1179" t="s">
        <v>1152</v>
      </c>
      <c r="E2" t="s">
        <v>1120</v>
      </c>
      <c r="G2" s="1179" t="s">
        <v>221</v>
      </c>
      <c r="H2">
        <f>1203+2134</f>
        <v>3337</v>
      </c>
      <c r="I2">
        <v>1572</v>
      </c>
      <c r="J2">
        <v>1849</v>
      </c>
      <c r="L2" s="1179" t="s">
        <v>221</v>
      </c>
      <c r="M2" s="1179"/>
      <c r="N2">
        <f>357+620</f>
        <v>977</v>
      </c>
      <c r="O2">
        <v>456</v>
      </c>
      <c r="P2">
        <v>538</v>
      </c>
      <c r="S2" s="1175">
        <f>'ADJ SUMMARY'!F70</f>
        <v>-1085.0186761711334</v>
      </c>
      <c r="T2" t="s">
        <v>1137</v>
      </c>
    </row>
    <row r="3" spans="1:20">
      <c r="G3" s="1179" t="s">
        <v>1143</v>
      </c>
      <c r="H3" s="1179">
        <f>619+31+32</f>
        <v>682</v>
      </c>
      <c r="I3">
        <v>23</v>
      </c>
      <c r="J3">
        <v>23</v>
      </c>
      <c r="L3" s="1179" t="s">
        <v>1143</v>
      </c>
      <c r="M3" s="1179"/>
      <c r="N3" s="1179">
        <f>195+11+11</f>
        <v>217</v>
      </c>
      <c r="O3">
        <v>8</v>
      </c>
      <c r="P3">
        <v>8</v>
      </c>
      <c r="S3" s="1175">
        <f>'ADJ SUMMARY'!F71</f>
        <v>2038.5571711148241</v>
      </c>
      <c r="T3" t="s">
        <v>1120</v>
      </c>
    </row>
    <row r="4" spans="1:20">
      <c r="G4" s="1179" t="s">
        <v>1144</v>
      </c>
      <c r="H4" s="1180">
        <f>525</f>
        <v>525</v>
      </c>
      <c r="I4" s="1180"/>
      <c r="J4" s="1180">
        <v>76</v>
      </c>
      <c r="L4" s="1179" t="s">
        <v>1144</v>
      </c>
      <c r="M4" s="1179"/>
      <c r="N4" s="1180">
        <v>155</v>
      </c>
      <c r="O4" s="1180"/>
      <c r="P4" s="1180">
        <v>6</v>
      </c>
      <c r="S4" s="1175">
        <f>'ADJ SUMMARY'!F72</f>
        <v>483.22904723193881</v>
      </c>
      <c r="T4" t="s">
        <v>781</v>
      </c>
    </row>
    <row r="5" spans="1:20">
      <c r="G5" s="1179"/>
      <c r="H5" s="1179">
        <f>SUM(H2:H4)</f>
        <v>4544</v>
      </c>
      <c r="I5" s="1179">
        <f t="shared" ref="I5:J5" si="0">SUM(I2:I4)</f>
        <v>1595</v>
      </c>
      <c r="J5" s="1179">
        <f t="shared" si="0"/>
        <v>1948</v>
      </c>
      <c r="N5" s="1179">
        <f>SUM(N2:N4)</f>
        <v>1349</v>
      </c>
      <c r="O5" s="1179">
        <f t="shared" ref="O5" si="1">SUM(O2:O4)</f>
        <v>464</v>
      </c>
      <c r="P5" s="1179">
        <f t="shared" ref="P5" si="2">SUM(P2:P4)</f>
        <v>552</v>
      </c>
      <c r="S5" s="1175">
        <f>'ADJ SUMMARY'!F73</f>
        <v>654.76489949609015</v>
      </c>
      <c r="T5" t="s">
        <v>784</v>
      </c>
    </row>
    <row r="6" spans="1:20">
      <c r="B6" t="s">
        <v>1115</v>
      </c>
      <c r="G6" s="1179"/>
      <c r="H6" s="1181">
        <f>H5*$B$1</f>
        <v>4752.798248099416</v>
      </c>
      <c r="I6" s="1181">
        <f>I5*$B$1</f>
        <v>1668.2907583007413</v>
      </c>
      <c r="J6" s="1181">
        <f>J5*$B$1</f>
        <v>2037.5112207961406</v>
      </c>
      <c r="N6" s="1181">
        <f>N5*$B$1</f>
        <v>1410.9869799045141</v>
      </c>
      <c r="O6" s="1181">
        <f>O5*$B$1</f>
        <v>485.32094786930656</v>
      </c>
      <c r="P6" s="1181">
        <f>P5*$B$1</f>
        <v>577.3645759134854</v>
      </c>
      <c r="S6" s="1175">
        <f>'ADJ SUMMARY'!F74</f>
        <v>1581.4768818499815</v>
      </c>
      <c r="T6" t="s">
        <v>782</v>
      </c>
    </row>
    <row r="7" spans="1:20">
      <c r="E7" s="1173">
        <f>G14+G31+G33+G34+G35+G36+G37+G40+G42</f>
        <v>29424.021953992145</v>
      </c>
      <c r="S7" s="1175">
        <f>'ADJ SUMMARY'!F75</f>
        <v>48.113714659457116</v>
      </c>
      <c r="T7" t="s">
        <v>1124</v>
      </c>
    </row>
    <row r="8" spans="1:20">
      <c r="C8" s="1237">
        <f>-5800*0.6554/12*5+3.5</f>
        <v>-1580.3833333333332</v>
      </c>
      <c r="D8" s="1176">
        <f>C8*B1</f>
        <v>-1653.0024511426457</v>
      </c>
      <c r="G8" s="1178" t="s">
        <v>964</v>
      </c>
      <c r="H8" s="1178"/>
      <c r="I8" s="1178" t="s">
        <v>965</v>
      </c>
      <c r="L8" s="1179" t="s">
        <v>1147</v>
      </c>
      <c r="M8" s="1179"/>
      <c r="S8" s="1175">
        <f>'ADJ SUMMARY'!F76</f>
        <v>4543.027681935775</v>
      </c>
      <c r="T8" t="s">
        <v>1122</v>
      </c>
    </row>
    <row r="9" spans="1:20" ht="15">
      <c r="L9" s="1195">
        <v>2022</v>
      </c>
      <c r="M9" s="1195"/>
      <c r="N9" s="1195">
        <v>2023</v>
      </c>
      <c r="O9" s="1195">
        <v>2023</v>
      </c>
      <c r="P9" s="1195">
        <v>2024</v>
      </c>
      <c r="Q9" s="1195">
        <v>2024</v>
      </c>
      <c r="R9" s="1195"/>
      <c r="S9" s="1175">
        <f>'ADJ SUMMARY'!F77</f>
        <v>8376.8539795747602</v>
      </c>
      <c r="T9" t="s">
        <v>1138</v>
      </c>
    </row>
    <row r="10" spans="1:20" ht="15">
      <c r="D10" t="s">
        <v>1019</v>
      </c>
      <c r="G10" s="1187">
        <f>'RR Summary'!E24</f>
        <v>38000.017689383101</v>
      </c>
      <c r="H10" s="1182"/>
      <c r="I10" s="1187">
        <f>'RR Summary'!G24</f>
        <v>12499.818573278058</v>
      </c>
      <c r="L10" s="1297">
        <v>1889</v>
      </c>
      <c r="M10" s="1196"/>
      <c r="N10" s="1297">
        <f>O10-L10</f>
        <v>1501</v>
      </c>
      <c r="O10" s="1197">
        <v>3390</v>
      </c>
      <c r="P10" s="1297">
        <f>Q10-O10</f>
        <v>1357</v>
      </c>
      <c r="Q10" s="1196">
        <v>4747</v>
      </c>
      <c r="R10" s="1196"/>
      <c r="S10" s="1175">
        <f>'ADJ SUMMARY'!F78</f>
        <v>-3558.3229841624584</v>
      </c>
      <c r="T10" t="s">
        <v>1139</v>
      </c>
    </row>
    <row r="11" spans="1:20">
      <c r="A11" t="s">
        <v>1243</v>
      </c>
      <c r="C11" s="1237">
        <f>-5800*0.6554*1.04595</f>
        <v>-3975.9906539999993</v>
      </c>
      <c r="D11" t="s">
        <v>1156</v>
      </c>
      <c r="S11" s="1175">
        <f>'ADJ SUMMARY'!F79</f>
        <v>1836.8912900142197</v>
      </c>
      <c r="T11" t="s">
        <v>1140</v>
      </c>
    </row>
    <row r="12" spans="1:20">
      <c r="C12" s="1237">
        <f>-5800*0.6564*1.04595/12*7</f>
        <v>-2322.8666790000002</v>
      </c>
      <c r="D12" t="s">
        <v>1244</v>
      </c>
      <c r="G12" s="1186">
        <v>2022</v>
      </c>
      <c r="H12" s="1186">
        <v>2023</v>
      </c>
      <c r="I12" s="1186">
        <v>2024</v>
      </c>
      <c r="L12" s="1179" t="s">
        <v>1148</v>
      </c>
      <c r="M12" s="1179"/>
      <c r="S12" s="1175">
        <f>'ADJ SUMMARY'!F80</f>
        <v>-840.27731055721347</v>
      </c>
      <c r="T12" t="s">
        <v>1141</v>
      </c>
    </row>
    <row r="13" spans="1:20" ht="15">
      <c r="D13" s="1179" t="s">
        <v>1184</v>
      </c>
      <c r="E13" s="1179" t="s">
        <v>1167</v>
      </c>
      <c r="G13" s="1208">
        <f>'ADJ SUMMARY'!F34-G14</f>
        <v>23081.309855499981</v>
      </c>
      <c r="L13" s="1195">
        <v>2022</v>
      </c>
      <c r="M13" s="1195"/>
      <c r="N13" s="1195">
        <v>2023</v>
      </c>
      <c r="O13" s="1195">
        <v>2023</v>
      </c>
      <c r="P13" s="1195">
        <v>2024</v>
      </c>
      <c r="Q13" s="1195">
        <v>2024</v>
      </c>
      <c r="R13" s="1195"/>
      <c r="S13" s="1177">
        <f>'ADJ SUMMARY'!F81</f>
        <v>-100.74526872979264</v>
      </c>
      <c r="T13" t="s">
        <v>1142</v>
      </c>
    </row>
    <row r="14" spans="1:20" ht="15">
      <c r="D14" s="1237">
        <f>C11-C12</f>
        <v>-1653.1239749999991</v>
      </c>
      <c r="E14" s="1210" t="s">
        <v>1166</v>
      </c>
      <c r="G14" s="1220">
        <f>'ADJ SUMMARY'!F28</f>
        <v>6395.7457056457488</v>
      </c>
      <c r="H14" s="1175"/>
      <c r="L14" s="1196">
        <v>3671</v>
      </c>
      <c r="M14" s="1196"/>
      <c r="N14" s="1196">
        <v>3252</v>
      </c>
      <c r="O14" s="1197">
        <v>6923</v>
      </c>
      <c r="P14" s="1196">
        <f>Q14-O14</f>
        <v>2797</v>
      </c>
      <c r="Q14" s="1196">
        <v>9720</v>
      </c>
      <c r="R14" s="1196"/>
      <c r="S14" s="1176">
        <f>SUM(S1:S13)</f>
        <v>15093.348107689111</v>
      </c>
    </row>
    <row r="15" spans="1:20">
      <c r="B15">
        <v>2021</v>
      </c>
      <c r="D15" s="1179" t="s">
        <v>1164</v>
      </c>
      <c r="E15" s="1174" t="s">
        <v>775</v>
      </c>
      <c r="G15" s="1208">
        <f>'ADJ SUMMARY'!F36</f>
        <v>-21504.738552139963</v>
      </c>
      <c r="H15" s="1175"/>
    </row>
    <row r="16" spans="1:20">
      <c r="B16" s="1207">
        <f>G13+G15+G16+G17+G20+G18+G21+F30-D16</f>
        <v>-7136.5516256896572</v>
      </c>
      <c r="C16" s="1179" t="s">
        <v>1162</v>
      </c>
      <c r="D16" s="1209">
        <f>2000-D14</f>
        <v>3653.1239749999991</v>
      </c>
      <c r="E16" t="s">
        <v>776</v>
      </c>
      <c r="G16" s="1208">
        <f>'ADJ SUMMARY'!F37</f>
        <v>-11089.16527868618</v>
      </c>
      <c r="H16" s="1175"/>
      <c r="L16" s="1179" t="s">
        <v>1149</v>
      </c>
      <c r="M16" s="1179"/>
      <c r="N16">
        <v>2022</v>
      </c>
      <c r="O16">
        <v>2023</v>
      </c>
      <c r="P16">
        <v>2024</v>
      </c>
    </row>
    <row r="17" spans="2:22">
      <c r="E17" t="s">
        <v>743</v>
      </c>
      <c r="G17" s="1208">
        <f>'ADJ SUMMARY'!F38</f>
        <v>-13294.028550471736</v>
      </c>
      <c r="H17" s="1175"/>
      <c r="L17" s="1179" t="s">
        <v>1115</v>
      </c>
      <c r="M17" s="1179"/>
      <c r="N17">
        <v>584</v>
      </c>
      <c r="O17">
        <f>892-N17</f>
        <v>308</v>
      </c>
      <c r="P17">
        <v>605</v>
      </c>
    </row>
    <row r="18" spans="2:22">
      <c r="B18" s="1184" t="s">
        <v>1161</v>
      </c>
      <c r="E18" t="s">
        <v>777</v>
      </c>
      <c r="G18" s="1208">
        <f>'ADJ SUMMARY'!F39</f>
        <v>1197.3773775509933</v>
      </c>
      <c r="H18" s="1175"/>
      <c r="L18" s="1179" t="s">
        <v>1145</v>
      </c>
      <c r="M18" s="1179"/>
      <c r="N18">
        <v>60</v>
      </c>
      <c r="O18">
        <f>95-N18+1</f>
        <v>36</v>
      </c>
      <c r="P18">
        <v>71</v>
      </c>
    </row>
    <row r="19" spans="2:22">
      <c r="B19" s="1206">
        <f>G22+G23+G24+G25+G26+H23</f>
        <v>6376.6967829745772</v>
      </c>
      <c r="E19" t="s">
        <v>1116</v>
      </c>
      <c r="G19" s="1219">
        <f>'ADJ SUMMARY'!F40</f>
        <v>839.40823043741909</v>
      </c>
      <c r="I19" s="1176">
        <f>S1</f>
        <v>1114.7976814326607</v>
      </c>
    </row>
    <row r="20" spans="2:22">
      <c r="B20" s="1218">
        <f>G27+G28+G29+H28+G19</f>
        <v>7654.8205069813866</v>
      </c>
      <c r="E20" t="s">
        <v>1117</v>
      </c>
      <c r="G20" s="1208">
        <f>'ADJ SUMMARY'!F41-H20</f>
        <v>16069.215591544486</v>
      </c>
      <c r="H20" s="1175">
        <f>-2100*B1</f>
        <v>-2196.4956692360856</v>
      </c>
      <c r="I20" s="1176">
        <f>S2</f>
        <v>-1085.0186761711334</v>
      </c>
      <c r="L20" s="1179" t="s">
        <v>1150</v>
      </c>
      <c r="M20" s="1179"/>
      <c r="N20">
        <v>2022</v>
      </c>
      <c r="O20">
        <v>2023</v>
      </c>
    </row>
    <row r="21" spans="2:22">
      <c r="B21" s="1206">
        <f>SUM(B19:B20)</f>
        <v>14031.517289955964</v>
      </c>
      <c r="E21" t="s">
        <v>1118</v>
      </c>
      <c r="G21" s="1208">
        <f>'ADJ SUMMARY'!F42</f>
        <v>919.91330528244634</v>
      </c>
      <c r="H21" s="1175"/>
      <c r="L21" s="1179" t="s">
        <v>1115</v>
      </c>
      <c r="M21" s="1179"/>
      <c r="N21" s="1176">
        <f>-(L14+N17)*B1</f>
        <v>-4450.5186059997832</v>
      </c>
      <c r="O21" s="1176">
        <f>-(N14+O17)*B1</f>
        <v>-3723.583134514507</v>
      </c>
    </row>
    <row r="22" spans="2:22">
      <c r="E22" t="s">
        <v>1119</v>
      </c>
      <c r="G22" s="1193">
        <f>'ADJ SUMMARY'!F43</f>
        <v>373.40426377013449</v>
      </c>
      <c r="H22" s="1205"/>
      <c r="L22" s="1179" t="s">
        <v>1145</v>
      </c>
      <c r="M22" s="1179"/>
      <c r="N22" s="1176">
        <f>-(L10+N18)*B2</f>
        <v>-2038.1004840000003</v>
      </c>
      <c r="O22" s="1176">
        <f>-(N10+O18)*B2</f>
        <v>-1607.2654920000002</v>
      </c>
    </row>
    <row r="23" spans="2:22">
      <c r="E23" t="s">
        <v>1120</v>
      </c>
      <c r="G23" s="1193">
        <f>H6</f>
        <v>4752.798248099416</v>
      </c>
      <c r="H23" s="1193">
        <f>I6</f>
        <v>1668.2907583007413</v>
      </c>
      <c r="I23" s="1176">
        <f>S3</f>
        <v>2038.5571711148241</v>
      </c>
    </row>
    <row r="24" spans="2:22" ht="13.5" thickBot="1">
      <c r="B24" s="1212">
        <f>G30+H30-F30</f>
        <v>9085.1244680879245</v>
      </c>
      <c r="C24" s="1179" t="s">
        <v>1163</v>
      </c>
      <c r="E24" t="s">
        <v>780</v>
      </c>
      <c r="G24" s="1193">
        <f>'ADJ SUMMARY'!F45</f>
        <v>66.940820395766423</v>
      </c>
      <c r="H24" s="1193"/>
    </row>
    <row r="25" spans="2:22" ht="16.5" thickBot="1">
      <c r="B25" s="1179" t="s">
        <v>1165</v>
      </c>
      <c r="E25" t="s">
        <v>781</v>
      </c>
      <c r="G25" s="1193">
        <f>'ADJ SUMMARY'!F46</f>
        <v>-412.10442556143698</v>
      </c>
      <c r="H25" s="1193"/>
      <c r="I25" s="1176">
        <f>S4</f>
        <v>483.22904723193881</v>
      </c>
      <c r="M25" s="1249"/>
      <c r="N25" s="1427" t="s">
        <v>1197</v>
      </c>
      <c r="O25" s="1427"/>
      <c r="P25" s="1427"/>
      <c r="Q25" s="1427"/>
      <c r="R25" s="1428"/>
    </row>
    <row r="26" spans="2:22" ht="31.5">
      <c r="B26" s="1215">
        <f>G14+G31+G33+G34+G35+G36+G37+G38+H38++G40+H41+G42+H43+H44</f>
        <v>34012.399233997639</v>
      </c>
      <c r="C26" s="1179" t="s">
        <v>121</v>
      </c>
      <c r="E26" t="s">
        <v>1121</v>
      </c>
      <c r="G26" s="1193">
        <f>'ADJ SUMMARY'!F47</f>
        <v>-72.632882030043945</v>
      </c>
      <c r="H26" s="1193"/>
      <c r="M26" s="1240"/>
      <c r="N26" s="1202" t="s">
        <v>1115</v>
      </c>
      <c r="O26" s="1223" t="s">
        <v>1157</v>
      </c>
      <c r="P26" s="1223">
        <v>2023</v>
      </c>
      <c r="Q26" s="1255" t="s">
        <v>1210</v>
      </c>
      <c r="R26" s="1230" t="s">
        <v>1183</v>
      </c>
    </row>
    <row r="27" spans="2:22" ht="18.75">
      <c r="B27" s="1216">
        <f>G39+H39+H20</f>
        <v>-10370.597409750375</v>
      </c>
      <c r="C27" s="1179" t="s">
        <v>1149</v>
      </c>
      <c r="E27" t="s">
        <v>784</v>
      </c>
      <c r="G27" s="1219">
        <f>'ADJ SUMMARY'!F48</f>
        <v>1006.204206573864</v>
      </c>
      <c r="H27" s="1219"/>
      <c r="I27" s="1176">
        <f>S5</f>
        <v>654.76489949609015</v>
      </c>
      <c r="M27" s="1241" t="s">
        <v>1158</v>
      </c>
      <c r="N27" s="449" t="s">
        <v>1208</v>
      </c>
      <c r="O27" s="1199">
        <f>D14+B33+B34+G39+0.8</f>
        <v>-6810.9509467487487</v>
      </c>
      <c r="P27" s="1199">
        <f>H39+B35-0.4</f>
        <v>-5919.9831345145067</v>
      </c>
      <c r="Q27" s="1252">
        <f>SUM(O27:P27)</f>
        <v>-12730.934081263254</v>
      </c>
      <c r="R27" s="1246">
        <f>I39+B36</f>
        <v>-4349.3229841624579</v>
      </c>
    </row>
    <row r="28" spans="2:22" ht="15.75">
      <c r="E28" t="s">
        <v>782</v>
      </c>
      <c r="G28" s="1219">
        <f>'ADJ SUMMARY'!F49-H28</f>
        <v>3126.2187677910852</v>
      </c>
      <c r="H28" s="1219">
        <v>1363</v>
      </c>
      <c r="I28" s="1176">
        <f>S6</f>
        <v>1581.4768818499815</v>
      </c>
      <c r="M28" s="1241" t="s">
        <v>1159</v>
      </c>
      <c r="N28" s="449" t="s">
        <v>1153</v>
      </c>
      <c r="O28" s="1199">
        <f>G13+G15+G16+G17+G18+G19+G21+G22+G23+G24+G25+G26+G27+G28+G29+G30+G20-O30-B33-B34+-D14</f>
        <v>12444.593455758497</v>
      </c>
      <c r="P28" s="1199">
        <f>H14+H15+H16+H17+H18+H19+H20+H21+H22+H23+H24+H25+H26+H27+H28+H29+H30-B35</f>
        <v>7573.3573231086175</v>
      </c>
      <c r="Q28" s="1252">
        <f>SUM(O28:P28)</f>
        <v>20017.950778867114</v>
      </c>
      <c r="R28" s="1246">
        <f>I14+I15+I16+I17+I18+I19+I20+I21+I22+I23+I24+I25+I26+I27+I28+I29+I30-B36</f>
        <v>10121.834686890137</v>
      </c>
      <c r="T28" s="1194"/>
      <c r="V28" s="1204"/>
    </row>
    <row r="29" spans="2:22" ht="18.75">
      <c r="B29" s="1176">
        <f>B16+B21+B24+B26+B27+D16</f>
        <v>43275.015931601498</v>
      </c>
      <c r="E29" t="s">
        <v>783</v>
      </c>
      <c r="F29">
        <v>2021</v>
      </c>
      <c r="G29" s="1219">
        <f>'ADJ SUMMARY'!F50</f>
        <v>1319.989302179019</v>
      </c>
      <c r="H29" s="1219"/>
      <c r="L29" s="1241"/>
      <c r="M29" s="1241" t="s">
        <v>1160</v>
      </c>
      <c r="N29" s="449" t="s">
        <v>1209</v>
      </c>
      <c r="O29" s="1199">
        <f>G31+G33+G34+G35+G36+G37+G38+G40+G41+G42+G43+G44+G14</f>
        <v>29424.021953992145</v>
      </c>
      <c r="P29" s="1199">
        <f>H31+H33+H34+H35+H36+H37+H38+H40+H41+H42+H43+H44</f>
        <v>4588.3772800054921</v>
      </c>
      <c r="Q29" s="1252">
        <f>SUM(O29:P29)</f>
        <v>34012.399233997639</v>
      </c>
      <c r="R29" s="1246">
        <f>I31+I33+I34+I35+I36+I37+I38+I40+I41+I42+I43+I44</f>
        <v>9320.836404961432</v>
      </c>
      <c r="T29" s="1194"/>
      <c r="V29" s="1204"/>
    </row>
    <row r="30" spans="2:22" ht="18.75">
      <c r="B30" s="1179" t="s">
        <v>321</v>
      </c>
      <c r="E30" t="s">
        <v>1122</v>
      </c>
      <c r="F30" s="1207">
        <f>G30-H30</f>
        <v>1136.688600730311</v>
      </c>
      <c r="G30" s="1211">
        <f>'ADJ SUMMARY'!F51-H30</f>
        <v>5679.2508347742732</v>
      </c>
      <c r="H30" s="1211">
        <f>4343*B1</f>
        <v>4542.5622340439622</v>
      </c>
      <c r="I30" s="1176">
        <f>S8</f>
        <v>4543.027681935775</v>
      </c>
      <c r="M30" s="1242" t="s">
        <v>1168</v>
      </c>
      <c r="N30" s="1222" t="s">
        <v>1198</v>
      </c>
      <c r="O30" s="1221">
        <f>-2000+3976</f>
        <v>1976</v>
      </c>
      <c r="P30" s="1200">
        <v>0</v>
      </c>
      <c r="Q30" s="1253">
        <f>SUM(O30:P30)</f>
        <v>1976</v>
      </c>
      <c r="R30" s="1247">
        <v>0</v>
      </c>
    </row>
    <row r="31" spans="2:22" ht="16.5" customHeight="1" thickBot="1">
      <c r="C31" s="1179" t="s">
        <v>1185</v>
      </c>
      <c r="E31" t="s">
        <v>1123</v>
      </c>
      <c r="G31" s="1213">
        <f>'ADJ SUMMARY'!F52</f>
        <v>5267.4543834183842</v>
      </c>
      <c r="H31" s="1175"/>
      <c r="M31" s="1240"/>
      <c r="N31" s="1203" t="s">
        <v>1156</v>
      </c>
      <c r="O31" s="1201">
        <f>SUM(O27:O30)</f>
        <v>37033.664463001893</v>
      </c>
      <c r="P31" s="1201">
        <f>SUM(P27:P30)</f>
        <v>6241.751468599603</v>
      </c>
      <c r="Q31" s="1245">
        <f>SUM(Q27:Q30)</f>
        <v>43275.415931601499</v>
      </c>
      <c r="R31" s="1248">
        <f>SUM(R27:R30)</f>
        <v>15093.348107689111</v>
      </c>
    </row>
    <row r="32" spans="2:22" ht="18.75" customHeight="1" thickTop="1">
      <c r="M32" s="1240"/>
      <c r="N32" s="449"/>
      <c r="O32" s="449"/>
      <c r="P32" s="449"/>
      <c r="Q32" s="1429" t="s">
        <v>1210</v>
      </c>
      <c r="R32" s="1431" t="s">
        <v>1183</v>
      </c>
    </row>
    <row r="33" spans="2:18" ht="15.75">
      <c r="B33" s="1237">
        <f>-534*B1</f>
        <v>-558.53747017717615</v>
      </c>
      <c r="C33" s="1179" t="s">
        <v>1186</v>
      </c>
      <c r="E33" t="s">
        <v>1124</v>
      </c>
      <c r="G33" s="1213">
        <f>'ADJ SUMMARY'!F53</f>
        <v>64.848919758398722</v>
      </c>
      <c r="H33" s="1175"/>
      <c r="I33" s="1176">
        <f>S7</f>
        <v>48.113714659457116</v>
      </c>
      <c r="M33" s="1240"/>
      <c r="N33" s="1202" t="s">
        <v>1154</v>
      </c>
      <c r="O33" s="1223" t="s">
        <v>1157</v>
      </c>
      <c r="P33" s="1223">
        <v>2023</v>
      </c>
      <c r="Q33" s="1430"/>
      <c r="R33" s="1432"/>
    </row>
    <row r="34" spans="2:18" ht="18.75">
      <c r="B34" s="1237">
        <f>-143*B1</f>
        <v>-149.5708955717906</v>
      </c>
      <c r="C34" s="1179" t="s">
        <v>1187</v>
      </c>
      <c r="E34" t="s">
        <v>1125</v>
      </c>
      <c r="G34" s="1213">
        <f>'ADJ SUMMARY'!F54</f>
        <v>2866.3436039476019</v>
      </c>
      <c r="H34" s="1175"/>
      <c r="M34" s="1241" t="s">
        <v>1158</v>
      </c>
      <c r="N34" s="449" t="s">
        <v>1208</v>
      </c>
      <c r="O34" s="1199">
        <v>-2156</v>
      </c>
      <c r="P34" s="1199">
        <v>-2340</v>
      </c>
      <c r="Q34" s="1252">
        <f>SUM(O34:P34)</f>
        <v>-4496</v>
      </c>
      <c r="R34" s="1246">
        <v>-1769.3520397425154</v>
      </c>
    </row>
    <row r="35" spans="2:18" ht="15.75">
      <c r="B35" s="1175">
        <v>-2196</v>
      </c>
      <c r="C35" s="1179" t="s">
        <v>1188</v>
      </c>
      <c r="E35" t="s">
        <v>1126</v>
      </c>
      <c r="G35" s="1213">
        <f>'ADJ SUMMARY'!F55</f>
        <v>222.58506091667613</v>
      </c>
      <c r="H35" s="1175"/>
      <c r="M35" s="1241" t="s">
        <v>1159</v>
      </c>
      <c r="N35" s="449" t="s">
        <v>1153</v>
      </c>
      <c r="O35" s="1199">
        <v>4283.5728500270716</v>
      </c>
      <c r="P35" s="1244">
        <v>2409.2138145746385</v>
      </c>
      <c r="Q35" s="1252">
        <f>SUM(O35:P35)</f>
        <v>6692.7866646017101</v>
      </c>
      <c r="R35" s="1254">
        <v>1980.2832196944123</v>
      </c>
    </row>
    <row r="36" spans="2:18" ht="18.75">
      <c r="B36" s="1175">
        <f>-791</f>
        <v>-791</v>
      </c>
      <c r="C36" s="1179" t="s">
        <v>1189</v>
      </c>
      <c r="E36" t="s">
        <v>1127</v>
      </c>
      <c r="G36" s="1213">
        <f>'ADJ SUMMARY'!F56</f>
        <v>341.54763707907119</v>
      </c>
      <c r="H36" s="1175"/>
      <c r="M36" s="1241" t="s">
        <v>1160</v>
      </c>
      <c r="N36" s="449" t="s">
        <v>1209</v>
      </c>
      <c r="O36" s="1199">
        <v>7407.67244987511</v>
      </c>
      <c r="P36" s="1244">
        <v>1317.114381511735</v>
      </c>
      <c r="Q36" s="1252">
        <f>SUM(O36:P36)</f>
        <v>8724.7868313868457</v>
      </c>
      <c r="R36" s="1254">
        <v>1960.6556879688349</v>
      </c>
    </row>
    <row r="37" spans="2:18" ht="16.5" customHeight="1" thickBot="1">
      <c r="E37" t="s">
        <v>1128</v>
      </c>
      <c r="G37" s="1213">
        <f>'ADJ SUMMARY'!F57</f>
        <v>9525.1646453552385</v>
      </c>
      <c r="H37" s="1175"/>
      <c r="M37" s="1243"/>
      <c r="N37" s="1238" t="s">
        <v>1156</v>
      </c>
      <c r="O37" s="1201">
        <f>SUM(O34:O36)</f>
        <v>9535.2452999021807</v>
      </c>
      <c r="P37" s="1201">
        <f>SUM(P34:P36)</f>
        <v>1386.3281960863735</v>
      </c>
      <c r="Q37" s="1245">
        <f>SUM(Q34:Q36)</f>
        <v>10921.573495988556</v>
      </c>
      <c r="R37" s="1248">
        <f>SUM(R34:R36)</f>
        <v>2171.5868679207315</v>
      </c>
    </row>
    <row r="38" spans="2:18" ht="37.5" customHeight="1" thickTop="1">
      <c r="E38" t="s">
        <v>1129</v>
      </c>
      <c r="H38" s="1213">
        <f>'ADJ SUMMARY'!F58</f>
        <v>3714.9974213014652</v>
      </c>
      <c r="I38" s="1176">
        <f>S9</f>
        <v>8376.8539795747602</v>
      </c>
      <c r="L38" s="1179"/>
      <c r="M38" s="1415" t="s">
        <v>1248</v>
      </c>
      <c r="N38" s="1416"/>
      <c r="O38" s="1416"/>
      <c r="P38" s="1416"/>
      <c r="Q38" s="1416"/>
      <c r="R38" s="1417"/>
    </row>
    <row r="39" spans="2:18" ht="15.75" customHeight="1">
      <c r="E39" t="s">
        <v>1130</v>
      </c>
      <c r="G39" s="1217">
        <f>'ADJ SUMMARY'!F59-H39</f>
        <v>-4450.5186059997832</v>
      </c>
      <c r="H39" s="1217">
        <f>O21</f>
        <v>-3723.583134514507</v>
      </c>
      <c r="I39" s="1176">
        <f>S10</f>
        <v>-3558.3229841624584</v>
      </c>
      <c r="L39" s="1194"/>
      <c r="M39" s="1418" t="s">
        <v>1249</v>
      </c>
      <c r="N39" s="1419"/>
      <c r="O39" s="1419"/>
      <c r="P39" s="1419"/>
      <c r="Q39" s="1419"/>
      <c r="R39" s="1420"/>
    </row>
    <row r="40" spans="2:18" ht="18.75" customHeight="1">
      <c r="E40" t="s">
        <v>1131</v>
      </c>
      <c r="G40" s="1213">
        <f>'ADJ SUMMARY'!F60</f>
        <v>4605.2266772938747</v>
      </c>
      <c r="H40" s="1175"/>
      <c r="M40" s="1421"/>
      <c r="N40" s="1422"/>
      <c r="O40" s="1422"/>
      <c r="P40" s="1422"/>
      <c r="Q40" s="1422"/>
      <c r="R40" s="1423"/>
    </row>
    <row r="41" spans="2:18" ht="18.75" customHeight="1">
      <c r="E41" t="s">
        <v>1132</v>
      </c>
      <c r="H41" s="1213">
        <f>'ADJ SUMMARY'!F61</f>
        <v>1056.4909227400192</v>
      </c>
      <c r="I41" s="1176">
        <f>S11</f>
        <v>1836.8912900142197</v>
      </c>
      <c r="M41" s="1418" t="s">
        <v>1247</v>
      </c>
      <c r="N41" s="1419"/>
      <c r="O41" s="1419"/>
      <c r="P41" s="1419"/>
      <c r="Q41" s="1419"/>
      <c r="R41" s="1420"/>
    </row>
    <row r="42" spans="2:18" ht="26.25" customHeight="1" thickBot="1">
      <c r="E42" t="s">
        <v>1133</v>
      </c>
      <c r="G42" s="1213">
        <f>'ADJ SUMMARY'!F62</f>
        <v>135.10532057715267</v>
      </c>
      <c r="H42" s="1175"/>
      <c r="M42" s="1424"/>
      <c r="N42" s="1425"/>
      <c r="O42" s="1425"/>
      <c r="P42" s="1425"/>
      <c r="Q42" s="1425"/>
      <c r="R42" s="1426"/>
    </row>
    <row r="43" spans="2:18" ht="18" customHeight="1">
      <c r="E43" t="s">
        <v>1134</v>
      </c>
      <c r="H43" s="1213">
        <f>'ADJ SUMMARY'!F63</f>
        <v>-587.53381067504836</v>
      </c>
      <c r="I43" s="1176">
        <f>S12</f>
        <v>-840.27731055721347</v>
      </c>
      <c r="M43" s="1261"/>
      <c r="N43" s="1260"/>
      <c r="O43" s="1260"/>
      <c r="P43" s="1260"/>
      <c r="Q43" s="1260"/>
      <c r="R43" s="1260"/>
    </row>
    <row r="44" spans="2:18">
      <c r="E44" t="s">
        <v>1135</v>
      </c>
      <c r="G44" s="1188"/>
      <c r="H44" s="1214">
        <f>'ADJ SUMMARY'!F64</f>
        <v>404.4227466390571</v>
      </c>
      <c r="I44" s="1185">
        <f>S13</f>
        <v>-100.74526872979264</v>
      </c>
      <c r="M44" s="1259"/>
      <c r="N44" s="1414"/>
      <c r="O44" s="1414"/>
      <c r="P44" s="1414"/>
      <c r="Q44" s="1414"/>
      <c r="R44" s="1414"/>
    </row>
    <row r="45" spans="2:18">
      <c r="G45" s="1192">
        <f>SUM(G13:G44)</f>
        <v>37032.86446300189</v>
      </c>
      <c r="H45" s="1192">
        <f>SUM(H14:H44)</f>
        <v>6242.1514685996026</v>
      </c>
      <c r="I45" s="1176"/>
    </row>
    <row r="46" spans="2:18" ht="13.5" thickBot="1">
      <c r="H46" s="1191">
        <f>G45+H45</f>
        <v>43275.015931601491</v>
      </c>
      <c r="I46" s="1189">
        <f>SUM(I14:I44)</f>
        <v>15093.348107689111</v>
      </c>
    </row>
    <row r="47" spans="2:18" ht="13.5" thickTop="1">
      <c r="H47" s="1190" t="s">
        <v>964</v>
      </c>
      <c r="I47" s="1190" t="s">
        <v>965</v>
      </c>
      <c r="N47" s="1179" t="s">
        <v>619</v>
      </c>
      <c r="O47" s="1239">
        <f>((L14+N14)*-B1)+D14</f>
        <v>-8894.2380312482946</v>
      </c>
    </row>
    <row r="48" spans="2:18">
      <c r="N48" s="1179" t="s">
        <v>1149</v>
      </c>
      <c r="O48" s="1175">
        <f>((N17+O17)*-B1)+B33+B34</f>
        <v>-1641.0960500149613</v>
      </c>
    </row>
    <row r="50" spans="7:15">
      <c r="O50" s="1239">
        <f>SUM(G13:G30)-G14-O27-O30</f>
        <v>16894.312061758272</v>
      </c>
    </row>
    <row r="51" spans="7:15">
      <c r="O51" s="1176"/>
    </row>
    <row r="56" spans="7:15">
      <c r="G56" s="1176">
        <f>SUM(G13:G55)</f>
        <v>74065.72892600378</v>
      </c>
    </row>
  </sheetData>
  <mergeCells count="7">
    <mergeCell ref="N44:R44"/>
    <mergeCell ref="M38:R38"/>
    <mergeCell ref="M39:R40"/>
    <mergeCell ref="M41:R42"/>
    <mergeCell ref="N25:R25"/>
    <mergeCell ref="Q32:Q33"/>
    <mergeCell ref="R32:R33"/>
  </mergeCells>
  <pageMargins left="0.7" right="0.7" top="0.75" bottom="0.75" header="0.3" footer="0.3"/>
  <pageSetup orientation="portrait" horizontalDpi="1200" verticalDpi="120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B613A-5FFB-4DF3-8D52-517707FA22EB}">
  <sheetPr codeName="Sheet11"/>
  <dimension ref="A1:R39"/>
  <sheetViews>
    <sheetView workbookViewId="0"/>
  </sheetViews>
  <sheetFormatPr defaultRowHeight="15"/>
  <cols>
    <col min="4" max="4" width="2.7109375" style="1251" bestFit="1" customWidth="1"/>
    <col min="5" max="5" width="43.140625" customWidth="1"/>
    <col min="6" max="6" width="12.7109375" customWidth="1"/>
    <col min="7" max="7" width="11.42578125" customWidth="1"/>
    <col min="8" max="8" width="12.5703125" customWidth="1"/>
    <col min="9" max="9" width="13.140625" customWidth="1"/>
    <col min="10" max="10" width="18.42578125" customWidth="1"/>
    <col min="11" max="11" width="22.7109375" style="1178" customWidth="1"/>
    <col min="13" max="13" width="31.5703125" bestFit="1" customWidth="1"/>
    <col min="14" max="14" width="11.28515625" customWidth="1"/>
    <col min="15" max="15" width="10.85546875" bestFit="1" customWidth="1"/>
    <col min="17" max="17" width="10.85546875" bestFit="1" customWidth="1"/>
    <col min="18" max="18" width="18" customWidth="1"/>
  </cols>
  <sheetData>
    <row r="1" spans="1:18" ht="15.75" thickBot="1">
      <c r="A1" s="1179" t="s">
        <v>1146</v>
      </c>
      <c r="B1">
        <v>1.0459503186838504</v>
      </c>
      <c r="C1" s="1179" t="s">
        <v>1151</v>
      </c>
    </row>
    <row r="2" spans="1:18" ht="16.5" thickBot="1">
      <c r="B2" s="1198">
        <v>1.0457160000000001</v>
      </c>
      <c r="C2" s="1179" t="s">
        <v>1152</v>
      </c>
      <c r="D2" s="1266"/>
      <c r="E2" s="1427" t="s">
        <v>1191</v>
      </c>
      <c r="F2" s="1427"/>
      <c r="G2" s="1427"/>
      <c r="H2" s="1427"/>
      <c r="I2" s="1427"/>
      <c r="J2" s="1427"/>
      <c r="K2" s="1428"/>
    </row>
    <row r="3" spans="1:18" ht="50.25" customHeight="1">
      <c r="A3" s="1226">
        <v>7.3099999999999998E-2</v>
      </c>
      <c r="D3" s="1435" t="s">
        <v>1213</v>
      </c>
      <c r="E3" s="1436"/>
      <c r="F3" s="1232" t="s">
        <v>1157</v>
      </c>
      <c r="G3" s="1233">
        <v>2023</v>
      </c>
      <c r="H3" s="1271" t="s">
        <v>1182</v>
      </c>
      <c r="I3" s="1272" t="s">
        <v>1183</v>
      </c>
      <c r="J3" s="1282" t="s">
        <v>1181</v>
      </c>
      <c r="K3" s="1230" t="s">
        <v>1214</v>
      </c>
      <c r="N3" s="1186" t="s">
        <v>1157</v>
      </c>
      <c r="O3" s="1186">
        <v>2023</v>
      </c>
      <c r="P3" s="1224" t="s">
        <v>964</v>
      </c>
      <c r="Q3" s="1186" t="s">
        <v>1155</v>
      </c>
      <c r="R3" s="1225" t="s">
        <v>1175</v>
      </c>
    </row>
    <row r="4" spans="1:18" ht="16.5" thickBot="1">
      <c r="A4">
        <v>0.75529400000000002</v>
      </c>
      <c r="B4">
        <v>0.75546283570139428</v>
      </c>
      <c r="D4" s="1263" t="s">
        <v>1158</v>
      </c>
      <c r="E4" s="1264" t="s">
        <v>1200</v>
      </c>
      <c r="F4" s="1257">
        <f>SUM(F5:F8)</f>
        <v>-6810.6690260128298</v>
      </c>
      <c r="G4" s="1258">
        <f>SUM(G5:G8)</f>
        <v>-5919.586734514507</v>
      </c>
      <c r="H4" s="1267">
        <f>SUM(H5:H8)-1</f>
        <v>-12731.255760527336</v>
      </c>
      <c r="I4" s="1268">
        <f>SUM(I5:I8)</f>
        <v>-4349.3229841624589</v>
      </c>
      <c r="J4" s="1283">
        <f>H4+I4</f>
        <v>-17080.578744689796</v>
      </c>
      <c r="K4" s="1287"/>
      <c r="L4" s="1175"/>
      <c r="M4" s="1227" t="s">
        <v>1154</v>
      </c>
      <c r="R4" s="1175"/>
    </row>
    <row r="5" spans="1:18" ht="16.5" thickTop="1">
      <c r="D5" s="1262"/>
      <c r="E5" s="1273" t="s">
        <v>1201</v>
      </c>
      <c r="F5" s="1274">
        <f>((-584-143)*B1)</f>
        <v>-760.40588168315924</v>
      </c>
      <c r="G5" s="1256">
        <f>-309*B1</f>
        <v>-323.19864847330973</v>
      </c>
      <c r="H5" s="1275">
        <f>SUM(F5:G5)</f>
        <v>-1083.6045301564691</v>
      </c>
      <c r="I5" s="1276">
        <f>-605*B1</f>
        <v>-632.79994280372944</v>
      </c>
      <c r="J5" s="1284">
        <f>H5+I5</f>
        <v>-1716.4044729601985</v>
      </c>
      <c r="K5" s="1287" t="s">
        <v>1179</v>
      </c>
      <c r="L5" s="1175"/>
      <c r="M5" s="1179" t="s">
        <v>1169</v>
      </c>
      <c r="N5" s="1175">
        <f>-60*B2</f>
        <v>-62.742960000000004</v>
      </c>
      <c r="O5" s="1175">
        <f>-36*B2</f>
        <v>-37.645776000000005</v>
      </c>
      <c r="P5" s="1175"/>
      <c r="Q5" s="1175">
        <f>-71*B2</f>
        <v>-74.245836000000011</v>
      </c>
      <c r="R5" s="1175"/>
    </row>
    <row r="6" spans="1:18" ht="15.75">
      <c r="A6" s="1226">
        <v>2.3400000000000001E-2</v>
      </c>
      <c r="D6" s="1262"/>
      <c r="E6" s="1273" t="s">
        <v>1207</v>
      </c>
      <c r="F6" s="1274">
        <f>-((3800/12*5)+3670)*B1+3</f>
        <v>-5491.7256741524943</v>
      </c>
      <c r="G6" s="1256">
        <f>(-3251)*B1</f>
        <v>-3400.3844860411973</v>
      </c>
      <c r="H6" s="1275">
        <f t="shared" ref="H6:H8" si="0">SUM(F6:G6)</f>
        <v>-8892.1101601936916</v>
      </c>
      <c r="I6" s="1276">
        <f>-2797*B1</f>
        <v>-2925.5230413587296</v>
      </c>
      <c r="J6" s="1284">
        <f t="shared" ref="J6:J8" si="1">H6+I6</f>
        <v>-11817.63320155242</v>
      </c>
      <c r="K6" s="1287" t="s">
        <v>1194</v>
      </c>
      <c r="L6" s="1175"/>
      <c r="M6" s="1179" t="s">
        <v>1170</v>
      </c>
      <c r="N6" s="1175">
        <f>-1889*B2</f>
        <v>-1975.3575240000002</v>
      </c>
      <c r="O6" s="1175">
        <f>-1501.3*B2</f>
        <v>-1569.9334308</v>
      </c>
      <c r="P6" s="1175"/>
      <c r="Q6" s="1175">
        <f>-1357*B2</f>
        <v>-1419.0366120000001</v>
      </c>
      <c r="R6" s="1175"/>
    </row>
    <row r="7" spans="1:18" ht="15.75">
      <c r="D7" s="1262"/>
      <c r="E7" s="1273" t="s">
        <v>1202</v>
      </c>
      <c r="F7" s="1274">
        <v>0</v>
      </c>
      <c r="G7" s="1256">
        <f>-2100*B2</f>
        <v>-2196.0036</v>
      </c>
      <c r="H7" s="1275">
        <f t="shared" si="0"/>
        <v>-2196.0036</v>
      </c>
      <c r="I7" s="1276">
        <v>-791</v>
      </c>
      <c r="J7" s="1284">
        <f t="shared" si="1"/>
        <v>-2987.0036</v>
      </c>
      <c r="K7" s="1287" t="s">
        <v>1178</v>
      </c>
      <c r="L7" s="1175"/>
      <c r="M7" s="1179" t="s">
        <v>1171</v>
      </c>
      <c r="N7" s="1175"/>
      <c r="O7" s="1175">
        <f>-700*B2</f>
        <v>-732.00120000000004</v>
      </c>
      <c r="P7" s="1175"/>
      <c r="Q7" s="1175">
        <f>-264*B2</f>
        <v>-276.06902400000001</v>
      </c>
      <c r="R7" s="1175"/>
    </row>
    <row r="8" spans="1:18" ht="15.75">
      <c r="D8" s="1262"/>
      <c r="E8" s="1273" t="s">
        <v>1203</v>
      </c>
      <c r="F8" s="1277">
        <f>-534*B1</f>
        <v>-558.53747017717615</v>
      </c>
      <c r="G8" s="1278">
        <v>0</v>
      </c>
      <c r="H8" s="1279">
        <f t="shared" si="0"/>
        <v>-558.53747017717615</v>
      </c>
      <c r="I8" s="1280">
        <v>0</v>
      </c>
      <c r="J8" s="1285">
        <f t="shared" si="1"/>
        <v>-558.53747017717615</v>
      </c>
      <c r="K8" s="1288" t="s">
        <v>1180</v>
      </c>
      <c r="L8" s="1175"/>
      <c r="M8" s="1179" t="s">
        <v>1172</v>
      </c>
      <c r="N8" s="1177">
        <f>-113*B2</f>
        <v>-118.16590800000002</v>
      </c>
      <c r="O8" s="1177"/>
      <c r="P8" s="1177"/>
      <c r="Q8" s="1177"/>
      <c r="R8" s="1175"/>
    </row>
    <row r="9" spans="1:18" ht="13.5" customHeight="1">
      <c r="D9" s="1265"/>
      <c r="E9" s="449"/>
      <c r="F9" s="1235"/>
      <c r="G9" s="1236"/>
      <c r="H9" s="1269"/>
      <c r="I9" s="1254"/>
      <c r="J9" s="1286"/>
      <c r="K9" s="1287"/>
      <c r="L9" s="1175"/>
      <c r="M9" s="1184" t="s">
        <v>1173</v>
      </c>
      <c r="N9" s="1228">
        <f>SUM(N5:N8)</f>
        <v>-2156.2663920000005</v>
      </c>
      <c r="O9" s="1228">
        <f t="shared" ref="O9:Q9" si="2">SUM(O5:O8)</f>
        <v>-2339.5804068000002</v>
      </c>
      <c r="P9" s="1228">
        <f t="shared" si="2"/>
        <v>0</v>
      </c>
      <c r="Q9" s="1228">
        <f t="shared" si="2"/>
        <v>-1769.3514720000003</v>
      </c>
      <c r="R9" s="1175">
        <f>SUM(N9:Q9)</f>
        <v>-6265.1982708000014</v>
      </c>
    </row>
    <row r="10" spans="1:18" ht="16.5" thickBot="1">
      <c r="D10" s="1263" t="s">
        <v>1159</v>
      </c>
      <c r="E10" s="1264" t="s">
        <v>1174</v>
      </c>
      <c r="F10" s="1257">
        <f>(-145-1277-4052)*B1</f>
        <v>-5725.532044475397</v>
      </c>
      <c r="G10" s="1258">
        <f>-6976*B1</f>
        <v>-7296.5494231385401</v>
      </c>
      <c r="H10" s="1267">
        <f>SUM(F10:G10)</f>
        <v>-13022.081467613938</v>
      </c>
      <c r="I10" s="1268">
        <f>-9154*B1</f>
        <v>-9574.6292172319663</v>
      </c>
      <c r="J10" s="1283">
        <f>H10+I10</f>
        <v>-22596.710684845904</v>
      </c>
      <c r="K10" s="1287" t="s">
        <v>1176</v>
      </c>
      <c r="L10" s="1175"/>
      <c r="M10" s="1184"/>
      <c r="N10" s="1175"/>
      <c r="O10" s="1175"/>
      <c r="P10" s="1175"/>
      <c r="Q10" s="1175"/>
      <c r="R10" s="1175">
        <f>SUM(N10:Q10)</f>
        <v>0</v>
      </c>
    </row>
    <row r="11" spans="1:18" ht="5.25" customHeight="1" thickTop="1">
      <c r="D11" s="1265"/>
      <c r="E11" s="449"/>
      <c r="F11" s="1235"/>
      <c r="G11" s="1234"/>
      <c r="H11" s="1269"/>
      <c r="I11" s="1254"/>
      <c r="J11" s="1286"/>
      <c r="K11" s="1287"/>
      <c r="L11" s="1175"/>
      <c r="M11" s="1179"/>
      <c r="N11" s="1175"/>
      <c r="O11" s="1175"/>
      <c r="P11" s="1175"/>
      <c r="Q11" s="1175"/>
      <c r="R11" s="1175"/>
    </row>
    <row r="12" spans="1:18" ht="17.25" customHeight="1" thickBot="1">
      <c r="D12" s="1263" t="s">
        <v>1160</v>
      </c>
      <c r="E12" s="1264" t="s">
        <v>1206</v>
      </c>
      <c r="F12" s="1257">
        <f>((F15*$A$3)-F19)/$A$4</f>
        <v>-10468.028931780207</v>
      </c>
      <c r="G12" s="1258">
        <f>((G15*$A$3)-G19)/$A$4</f>
        <v>-5030.799974579435</v>
      </c>
      <c r="H12" s="1267">
        <f>F12+G12</f>
        <v>-15498.828906359642</v>
      </c>
      <c r="I12" s="1268">
        <f>((I15*$A$3)-I19)/$A$4</f>
        <v>-9577.893487833875</v>
      </c>
      <c r="J12" s="1283">
        <f>H12+I12</f>
        <v>-25076.722394193515</v>
      </c>
      <c r="K12" s="1289"/>
    </row>
    <row r="13" spans="1:18" ht="8.25" customHeight="1" thickTop="1">
      <c r="D13" s="1262"/>
      <c r="E13" s="449"/>
      <c r="F13" s="1235"/>
      <c r="G13" s="1234"/>
      <c r="H13" s="1269"/>
      <c r="I13" s="1254"/>
      <c r="J13" s="1286"/>
      <c r="K13" s="1289"/>
      <c r="M13" s="1179"/>
    </row>
    <row r="14" spans="1:18" ht="16.5" customHeight="1" thickBot="1">
      <c r="D14" s="1294"/>
      <c r="E14" s="1295" t="s">
        <v>1177</v>
      </c>
      <c r="F14" s="1257">
        <f>F4+F10+F12</f>
        <v>-23004.230002268436</v>
      </c>
      <c r="G14" s="1258">
        <f>G4+G10+G12</f>
        <v>-18246.936132232484</v>
      </c>
      <c r="H14" s="1267">
        <f>SUM(F14:G14)</f>
        <v>-41251.16613450092</v>
      </c>
      <c r="I14" s="1268">
        <f>I4+I10+I12</f>
        <v>-23501.845689228299</v>
      </c>
      <c r="J14" s="1283">
        <f t="shared" ref="J14" si="3">H14+I14</f>
        <v>-64753.011823729219</v>
      </c>
      <c r="K14" s="1281"/>
    </row>
    <row r="15" spans="1:18" ht="27" thickTop="1" thickBot="1">
      <c r="D15" s="1433" t="s">
        <v>1211</v>
      </c>
      <c r="E15" s="1434"/>
      <c r="F15" s="1270">
        <f>-103832-12122</f>
        <v>-115954</v>
      </c>
      <c r="G15" s="1270">
        <f>-49244-6482</f>
        <v>-55726</v>
      </c>
      <c r="H15" s="1270">
        <f>SUM(F15:G15)</f>
        <v>-171680</v>
      </c>
      <c r="I15" s="1270">
        <f>-92386-13708</f>
        <v>-106094</v>
      </c>
      <c r="J15" s="1270">
        <f>H15+I15</f>
        <v>-277774</v>
      </c>
      <c r="K15" s="1290" t="s">
        <v>1195</v>
      </c>
    </row>
    <row r="16" spans="1:18">
      <c r="F16" s="1143"/>
      <c r="G16" s="1143"/>
      <c r="H16" s="1143"/>
      <c r="I16" s="1143"/>
      <c r="J16" s="1143"/>
      <c r="K16" s="1250"/>
      <c r="M16" s="1179"/>
    </row>
    <row r="17" spans="3:13">
      <c r="E17" s="1149"/>
      <c r="F17" s="1143"/>
      <c r="G17" s="1143"/>
      <c r="H17" s="1143"/>
      <c r="I17" s="1143"/>
      <c r="J17" s="1143"/>
      <c r="K17" s="1250"/>
    </row>
    <row r="18" spans="3:13">
      <c r="E18" s="1149"/>
      <c r="F18" s="1149"/>
      <c r="G18" s="1149"/>
      <c r="H18" s="1149"/>
      <c r="I18" s="1149"/>
      <c r="J18" s="1149"/>
      <c r="K18" s="1172"/>
    </row>
    <row r="19" spans="3:13">
      <c r="E19" s="1149"/>
      <c r="F19" s="1229">
        <f>F15*$A$6*0.21</f>
        <v>-569.797956</v>
      </c>
      <c r="G19" s="1229">
        <f>G15*$A$6*0.21</f>
        <v>-273.83756399999999</v>
      </c>
      <c r="H19" s="1149"/>
      <c r="I19" s="1229">
        <f>I15*$A$6*0.21</f>
        <v>-521.34591599999999</v>
      </c>
      <c r="J19" s="1229"/>
      <c r="K19" s="1172"/>
    </row>
    <row r="20" spans="3:13">
      <c r="E20" s="1149"/>
      <c r="F20" s="1149"/>
      <c r="G20" s="99">
        <f>5800*0.6554*B1</f>
        <v>3975.9918654192938</v>
      </c>
      <c r="H20" s="1149" t="s">
        <v>1190</v>
      </c>
      <c r="I20" s="1149"/>
      <c r="J20" s="1149"/>
      <c r="K20" s="1172"/>
    </row>
    <row r="21" spans="3:13" ht="15.75" thickBot="1">
      <c r="E21" s="1149"/>
      <c r="H21" s="1149"/>
      <c r="I21" s="1149"/>
      <c r="J21" s="1149"/>
      <c r="K21" s="1172"/>
    </row>
    <row r="22" spans="3:13" ht="16.5" thickBot="1">
      <c r="D22" s="1266"/>
      <c r="E22" s="1427" t="s">
        <v>1192</v>
      </c>
      <c r="F22" s="1427"/>
      <c r="G22" s="1427"/>
      <c r="H22" s="1427"/>
      <c r="I22" s="1427"/>
      <c r="J22" s="1427"/>
      <c r="K22" s="1428"/>
    </row>
    <row r="23" spans="3:13" ht="47.25">
      <c r="D23" s="1435" t="s">
        <v>1212</v>
      </c>
      <c r="E23" s="1436"/>
      <c r="F23" s="1232" t="s">
        <v>1157</v>
      </c>
      <c r="G23" s="1233">
        <v>2023</v>
      </c>
      <c r="H23" s="1231" t="s">
        <v>1182</v>
      </c>
      <c r="I23" s="1230" t="s">
        <v>1183</v>
      </c>
      <c r="J23" s="1291" t="s">
        <v>1181</v>
      </c>
      <c r="K23" s="1272" t="s">
        <v>1215</v>
      </c>
    </row>
    <row r="24" spans="3:13" ht="16.5" thickBot="1">
      <c r="D24" s="1263" t="s">
        <v>1158</v>
      </c>
      <c r="E24" s="1264" t="s">
        <v>1200</v>
      </c>
      <c r="F24" s="1257">
        <f>SUM(F25:F28)</f>
        <v>-2156.2663920000005</v>
      </c>
      <c r="G24" s="1258">
        <f>SUM(G25:G28)</f>
        <v>-2339.5804068000002</v>
      </c>
      <c r="H24" s="1267">
        <f>SUM(H25:H28)</f>
        <v>-4495.8467988000002</v>
      </c>
      <c r="I24" s="1268">
        <f>SUM(I25:I28)</f>
        <v>-1769.3514720000003</v>
      </c>
      <c r="J24" s="1283">
        <f>H24+I24</f>
        <v>-6265.1982708000005</v>
      </c>
      <c r="K24" s="1289"/>
    </row>
    <row r="25" spans="3:13" ht="16.5" thickTop="1">
      <c r="D25" s="1265"/>
      <c r="E25" s="1273" t="s">
        <v>1201</v>
      </c>
      <c r="F25" s="1274">
        <f>N5</f>
        <v>-62.742960000000004</v>
      </c>
      <c r="G25" s="1256">
        <f>O5</f>
        <v>-37.645776000000005</v>
      </c>
      <c r="H25" s="1275">
        <f>F25+G25</f>
        <v>-100.38873600000001</v>
      </c>
      <c r="I25" s="1276">
        <f>Q5</f>
        <v>-74.245836000000011</v>
      </c>
      <c r="J25" s="1284">
        <f>H25+I25</f>
        <v>-174.63457200000002</v>
      </c>
      <c r="K25" s="1287" t="s">
        <v>1193</v>
      </c>
    </row>
    <row r="26" spans="3:13" ht="15.75">
      <c r="C26" s="1179"/>
      <c r="D26" s="1265"/>
      <c r="E26" s="1273" t="s">
        <v>1204</v>
      </c>
      <c r="F26" s="1274">
        <f>N6</f>
        <v>-1975.3575240000002</v>
      </c>
      <c r="G26" s="1256">
        <f>O6</f>
        <v>-1569.9334308</v>
      </c>
      <c r="H26" s="1275">
        <f t="shared" ref="H26:H28" si="4">SUM(F26:G26)</f>
        <v>-3545.2909548000002</v>
      </c>
      <c r="I26" s="1276">
        <f>Q6</f>
        <v>-1419.0366120000001</v>
      </c>
      <c r="J26" s="1284">
        <f t="shared" ref="J26:J28" si="5">H26+I26</f>
        <v>-4964.3275668000006</v>
      </c>
      <c r="K26" s="1287" t="s">
        <v>1193</v>
      </c>
      <c r="M26" s="1179" t="s">
        <v>800</v>
      </c>
    </row>
    <row r="27" spans="3:13" ht="15.75">
      <c r="D27" s="1265"/>
      <c r="E27" s="1273" t="s">
        <v>1202</v>
      </c>
      <c r="F27" s="1274">
        <v>0</v>
      </c>
      <c r="G27" s="1256">
        <f>O7</f>
        <v>-732.00120000000004</v>
      </c>
      <c r="H27" s="1275">
        <f t="shared" si="4"/>
        <v>-732.00120000000004</v>
      </c>
      <c r="I27" s="1276">
        <f>Q7</f>
        <v>-276.06902400000001</v>
      </c>
      <c r="J27" s="1284">
        <f t="shared" si="5"/>
        <v>-1008.0702240000001</v>
      </c>
      <c r="K27" s="1287" t="s">
        <v>1178</v>
      </c>
      <c r="M27" s="1179" t="s">
        <v>76</v>
      </c>
    </row>
    <row r="28" spans="3:13" ht="15.75">
      <c r="D28" s="1265"/>
      <c r="E28" s="1273" t="s">
        <v>1203</v>
      </c>
      <c r="F28" s="1277">
        <f>N8</f>
        <v>-118.16590800000002</v>
      </c>
      <c r="G28" s="1278">
        <v>0</v>
      </c>
      <c r="H28" s="1279">
        <f t="shared" si="4"/>
        <v>-118.16590800000002</v>
      </c>
      <c r="I28" s="1280">
        <v>0</v>
      </c>
      <c r="J28" s="1285">
        <f t="shared" si="5"/>
        <v>-118.16590800000002</v>
      </c>
      <c r="K28" s="1288" t="s">
        <v>1180</v>
      </c>
    </row>
    <row r="29" spans="3:13" ht="8.25" customHeight="1">
      <c r="D29" s="1263"/>
      <c r="E29" s="449"/>
      <c r="F29" s="1235"/>
      <c r="G29" s="1236"/>
      <c r="H29" s="1269"/>
      <c r="I29" s="1254"/>
      <c r="J29" s="1286"/>
      <c r="K29" s="1289"/>
    </row>
    <row r="30" spans="3:13" ht="16.5" thickBot="1">
      <c r="D30" s="1263" t="s">
        <v>1159</v>
      </c>
      <c r="E30" s="1264" t="s">
        <v>1174</v>
      </c>
      <c r="F30" s="1257">
        <f>(-41-356-1006)*B2</f>
        <v>-1467.1395480000001</v>
      </c>
      <c r="G30" s="1258">
        <f>-1807*B2</f>
        <v>-1889.6088120000002</v>
      </c>
      <c r="H30" s="1267">
        <f>SUM(F30:G30)</f>
        <v>-3356.7483600000005</v>
      </c>
      <c r="I30" s="1268">
        <f>-2501*B2</f>
        <v>-2615.335716</v>
      </c>
      <c r="J30" s="1283">
        <f>H30+I30</f>
        <v>-5972.084076000001</v>
      </c>
      <c r="K30" s="1287" t="s">
        <v>1176</v>
      </c>
    </row>
    <row r="31" spans="3:13" ht="5.25" customHeight="1" thickTop="1">
      <c r="D31" s="1263"/>
      <c r="E31" s="449"/>
      <c r="F31" s="1235"/>
      <c r="G31" s="1234"/>
      <c r="H31" s="1269"/>
      <c r="I31" s="1254"/>
      <c r="J31" s="1286"/>
      <c r="K31" s="1292"/>
    </row>
    <row r="32" spans="3:13" ht="19.5" thickBot="1">
      <c r="C32" s="1179"/>
      <c r="D32" s="1263" t="s">
        <v>1160</v>
      </c>
      <c r="E32" s="1264" t="s">
        <v>1206</v>
      </c>
      <c r="F32" s="1257">
        <f>((F35*$A$3)-F39)/$B$4</f>
        <v>-2417.2697394234369</v>
      </c>
      <c r="G32" s="1258">
        <f>((G35*$A$3)-G39)/$B$4</f>
        <v>-1127.4935996145759</v>
      </c>
      <c r="H32" s="1267">
        <f>F32+G32</f>
        <v>-3544.7633390380129</v>
      </c>
      <c r="I32" s="1268">
        <f>((I35*$A$3)-I39)/$B$4</f>
        <v>-2093.697488813586</v>
      </c>
      <c r="J32" s="1283">
        <f t="shared" ref="J32" si="6">H32+I32</f>
        <v>-5638.4608278515989</v>
      </c>
      <c r="K32" s="1289"/>
    </row>
    <row r="33" spans="3:11" ht="9" customHeight="1" thickTop="1">
      <c r="D33" s="1262"/>
      <c r="E33" s="449"/>
      <c r="F33" s="1235"/>
      <c r="G33" s="1234"/>
      <c r="H33" s="1269"/>
      <c r="I33" s="1254"/>
      <c r="J33" s="1286"/>
      <c r="K33" s="1289"/>
    </row>
    <row r="34" spans="3:11" ht="16.5" thickBot="1">
      <c r="C34" s="1179"/>
      <c r="D34" s="1294" t="s">
        <v>1168</v>
      </c>
      <c r="E34" s="1296" t="s">
        <v>1205</v>
      </c>
      <c r="F34" s="1257">
        <f>F24+F30+F32</f>
        <v>-6040.675679423437</v>
      </c>
      <c r="G34" s="1258">
        <f>G24+G30+G32</f>
        <v>-5356.6828184145761</v>
      </c>
      <c r="H34" s="1267">
        <f>SUM(F34:G34)</f>
        <v>-11397.358497838013</v>
      </c>
      <c r="I34" s="1268">
        <f>I24+I30+I32</f>
        <v>-6478.3846768135863</v>
      </c>
      <c r="J34" s="1283">
        <f t="shared" ref="J34" si="7">H34+I34</f>
        <v>-17875.743174651601</v>
      </c>
      <c r="K34" s="1281"/>
    </row>
    <row r="35" spans="3:11" ht="30.75" customHeight="1" thickTop="1" thickBot="1">
      <c r="D35" s="1433" t="s">
        <v>1211</v>
      </c>
      <c r="E35" s="1434"/>
      <c r="F35" s="1270">
        <f>-26782</f>
        <v>-26782</v>
      </c>
      <c r="G35" s="1270">
        <v>-12492</v>
      </c>
      <c r="H35" s="1270">
        <f>SUM(F35:G35)</f>
        <v>-39274</v>
      </c>
      <c r="I35" s="1270">
        <v>-23197</v>
      </c>
      <c r="J35" s="1270">
        <f>H35+I35</f>
        <v>-62471</v>
      </c>
      <c r="K35" s="1293" t="s">
        <v>1196</v>
      </c>
    </row>
    <row r="37" spans="3:11" ht="30.75" customHeight="1"/>
    <row r="39" spans="3:11">
      <c r="F39" s="1229">
        <f>F35*$A$6*0.21</f>
        <v>-131.60674800000001</v>
      </c>
      <c r="G39" s="1229">
        <f>G35*$A$6*0.21</f>
        <v>-61.385687999999995</v>
      </c>
      <c r="H39" s="1149"/>
      <c r="I39" s="1229">
        <f>I35*$A$6*0.21</f>
        <v>-113.99005799999999</v>
      </c>
    </row>
  </sheetData>
  <mergeCells count="6">
    <mergeCell ref="D35:E35"/>
    <mergeCell ref="E2:K2"/>
    <mergeCell ref="E22:K22"/>
    <mergeCell ref="D3:E3"/>
    <mergeCell ref="D23:E23"/>
    <mergeCell ref="D15:E15"/>
  </mergeCells>
  <pageMargins left="0.7" right="0.7" top="0.75" bottom="0.75" header="0.3" footer="0.3"/>
  <pageSetup orientation="portrait" horizontalDpi="1200" verticalDpi="1200" r:id="rId1"/>
  <ignoredErrors>
    <ignoredError sqref="K8 K28" numberStoredAsText="1"/>
    <ignoredError sqref="H14 H25:H27 H32:I32 H34 H12:I12"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dimension ref="A1:Y92"/>
  <sheetViews>
    <sheetView workbookViewId="0"/>
  </sheetViews>
  <sheetFormatPr defaultColWidth="9.140625" defaultRowHeight="12.75"/>
  <cols>
    <col min="1" max="1" width="4.5703125" style="3" customWidth="1"/>
    <col min="2" max="3" width="1.5703125" style="2" customWidth="1"/>
    <col min="4" max="4" width="38.42578125" style="2" customWidth="1"/>
    <col min="5" max="5" width="11.5703125" style="228" customWidth="1"/>
    <col min="6" max="6" width="13.5703125" style="228" customWidth="1"/>
    <col min="7" max="7" width="12.42578125" style="228" customWidth="1"/>
    <col min="8" max="8" width="14.42578125" style="228" customWidth="1"/>
    <col min="9" max="9" width="13.42578125" style="228"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50"/>
    <col min="18" max="36" width="9.140625" style="25"/>
    <col min="37" max="37" width="14.5703125" style="25" customWidth="1"/>
    <col min="38" max="16384" width="9.140625" style="25"/>
  </cols>
  <sheetData>
    <row r="1" spans="1:22" ht="15">
      <c r="A1" s="518" t="str">
        <f>'ADJ DETAIL-INPUT'!A1</f>
        <v xml:space="preserve">AVISTA UTILITIES  </v>
      </c>
      <c r="D1" s="3"/>
      <c r="E1" s="1437"/>
      <c r="F1" s="1437"/>
    </row>
    <row r="2" spans="1:22" ht="15">
      <c r="A2" s="518" t="str">
        <f>'ADJ DETAIL-INPUT'!A2</f>
        <v xml:space="preserve">WASHINGTON ELECTRIC RESULTS </v>
      </c>
      <c r="D2" s="3"/>
    </row>
    <row r="3" spans="1:22" ht="15" customHeight="1">
      <c r="A3" s="475" t="str">
        <f>'ADJ DETAIL-INPUT'!A3</f>
        <v>TWELVE MONTHS ENDED SEPTEMBER 30, 2021</v>
      </c>
      <c r="D3" s="3"/>
    </row>
    <row r="4" spans="1:22" ht="15">
      <c r="A4" s="518" t="str">
        <f>'ADJ DETAIL-INPUT'!A4</f>
        <v xml:space="preserve">(000'S OF DOLLARS)  </v>
      </c>
      <c r="D4" s="3"/>
      <c r="E4" s="1357" t="s">
        <v>735</v>
      </c>
      <c r="F4" s="1359"/>
      <c r="G4" s="1359"/>
      <c r="H4" s="1359"/>
      <c r="I4" s="1360"/>
    </row>
    <row r="5" spans="1:22">
      <c r="A5" s="1"/>
      <c r="B5" s="5"/>
      <c r="C5" s="5"/>
      <c r="D5" s="4"/>
      <c r="E5" s="238" t="s">
        <v>166</v>
      </c>
      <c r="F5" s="239"/>
      <c r="G5" s="240"/>
      <c r="H5" s="238" t="s">
        <v>719</v>
      </c>
      <c r="I5" s="240"/>
      <c r="V5" s="495"/>
    </row>
    <row r="6" spans="1:22">
      <c r="A6" s="6"/>
      <c r="B6" s="7"/>
      <c r="C6" s="8"/>
      <c r="D6" s="9"/>
      <c r="E6" s="241" t="s">
        <v>167</v>
      </c>
      <c r="F6" s="241"/>
      <c r="G6" s="465" t="s">
        <v>736</v>
      </c>
      <c r="H6" s="242" t="s">
        <v>168</v>
      </c>
      <c r="I6" s="465" t="s">
        <v>736</v>
      </c>
    </row>
    <row r="7" spans="1:22">
      <c r="A7" s="10" t="s">
        <v>8</v>
      </c>
      <c r="B7" s="11"/>
      <c r="C7" s="12"/>
      <c r="D7" s="13"/>
      <c r="E7" s="243" t="s">
        <v>9</v>
      </c>
      <c r="F7" s="243" t="s">
        <v>134</v>
      </c>
      <c r="G7" s="243" t="s">
        <v>644</v>
      </c>
      <c r="H7" s="244" t="s">
        <v>169</v>
      </c>
      <c r="I7" s="243" t="s">
        <v>168</v>
      </c>
    </row>
    <row r="8" spans="1:22">
      <c r="A8" s="14" t="s">
        <v>21</v>
      </c>
      <c r="B8" s="15"/>
      <c r="C8" s="16"/>
      <c r="D8" s="17" t="s">
        <v>22</v>
      </c>
      <c r="E8" s="245" t="s">
        <v>23</v>
      </c>
      <c r="F8" s="245" t="s">
        <v>144</v>
      </c>
      <c r="G8" s="245" t="s">
        <v>645</v>
      </c>
      <c r="H8" s="246" t="s">
        <v>170</v>
      </c>
      <c r="I8" s="245" t="s">
        <v>134</v>
      </c>
    </row>
    <row r="9" spans="1:22">
      <c r="A9" s="18"/>
      <c r="B9" s="19"/>
      <c r="C9" s="19"/>
      <c r="D9" s="19" t="s">
        <v>34</v>
      </c>
      <c r="E9" s="247" t="s">
        <v>35</v>
      </c>
      <c r="F9" s="247" t="s">
        <v>36</v>
      </c>
      <c r="G9" s="247" t="s">
        <v>37</v>
      </c>
      <c r="H9" s="247" t="s">
        <v>38</v>
      </c>
      <c r="I9" s="247" t="s">
        <v>39</v>
      </c>
    </row>
    <row r="10" spans="1:22" ht="5.25" customHeight="1"/>
    <row r="11" spans="1:22" ht="5.25" customHeight="1"/>
    <row r="12" spans="1:22" ht="1.5" customHeight="1"/>
    <row r="13" spans="1:22">
      <c r="B13" s="2" t="s">
        <v>40</v>
      </c>
    </row>
    <row r="14" spans="1:22">
      <c r="A14" s="20">
        <v>1</v>
      </c>
      <c r="B14" s="21" t="s">
        <v>41</v>
      </c>
      <c r="C14" s="21"/>
      <c r="D14" s="21"/>
      <c r="E14" s="21">
        <f>'ADJ DETAIL-INPUT'!E13</f>
        <v>565624</v>
      </c>
      <c r="F14" s="21">
        <f>G14-E14</f>
        <v>-16221</v>
      </c>
      <c r="G14" s="395">
        <f>'ADJ DETAIL-INPUT'!BH13</f>
        <v>549403</v>
      </c>
      <c r="H14" s="235">
        <f>'CF '!J9</f>
        <v>38000.017689383101</v>
      </c>
      <c r="I14" s="21">
        <f>G14+H14</f>
        <v>587403.01768938312</v>
      </c>
    </row>
    <row r="15" spans="1:22">
      <c r="A15" s="20">
        <v>2</v>
      </c>
      <c r="B15" s="22" t="s">
        <v>42</v>
      </c>
      <c r="C15" s="22"/>
      <c r="D15" s="22"/>
      <c r="E15" s="229">
        <f>'ADJ DETAIL-INPUT'!E14</f>
        <v>1173</v>
      </c>
      <c r="F15" s="229">
        <f>G15-E15</f>
        <v>0</v>
      </c>
      <c r="G15" s="405">
        <f>'ADJ DETAIL-INPUT'!BH14</f>
        <v>1173</v>
      </c>
      <c r="H15" s="229"/>
      <c r="I15" s="229">
        <f t="shared" ref="I15:I16" si="0">G15+H15</f>
        <v>1173</v>
      </c>
    </row>
    <row r="16" spans="1:22">
      <c r="A16" s="20">
        <v>3</v>
      </c>
      <c r="B16" s="22" t="s">
        <v>43</v>
      </c>
      <c r="C16" s="22"/>
      <c r="D16" s="22"/>
      <c r="E16" s="231">
        <f>'ADJ DETAIL-INPUT'!E15</f>
        <v>50450</v>
      </c>
      <c r="F16" s="231">
        <f>G16-E16</f>
        <v>39261</v>
      </c>
      <c r="G16" s="414">
        <f>'ADJ DETAIL-INPUT'!BH15</f>
        <v>89711</v>
      </c>
      <c r="H16" s="231"/>
      <c r="I16" s="231">
        <f t="shared" si="0"/>
        <v>89711</v>
      </c>
    </row>
    <row r="17" spans="1:12">
      <c r="A17" s="20">
        <v>4</v>
      </c>
      <c r="B17" s="22"/>
      <c r="C17" s="22" t="s">
        <v>44</v>
      </c>
      <c r="D17" s="22"/>
      <c r="E17" s="229">
        <f>SUM(E14:E16)</f>
        <v>617247</v>
      </c>
      <c r="F17" s="229">
        <f>SUM(F14:F16)</f>
        <v>23040</v>
      </c>
      <c r="G17" s="405">
        <f t="shared" ref="G17:I17" si="1">SUM(G14:G16)</f>
        <v>640287</v>
      </c>
      <c r="H17" s="229">
        <f t="shared" si="1"/>
        <v>38000.017689383101</v>
      </c>
      <c r="I17" s="229">
        <f t="shared" si="1"/>
        <v>678287.01768938312</v>
      </c>
    </row>
    <row r="18" spans="1:12">
      <c r="A18" s="20">
        <v>5</v>
      </c>
      <c r="B18" s="22" t="s">
        <v>45</v>
      </c>
      <c r="C18" s="22"/>
      <c r="D18" s="22"/>
      <c r="E18" s="231">
        <f>'ADJ DETAIL-INPUT'!E17</f>
        <v>41339</v>
      </c>
      <c r="F18" s="231">
        <f>G18-E18</f>
        <v>-5854</v>
      </c>
      <c r="G18" s="414">
        <f>'ADJ DETAIL-INPUT'!BH17</f>
        <v>35485</v>
      </c>
      <c r="H18" s="231"/>
      <c r="I18" s="231">
        <f>G18+H18</f>
        <v>35485</v>
      </c>
    </row>
    <row r="19" spans="1:12">
      <c r="A19" s="20">
        <v>6</v>
      </c>
      <c r="B19" s="22"/>
      <c r="C19" s="22" t="s">
        <v>46</v>
      </c>
      <c r="D19" s="22"/>
      <c r="E19" s="229">
        <f>SUM(E17:E18)</f>
        <v>658586</v>
      </c>
      <c r="F19" s="229">
        <f t="shared" ref="F19:I19" si="2">SUM(F17:F18)</f>
        <v>17186</v>
      </c>
      <c r="G19" s="405">
        <f t="shared" si="2"/>
        <v>675772</v>
      </c>
      <c r="H19" s="229">
        <f t="shared" si="2"/>
        <v>38000.017689383101</v>
      </c>
      <c r="I19" s="229">
        <f t="shared" si="2"/>
        <v>713772.01768938312</v>
      </c>
    </row>
    <row r="20" spans="1:12" ht="5.25" customHeight="1">
      <c r="A20" s="20"/>
      <c r="B20" s="22"/>
      <c r="C20" s="22"/>
      <c r="D20" s="22"/>
      <c r="E20" s="229"/>
      <c r="F20" s="229"/>
      <c r="G20" s="405"/>
      <c r="H20" s="229"/>
      <c r="I20" s="229"/>
    </row>
    <row r="21" spans="1:12">
      <c r="A21" s="20"/>
      <c r="B21" s="22" t="s">
        <v>47</v>
      </c>
      <c r="C21" s="22"/>
      <c r="D21" s="22"/>
      <c r="E21" s="229"/>
      <c r="F21" s="229"/>
      <c r="G21" s="405"/>
      <c r="H21" s="229"/>
      <c r="I21" s="229"/>
      <c r="L21" s="248"/>
    </row>
    <row r="22" spans="1:12">
      <c r="A22" s="20"/>
      <c r="B22" s="22" t="s">
        <v>48</v>
      </c>
      <c r="C22" s="22"/>
      <c r="D22" s="22"/>
      <c r="E22" s="229"/>
      <c r="F22" s="229"/>
      <c r="G22" s="405"/>
      <c r="H22" s="229"/>
      <c r="I22" s="229"/>
    </row>
    <row r="23" spans="1:12">
      <c r="A23" s="20">
        <v>7</v>
      </c>
      <c r="B23" s="22"/>
      <c r="C23" s="22" t="s">
        <v>49</v>
      </c>
      <c r="D23" s="22"/>
      <c r="E23" s="229">
        <f>'ADJ DETAIL-INPUT'!E22</f>
        <v>156285</v>
      </c>
      <c r="F23" s="229">
        <f>G23-E23</f>
        <v>13073.676999999996</v>
      </c>
      <c r="G23" s="508">
        <f>'ADJ DETAIL-INPUT'!BH22</f>
        <v>169358.677</v>
      </c>
      <c r="H23" s="229"/>
      <c r="I23" s="229">
        <f>G23+H23</f>
        <v>169358.677</v>
      </c>
    </row>
    <row r="24" spans="1:12">
      <c r="A24" s="20">
        <v>8</v>
      </c>
      <c r="B24" s="22"/>
      <c r="C24" s="22" t="s">
        <v>50</v>
      </c>
      <c r="D24" s="22"/>
      <c r="E24" s="229">
        <f>'ADJ DETAIL-INPUT'!E23</f>
        <v>95039</v>
      </c>
      <c r="F24" s="229">
        <f>G24-E24</f>
        <v>-15267</v>
      </c>
      <c r="G24" s="508">
        <f>'ADJ DETAIL-INPUT'!BH23</f>
        <v>79772</v>
      </c>
      <c r="H24" s="229"/>
      <c r="I24" s="229">
        <f t="shared" ref="I24:I27" si="3">G24+H24</f>
        <v>79772</v>
      </c>
    </row>
    <row r="25" spans="1:12">
      <c r="A25" s="20">
        <v>9</v>
      </c>
      <c r="B25" s="22"/>
      <c r="C25" s="22" t="s">
        <v>539</v>
      </c>
      <c r="D25" s="22"/>
      <c r="E25" s="229">
        <f>'ADJ DETAIL-INPUT'!E24</f>
        <v>42507</v>
      </c>
      <c r="F25" s="229">
        <f>G25-E25</f>
        <v>3789</v>
      </c>
      <c r="G25" s="508">
        <f>'ADJ DETAIL-INPUT'!BH24</f>
        <v>46296</v>
      </c>
      <c r="H25" s="229"/>
      <c r="I25" s="229">
        <f t="shared" si="3"/>
        <v>46296</v>
      </c>
      <c r="L25" s="229"/>
    </row>
    <row r="26" spans="1:12">
      <c r="A26" s="20">
        <v>10</v>
      </c>
      <c r="B26" s="22"/>
      <c r="C26" s="22" t="s">
        <v>678</v>
      </c>
      <c r="D26" s="22"/>
      <c r="E26" s="229">
        <f>'ADJ DETAIL-INPUT'!E25</f>
        <v>-12607</v>
      </c>
      <c r="F26" s="229">
        <f>G26-E26</f>
        <v>11646</v>
      </c>
      <c r="G26" s="508">
        <f>'ADJ DETAIL-INPUT'!BH25</f>
        <v>-961</v>
      </c>
      <c r="H26" s="229"/>
      <c r="I26" s="229">
        <f t="shared" si="3"/>
        <v>-961</v>
      </c>
    </row>
    <row r="27" spans="1:12">
      <c r="A27" s="20">
        <v>11</v>
      </c>
      <c r="B27" s="22"/>
      <c r="C27" s="22" t="s">
        <v>27</v>
      </c>
      <c r="D27" s="22"/>
      <c r="E27" s="231">
        <f>'ADJ DETAIL-INPUT'!E26</f>
        <v>15827</v>
      </c>
      <c r="F27" s="231">
        <f>G27-E27</f>
        <v>58</v>
      </c>
      <c r="G27" s="509">
        <f>'ADJ DETAIL-INPUT'!BH26</f>
        <v>15885</v>
      </c>
      <c r="H27" s="231"/>
      <c r="I27" s="231">
        <f t="shared" si="3"/>
        <v>15885</v>
      </c>
    </row>
    <row r="28" spans="1:12">
      <c r="A28" s="20">
        <v>12</v>
      </c>
      <c r="B28" s="22"/>
      <c r="C28" s="22"/>
      <c r="D28" s="22" t="s">
        <v>51</v>
      </c>
      <c r="E28" s="229">
        <f>SUM(E23:E27)</f>
        <v>297051</v>
      </c>
      <c r="F28" s="229">
        <f t="shared" ref="F28:I28" si="4">SUM(F23:F27)</f>
        <v>13299.676999999996</v>
      </c>
      <c r="G28" s="405">
        <f t="shared" si="4"/>
        <v>310350.67700000003</v>
      </c>
      <c r="H28" s="229">
        <f t="shared" si="4"/>
        <v>0</v>
      </c>
      <c r="I28" s="229">
        <f t="shared" si="4"/>
        <v>310350.67700000003</v>
      </c>
    </row>
    <row r="29" spans="1:12" ht="7.5" customHeight="1">
      <c r="A29" s="20"/>
      <c r="B29" s="22"/>
      <c r="C29" s="22"/>
      <c r="D29" s="22"/>
      <c r="E29" s="229"/>
      <c r="F29" s="229"/>
      <c r="G29" s="405"/>
      <c r="H29" s="229"/>
      <c r="I29" s="229"/>
    </row>
    <row r="30" spans="1:12">
      <c r="A30" s="20"/>
      <c r="B30" s="22" t="s">
        <v>52</v>
      </c>
      <c r="C30" s="22"/>
      <c r="D30" s="22"/>
      <c r="E30" s="229"/>
      <c r="F30" s="229"/>
      <c r="G30" s="405"/>
      <c r="H30" s="229"/>
      <c r="I30" s="229"/>
    </row>
    <row r="31" spans="1:12">
      <c r="A31" s="20">
        <v>13</v>
      </c>
      <c r="B31" s="22"/>
      <c r="C31" s="22" t="s">
        <v>49</v>
      </c>
      <c r="D31" s="22"/>
      <c r="E31" s="229">
        <f>'ADJ DETAIL-INPUT'!E30</f>
        <v>24622</v>
      </c>
      <c r="F31" s="229">
        <f>G31-E31</f>
        <v>5694.8989999999976</v>
      </c>
      <c r="G31" s="416">
        <f>'ADJ DETAIL-INPUT'!BH30</f>
        <v>30316.898999999998</v>
      </c>
      <c r="H31" s="229"/>
      <c r="I31" s="229">
        <f>G31+H31</f>
        <v>30316.898999999998</v>
      </c>
    </row>
    <row r="32" spans="1:12">
      <c r="A32" s="20">
        <v>14</v>
      </c>
      <c r="B32" s="22"/>
      <c r="C32" s="22" t="s">
        <v>539</v>
      </c>
      <c r="D32" s="22"/>
      <c r="E32" s="229">
        <f>'ADJ DETAIL-INPUT'!E31</f>
        <v>34676</v>
      </c>
      <c r="F32" s="229">
        <f>G32-E32</f>
        <v>4592</v>
      </c>
      <c r="G32" s="416">
        <f>'ADJ DETAIL-INPUT'!BH31</f>
        <v>39268</v>
      </c>
      <c r="H32" s="229"/>
      <c r="I32" s="229">
        <f t="shared" ref="I32:I34" si="5">G32+H32</f>
        <v>39268</v>
      </c>
    </row>
    <row r="33" spans="1:17" s="1149" customFormat="1">
      <c r="A33" s="394" t="s">
        <v>1234</v>
      </c>
      <c r="B33" s="396"/>
      <c r="C33" s="396" t="s">
        <v>537</v>
      </c>
      <c r="D33" s="396"/>
      <c r="E33" s="405">
        <f>'ADJ DETAIL-INPUT'!E32</f>
        <v>0</v>
      </c>
      <c r="F33" s="405">
        <f>G33-E33</f>
        <v>62</v>
      </c>
      <c r="G33" s="416">
        <f>'ADJ DETAIL-INPUT'!BH32</f>
        <v>62</v>
      </c>
      <c r="H33" s="405"/>
      <c r="I33" s="405">
        <f t="shared" ref="I33" si="6">G33+H33</f>
        <v>62</v>
      </c>
      <c r="Q33" s="1165"/>
    </row>
    <row r="34" spans="1:17">
      <c r="A34" s="20">
        <v>15</v>
      </c>
      <c r="B34" s="22"/>
      <c r="C34" s="22" t="s">
        <v>27</v>
      </c>
      <c r="D34" s="22"/>
      <c r="E34" s="231">
        <f>'ADJ DETAIL-INPUT'!E33</f>
        <v>49705</v>
      </c>
      <c r="F34" s="231">
        <f>G34-E34</f>
        <v>-18408</v>
      </c>
      <c r="G34" s="414">
        <f>'ADJ DETAIL-INPUT'!BH33</f>
        <v>31297</v>
      </c>
      <c r="H34" s="231">
        <f>'CF '!J16</f>
        <v>1467</v>
      </c>
      <c r="I34" s="231">
        <f t="shared" si="5"/>
        <v>32764</v>
      </c>
    </row>
    <row r="35" spans="1:17">
      <c r="A35" s="20">
        <v>16</v>
      </c>
      <c r="B35" s="22"/>
      <c r="C35" s="22"/>
      <c r="D35" s="22" t="s">
        <v>53</v>
      </c>
      <c r="E35" s="229">
        <f>SUM(E31:E34)</f>
        <v>109003</v>
      </c>
      <c r="F35" s="229">
        <f>SUM(F31:F34)</f>
        <v>-8059.1010000000024</v>
      </c>
      <c r="G35" s="405">
        <f>SUM(G31:G34)</f>
        <v>100943.899</v>
      </c>
      <c r="H35" s="229">
        <f>SUM(H31:H34)</f>
        <v>1467</v>
      </c>
      <c r="I35" s="229">
        <f>SUM(I31:I34)</f>
        <v>102410.899</v>
      </c>
    </row>
    <row r="36" spans="1:17" ht="6.75" customHeight="1">
      <c r="A36" s="20"/>
      <c r="B36" s="22"/>
      <c r="C36" s="22"/>
      <c r="D36" s="22"/>
      <c r="E36" s="229"/>
      <c r="F36" s="229"/>
      <c r="G36" s="405"/>
      <c r="H36" s="229"/>
      <c r="I36" s="229"/>
    </row>
    <row r="37" spans="1:17">
      <c r="A37" s="20">
        <v>17</v>
      </c>
      <c r="B37" s="22" t="s">
        <v>54</v>
      </c>
      <c r="C37" s="22"/>
      <c r="D37" s="22"/>
      <c r="E37" s="229">
        <f>'ADJ DETAIL-INPUT'!E36</f>
        <v>15849</v>
      </c>
      <c r="F37" s="229">
        <f>G37-E37</f>
        <v>494.47600000000057</v>
      </c>
      <c r="G37" s="416">
        <f>'ADJ DETAIL-INPUT'!BH36</f>
        <v>16343.476000000001</v>
      </c>
      <c r="H37" s="229">
        <f>'CF '!J12</f>
        <v>126</v>
      </c>
      <c r="I37" s="229">
        <f>G37+H37</f>
        <v>16469.476000000002</v>
      </c>
    </row>
    <row r="38" spans="1:17">
      <c r="A38" s="20">
        <v>18</v>
      </c>
      <c r="B38" s="22" t="s">
        <v>55</v>
      </c>
      <c r="C38" s="22"/>
      <c r="D38" s="22"/>
      <c r="E38" s="229">
        <f>'ADJ DETAIL-INPUT'!E37</f>
        <v>25245</v>
      </c>
      <c r="F38" s="229">
        <f>G38-E38</f>
        <v>-23946.080999999998</v>
      </c>
      <c r="G38" s="416">
        <f>'ADJ DETAIL-INPUT'!BH37</f>
        <v>1298.9190000000001</v>
      </c>
      <c r="H38" s="229"/>
      <c r="I38" s="229">
        <f t="shared" ref="I38:I39" si="7">G38+H38</f>
        <v>1298.9190000000001</v>
      </c>
    </row>
    <row r="39" spans="1:17">
      <c r="A39" s="20">
        <v>19</v>
      </c>
      <c r="B39" s="22" t="s">
        <v>56</v>
      </c>
      <c r="C39" s="22"/>
      <c r="D39" s="22"/>
      <c r="E39" s="229">
        <f>'ADJ DETAIL-INPUT'!E38</f>
        <v>0</v>
      </c>
      <c r="F39" s="229">
        <f>G39-E39</f>
        <v>0</v>
      </c>
      <c r="G39" s="416">
        <f>'ADJ DETAIL-INPUT'!BH38</f>
        <v>0</v>
      </c>
      <c r="H39" s="229"/>
      <c r="I39" s="229">
        <f t="shared" si="7"/>
        <v>0</v>
      </c>
    </row>
    <row r="40" spans="1:17" ht="6.75" customHeight="1">
      <c r="A40" s="22"/>
      <c r="B40" s="22"/>
      <c r="C40" s="22"/>
      <c r="D40" s="22"/>
      <c r="E40" s="229"/>
      <c r="F40" s="229"/>
      <c r="G40" s="405"/>
      <c r="H40" s="229"/>
      <c r="I40" s="229"/>
    </row>
    <row r="41" spans="1:17">
      <c r="A41" s="20"/>
      <c r="B41" s="22" t="s">
        <v>57</v>
      </c>
      <c r="C41" s="22"/>
      <c r="D41" s="22"/>
      <c r="E41" s="229"/>
      <c r="F41" s="229"/>
      <c r="G41" s="405"/>
      <c r="H41" s="229"/>
      <c r="I41" s="229"/>
    </row>
    <row r="42" spans="1:17">
      <c r="A42" s="20">
        <v>20</v>
      </c>
      <c r="B42" s="22"/>
      <c r="C42" s="22" t="s">
        <v>49</v>
      </c>
      <c r="D42" s="22"/>
      <c r="E42" s="229">
        <f>'ADJ DETAIL-INPUT'!E41</f>
        <v>73927</v>
      </c>
      <c r="F42" s="229">
        <f>G42-E42</f>
        <v>5744.5929620253155</v>
      </c>
      <c r="G42" s="416">
        <f>'ADJ DETAIL-INPUT'!BH41</f>
        <v>79671.592962025316</v>
      </c>
      <c r="H42" s="229">
        <f>'CF '!J14</f>
        <v>76</v>
      </c>
      <c r="I42" s="229">
        <f t="shared" ref="I42:I45" si="8">G42+H42</f>
        <v>79747.592962025316</v>
      </c>
    </row>
    <row r="43" spans="1:17">
      <c r="A43" s="20">
        <v>21</v>
      </c>
      <c r="B43" s="22"/>
      <c r="C43" s="22" t="s">
        <v>539</v>
      </c>
      <c r="D43" s="22"/>
      <c r="E43" s="229">
        <f>'ADJ DETAIL-INPUT'!E42</f>
        <v>41343</v>
      </c>
      <c r="F43" s="229">
        <f>G43-E43</f>
        <v>1620</v>
      </c>
      <c r="G43" s="416">
        <f>'ADJ DETAIL-INPUT'!BH42</f>
        <v>42963</v>
      </c>
      <c r="H43" s="229"/>
      <c r="I43" s="229">
        <f t="shared" si="8"/>
        <v>42963</v>
      </c>
    </row>
    <row r="44" spans="1:17">
      <c r="A44" s="394">
        <v>22</v>
      </c>
      <c r="B44" s="396"/>
      <c r="C44" s="396" t="s">
        <v>678</v>
      </c>
      <c r="D44" s="396"/>
      <c r="E44" s="405">
        <f>'ADJ DETAIL-INPUT'!E43</f>
        <v>-20056</v>
      </c>
      <c r="F44" s="405">
        <f>G44-E44</f>
        <v>16405.5</v>
      </c>
      <c r="G44" s="416">
        <f>'ADJ DETAIL-INPUT'!BH43</f>
        <v>-3650.5</v>
      </c>
      <c r="H44" s="405"/>
      <c r="I44" s="405">
        <f t="shared" ref="I44" si="9">G44+H44</f>
        <v>-3650.5</v>
      </c>
    </row>
    <row r="45" spans="1:17">
      <c r="A45" s="234">
        <v>23</v>
      </c>
      <c r="B45" s="22"/>
      <c r="C45" s="22" t="s">
        <v>27</v>
      </c>
      <c r="D45" s="22"/>
      <c r="E45" s="231">
        <f>'ADJ DETAIL-INPUT'!E44</f>
        <v>3632</v>
      </c>
      <c r="F45" s="231">
        <f>G45-E45</f>
        <v>0</v>
      </c>
      <c r="G45" s="414">
        <f>'ADJ DETAIL-INPUT'!BH44</f>
        <v>3632</v>
      </c>
      <c r="H45" s="231"/>
      <c r="I45" s="231">
        <f t="shared" si="8"/>
        <v>3632</v>
      </c>
    </row>
    <row r="46" spans="1:17">
      <c r="A46" s="20">
        <v>24</v>
      </c>
      <c r="B46" s="22"/>
      <c r="C46" s="22"/>
      <c r="D46" s="22" t="s">
        <v>58</v>
      </c>
      <c r="E46" s="231">
        <f>SUM(E42:E45)</f>
        <v>98846</v>
      </c>
      <c r="F46" s="231">
        <f>SUM(F42:F45)</f>
        <v>23770.092962025316</v>
      </c>
      <c r="G46" s="414">
        <f>SUM(G42:G45)</f>
        <v>122616.09296202532</v>
      </c>
      <c r="H46" s="231">
        <f>SUM(H42:H45)</f>
        <v>76</v>
      </c>
      <c r="I46" s="231">
        <f>SUM(I42:I45)</f>
        <v>122692.09296202532</v>
      </c>
    </row>
    <row r="47" spans="1:17">
      <c r="A47" s="20">
        <v>25</v>
      </c>
      <c r="B47" s="22" t="s">
        <v>59</v>
      </c>
      <c r="C47" s="22"/>
      <c r="D47" s="22"/>
      <c r="E47" s="231">
        <f>E28+E35+E37+E38+E39+E46</f>
        <v>545994</v>
      </c>
      <c r="F47" s="231">
        <f>F28+F35+F37+F38+F39+F46</f>
        <v>5559.0639620253132</v>
      </c>
      <c r="G47" s="414">
        <f>G28+G35+G37+G38+G39+G46</f>
        <v>551553.06396202534</v>
      </c>
      <c r="H47" s="231">
        <f>H28+H35+H37+H38+H39+H46</f>
        <v>1669</v>
      </c>
      <c r="I47" s="231">
        <f>I28+I35+I37+I38+I39+I46</f>
        <v>553222.06396202534</v>
      </c>
    </row>
    <row r="48" spans="1:17" ht="7.5" customHeight="1">
      <c r="A48" s="20"/>
      <c r="B48" s="22"/>
      <c r="C48" s="22"/>
      <c r="D48" s="22"/>
      <c r="E48" s="229"/>
      <c r="F48" s="229"/>
      <c r="G48" s="405"/>
      <c r="H48" s="229"/>
      <c r="I48" s="229"/>
    </row>
    <row r="49" spans="1:25">
      <c r="A49" s="20">
        <v>26</v>
      </c>
      <c r="B49" s="22" t="s">
        <v>60</v>
      </c>
      <c r="C49" s="22"/>
      <c r="D49" s="22"/>
      <c r="E49" s="229">
        <f>E19-E47</f>
        <v>112592</v>
      </c>
      <c r="F49" s="229">
        <f>F19-F47</f>
        <v>11626.936037974687</v>
      </c>
      <c r="G49" s="405">
        <f>G19-G47</f>
        <v>124218.93603797466</v>
      </c>
      <c r="H49" s="229">
        <f>H19-H47</f>
        <v>36331.017689383101</v>
      </c>
      <c r="I49" s="229">
        <f>I19-I47</f>
        <v>160549.95372735779</v>
      </c>
    </row>
    <row r="50" spans="1:25" ht="5.25" customHeight="1">
      <c r="A50" s="20"/>
      <c r="B50" s="22"/>
      <c r="C50" s="22"/>
      <c r="D50" s="22"/>
      <c r="E50" s="229"/>
      <c r="F50" s="229"/>
      <c r="G50" s="405"/>
      <c r="H50" s="229"/>
      <c r="I50" s="229"/>
    </row>
    <row r="51" spans="1:25">
      <c r="A51" s="20"/>
      <c r="B51" s="22" t="s">
        <v>61</v>
      </c>
      <c r="C51" s="22"/>
      <c r="D51" s="22"/>
      <c r="E51" s="229"/>
      <c r="F51" s="229"/>
      <c r="G51" s="405"/>
      <c r="H51" s="229"/>
      <c r="I51" s="229"/>
    </row>
    <row r="52" spans="1:25">
      <c r="A52" s="394">
        <v>27</v>
      </c>
      <c r="B52" s="22" t="s">
        <v>62</v>
      </c>
      <c r="C52" s="22"/>
      <c r="D52" s="22"/>
      <c r="E52" s="229">
        <f>'ADJ DETAIL-INPUT'!E51</f>
        <v>-2018</v>
      </c>
      <c r="F52" s="229">
        <f>G52-E52</f>
        <v>7136.3965679746825</v>
      </c>
      <c r="G52" s="416">
        <f>'ADJ DETAIL-INPUT'!BH51</f>
        <v>5118.3965679746825</v>
      </c>
      <c r="H52" s="229">
        <f>'CF '!J22</f>
        <v>7630</v>
      </c>
      <c r="I52" s="229">
        <f>G52+H52</f>
        <v>12748.396567974683</v>
      </c>
      <c r="M52" s="145"/>
      <c r="N52" s="145"/>
      <c r="Y52" s="145"/>
    </row>
    <row r="53" spans="1:25">
      <c r="A53" s="394">
        <v>28</v>
      </c>
      <c r="B53" s="2" t="s">
        <v>259</v>
      </c>
      <c r="E53" s="229">
        <f>'ADJ DETAIL-INPUT'!E52</f>
        <v>0</v>
      </c>
      <c r="F53" s="229">
        <f>G53-E53</f>
        <v>-1131.2259693150695</v>
      </c>
      <c r="G53" s="416">
        <f>'ADJ DETAIL-INPUT'!BH52</f>
        <v>-1131.2259693150695</v>
      </c>
      <c r="H53" s="229"/>
      <c r="I53" s="229">
        <f>G53+H53</f>
        <v>-1131.2259693150695</v>
      </c>
    </row>
    <row r="54" spans="1:25">
      <c r="A54" s="394">
        <v>29</v>
      </c>
      <c r="B54" s="22" t="s">
        <v>63</v>
      </c>
      <c r="C54" s="22"/>
      <c r="D54" s="22"/>
      <c r="E54" s="229">
        <f>'ADJ DETAIL-INPUT'!E53</f>
        <v>8368</v>
      </c>
      <c r="F54" s="229">
        <f>G54-E54</f>
        <v>-2722</v>
      </c>
      <c r="G54" s="416">
        <f>'ADJ DETAIL-INPUT'!BH53</f>
        <v>5646</v>
      </c>
      <c r="H54" s="229"/>
      <c r="I54" s="229">
        <f>G54+H54</f>
        <v>5646</v>
      </c>
      <c r="N54" s="145"/>
    </row>
    <row r="55" spans="1:25">
      <c r="A55" s="20">
        <v>30</v>
      </c>
      <c r="B55" s="22" t="s">
        <v>64</v>
      </c>
      <c r="C55" s="22"/>
      <c r="D55" s="22"/>
      <c r="E55" s="231">
        <f>'ADJ DETAIL-INPUT'!E54</f>
        <v>-318</v>
      </c>
      <c r="F55" s="231">
        <f>G55-E55</f>
        <v>0</v>
      </c>
      <c r="G55" s="414">
        <f>'ADJ DETAIL-INPUT'!BH54</f>
        <v>-318</v>
      </c>
      <c r="H55" s="231"/>
      <c r="I55" s="231">
        <f>G55+H55</f>
        <v>-318</v>
      </c>
    </row>
    <row r="56" spans="1:25" ht="6.75" customHeight="1">
      <c r="A56" s="20"/>
      <c r="E56" s="229"/>
      <c r="F56" s="229"/>
      <c r="G56" s="405"/>
      <c r="H56" s="229"/>
      <c r="I56" s="229"/>
    </row>
    <row r="57" spans="1:25" ht="13.5" thickBot="1">
      <c r="A57" s="3">
        <v>31</v>
      </c>
      <c r="B57" s="21" t="s">
        <v>65</v>
      </c>
      <c r="C57" s="21"/>
      <c r="D57" s="21"/>
      <c r="E57" s="323">
        <f>E49-SUM(E52:E55)</f>
        <v>106560</v>
      </c>
      <c r="F57" s="323">
        <f>F49-SUM(F52:F55)</f>
        <v>8343.7654393150733</v>
      </c>
      <c r="G57" s="424">
        <f>G49-SUM(G52:G55)</f>
        <v>114903.76543931506</v>
      </c>
      <c r="H57" s="507">
        <f>H49-SUM(H52:H55)</f>
        <v>28701.017689383101</v>
      </c>
      <c r="I57" s="323">
        <f>I49-SUM(I52:I55)</f>
        <v>143604.78312869818</v>
      </c>
      <c r="M57" s="36"/>
    </row>
    <row r="58" spans="1:25" ht="5.25" customHeight="1" thickTop="1">
      <c r="E58" s="229"/>
      <c r="F58" s="229"/>
      <c r="G58" s="405"/>
      <c r="H58" s="229"/>
      <c r="I58" s="229"/>
      <c r="M58" s="99"/>
      <c r="P58" s="99"/>
    </row>
    <row r="59" spans="1:25">
      <c r="B59" s="2" t="s">
        <v>66</v>
      </c>
      <c r="E59" s="229"/>
      <c r="F59" s="229"/>
      <c r="G59" s="405"/>
      <c r="H59" s="229"/>
      <c r="I59" s="229"/>
      <c r="M59" s="36"/>
    </row>
    <row r="60" spans="1:25">
      <c r="A60" s="20"/>
      <c r="B60" s="2" t="s">
        <v>67</v>
      </c>
      <c r="E60" s="229"/>
      <c r="F60" s="229"/>
      <c r="G60" s="405"/>
      <c r="H60" s="229"/>
      <c r="I60" s="229"/>
      <c r="M60" s="36"/>
    </row>
    <row r="61" spans="1:25">
      <c r="A61" s="394">
        <v>32</v>
      </c>
      <c r="B61" s="21"/>
      <c r="C61" s="21" t="s">
        <v>68</v>
      </c>
      <c r="D61" s="21"/>
      <c r="E61" s="21">
        <f>'ADJ DETAIL-INPUT'!E60</f>
        <v>230718</v>
      </c>
      <c r="F61" s="21">
        <f t="shared" ref="F61:F70" si="10">G61-E61</f>
        <v>11759</v>
      </c>
      <c r="G61" s="506">
        <f>'ADJ DETAIL-INPUT'!BH60</f>
        <v>242477</v>
      </c>
      <c r="H61" s="21"/>
      <c r="I61" s="21">
        <f>G61+H61</f>
        <v>242477</v>
      </c>
    </row>
    <row r="62" spans="1:25">
      <c r="A62" s="394">
        <v>33</v>
      </c>
      <c r="B62" s="22"/>
      <c r="C62" s="22" t="s">
        <v>69</v>
      </c>
      <c r="D62" s="22"/>
      <c r="E62" s="229">
        <f>'ADJ DETAIL-INPUT'!E61</f>
        <v>948067</v>
      </c>
      <c r="F62" s="229">
        <f t="shared" si="10"/>
        <v>86946</v>
      </c>
      <c r="G62" s="416">
        <f>'ADJ DETAIL-INPUT'!BH61</f>
        <v>1035013</v>
      </c>
      <c r="H62" s="229"/>
      <c r="I62" s="229">
        <f t="shared" ref="I62:I65" si="11">G62+H62</f>
        <v>1035013</v>
      </c>
      <c r="M62" s="146"/>
    </row>
    <row r="63" spans="1:25">
      <c r="A63" s="394">
        <v>34</v>
      </c>
      <c r="B63" s="22"/>
      <c r="C63" s="22" t="s">
        <v>70</v>
      </c>
      <c r="D63" s="22"/>
      <c r="E63" s="229">
        <f>'ADJ DETAIL-INPUT'!E62</f>
        <v>575635</v>
      </c>
      <c r="F63" s="229">
        <f t="shared" si="10"/>
        <v>83988</v>
      </c>
      <c r="G63" s="416">
        <f>'ADJ DETAIL-INPUT'!BH62</f>
        <v>659623</v>
      </c>
      <c r="H63" s="229"/>
      <c r="I63" s="229">
        <f t="shared" si="11"/>
        <v>659623</v>
      </c>
    </row>
    <row r="64" spans="1:25">
      <c r="A64" s="394">
        <v>35</v>
      </c>
      <c r="B64" s="22"/>
      <c r="C64" s="22" t="s">
        <v>52</v>
      </c>
      <c r="D64" s="22"/>
      <c r="E64" s="229">
        <f>'ADJ DETAIL-INPUT'!E63</f>
        <v>1327782</v>
      </c>
      <c r="F64" s="229">
        <f t="shared" si="10"/>
        <v>167539</v>
      </c>
      <c r="G64" s="416">
        <f>'ADJ DETAIL-INPUT'!BH63</f>
        <v>1495321</v>
      </c>
      <c r="H64" s="229"/>
      <c r="I64" s="229">
        <f t="shared" si="11"/>
        <v>1495321</v>
      </c>
    </row>
    <row r="65" spans="1:9">
      <c r="A65" s="394">
        <v>36</v>
      </c>
      <c r="B65" s="22"/>
      <c r="C65" s="22" t="s">
        <v>71</v>
      </c>
      <c r="D65" s="22"/>
      <c r="E65" s="231">
        <f>'ADJ DETAIL-INPUT'!E64</f>
        <v>294532</v>
      </c>
      <c r="F65" s="231">
        <f t="shared" si="10"/>
        <v>33540</v>
      </c>
      <c r="G65" s="414">
        <f>'ADJ DETAIL-INPUT'!BH64</f>
        <v>328072</v>
      </c>
      <c r="H65" s="231"/>
      <c r="I65" s="231">
        <f t="shared" si="11"/>
        <v>328072</v>
      </c>
    </row>
    <row r="66" spans="1:9">
      <c r="A66" s="20">
        <v>37</v>
      </c>
      <c r="B66" s="22"/>
      <c r="C66" s="22"/>
      <c r="D66" s="22" t="s">
        <v>72</v>
      </c>
      <c r="E66" s="229">
        <f>SUM(E61:E65)</f>
        <v>3376734</v>
      </c>
      <c r="F66" s="229">
        <f t="shared" ref="F66:H66" si="12">SUM(F61:F65)</f>
        <v>383772</v>
      </c>
      <c r="G66" s="405">
        <f t="shared" si="12"/>
        <v>3760506</v>
      </c>
      <c r="H66" s="229">
        <f t="shared" si="12"/>
        <v>0</v>
      </c>
      <c r="I66" s="229">
        <f>SUM(I61:I65)</f>
        <v>3760506</v>
      </c>
    </row>
    <row r="67" spans="1:9">
      <c r="A67" s="23"/>
      <c r="B67" s="22" t="s">
        <v>218</v>
      </c>
      <c r="C67" s="22"/>
      <c r="D67" s="22"/>
      <c r="E67" s="229"/>
      <c r="F67" s="229"/>
      <c r="G67" s="405"/>
      <c r="H67" s="229"/>
      <c r="I67" s="229"/>
    </row>
    <row r="68" spans="1:9">
      <c r="A68" s="23">
        <v>38</v>
      </c>
      <c r="B68" s="22"/>
      <c r="C68" s="21" t="s">
        <v>213</v>
      </c>
      <c r="D68" s="22"/>
      <c r="E68" s="229">
        <f>'ADJ DETAIL-INPUT'!E67</f>
        <v>-84845</v>
      </c>
      <c r="F68" s="229">
        <f t="shared" si="10"/>
        <v>-46058.52452415468</v>
      </c>
      <c r="G68" s="416">
        <f>'ADJ DETAIL-INPUT'!BH67</f>
        <v>-130903.52452415468</v>
      </c>
      <c r="H68" s="233"/>
      <c r="I68" s="233">
        <f>G68+H68</f>
        <v>-130903.52452415468</v>
      </c>
    </row>
    <row r="69" spans="1:9">
      <c r="A69" s="23">
        <v>39</v>
      </c>
      <c r="B69" s="22"/>
      <c r="C69" s="22" t="s">
        <v>214</v>
      </c>
      <c r="D69" s="22"/>
      <c r="E69" s="229">
        <f>'ADJ DETAIL-INPUT'!E68</f>
        <v>-423739</v>
      </c>
      <c r="F69" s="229">
        <f t="shared" si="10"/>
        <v>-59134.558502594416</v>
      </c>
      <c r="G69" s="416">
        <f>'ADJ DETAIL-INPUT'!BH68</f>
        <v>-482873.55850259442</v>
      </c>
      <c r="H69" s="229"/>
      <c r="I69" s="233">
        <f t="shared" ref="I69:I72" si="13">G69+H69</f>
        <v>-482873.55850259442</v>
      </c>
    </row>
    <row r="70" spans="1:9">
      <c r="A70" s="23">
        <v>40</v>
      </c>
      <c r="B70" s="22"/>
      <c r="C70" s="22" t="s">
        <v>215</v>
      </c>
      <c r="D70" s="22"/>
      <c r="E70" s="229">
        <f>'ADJ DETAIL-INPUT'!E69</f>
        <v>-158761</v>
      </c>
      <c r="F70" s="229">
        <f t="shared" si="10"/>
        <v>-19211.310108667763</v>
      </c>
      <c r="G70" s="416">
        <f>'ADJ DETAIL-INPUT'!BH69</f>
        <v>-177972.31010866776</v>
      </c>
      <c r="H70" s="229"/>
      <c r="I70" s="233">
        <f t="shared" si="13"/>
        <v>-177972.31010866776</v>
      </c>
    </row>
    <row r="71" spans="1:9">
      <c r="A71" s="23">
        <v>41</v>
      </c>
      <c r="B71" s="22"/>
      <c r="C71" s="22" t="s">
        <v>199</v>
      </c>
      <c r="D71" s="22"/>
      <c r="E71" s="229">
        <f>'ADJ DETAIL-INPUT'!E70</f>
        <v>-384189</v>
      </c>
      <c r="F71" s="229">
        <f>G71-E71</f>
        <v>-68378.558282826212</v>
      </c>
      <c r="G71" s="416">
        <f>'ADJ DETAIL-INPUT'!BH70</f>
        <v>-452567.55828282621</v>
      </c>
      <c r="H71" s="229"/>
      <c r="I71" s="233">
        <f t="shared" si="13"/>
        <v>-452567.55828282621</v>
      </c>
    </row>
    <row r="72" spans="1:9">
      <c r="A72" s="23">
        <v>42</v>
      </c>
      <c r="B72" s="22"/>
      <c r="C72" s="22" t="s">
        <v>216</v>
      </c>
      <c r="D72" s="22"/>
      <c r="E72" s="229">
        <f>'ADJ DETAIL-INPUT'!E71</f>
        <v>-99285</v>
      </c>
      <c r="F72" s="231">
        <f>G72-E72</f>
        <v>-18521.371250916491</v>
      </c>
      <c r="G72" s="416">
        <f>'ADJ DETAIL-INPUT'!BH71</f>
        <v>-117806.37125091649</v>
      </c>
      <c r="H72" s="231"/>
      <c r="I72" s="233">
        <f t="shared" si="13"/>
        <v>-117806.37125091649</v>
      </c>
    </row>
    <row r="73" spans="1:9">
      <c r="A73" s="23">
        <v>43</v>
      </c>
      <c r="B73" s="22" t="s">
        <v>262</v>
      </c>
      <c r="C73" s="22"/>
      <c r="D73" s="22"/>
      <c r="E73" s="257">
        <f>SUM(E68:E72)</f>
        <v>-1150819</v>
      </c>
      <c r="F73" s="257">
        <f t="shared" ref="F73" si="14">SUM(F68:F72)</f>
        <v>-211304.32266915956</v>
      </c>
      <c r="G73" s="257">
        <f>SUM(G68:G72)</f>
        <v>-1362123.3226691594</v>
      </c>
      <c r="H73" s="257">
        <f>SUM(H68:H72)</f>
        <v>0</v>
      </c>
      <c r="I73" s="257">
        <f>SUM(I68:I72)</f>
        <v>-1362123.3226691594</v>
      </c>
    </row>
    <row r="74" spans="1:9">
      <c r="A74" s="23">
        <v>44</v>
      </c>
      <c r="B74" s="22" t="s">
        <v>544</v>
      </c>
      <c r="C74" s="22"/>
      <c r="D74" s="21"/>
      <c r="E74" s="233">
        <f>E66+E73</f>
        <v>2225915</v>
      </c>
      <c r="F74" s="233">
        <f t="shared" ref="F74:H74" si="15">F66+F73</f>
        <v>172467.67733084044</v>
      </c>
      <c r="G74" s="416">
        <f t="shared" si="15"/>
        <v>2398382.6773308404</v>
      </c>
      <c r="H74" s="233">
        <f t="shared" si="15"/>
        <v>0</v>
      </c>
      <c r="I74" s="233">
        <f>I66+I73</f>
        <v>2398382.6773308404</v>
      </c>
    </row>
    <row r="75" spans="1:9" ht="5.25" customHeight="1">
      <c r="A75" s="23"/>
      <c r="B75" s="22"/>
      <c r="C75" s="22"/>
      <c r="E75" s="322"/>
      <c r="F75" s="322"/>
      <c r="G75" s="322"/>
      <c r="H75" s="322"/>
      <c r="I75" s="322"/>
    </row>
    <row r="76" spans="1:9">
      <c r="A76" s="24">
        <v>45</v>
      </c>
      <c r="B76" s="22" t="s">
        <v>219</v>
      </c>
      <c r="C76" s="22"/>
      <c r="D76" s="22"/>
      <c r="E76" s="231">
        <f>'ADJ DETAIL-INPUT'!E75</f>
        <v>-428637</v>
      </c>
      <c r="F76" s="231">
        <f t="shared" ref="F76" si="16">G76-E76</f>
        <v>14310</v>
      </c>
      <c r="G76" s="414">
        <f>'ADJ DETAIL-INPUT'!BH75</f>
        <v>-414327</v>
      </c>
      <c r="H76" s="287"/>
      <c r="I76" s="231">
        <f>G76+H76</f>
        <v>-414327</v>
      </c>
    </row>
    <row r="77" spans="1:9">
      <c r="A77" s="24">
        <v>46</v>
      </c>
      <c r="B77" s="22"/>
      <c r="C77" s="22" t="s">
        <v>543</v>
      </c>
      <c r="D77" s="22"/>
      <c r="E77" s="233">
        <f>SUM(E74:E76)</f>
        <v>1797278</v>
      </c>
      <c r="F77" s="233">
        <f t="shared" ref="F77:H77" si="17">SUM(F74:F76)</f>
        <v>186777.67733084044</v>
      </c>
      <c r="G77" s="416">
        <f>SUM(G74:G76)</f>
        <v>1984055.6773308404</v>
      </c>
      <c r="H77" s="233">
        <f t="shared" si="17"/>
        <v>0</v>
      </c>
      <c r="I77" s="416">
        <f>G77+H77</f>
        <v>1984055.6773308404</v>
      </c>
    </row>
    <row r="78" spans="1:9">
      <c r="A78" s="23">
        <v>47</v>
      </c>
      <c r="B78" s="22" t="s">
        <v>264</v>
      </c>
      <c r="C78" s="22"/>
      <c r="E78" s="229">
        <f>'ADJ DETAIL-INPUT'!E77</f>
        <v>-24217</v>
      </c>
      <c r="F78" s="229">
        <f t="shared" ref="F78:F79" si="18">G78-E78</f>
        <v>31606</v>
      </c>
      <c r="G78" s="416">
        <f>'ADJ DETAIL-INPUT'!BH77</f>
        <v>7389</v>
      </c>
      <c r="I78" s="233">
        <f>G78+H78</f>
        <v>7389</v>
      </c>
    </row>
    <row r="79" spans="1:9">
      <c r="A79" s="23">
        <v>48</v>
      </c>
      <c r="B79" s="22" t="s">
        <v>252</v>
      </c>
      <c r="C79" s="22"/>
      <c r="E79" s="231">
        <f>'ADJ DETAIL-INPUT'!E78</f>
        <v>51595</v>
      </c>
      <c r="F79" s="231">
        <f t="shared" si="18"/>
        <v>-295</v>
      </c>
      <c r="G79" s="414">
        <f>'ADJ DETAIL-INPUT'!BH78</f>
        <v>51300</v>
      </c>
      <c r="H79" s="287"/>
      <c r="I79" s="231">
        <f t="shared" ref="I79" si="19">G79+H79</f>
        <v>51300</v>
      </c>
    </row>
    <row r="80" spans="1:9" ht="2.25" customHeight="1">
      <c r="A80" s="24">
        <v>49</v>
      </c>
      <c r="B80" s="22"/>
      <c r="C80" s="22"/>
      <c r="D80" s="22"/>
    </row>
    <row r="81" spans="1:9" ht="13.5" thickBot="1">
      <c r="A81" s="20">
        <v>50</v>
      </c>
      <c r="B81" s="21" t="s">
        <v>220</v>
      </c>
      <c r="C81" s="21"/>
      <c r="D81" s="21"/>
      <c r="E81" s="324">
        <f>SUM(E77:E79)</f>
        <v>1824656</v>
      </c>
      <c r="F81" s="324">
        <f t="shared" ref="F81:I81" si="20">SUM(F77:F79)</f>
        <v>218088.67733084044</v>
      </c>
      <c r="G81" s="324">
        <f t="shared" si="20"/>
        <v>2042744.6773308404</v>
      </c>
      <c r="H81" s="324">
        <f t="shared" si="20"/>
        <v>0</v>
      </c>
      <c r="I81" s="324">
        <f t="shared" si="20"/>
        <v>2042744.6773308404</v>
      </c>
    </row>
    <row r="82" spans="1:9" ht="13.5" thickTop="1">
      <c r="A82" s="20">
        <v>51</v>
      </c>
      <c r="B82" s="2" t="s">
        <v>614</v>
      </c>
      <c r="E82" s="255">
        <f>ROUND(E57/E81,4)</f>
        <v>5.8400000000000001E-2</v>
      </c>
      <c r="G82" s="255">
        <f>ROUND(G57/G81,4)</f>
        <v>5.62E-2</v>
      </c>
      <c r="I82" s="255">
        <f>ROUND(I57/I81,4)</f>
        <v>7.0300000000000001E-2</v>
      </c>
    </row>
    <row r="83" spans="1:9" ht="6.75" customHeight="1">
      <c r="A83" s="1362"/>
      <c r="B83" s="1362"/>
      <c r="C83" s="1362"/>
      <c r="D83" s="1362"/>
      <c r="E83" s="1362"/>
      <c r="F83" s="1362"/>
      <c r="G83" s="1362"/>
      <c r="H83" s="1362"/>
      <c r="I83" s="1362"/>
    </row>
    <row r="85" spans="1:9">
      <c r="E85" s="355"/>
    </row>
    <row r="86" spans="1:9">
      <c r="E86" s="355"/>
    </row>
    <row r="90" spans="1:9">
      <c r="I90" s="351"/>
    </row>
    <row r="91" spans="1:9">
      <c r="I91" s="351"/>
    </row>
    <row r="92" spans="1:9">
      <c r="I92" s="351"/>
    </row>
  </sheetData>
  <mergeCells count="3">
    <mergeCell ref="E4:I4"/>
    <mergeCell ref="A83:I83"/>
    <mergeCell ref="E1:F1"/>
  </mergeCells>
  <phoneticPr fontId="0" type="noConversion"/>
  <pageMargins left="0.75" right="0.51" top="1" bottom="0.5" header="0.5" footer="0.35"/>
  <pageSetup scale="74" orientation="portrait" r:id="rId1"/>
  <headerFooter scaleWithDoc="0" alignWithMargins="0">
    <oddHeader>&amp;R Exh. EMA-8</oddHeader>
    <oddFooter>&amp;RPage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461AF-1052-4772-8C02-CE4A8331A81E}">
  <sheetPr codeName="Sheet12"/>
  <dimension ref="A1:K70"/>
  <sheetViews>
    <sheetView workbookViewId="0">
      <selection sqref="A1:C1"/>
    </sheetView>
  </sheetViews>
  <sheetFormatPr defaultColWidth="11.42578125" defaultRowHeight="12.75"/>
  <cols>
    <col min="1" max="1" width="11.42578125" style="629" customWidth="1"/>
    <col min="2" max="2" width="12.140625" style="629" customWidth="1"/>
    <col min="3" max="3" width="33.42578125" style="629" customWidth="1"/>
    <col min="4" max="4" width="7.140625" style="629" customWidth="1"/>
    <col min="5" max="5" width="8.5703125" style="638" customWidth="1"/>
    <col min="6" max="6" width="71.5703125" style="647" customWidth="1"/>
    <col min="7" max="7" width="11" style="647" customWidth="1"/>
    <col min="8" max="8" width="90.42578125" style="632" customWidth="1"/>
    <col min="9" max="12" width="16" style="25" customWidth="1"/>
    <col min="13" max="16384" width="11.42578125" style="25"/>
  </cols>
  <sheetData>
    <row r="1" spans="1:10" ht="12.75" customHeight="1">
      <c r="A1" s="1446" t="s">
        <v>184</v>
      </c>
      <c r="B1" s="1446"/>
      <c r="C1" s="1446"/>
      <c r="F1" s="1440" t="s">
        <v>875</v>
      </c>
      <c r="G1" s="661"/>
      <c r="H1" s="1443" t="s">
        <v>804</v>
      </c>
    </row>
    <row r="2" spans="1:10">
      <c r="A2" s="1447" t="s">
        <v>77</v>
      </c>
      <c r="B2" s="1447"/>
      <c r="C2" s="1447"/>
      <c r="F2" s="1441"/>
      <c r="G2" s="661"/>
      <c r="H2" s="1444"/>
    </row>
    <row r="3" spans="1:10" ht="12.75" customHeight="1">
      <c r="A3" s="1447" t="s">
        <v>78</v>
      </c>
      <c r="B3" s="1447"/>
      <c r="C3" s="1447"/>
      <c r="F3" s="1441"/>
      <c r="G3" s="661"/>
      <c r="H3" s="1444"/>
    </row>
    <row r="4" spans="1:10">
      <c r="A4" s="1448" t="s">
        <v>717</v>
      </c>
      <c r="B4" s="1448"/>
      <c r="C4" s="1448"/>
      <c r="F4" s="1441"/>
      <c r="G4" s="661"/>
      <c r="H4" s="1444"/>
    </row>
    <row r="5" spans="1:10" ht="26.25" customHeight="1">
      <c r="F5" s="1441"/>
      <c r="G5" s="661"/>
      <c r="H5" s="1444"/>
    </row>
    <row r="6" spans="1:10" ht="9" customHeight="1" thickBot="1">
      <c r="F6" s="1442"/>
      <c r="G6" s="661"/>
      <c r="H6" s="1445"/>
    </row>
    <row r="7" spans="1:10" ht="18.75" customHeight="1">
      <c r="A7" s="676" t="s">
        <v>874</v>
      </c>
      <c r="D7" s="1449" t="s">
        <v>798</v>
      </c>
      <c r="E7" s="1438" t="s">
        <v>855</v>
      </c>
      <c r="F7" s="677"/>
      <c r="G7" s="661"/>
      <c r="H7" s="677"/>
    </row>
    <row r="8" spans="1:10" s="674" customFormat="1" ht="14.25">
      <c r="A8" s="670" t="s">
        <v>79</v>
      </c>
      <c r="B8" s="670" t="s">
        <v>553</v>
      </c>
      <c r="C8" s="671" t="s">
        <v>139</v>
      </c>
      <c r="D8" s="1450"/>
      <c r="E8" s="1439"/>
      <c r="F8" s="675" t="s">
        <v>750</v>
      </c>
      <c r="G8" s="672" t="s">
        <v>854</v>
      </c>
      <c r="H8" s="675" t="s">
        <v>751</v>
      </c>
      <c r="I8" s="673"/>
      <c r="J8" s="673"/>
    </row>
    <row r="9" spans="1:10">
      <c r="A9" s="658"/>
      <c r="B9" s="658"/>
      <c r="C9" s="634" t="s">
        <v>829</v>
      </c>
      <c r="D9" s="659"/>
      <c r="E9" s="660"/>
      <c r="F9" s="656" t="s">
        <v>876</v>
      </c>
      <c r="G9" s="656"/>
      <c r="H9" s="659"/>
      <c r="I9" s="145"/>
      <c r="J9" s="145"/>
    </row>
    <row r="10" spans="1:10">
      <c r="A10" s="641" t="s">
        <v>636</v>
      </c>
      <c r="B10" s="641"/>
      <c r="C10" s="634"/>
      <c r="H10" s="664"/>
      <c r="I10" s="145"/>
      <c r="J10" s="145"/>
    </row>
    <row r="11" spans="1:10" ht="30" customHeight="1">
      <c r="A11" s="642">
        <v>1</v>
      </c>
      <c r="B11" s="640" t="s">
        <v>556</v>
      </c>
      <c r="C11" s="683" t="s">
        <v>754</v>
      </c>
      <c r="D11" s="668" t="s">
        <v>799</v>
      </c>
      <c r="E11" s="637" t="s">
        <v>800</v>
      </c>
      <c r="F11" s="661" t="s">
        <v>862</v>
      </c>
      <c r="H11" s="664"/>
      <c r="I11" s="145"/>
      <c r="J11" s="145"/>
    </row>
    <row r="12" spans="1:10" s="50" customFormat="1" ht="38.25">
      <c r="A12" s="642">
        <v>1.01</v>
      </c>
      <c r="B12" s="640" t="s">
        <v>557</v>
      </c>
      <c r="C12" s="683" t="s">
        <v>755</v>
      </c>
      <c r="D12" s="630"/>
      <c r="E12" s="637" t="s">
        <v>800</v>
      </c>
      <c r="F12" s="661" t="s">
        <v>843</v>
      </c>
      <c r="G12" s="661"/>
      <c r="H12" s="664"/>
      <c r="I12" s="148"/>
      <c r="J12" s="148"/>
    </row>
    <row r="13" spans="1:10" s="50" customFormat="1" ht="147" customHeight="1">
      <c r="A13" s="642">
        <v>1.02</v>
      </c>
      <c r="B13" s="640" t="s">
        <v>558</v>
      </c>
      <c r="C13" s="683" t="s">
        <v>756</v>
      </c>
      <c r="D13" s="630"/>
      <c r="E13" s="637" t="s">
        <v>800</v>
      </c>
      <c r="F13" s="661" t="s">
        <v>859</v>
      </c>
      <c r="G13" s="661"/>
      <c r="H13" s="664"/>
      <c r="I13" s="148"/>
      <c r="J13" s="148"/>
    </row>
    <row r="14" spans="1:10" s="126" customFormat="1" ht="38.25">
      <c r="A14" s="642">
        <v>1.03</v>
      </c>
      <c r="B14" s="640" t="s">
        <v>559</v>
      </c>
      <c r="C14" s="683" t="s">
        <v>533</v>
      </c>
      <c r="D14" s="630"/>
      <c r="E14" s="637" t="s">
        <v>800</v>
      </c>
      <c r="F14" s="661" t="s">
        <v>863</v>
      </c>
      <c r="G14" s="647"/>
      <c r="H14" s="664"/>
      <c r="I14" s="149"/>
      <c r="J14" s="149"/>
    </row>
    <row r="15" spans="1:10" s="126" customFormat="1">
      <c r="A15" s="642">
        <v>1.04</v>
      </c>
      <c r="B15" s="640" t="s">
        <v>672</v>
      </c>
      <c r="C15" s="683" t="s">
        <v>757</v>
      </c>
      <c r="D15" s="630"/>
      <c r="E15" s="637" t="s">
        <v>800</v>
      </c>
      <c r="F15" s="647" t="s">
        <v>830</v>
      </c>
      <c r="G15" s="647"/>
      <c r="H15" s="664"/>
      <c r="I15" s="149"/>
      <c r="J15" s="149"/>
    </row>
    <row r="16" spans="1:10" s="44" customFormat="1">
      <c r="A16" s="642">
        <v>2.0099999999999998</v>
      </c>
      <c r="B16" s="640" t="s">
        <v>560</v>
      </c>
      <c r="C16" s="683" t="s">
        <v>758</v>
      </c>
      <c r="D16" s="630"/>
      <c r="E16" s="637" t="s">
        <v>800</v>
      </c>
      <c r="F16" s="647" t="s">
        <v>864</v>
      </c>
      <c r="G16" s="647"/>
      <c r="H16" s="632"/>
    </row>
    <row r="17" spans="1:11" s="44" customFormat="1">
      <c r="A17" s="642">
        <v>2.0199999999999996</v>
      </c>
      <c r="B17" s="640" t="s">
        <v>587</v>
      </c>
      <c r="C17" s="683" t="s">
        <v>759</v>
      </c>
      <c r="D17" s="630"/>
      <c r="E17" s="637" t="s">
        <v>800</v>
      </c>
      <c r="F17" s="647" t="s">
        <v>824</v>
      </c>
      <c r="G17" s="647"/>
      <c r="H17" s="664"/>
      <c r="I17" s="158"/>
      <c r="J17" s="158"/>
      <c r="K17" s="158"/>
    </row>
    <row r="18" spans="1:11" s="44" customFormat="1" ht="25.5">
      <c r="A18" s="642">
        <v>2.0299999999999994</v>
      </c>
      <c r="B18" s="640" t="s">
        <v>561</v>
      </c>
      <c r="C18" s="683" t="s">
        <v>760</v>
      </c>
      <c r="D18" s="631"/>
      <c r="E18" s="637" t="s">
        <v>800</v>
      </c>
      <c r="F18" s="661" t="s">
        <v>839</v>
      </c>
      <c r="G18" s="661"/>
      <c r="H18" s="632"/>
    </row>
    <row r="19" spans="1:11" s="44" customFormat="1">
      <c r="A19" s="642">
        <v>2.0399999999999991</v>
      </c>
      <c r="B19" s="640" t="s">
        <v>562</v>
      </c>
      <c r="C19" s="683" t="s">
        <v>761</v>
      </c>
      <c r="D19" s="630"/>
      <c r="F19" s="647" t="s">
        <v>870</v>
      </c>
      <c r="G19" s="637" t="s">
        <v>820</v>
      </c>
      <c r="H19" s="632" t="s">
        <v>805</v>
      </c>
    </row>
    <row r="20" spans="1:11" s="44" customFormat="1">
      <c r="A20" s="642">
        <v>2.0499999999999989</v>
      </c>
      <c r="B20" s="640" t="s">
        <v>563</v>
      </c>
      <c r="C20" s="683" t="s">
        <v>399</v>
      </c>
      <c r="D20" s="630"/>
      <c r="E20" s="637"/>
      <c r="F20" s="647" t="s">
        <v>823</v>
      </c>
      <c r="G20" s="647"/>
      <c r="H20" s="632"/>
    </row>
    <row r="21" spans="1:11" s="126" customFormat="1" ht="44.25" customHeight="1">
      <c r="A21" s="642">
        <v>2.0599999999999987</v>
      </c>
      <c r="B21" s="640" t="s">
        <v>564</v>
      </c>
      <c r="C21" s="683" t="s">
        <v>762</v>
      </c>
      <c r="D21" s="630"/>
      <c r="E21" s="637" t="s">
        <v>800</v>
      </c>
      <c r="F21" s="661" t="s">
        <v>849</v>
      </c>
      <c r="G21" s="661"/>
      <c r="H21" s="632"/>
    </row>
    <row r="22" spans="1:11">
      <c r="A22" s="642">
        <v>2.0699999999999985</v>
      </c>
      <c r="B22" s="640" t="s">
        <v>585</v>
      </c>
      <c r="C22" s="683" t="s">
        <v>763</v>
      </c>
      <c r="D22" s="630"/>
      <c r="E22" s="637" t="s">
        <v>800</v>
      </c>
      <c r="F22" s="647" t="s">
        <v>828</v>
      </c>
    </row>
    <row r="23" spans="1:11" s="126" customFormat="1">
      <c r="A23" s="642">
        <v>2.0799999999999983</v>
      </c>
      <c r="B23" s="640" t="s">
        <v>567</v>
      </c>
      <c r="C23" s="683" t="s">
        <v>764</v>
      </c>
      <c r="D23" s="630"/>
      <c r="E23" s="637" t="s">
        <v>800</v>
      </c>
      <c r="F23" s="662" t="s">
        <v>825</v>
      </c>
      <c r="G23" s="662"/>
      <c r="H23" s="632"/>
    </row>
    <row r="24" spans="1:11" s="126" customFormat="1" ht="25.5">
      <c r="A24" s="642">
        <v>2.0899999999999981</v>
      </c>
      <c r="B24" s="640" t="s">
        <v>568</v>
      </c>
      <c r="C24" s="683" t="s">
        <v>765</v>
      </c>
      <c r="D24" s="630"/>
      <c r="E24" s="637" t="s">
        <v>800</v>
      </c>
      <c r="F24" s="661" t="s">
        <v>865</v>
      </c>
      <c r="G24" s="647"/>
      <c r="H24" s="632"/>
    </row>
    <row r="25" spans="1:11">
      <c r="A25" s="642">
        <v>2.0999999999999979</v>
      </c>
      <c r="B25" s="640" t="s">
        <v>616</v>
      </c>
      <c r="C25" s="683" t="s">
        <v>766</v>
      </c>
      <c r="D25" s="630"/>
      <c r="E25" s="637" t="s">
        <v>800</v>
      </c>
      <c r="F25" s="647" t="s">
        <v>861</v>
      </c>
    </row>
    <row r="26" spans="1:11" s="126" customFormat="1">
      <c r="A26" s="642">
        <v>2.1099999999999977</v>
      </c>
      <c r="B26" s="640" t="s">
        <v>621</v>
      </c>
      <c r="C26" s="683" t="s">
        <v>767</v>
      </c>
      <c r="D26" s="630"/>
      <c r="E26" s="637" t="s">
        <v>800</v>
      </c>
      <c r="F26" s="647" t="s">
        <v>832</v>
      </c>
      <c r="G26" s="647"/>
      <c r="H26" s="632"/>
    </row>
    <row r="27" spans="1:11" s="126" customFormat="1" ht="39.75" customHeight="1">
      <c r="A27" s="1453">
        <v>2.1199999999999974</v>
      </c>
      <c r="B27" s="1454" t="s">
        <v>569</v>
      </c>
      <c r="C27" s="1455" t="s">
        <v>768</v>
      </c>
      <c r="D27" s="1446"/>
      <c r="E27" s="1456" t="s">
        <v>800</v>
      </c>
      <c r="F27" s="663" t="s">
        <v>850</v>
      </c>
      <c r="G27" s="1451"/>
      <c r="H27" s="1446"/>
    </row>
    <row r="28" spans="1:11" s="126" customFormat="1" ht="42" customHeight="1">
      <c r="A28" s="1453"/>
      <c r="B28" s="1454"/>
      <c r="C28" s="1455"/>
      <c r="D28" s="1446"/>
      <c r="E28" s="1456"/>
      <c r="F28" s="663" t="s">
        <v>856</v>
      </c>
      <c r="G28" s="1451"/>
      <c r="H28" s="1446"/>
    </row>
    <row r="29" spans="1:11" s="126" customFormat="1" ht="39.75" customHeight="1">
      <c r="A29" s="1453"/>
      <c r="B29" s="1454"/>
      <c r="C29" s="1455"/>
      <c r="D29" s="1446"/>
      <c r="E29" s="1456"/>
      <c r="F29" s="663" t="s">
        <v>857</v>
      </c>
      <c r="G29" s="1451"/>
      <c r="H29" s="1446"/>
    </row>
    <row r="30" spans="1:11" s="126" customFormat="1" ht="16.5" customHeight="1">
      <c r="A30" s="1453"/>
      <c r="B30" s="1454"/>
      <c r="C30" s="1455"/>
      <c r="D30" s="1446"/>
      <c r="E30" s="1456"/>
      <c r="F30" s="663" t="s">
        <v>858</v>
      </c>
      <c r="G30" s="1451"/>
      <c r="H30" s="1446"/>
    </row>
    <row r="31" spans="1:11" s="44" customFormat="1">
      <c r="A31" s="642">
        <v>2.1299999999999972</v>
      </c>
      <c r="B31" s="640" t="s">
        <v>570</v>
      </c>
      <c r="C31" s="683" t="s">
        <v>769</v>
      </c>
      <c r="D31" s="630"/>
      <c r="E31" s="637"/>
      <c r="F31" s="647" t="s">
        <v>803</v>
      </c>
      <c r="G31" s="647"/>
      <c r="H31" s="632"/>
    </row>
    <row r="32" spans="1:11" s="149" customFormat="1" ht="24.75" customHeight="1">
      <c r="A32" s="643">
        <v>2.139999999999997</v>
      </c>
      <c r="B32" s="640" t="s">
        <v>571</v>
      </c>
      <c r="C32" s="683" t="s">
        <v>549</v>
      </c>
      <c r="D32" s="668" t="s">
        <v>801</v>
      </c>
      <c r="E32" s="669" t="s">
        <v>819</v>
      </c>
      <c r="F32" s="647" t="s">
        <v>841</v>
      </c>
      <c r="G32" s="647"/>
      <c r="H32" s="664"/>
    </row>
    <row r="33" spans="1:8" s="44" customFormat="1">
      <c r="A33" s="642">
        <v>2.1499999999999968</v>
      </c>
      <c r="B33" s="640" t="s">
        <v>565</v>
      </c>
      <c r="C33" s="683" t="s">
        <v>770</v>
      </c>
      <c r="D33" s="630"/>
      <c r="E33" s="637" t="s">
        <v>800</v>
      </c>
      <c r="F33" s="647" t="s">
        <v>802</v>
      </c>
      <c r="G33" s="647"/>
      <c r="H33" s="632"/>
    </row>
    <row r="34" spans="1:8" s="44" customFormat="1">
      <c r="A34" s="642">
        <v>2.1599999999999966</v>
      </c>
      <c r="B34" s="640" t="s">
        <v>566</v>
      </c>
      <c r="C34" s="683" t="s">
        <v>771</v>
      </c>
      <c r="D34" s="630"/>
      <c r="E34" s="637" t="s">
        <v>800</v>
      </c>
      <c r="F34" s="647" t="s">
        <v>872</v>
      </c>
      <c r="G34" s="647"/>
      <c r="H34" s="632"/>
    </row>
    <row r="35" spans="1:8" s="145" customFormat="1">
      <c r="A35" s="644">
        <v>2.1699999999999964</v>
      </c>
      <c r="B35" s="645" t="s">
        <v>629</v>
      </c>
      <c r="C35" s="685" t="s">
        <v>772</v>
      </c>
      <c r="D35" s="630"/>
      <c r="E35" s="637" t="s">
        <v>800</v>
      </c>
      <c r="F35" s="655" t="s">
        <v>831</v>
      </c>
      <c r="G35" s="655"/>
      <c r="H35" s="664"/>
    </row>
    <row r="36" spans="1:8" s="126" customFormat="1">
      <c r="A36" s="643">
        <v>2.1799999999999962</v>
      </c>
      <c r="B36" s="640" t="s">
        <v>649</v>
      </c>
      <c r="C36" s="683" t="s">
        <v>773</v>
      </c>
      <c r="D36" s="630"/>
      <c r="E36" s="637" t="s">
        <v>800</v>
      </c>
      <c r="F36" s="647" t="s">
        <v>866</v>
      </c>
      <c r="G36" s="647"/>
      <c r="H36" s="632"/>
    </row>
    <row r="37" spans="1:8" s="126" customFormat="1" ht="63.75">
      <c r="A37" s="642">
        <v>2.1899999999999959</v>
      </c>
      <c r="B37" s="640" t="s">
        <v>718</v>
      </c>
      <c r="C37" s="683" t="s">
        <v>774</v>
      </c>
      <c r="D37" s="630"/>
      <c r="F37" s="661" t="s">
        <v>868</v>
      </c>
      <c r="G37" s="637" t="s">
        <v>820</v>
      </c>
      <c r="H37" s="667" t="s">
        <v>806</v>
      </c>
    </row>
    <row r="38" spans="1:8">
      <c r="A38" s="646"/>
      <c r="B38" s="646"/>
      <c r="C38" s="636"/>
    </row>
    <row r="39" spans="1:8">
      <c r="A39" s="647" t="s">
        <v>267</v>
      </c>
      <c r="B39" s="647"/>
      <c r="C39" s="636"/>
    </row>
    <row r="40" spans="1:8">
      <c r="A40" s="642" t="s">
        <v>724</v>
      </c>
      <c r="B40" s="640" t="s">
        <v>727</v>
      </c>
      <c r="C40" s="683" t="s">
        <v>775</v>
      </c>
      <c r="D40" s="630"/>
      <c r="E40" s="637"/>
      <c r="F40" s="647" t="s">
        <v>867</v>
      </c>
    </row>
    <row r="41" spans="1:8" ht="25.5">
      <c r="A41" s="642" t="s">
        <v>725</v>
      </c>
      <c r="B41" s="640" t="s">
        <v>728</v>
      </c>
      <c r="C41" s="683" t="s">
        <v>776</v>
      </c>
      <c r="D41" s="630"/>
      <c r="E41" s="637"/>
      <c r="F41" s="661" t="s">
        <v>871</v>
      </c>
    </row>
    <row r="42" spans="1:8" ht="33" customHeight="1">
      <c r="A42" s="642">
        <v>3.01</v>
      </c>
      <c r="B42" s="640" t="s">
        <v>620</v>
      </c>
      <c r="C42" s="684" t="s">
        <v>743</v>
      </c>
      <c r="D42" s="630"/>
      <c r="E42" s="25"/>
      <c r="F42" s="661" t="s">
        <v>873</v>
      </c>
      <c r="G42" s="637" t="s">
        <v>820</v>
      </c>
      <c r="H42" s="632" t="s">
        <v>807</v>
      </c>
    </row>
    <row r="43" spans="1:8" s="145" customFormat="1" ht="136.5" customHeight="1">
      <c r="A43" s="643">
        <v>3.0199999999999996</v>
      </c>
      <c r="B43" s="648" t="s">
        <v>635</v>
      </c>
      <c r="C43" s="702" t="s">
        <v>777</v>
      </c>
      <c r="D43" s="630"/>
      <c r="E43" s="637" t="s">
        <v>800</v>
      </c>
      <c r="F43" s="661" t="s">
        <v>878</v>
      </c>
      <c r="G43" s="661"/>
      <c r="H43" s="664"/>
    </row>
    <row r="44" spans="1:8" s="145" customFormat="1" ht="25.5">
      <c r="A44" s="643">
        <v>3.0299999999999994</v>
      </c>
      <c r="B44" s="648" t="s">
        <v>729</v>
      </c>
      <c r="C44" s="683" t="s">
        <v>778</v>
      </c>
      <c r="D44" s="630"/>
      <c r="F44" s="661" t="s">
        <v>835</v>
      </c>
      <c r="G44" s="637" t="s">
        <v>820</v>
      </c>
      <c r="H44" s="664" t="s">
        <v>808</v>
      </c>
    </row>
    <row r="45" spans="1:8" s="145" customFormat="1">
      <c r="A45" s="643">
        <v>3.0399999999999991</v>
      </c>
      <c r="B45" s="640" t="s">
        <v>572</v>
      </c>
      <c r="C45" s="683" t="s">
        <v>779</v>
      </c>
      <c r="D45" s="630"/>
      <c r="E45" s="637"/>
      <c r="F45" s="647" t="s">
        <v>845</v>
      </c>
      <c r="G45" s="647"/>
      <c r="H45" s="664"/>
    </row>
    <row r="46" spans="1:8" s="145" customFormat="1">
      <c r="A46" s="643">
        <v>3.0499999999999989</v>
      </c>
      <c r="B46" s="648" t="s">
        <v>573</v>
      </c>
      <c r="C46" s="683" t="s">
        <v>780</v>
      </c>
      <c r="D46" s="630"/>
      <c r="E46" s="637"/>
      <c r="F46" s="647" t="s">
        <v>846</v>
      </c>
      <c r="G46" s="647"/>
      <c r="H46" s="664"/>
    </row>
    <row r="47" spans="1:8" s="145" customFormat="1">
      <c r="A47" s="643">
        <v>3.0599999999999987</v>
      </c>
      <c r="B47" s="648" t="s">
        <v>574</v>
      </c>
      <c r="C47" s="683" t="s">
        <v>781</v>
      </c>
      <c r="D47" s="630"/>
      <c r="F47" s="647" t="s">
        <v>847</v>
      </c>
      <c r="G47" s="637" t="s">
        <v>820</v>
      </c>
      <c r="H47" s="664" t="s">
        <v>809</v>
      </c>
    </row>
    <row r="48" spans="1:8" ht="38.25">
      <c r="A48" s="643">
        <v>3.0699999999999985</v>
      </c>
      <c r="B48" s="640" t="s">
        <v>697</v>
      </c>
      <c r="C48" s="683" t="s">
        <v>782</v>
      </c>
      <c r="D48" s="630"/>
      <c r="E48" s="25"/>
      <c r="F48" s="661" t="s">
        <v>838</v>
      </c>
      <c r="G48" s="637" t="s">
        <v>820</v>
      </c>
      <c r="H48" s="632" t="s">
        <v>810</v>
      </c>
    </row>
    <row r="49" spans="1:8" s="44" customFormat="1" ht="25.5">
      <c r="A49" s="642">
        <v>3.0799999999999983</v>
      </c>
      <c r="B49" s="640" t="s">
        <v>675</v>
      </c>
      <c r="C49" s="683" t="s">
        <v>783</v>
      </c>
      <c r="D49" s="630"/>
      <c r="E49" s="637"/>
      <c r="F49" s="661" t="s">
        <v>837</v>
      </c>
      <c r="G49" s="661"/>
      <c r="H49" s="632"/>
    </row>
    <row r="50" spans="1:8" s="44" customFormat="1" ht="25.5">
      <c r="A50" s="642">
        <v>3.0899999999999981</v>
      </c>
      <c r="B50" s="640" t="s">
        <v>586</v>
      </c>
      <c r="C50" s="683" t="s">
        <v>784</v>
      </c>
      <c r="D50" s="631"/>
      <c r="F50" s="661" t="s">
        <v>834</v>
      </c>
      <c r="G50" s="637" t="s">
        <v>820</v>
      </c>
      <c r="H50" s="667" t="s">
        <v>811</v>
      </c>
    </row>
    <row r="51" spans="1:8" s="149" customFormat="1">
      <c r="A51" s="644">
        <v>3.0999999999999979</v>
      </c>
      <c r="B51" s="649" t="s">
        <v>696</v>
      </c>
      <c r="C51" s="685" t="s">
        <v>785</v>
      </c>
      <c r="D51" s="630"/>
      <c r="E51" s="637" t="s">
        <v>800</v>
      </c>
      <c r="F51" s="655" t="s">
        <v>860</v>
      </c>
      <c r="G51" s="655"/>
      <c r="H51" s="664"/>
    </row>
    <row r="52" spans="1:8" s="145" customFormat="1" ht="51">
      <c r="A52" s="644">
        <v>3.1099999999999977</v>
      </c>
      <c r="B52" s="645" t="s">
        <v>730</v>
      </c>
      <c r="C52" s="685" t="s">
        <v>786</v>
      </c>
      <c r="D52" s="630"/>
      <c r="F52" s="656" t="s">
        <v>822</v>
      </c>
      <c r="G52" s="637" t="s">
        <v>820</v>
      </c>
      <c r="H52" s="665" t="s">
        <v>812</v>
      </c>
    </row>
    <row r="53" spans="1:8" s="44" customFormat="1">
      <c r="A53" s="650">
        <v>3.1199999999999974</v>
      </c>
      <c r="B53" s="649" t="s">
        <v>731</v>
      </c>
      <c r="C53" s="685" t="s">
        <v>787</v>
      </c>
      <c r="D53" s="630"/>
      <c r="F53" s="655" t="s">
        <v>833</v>
      </c>
      <c r="G53" s="637" t="s">
        <v>820</v>
      </c>
      <c r="H53" s="632" t="s">
        <v>813</v>
      </c>
    </row>
    <row r="54" spans="1:8" s="44" customFormat="1">
      <c r="A54" s="650">
        <v>3.1299999999999972</v>
      </c>
      <c r="B54" s="649" t="s">
        <v>732</v>
      </c>
      <c r="C54" s="685" t="s">
        <v>788</v>
      </c>
      <c r="D54" s="631"/>
      <c r="F54" s="647" t="s">
        <v>842</v>
      </c>
      <c r="G54" s="637" t="s">
        <v>820</v>
      </c>
      <c r="H54" s="632" t="s">
        <v>814</v>
      </c>
    </row>
    <row r="55" spans="1:8" s="44" customFormat="1">
      <c r="A55" s="650">
        <v>3.139999999999997</v>
      </c>
      <c r="B55" s="649" t="s">
        <v>733</v>
      </c>
      <c r="C55" s="685" t="s">
        <v>789</v>
      </c>
      <c r="D55" s="630"/>
      <c r="F55" s="655" t="s">
        <v>848</v>
      </c>
      <c r="G55" s="637" t="s">
        <v>820</v>
      </c>
      <c r="H55" s="632" t="s">
        <v>815</v>
      </c>
    </row>
    <row r="56" spans="1:8" s="44" customFormat="1">
      <c r="A56" s="650">
        <v>3.1499999999999968</v>
      </c>
      <c r="B56" s="649" t="s">
        <v>734</v>
      </c>
      <c r="C56" s="685" t="s">
        <v>790</v>
      </c>
      <c r="D56" s="630"/>
      <c r="F56" s="655" t="s">
        <v>853</v>
      </c>
      <c r="G56" s="637" t="s">
        <v>820</v>
      </c>
      <c r="H56" s="632" t="s">
        <v>816</v>
      </c>
    </row>
    <row r="57" spans="1:8" s="149" customFormat="1" ht="56.25" customHeight="1">
      <c r="A57" s="644">
        <v>3.1599999999999966</v>
      </c>
      <c r="B57" s="649" t="s">
        <v>672</v>
      </c>
      <c r="C57" s="685" t="s">
        <v>791</v>
      </c>
      <c r="D57" s="631"/>
      <c r="F57" s="656" t="s">
        <v>851</v>
      </c>
      <c r="G57" s="637" t="s">
        <v>820</v>
      </c>
      <c r="H57" s="665" t="s">
        <v>817</v>
      </c>
    </row>
    <row r="58" spans="1:8" s="149" customFormat="1" ht="38.25">
      <c r="A58" s="644" t="s">
        <v>879</v>
      </c>
      <c r="B58" s="649" t="s">
        <v>722</v>
      </c>
      <c r="C58" s="635" t="s">
        <v>792</v>
      </c>
      <c r="D58" s="630"/>
      <c r="F58" s="656" t="s">
        <v>836</v>
      </c>
      <c r="G58" s="637" t="s">
        <v>820</v>
      </c>
      <c r="H58" s="665" t="s">
        <v>888</v>
      </c>
    </row>
    <row r="59" spans="1:8" s="149" customFormat="1" ht="27" customHeight="1">
      <c r="A59" s="644" t="s">
        <v>880</v>
      </c>
      <c r="B59" s="649" t="s">
        <v>881</v>
      </c>
      <c r="C59" s="635" t="s">
        <v>882</v>
      </c>
      <c r="D59" s="679"/>
      <c r="F59" s="656"/>
      <c r="G59" s="680"/>
      <c r="H59" s="665" t="s">
        <v>887</v>
      </c>
    </row>
    <row r="60" spans="1:8" s="149" customFormat="1" ht="54" customHeight="1">
      <c r="A60" s="644" t="s">
        <v>752</v>
      </c>
      <c r="B60" s="649" t="s">
        <v>723</v>
      </c>
      <c r="C60" s="635" t="s">
        <v>793</v>
      </c>
      <c r="D60" s="630"/>
      <c r="F60" s="656" t="s">
        <v>852</v>
      </c>
      <c r="G60" s="637" t="s">
        <v>820</v>
      </c>
      <c r="H60" s="665" t="s">
        <v>884</v>
      </c>
    </row>
    <row r="61" spans="1:8" s="149" customFormat="1" ht="29.25" customHeight="1">
      <c r="A61" s="644" t="e">
        <f>'ADJ DETAIL-INPUT'!#REF!</f>
        <v>#REF!</v>
      </c>
      <c r="B61" s="649" t="e">
        <f>'ADJ DETAIL-INPUT'!#REF!</f>
        <v>#REF!</v>
      </c>
      <c r="C61" s="635" t="e">
        <f>TRIM(CONCATENATE('ADJ DETAIL-INPUT'!#REF!," ",'ADJ DETAIL-INPUT'!#REF!," ",'ADJ DETAIL-INPUT'!#REF!))</f>
        <v>#REF!</v>
      </c>
      <c r="D61" s="630"/>
      <c r="F61" s="656"/>
      <c r="G61" s="637"/>
      <c r="H61" s="665" t="s">
        <v>883</v>
      </c>
    </row>
    <row r="62" spans="1:8" s="149" customFormat="1" ht="156" customHeight="1">
      <c r="A62" s="644" t="s">
        <v>753</v>
      </c>
      <c r="B62" s="649" t="s">
        <v>676</v>
      </c>
      <c r="C62" s="685" t="s">
        <v>794</v>
      </c>
      <c r="D62" s="630"/>
      <c r="F62" s="656" t="s">
        <v>840</v>
      </c>
      <c r="G62" s="637" t="s">
        <v>820</v>
      </c>
      <c r="H62" s="665" t="s">
        <v>885</v>
      </c>
    </row>
    <row r="63" spans="1:8" s="149" customFormat="1" ht="30" customHeight="1">
      <c r="A63" s="644">
        <f>'ADJ DETAIL-INPUT'!BD$9</f>
        <v>4.0599999999999987</v>
      </c>
      <c r="B63" s="649" t="str">
        <f>'ADJ DETAIL-INPUT'!BD$10</f>
        <v>E-PVCOL22</v>
      </c>
      <c r="C63" s="685" t="str">
        <f>TRIM(CONCATENATE('ADJ DETAIL-INPUT'!BD$6," ",'ADJ DETAIL-INPUT'!BD$7," ",'ADJ DETAIL-INPUT'!BD$8))</f>
        <v>Provisional Colstrip 2022 Cap Adds EOP</v>
      </c>
      <c r="D63" s="630"/>
      <c r="F63" s="656"/>
      <c r="G63" s="637"/>
      <c r="H63" s="665" t="s">
        <v>886</v>
      </c>
    </row>
    <row r="64" spans="1:8" s="149" customFormat="1" ht="14.25" customHeight="1">
      <c r="A64" s="644">
        <v>3.2</v>
      </c>
      <c r="B64" s="649" t="s">
        <v>629</v>
      </c>
      <c r="C64" s="685" t="s">
        <v>795</v>
      </c>
      <c r="D64" s="630"/>
      <c r="F64" s="655" t="s">
        <v>869</v>
      </c>
      <c r="G64" s="637" t="s">
        <v>820</v>
      </c>
      <c r="H64" s="664" t="s">
        <v>818</v>
      </c>
    </row>
    <row r="65" spans="1:8" s="149" customFormat="1" ht="51">
      <c r="A65" s="644">
        <v>3.21</v>
      </c>
      <c r="B65" s="649" t="s">
        <v>737</v>
      </c>
      <c r="C65" s="685" t="s">
        <v>796</v>
      </c>
      <c r="D65" s="630"/>
      <c r="E65" s="637" t="s">
        <v>800</v>
      </c>
      <c r="F65" s="656" t="s">
        <v>844</v>
      </c>
      <c r="G65" s="656"/>
      <c r="H65" s="664"/>
    </row>
    <row r="66" spans="1:8">
      <c r="A66" s="651"/>
      <c r="B66" s="651"/>
      <c r="C66" s="634"/>
      <c r="D66" s="632"/>
      <c r="E66" s="639"/>
    </row>
    <row r="67" spans="1:8" s="149" customFormat="1">
      <c r="A67" s="647" t="s">
        <v>578</v>
      </c>
      <c r="B67" s="652" t="s">
        <v>579</v>
      </c>
      <c r="C67" s="703" t="s">
        <v>135</v>
      </c>
      <c r="D67" s="633"/>
      <c r="E67" s="637" t="s">
        <v>800</v>
      </c>
      <c r="F67" s="655" t="s">
        <v>821</v>
      </c>
      <c r="G67" s="655"/>
      <c r="H67" s="664"/>
    </row>
    <row r="68" spans="1:8" ht="18" customHeight="1">
      <c r="A68" s="653" t="s">
        <v>740</v>
      </c>
      <c r="B68" s="654"/>
      <c r="D68" s="630"/>
      <c r="E68" s="637"/>
    </row>
    <row r="69" spans="1:8" ht="12" customHeight="1">
      <c r="A69" s="644" t="s">
        <v>739</v>
      </c>
      <c r="B69" s="649" t="s">
        <v>738</v>
      </c>
      <c r="C69" s="635" t="s">
        <v>797</v>
      </c>
      <c r="D69" s="1452" t="s">
        <v>877</v>
      </c>
      <c r="E69" s="1452"/>
    </row>
    <row r="70" spans="1:8">
      <c r="C70" s="657" t="s">
        <v>741</v>
      </c>
      <c r="D70" s="1452"/>
      <c r="E70" s="1452"/>
      <c r="F70" s="647" t="s">
        <v>826</v>
      </c>
      <c r="H70" s="666" t="s">
        <v>827</v>
      </c>
    </row>
  </sheetData>
  <mergeCells count="16">
    <mergeCell ref="G27:G30"/>
    <mergeCell ref="H27:H30"/>
    <mergeCell ref="D69:E70"/>
    <mergeCell ref="A27:A30"/>
    <mergeCell ref="B27:B30"/>
    <mergeCell ref="C27:C30"/>
    <mergeCell ref="D27:D30"/>
    <mergeCell ref="E27:E30"/>
    <mergeCell ref="E7:E8"/>
    <mergeCell ref="F1:F6"/>
    <mergeCell ref="H1:H6"/>
    <mergeCell ref="A1:C1"/>
    <mergeCell ref="A2:C2"/>
    <mergeCell ref="A3:C3"/>
    <mergeCell ref="A4:C4"/>
    <mergeCell ref="D7:D8"/>
  </mergeCells>
  <pageMargins left="0.6" right="0.5" top="1.1299999999999999" bottom="0.75" header="0.5" footer="0.5"/>
  <pageSetup scale="48" fitToHeight="2" orientation="landscape" r:id="rId1"/>
  <headerFooter alignWithMargins="0">
    <oddHeader>&amp;C
&amp;RExh. EMA - 8</oddHeader>
    <oddFooter>&amp;C
&amp;RPage &amp;P of &amp;N</oddFooter>
  </headerFooter>
  <rowBreaks count="2" manualBreakCount="2">
    <brk id="38" max="7" man="1"/>
    <brk id="6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E1E3E-9329-4155-8723-D46945A0A43D}">
  <dimension ref="A1:AT98"/>
  <sheetViews>
    <sheetView workbookViewId="0">
      <selection activeCell="F1" sqref="F1:K3"/>
    </sheetView>
  </sheetViews>
  <sheetFormatPr defaultColWidth="9" defaultRowHeight="12.75"/>
  <cols>
    <col min="1" max="1" width="4.5703125" style="767" customWidth="1"/>
    <col min="2" max="3" width="1.5703125" style="381" customWidth="1"/>
    <col min="4" max="4" width="34.42578125" style="381" customWidth="1"/>
    <col min="5" max="5" width="14" style="768" customWidth="1"/>
    <col min="6" max="6" width="11.5703125" style="768" customWidth="1"/>
    <col min="7" max="7" width="11.42578125" style="768" customWidth="1"/>
    <col min="8" max="8" width="16.5703125" style="768" customWidth="1"/>
    <col min="9" max="9" width="17.42578125" style="768" bestFit="1" customWidth="1"/>
    <col min="10" max="10" width="18.42578125" style="768" bestFit="1" customWidth="1"/>
    <col min="11" max="11" width="9" style="691" customWidth="1"/>
    <col min="12" max="12" width="10.5703125" style="691" customWidth="1"/>
    <col min="13" max="13" width="11.28515625" style="691" customWidth="1"/>
    <col min="14" max="14" width="9" style="691"/>
    <col min="15" max="15" width="11.7109375" style="691" bestFit="1" customWidth="1"/>
    <col min="16" max="17" width="9" style="691"/>
    <col min="18" max="18" width="9" style="769"/>
    <col min="19" max="37" width="9" style="691"/>
    <col min="38" max="38" width="14.5703125" style="691" customWidth="1"/>
    <col min="39" max="46" width="9" style="691"/>
    <col min="47" max="47" width="11.42578125" style="691" customWidth="1"/>
    <col min="48" max="16384" width="9" style="691"/>
  </cols>
  <sheetData>
    <row r="1" spans="1:46" ht="12.75" customHeight="1">
      <c r="A1" s="1307" t="str">
        <f>'PC PROPOSED RATES-12.2022'!A1</f>
        <v xml:space="preserve">AVISTA UTILITIES  </v>
      </c>
      <c r="D1" s="767"/>
      <c r="F1" s="1363" t="s">
        <v>1275</v>
      </c>
      <c r="G1" s="1363"/>
      <c r="H1" s="1363"/>
      <c r="I1" s="1363"/>
      <c r="J1" s="1363"/>
      <c r="K1" s="1363"/>
    </row>
    <row r="2" spans="1:46">
      <c r="A2" s="1307" t="str">
        <f>'PC PROPOSED RATES-12.2022'!A2</f>
        <v xml:space="preserve">WASHINGTON ELECTRIC RESULTS </v>
      </c>
      <c r="D2" s="767"/>
      <c r="F2" s="1363"/>
      <c r="G2" s="1363"/>
      <c r="H2" s="1363"/>
      <c r="I2" s="1363"/>
      <c r="J2" s="1363"/>
      <c r="K2" s="1363"/>
    </row>
    <row r="3" spans="1:46">
      <c r="A3" s="1307" t="str">
        <f>'PC PROPOSED RATES-12.2022'!A3</f>
        <v>TWELVE MONTHS ENDED SEPTEMBER 30, 2021</v>
      </c>
      <c r="D3" s="767"/>
      <c r="F3" s="1364"/>
      <c r="G3" s="1364"/>
      <c r="H3" s="1364"/>
      <c r="I3" s="1364"/>
      <c r="J3" s="1364"/>
      <c r="K3" s="1364"/>
    </row>
    <row r="4" spans="1:46" ht="14.25">
      <c r="A4" s="1307" t="str">
        <f>'PC PROPOSED RATES-12.2022'!A4</f>
        <v xml:space="preserve">(000'S OF DOLLARS)  </v>
      </c>
      <c r="D4" s="767"/>
      <c r="E4" s="1357" t="s">
        <v>1095</v>
      </c>
      <c r="F4" s="1365"/>
      <c r="G4" s="1365"/>
      <c r="H4" s="1365"/>
      <c r="I4" s="1365"/>
      <c r="J4" s="1366"/>
      <c r="K4" s="802"/>
    </row>
    <row r="5" spans="1:46">
      <c r="A5" s="384"/>
      <c r="B5" s="384"/>
      <c r="C5" s="384"/>
      <c r="D5" s="384"/>
      <c r="E5" s="770" t="s">
        <v>1096</v>
      </c>
      <c r="F5" s="771"/>
      <c r="G5" s="772"/>
      <c r="H5" s="773"/>
      <c r="I5" s="770" t="s">
        <v>1097</v>
      </c>
      <c r="J5" s="772"/>
    </row>
    <row r="6" spans="1:46">
      <c r="A6" s="731"/>
      <c r="B6" s="386"/>
      <c r="C6" s="387"/>
      <c r="D6" s="9"/>
      <c r="E6" s="774" t="s">
        <v>1090</v>
      </c>
      <c r="F6" s="774" t="s">
        <v>1091</v>
      </c>
      <c r="G6" s="774" t="s">
        <v>1091</v>
      </c>
      <c r="H6" s="775" t="s">
        <v>1092</v>
      </c>
      <c r="I6" s="775" t="s">
        <v>1093</v>
      </c>
      <c r="J6" s="775" t="s">
        <v>1094</v>
      </c>
      <c r="O6" s="776"/>
    </row>
    <row r="7" spans="1:46">
      <c r="A7" s="777" t="s">
        <v>8</v>
      </c>
      <c r="B7" s="389"/>
      <c r="C7" s="384"/>
      <c r="D7" s="13"/>
      <c r="E7" s="778" t="s">
        <v>7</v>
      </c>
      <c r="F7" s="778" t="s">
        <v>134</v>
      </c>
      <c r="G7" s="778" t="s">
        <v>7</v>
      </c>
      <c r="H7" s="778" t="s">
        <v>169</v>
      </c>
      <c r="I7" s="778" t="s">
        <v>169</v>
      </c>
      <c r="J7" s="778" t="s">
        <v>168</v>
      </c>
    </row>
    <row r="8" spans="1:46">
      <c r="A8" s="779" t="s">
        <v>21</v>
      </c>
      <c r="B8" s="392"/>
      <c r="C8" s="393"/>
      <c r="D8" s="17" t="s">
        <v>22</v>
      </c>
      <c r="E8" s="780" t="s">
        <v>134</v>
      </c>
      <c r="F8" s="780" t="s">
        <v>144</v>
      </c>
      <c r="G8" s="780" t="s">
        <v>134</v>
      </c>
      <c r="H8" s="780" t="s">
        <v>170</v>
      </c>
      <c r="I8" s="780" t="s">
        <v>170</v>
      </c>
      <c r="J8" s="780" t="s">
        <v>134</v>
      </c>
    </row>
    <row r="9" spans="1:46">
      <c r="A9" s="19"/>
      <c r="B9" s="19"/>
      <c r="C9" s="19"/>
      <c r="D9" s="19" t="s">
        <v>34</v>
      </c>
      <c r="E9" s="781" t="s">
        <v>35</v>
      </c>
      <c r="F9" s="781" t="s">
        <v>36</v>
      </c>
      <c r="G9" s="781" t="s">
        <v>37</v>
      </c>
      <c r="H9" s="781" t="s">
        <v>38</v>
      </c>
      <c r="I9" s="781" t="s">
        <v>39</v>
      </c>
      <c r="J9" s="781" t="s">
        <v>969</v>
      </c>
    </row>
    <row r="10" spans="1:46" ht="5.25" customHeight="1"/>
    <row r="11" spans="1:46" ht="3.75" customHeight="1">
      <c r="AT11" s="782"/>
    </row>
    <row r="12" spans="1:46" ht="3.75" customHeight="1">
      <c r="AT12" s="782"/>
    </row>
    <row r="13" spans="1:46">
      <c r="B13" s="381" t="s">
        <v>40</v>
      </c>
      <c r="AT13" s="782"/>
    </row>
    <row r="14" spans="1:46">
      <c r="A14" s="394">
        <v>1</v>
      </c>
      <c r="B14" s="395" t="s">
        <v>41</v>
      </c>
      <c r="C14" s="395"/>
      <c r="D14" s="395"/>
      <c r="E14" s="395">
        <f>'PC PROPOSED RATES-12.2022'!I14</f>
        <v>549403</v>
      </c>
      <c r="F14" s="395">
        <f>G14-E14</f>
        <v>0</v>
      </c>
      <c r="G14" s="395">
        <f>'ADJ DETAIL-INPUT'!BX13</f>
        <v>549403</v>
      </c>
      <c r="H14" s="395">
        <f>PCCF!J9</f>
        <v>382</v>
      </c>
      <c r="I14" s="395">
        <f>PCCF!K9</f>
        <v>2849</v>
      </c>
      <c r="J14" s="395">
        <f>G14+I14+H14</f>
        <v>552634</v>
      </c>
      <c r="AT14" s="782"/>
    </row>
    <row r="15" spans="1:46">
      <c r="A15" s="394">
        <v>2</v>
      </c>
      <c r="B15" s="396" t="s">
        <v>42</v>
      </c>
      <c r="C15" s="396"/>
      <c r="D15" s="396"/>
      <c r="E15" s="361">
        <f>'PC PROPOSED RATES-12.2022'!I15</f>
        <v>1173</v>
      </c>
      <c r="F15" s="361">
        <f>G15-E15</f>
        <v>0</v>
      </c>
      <c r="G15" s="361">
        <f>'ADJ DETAIL-INPUT'!BX14</f>
        <v>1173</v>
      </c>
      <c r="H15" s="405"/>
      <c r="I15" s="405"/>
      <c r="J15" s="783">
        <f>G15+I15+H15</f>
        <v>1173</v>
      </c>
      <c r="AT15" s="782"/>
    </row>
    <row r="16" spans="1:46">
      <c r="A16" s="394">
        <v>3</v>
      </c>
      <c r="B16" s="396" t="s">
        <v>43</v>
      </c>
      <c r="C16" s="396"/>
      <c r="D16" s="396"/>
      <c r="E16" s="784">
        <f>'PC PROPOSED RATES-12.2022'!I16</f>
        <v>89711</v>
      </c>
      <c r="F16" s="784">
        <f>G16-E16</f>
        <v>0</v>
      </c>
      <c r="G16" s="784">
        <f>'ADJ DETAIL-INPUT'!BX15</f>
        <v>89711</v>
      </c>
      <c r="H16" s="414"/>
      <c r="I16" s="414"/>
      <c r="J16" s="785">
        <f>G16+I16+H16</f>
        <v>89711</v>
      </c>
      <c r="AT16" s="782"/>
    </row>
    <row r="17" spans="1:46">
      <c r="A17" s="394">
        <v>4</v>
      </c>
      <c r="B17" s="396"/>
      <c r="C17" s="396" t="s">
        <v>44</v>
      </c>
      <c r="D17" s="396"/>
      <c r="E17" s="405">
        <f>SUM(E14:E16)</f>
        <v>640287</v>
      </c>
      <c r="F17" s="405">
        <f>SUM(F14:F16)</f>
        <v>0</v>
      </c>
      <c r="G17" s="395">
        <f>SUM(G14:G16)</f>
        <v>640287</v>
      </c>
      <c r="H17" s="405">
        <f t="shared" ref="H17:J17" si="0">SUM(H14:H16)</f>
        <v>382</v>
      </c>
      <c r="I17" s="405">
        <f t="shared" si="0"/>
        <v>2849</v>
      </c>
      <c r="J17" s="405">
        <f t="shared" si="0"/>
        <v>643518</v>
      </c>
      <c r="AT17" s="782"/>
    </row>
    <row r="18" spans="1:46">
      <c r="A18" s="394">
        <v>5</v>
      </c>
      <c r="B18" s="396" t="s">
        <v>45</v>
      </c>
      <c r="C18" s="396"/>
      <c r="D18" s="396"/>
      <c r="E18" s="800">
        <f>'PC PROPOSED RATES-12.2022'!I18</f>
        <v>35485</v>
      </c>
      <c r="F18" s="784">
        <f>G18-E18</f>
        <v>2797</v>
      </c>
      <c r="G18" s="784">
        <f>'ADJ DETAIL-INPUT'!BX17</f>
        <v>38282</v>
      </c>
      <c r="H18" s="414"/>
      <c r="I18" s="414"/>
      <c r="J18" s="785">
        <f>G18+I18+H18</f>
        <v>38282</v>
      </c>
      <c r="AT18" s="782"/>
    </row>
    <row r="19" spans="1:46">
      <c r="A19" s="394">
        <v>6</v>
      </c>
      <c r="B19" s="396"/>
      <c r="C19" s="396" t="s">
        <v>46</v>
      </c>
      <c r="D19" s="396"/>
      <c r="E19" s="405">
        <f>SUM(E17:E18)</f>
        <v>675772</v>
      </c>
      <c r="F19" s="405">
        <f t="shared" ref="F19:J19" si="1">SUM(F17:F18)</f>
        <v>2797</v>
      </c>
      <c r="G19" s="405">
        <f t="shared" si="1"/>
        <v>678569</v>
      </c>
      <c r="H19" s="405">
        <f>SUM(H17:H18)</f>
        <v>382</v>
      </c>
      <c r="I19" s="405">
        <f t="shared" si="1"/>
        <v>2849</v>
      </c>
      <c r="J19" s="405">
        <f t="shared" si="1"/>
        <v>681800</v>
      </c>
      <c r="AT19" s="782"/>
    </row>
    <row r="20" spans="1:46">
      <c r="A20" s="394"/>
      <c r="B20" s="396"/>
      <c r="C20" s="396"/>
      <c r="D20" s="396"/>
      <c r="E20" s="405"/>
      <c r="F20" s="405"/>
      <c r="G20" s="405"/>
      <c r="H20" s="405"/>
      <c r="I20" s="405"/>
      <c r="J20" s="405"/>
      <c r="AT20" s="782"/>
    </row>
    <row r="21" spans="1:46">
      <c r="A21" s="394"/>
      <c r="B21" s="396" t="s">
        <v>47</v>
      </c>
      <c r="C21" s="396"/>
      <c r="D21" s="396"/>
      <c r="E21" s="405"/>
      <c r="F21" s="405"/>
      <c r="G21" s="405"/>
      <c r="H21" s="405"/>
      <c r="I21" s="405"/>
      <c r="J21" s="405"/>
      <c r="AT21" s="782"/>
    </row>
    <row r="22" spans="1:46">
      <c r="A22" s="394"/>
      <c r="B22" s="396" t="s">
        <v>48</v>
      </c>
      <c r="C22" s="396"/>
      <c r="D22" s="396"/>
      <c r="E22" s="405"/>
      <c r="F22" s="405"/>
      <c r="G22" s="405"/>
      <c r="H22" s="405"/>
      <c r="I22" s="405"/>
      <c r="J22" s="405"/>
      <c r="M22" s="1152"/>
      <c r="N22" s="1309"/>
      <c r="O22" s="1309"/>
      <c r="AT22" s="782"/>
    </row>
    <row r="23" spans="1:46">
      <c r="A23" s="394">
        <v>7</v>
      </c>
      <c r="B23" s="396"/>
      <c r="C23" s="396" t="s">
        <v>49</v>
      </c>
      <c r="D23" s="396"/>
      <c r="E23" s="361">
        <f>'PC PROPOSED RATES-12.2022'!I23</f>
        <v>169358.677</v>
      </c>
      <c r="F23" s="361">
        <f t="shared" ref="F23:F27" si="2">G23-E23</f>
        <v>3045.7449999999953</v>
      </c>
      <c r="G23" s="361">
        <f>'ADJ DETAIL-INPUT'!BX22</f>
        <v>172404.42199999999</v>
      </c>
      <c r="H23" s="405"/>
      <c r="I23" s="405"/>
      <c r="J23" s="783">
        <f t="shared" ref="J23:J27" si="3">G23+I23+H23</f>
        <v>172404.42199999999</v>
      </c>
      <c r="M23" s="720"/>
      <c r="N23" s="248"/>
      <c r="O23" s="99"/>
      <c r="AT23" s="782"/>
    </row>
    <row r="24" spans="1:46">
      <c r="A24" s="394">
        <v>8</v>
      </c>
      <c r="B24" s="396"/>
      <c r="C24" s="396" t="s">
        <v>50</v>
      </c>
      <c r="D24" s="396"/>
      <c r="E24" s="361">
        <f>'PC PROPOSED RATES-12.2022'!I24</f>
        <v>79772</v>
      </c>
      <c r="F24" s="361">
        <f t="shared" si="2"/>
        <v>0</v>
      </c>
      <c r="G24" s="361">
        <f>'ADJ DETAIL-INPUT'!BX23</f>
        <v>79772</v>
      </c>
      <c r="H24" s="405"/>
      <c r="I24" s="405"/>
      <c r="J24" s="783">
        <f t="shared" si="3"/>
        <v>79772</v>
      </c>
      <c r="M24" s="720"/>
      <c r="N24" s="248"/>
      <c r="O24" s="99"/>
      <c r="AT24" s="782"/>
    </row>
    <row r="25" spans="1:46">
      <c r="A25" s="394">
        <v>9</v>
      </c>
      <c r="B25" s="396"/>
      <c r="C25" s="396" t="s">
        <v>539</v>
      </c>
      <c r="D25" s="396"/>
      <c r="E25" s="361">
        <f>'PC PROPOSED RATES-12.2022'!I25</f>
        <v>46296</v>
      </c>
      <c r="F25" s="361">
        <f t="shared" si="2"/>
        <v>656</v>
      </c>
      <c r="G25" s="361">
        <f>'ADJ DETAIL-INPUT'!BX24</f>
        <v>46952</v>
      </c>
      <c r="H25" s="405"/>
      <c r="I25" s="405"/>
      <c r="J25" s="783">
        <f t="shared" si="3"/>
        <v>46952</v>
      </c>
      <c r="M25" s="720"/>
      <c r="N25" s="248"/>
      <c r="O25" s="99"/>
      <c r="AT25" s="782"/>
    </row>
    <row r="26" spans="1:46">
      <c r="A26" s="394">
        <v>10</v>
      </c>
      <c r="B26" s="396"/>
      <c r="C26" s="396" t="s">
        <v>537</v>
      </c>
      <c r="D26" s="396"/>
      <c r="E26" s="361">
        <f>'PC PROPOSED RATES-12.2022'!I26</f>
        <v>-961</v>
      </c>
      <c r="F26" s="361">
        <f t="shared" si="2"/>
        <v>0</v>
      </c>
      <c r="G26" s="361">
        <f>'ADJ DETAIL-INPUT'!BX25</f>
        <v>-961</v>
      </c>
      <c r="H26" s="405"/>
      <c r="I26" s="405"/>
      <c r="J26" s="783">
        <f t="shared" si="3"/>
        <v>-961</v>
      </c>
      <c r="M26" s="720"/>
      <c r="N26" s="248"/>
      <c r="O26" s="99"/>
      <c r="AT26" s="782"/>
    </row>
    <row r="27" spans="1:46">
      <c r="A27" s="394">
        <v>11</v>
      </c>
      <c r="B27" s="396"/>
      <c r="C27" s="396" t="s">
        <v>27</v>
      </c>
      <c r="D27" s="396"/>
      <c r="E27" s="784">
        <f>'PC PROPOSED RATES-12.2022'!I27</f>
        <v>15885</v>
      </c>
      <c r="F27" s="784">
        <f t="shared" si="2"/>
        <v>153</v>
      </c>
      <c r="G27" s="784">
        <f>'ADJ DETAIL-INPUT'!BX26</f>
        <v>16038</v>
      </c>
      <c r="H27" s="414"/>
      <c r="I27" s="414"/>
      <c r="J27" s="785">
        <f t="shared" si="3"/>
        <v>16038</v>
      </c>
      <c r="M27" s="720"/>
      <c r="N27" s="248"/>
      <c r="O27" s="99"/>
      <c r="AT27" s="782"/>
    </row>
    <row r="28" spans="1:46">
      <c r="A28" s="394">
        <v>12</v>
      </c>
      <c r="B28" s="396"/>
      <c r="C28" s="396"/>
      <c r="D28" s="396" t="s">
        <v>51</v>
      </c>
      <c r="E28" s="405">
        <f>SUM(E23:E27)</f>
        <v>310350.67700000003</v>
      </c>
      <c r="F28" s="405">
        <f t="shared" ref="F28:J28" si="4">SUM(F23:F27)</f>
        <v>3854.7449999999953</v>
      </c>
      <c r="G28" s="405">
        <f t="shared" si="4"/>
        <v>314205.42200000002</v>
      </c>
      <c r="H28" s="405">
        <f>SUM(H23:H27)</f>
        <v>0</v>
      </c>
      <c r="I28" s="405">
        <f t="shared" si="4"/>
        <v>0</v>
      </c>
      <c r="J28" s="405">
        <f t="shared" si="4"/>
        <v>314205.42200000002</v>
      </c>
      <c r="M28" s="720"/>
      <c r="N28" s="249"/>
      <c r="O28" s="106"/>
      <c r="AT28" s="782"/>
    </row>
    <row r="29" spans="1:46" ht="7.5" customHeight="1">
      <c r="A29" s="394"/>
      <c r="B29" s="396"/>
      <c r="C29" s="396"/>
      <c r="D29" s="396"/>
      <c r="E29" s="405"/>
      <c r="F29" s="405"/>
      <c r="G29" s="405"/>
      <c r="H29" s="405"/>
      <c r="I29" s="405"/>
      <c r="J29" s="405"/>
      <c r="M29" s="720"/>
      <c r="N29" s="1149"/>
      <c r="O29" s="99"/>
      <c r="AT29" s="782"/>
    </row>
    <row r="30" spans="1:46">
      <c r="A30" s="394"/>
      <c r="B30" s="396" t="s">
        <v>52</v>
      </c>
      <c r="C30" s="396"/>
      <c r="D30" s="396"/>
      <c r="E30" s="405"/>
      <c r="F30" s="405"/>
      <c r="G30" s="405"/>
      <c r="H30" s="405"/>
      <c r="I30" s="405"/>
      <c r="J30" s="405"/>
      <c r="M30" s="720"/>
      <c r="N30" s="249"/>
      <c r="O30" s="106"/>
      <c r="AT30" s="782"/>
    </row>
    <row r="31" spans="1:46">
      <c r="A31" s="394">
        <v>13</v>
      </c>
      <c r="B31" s="396"/>
      <c r="C31" s="396" t="s">
        <v>49</v>
      </c>
      <c r="D31" s="396"/>
      <c r="E31" s="361">
        <f>'PC PROPOSED RATES-12.2022'!I31</f>
        <v>30316.898999999998</v>
      </c>
      <c r="F31" s="361">
        <f t="shared" ref="F31:F34" si="5">G31-E31</f>
        <v>1376.8300000000017</v>
      </c>
      <c r="G31" s="361">
        <f>'ADJ DETAIL-INPUT'!BX30</f>
        <v>31693.728999999999</v>
      </c>
      <c r="H31" s="405"/>
      <c r="I31" s="405"/>
      <c r="J31" s="783">
        <f t="shared" ref="J31:J34" si="6">G31+I31+H31</f>
        <v>31693.728999999999</v>
      </c>
      <c r="M31" s="720"/>
      <c r="N31" s="1152"/>
      <c r="O31" s="99"/>
      <c r="AT31" s="782"/>
    </row>
    <row r="32" spans="1:46">
      <c r="A32" s="394">
        <v>14</v>
      </c>
      <c r="B32" s="396"/>
      <c r="C32" s="396" t="s">
        <v>539</v>
      </c>
      <c r="D32" s="396"/>
      <c r="E32" s="361">
        <f>'PC PROPOSED RATES-12.2022'!I32</f>
        <v>39268</v>
      </c>
      <c r="F32" s="361">
        <f t="shared" si="5"/>
        <v>2816</v>
      </c>
      <c r="G32" s="361">
        <f>'ADJ DETAIL-INPUT'!BX31</f>
        <v>42084</v>
      </c>
      <c r="H32" s="405"/>
      <c r="I32" s="405"/>
      <c r="J32" s="783">
        <f t="shared" si="6"/>
        <v>42084</v>
      </c>
      <c r="AT32" s="782"/>
    </row>
    <row r="33" spans="1:46">
      <c r="A33" s="394" t="s">
        <v>1234</v>
      </c>
      <c r="B33" s="396"/>
      <c r="C33" s="399" t="s">
        <v>537</v>
      </c>
      <c r="D33" s="396"/>
      <c r="E33" s="361">
        <f>'PC PROPOSED RATES-12.2022'!I33</f>
        <v>62</v>
      </c>
      <c r="F33" s="361">
        <f t="shared" si="5"/>
        <v>46</v>
      </c>
      <c r="G33" s="361">
        <f>'ADJ DETAIL-INPUT'!BX32</f>
        <v>108</v>
      </c>
      <c r="H33" s="405"/>
      <c r="I33" s="405"/>
      <c r="J33" s="783">
        <f t="shared" si="6"/>
        <v>108</v>
      </c>
      <c r="AT33" s="782"/>
    </row>
    <row r="34" spans="1:46">
      <c r="A34" s="394">
        <v>15</v>
      </c>
      <c r="B34" s="396"/>
      <c r="C34" s="396" t="s">
        <v>27</v>
      </c>
      <c r="D34" s="396"/>
      <c r="E34" s="361">
        <f>'PC PROPOSED RATES-12.2022'!I34</f>
        <v>31297</v>
      </c>
      <c r="F34" s="361">
        <f t="shared" si="5"/>
        <v>473</v>
      </c>
      <c r="G34" s="784">
        <f>'ADJ DETAIL-INPUT'!BX33</f>
        <v>31770</v>
      </c>
      <c r="H34" s="405">
        <f>PCCF!J16</f>
        <v>15</v>
      </c>
      <c r="I34" s="405">
        <f>PCCF!K16</f>
        <v>110</v>
      </c>
      <c r="J34" s="783">
        <f t="shared" si="6"/>
        <v>31895</v>
      </c>
      <c r="AT34" s="782"/>
    </row>
    <row r="35" spans="1:46">
      <c r="A35" s="394">
        <v>17</v>
      </c>
      <c r="B35" s="396"/>
      <c r="C35" s="396"/>
      <c r="D35" s="396" t="s">
        <v>53</v>
      </c>
      <c r="E35" s="786">
        <f t="shared" ref="E35:J35" si="7">SUM(E31:E34)</f>
        <v>100943.899</v>
      </c>
      <c r="F35" s="786">
        <f t="shared" si="7"/>
        <v>4711.8300000000017</v>
      </c>
      <c r="G35" s="786">
        <f t="shared" si="7"/>
        <v>105655.72899999999</v>
      </c>
      <c r="H35" s="786">
        <f t="shared" si="7"/>
        <v>15</v>
      </c>
      <c r="I35" s="786">
        <f t="shared" si="7"/>
        <v>110</v>
      </c>
      <c r="J35" s="786">
        <f t="shared" si="7"/>
        <v>105780.72899999999</v>
      </c>
      <c r="AT35" s="782"/>
    </row>
    <row r="36" spans="1:46" ht="6.75" customHeight="1">
      <c r="A36" s="394"/>
      <c r="B36" s="396"/>
      <c r="C36" s="396"/>
      <c r="D36" s="396"/>
      <c r="E36" s="405"/>
      <c r="F36" s="405"/>
      <c r="G36" s="405"/>
      <c r="H36" s="405"/>
      <c r="I36" s="405"/>
      <c r="J36" s="405"/>
      <c r="AT36" s="782"/>
    </row>
    <row r="37" spans="1:46">
      <c r="A37" s="394">
        <v>18</v>
      </c>
      <c r="B37" s="396" t="s">
        <v>54</v>
      </c>
      <c r="C37" s="396"/>
      <c r="D37" s="396"/>
      <c r="E37" s="361">
        <f>'PC PROPOSED RATES-12.2022'!I37</f>
        <v>16343.476000000001</v>
      </c>
      <c r="F37" s="361">
        <f t="shared" ref="F37:F39" si="8">G37-E37</f>
        <v>302.30700000000252</v>
      </c>
      <c r="G37" s="361">
        <f>'ADJ DETAIL-INPUT'!BX36</f>
        <v>16645.783000000003</v>
      </c>
      <c r="H37" s="405">
        <f>PCCF!J12</f>
        <v>1</v>
      </c>
      <c r="I37" s="405">
        <f>PCCF!K12</f>
        <v>9</v>
      </c>
      <c r="J37" s="783">
        <f t="shared" ref="J37:J39" si="9">G37+I37+H37</f>
        <v>16655.783000000003</v>
      </c>
      <c r="AT37" s="782"/>
    </row>
    <row r="38" spans="1:46">
      <c r="A38" s="394">
        <v>19</v>
      </c>
      <c r="B38" s="396" t="s">
        <v>55</v>
      </c>
      <c r="C38" s="396"/>
      <c r="D38" s="396"/>
      <c r="E38" s="361">
        <f>'PC PROPOSED RATES-12.2022'!I38</f>
        <v>1298.9190000000001</v>
      </c>
      <c r="F38" s="361">
        <f t="shared" si="8"/>
        <v>80.297000000000025</v>
      </c>
      <c r="G38" s="361">
        <f>'ADJ DETAIL-INPUT'!BX37</f>
        <v>1379.2160000000001</v>
      </c>
      <c r="H38" s="405"/>
      <c r="I38" s="405"/>
      <c r="J38" s="783">
        <f t="shared" si="9"/>
        <v>1379.2160000000001</v>
      </c>
      <c r="AT38" s="782"/>
    </row>
    <row r="39" spans="1:46">
      <c r="A39" s="394">
        <v>20</v>
      </c>
      <c r="B39" s="396" t="s">
        <v>56</v>
      </c>
      <c r="C39" s="396"/>
      <c r="D39" s="396"/>
      <c r="E39" s="361">
        <f>'PC PROPOSED RATES-12.2022'!I39</f>
        <v>0</v>
      </c>
      <c r="F39" s="361">
        <f t="shared" si="8"/>
        <v>0</v>
      </c>
      <c r="G39" s="361">
        <f>'ADJ DETAIL-INPUT'!BX38</f>
        <v>0</v>
      </c>
      <c r="H39" s="405"/>
      <c r="I39" s="405"/>
      <c r="J39" s="783">
        <f t="shared" si="9"/>
        <v>0</v>
      </c>
      <c r="AT39" s="782"/>
    </row>
    <row r="40" spans="1:46" ht="6.75" customHeight="1">
      <c r="A40" s="396"/>
      <c r="B40" s="396"/>
      <c r="C40" s="396"/>
      <c r="D40" s="396"/>
      <c r="E40" s="405"/>
      <c r="F40" s="405"/>
      <c r="G40" s="405"/>
      <c r="H40" s="405"/>
      <c r="I40" s="405"/>
      <c r="J40" s="405"/>
      <c r="AT40" s="782"/>
    </row>
    <row r="41" spans="1:46">
      <c r="A41" s="394"/>
      <c r="B41" s="396" t="s">
        <v>57</v>
      </c>
      <c r="C41" s="396"/>
      <c r="D41" s="396"/>
      <c r="E41" s="405"/>
      <c r="F41" s="405"/>
      <c r="G41" s="405"/>
      <c r="H41" s="405"/>
      <c r="I41" s="405"/>
      <c r="J41" s="405"/>
      <c r="AT41" s="782"/>
    </row>
    <row r="42" spans="1:46">
      <c r="A42" s="394">
        <v>21</v>
      </c>
      <c r="B42" s="396"/>
      <c r="C42" s="396" t="s">
        <v>49</v>
      </c>
      <c r="D42" s="396"/>
      <c r="E42" s="361">
        <f>'PC PROPOSED RATES-12.2022'!I42</f>
        <v>79671.592962025316</v>
      </c>
      <c r="F42" s="361">
        <f t="shared" ref="F42:F45" si="10">G42-E42</f>
        <v>-626.06641772152216</v>
      </c>
      <c r="G42" s="361">
        <f>'ADJ DETAIL-INPUT'!BX41</f>
        <v>79045.526544303793</v>
      </c>
      <c r="H42" s="405">
        <f>PCCF!J14</f>
        <v>1</v>
      </c>
      <c r="I42" s="405">
        <f>PCCF!K14</f>
        <v>6</v>
      </c>
      <c r="J42" s="783">
        <f t="shared" ref="J42:J45" si="11">G42+I42+H42</f>
        <v>79052.526544303793</v>
      </c>
      <c r="AT42" s="782"/>
    </row>
    <row r="43" spans="1:46">
      <c r="A43" s="394">
        <v>22</v>
      </c>
      <c r="B43" s="396"/>
      <c r="C43" s="396" t="s">
        <v>539</v>
      </c>
      <c r="D43" s="396"/>
      <c r="E43" s="361">
        <f>'PC PROPOSED RATES-12.2022'!I43</f>
        <v>42963</v>
      </c>
      <c r="F43" s="361">
        <f t="shared" si="10"/>
        <v>-1296</v>
      </c>
      <c r="G43" s="361">
        <f>'ADJ DETAIL-INPUT'!BX42</f>
        <v>41667</v>
      </c>
      <c r="H43" s="405"/>
      <c r="I43" s="405"/>
      <c r="J43" s="783">
        <f t="shared" si="11"/>
        <v>41667</v>
      </c>
      <c r="AT43" s="782"/>
    </row>
    <row r="44" spans="1:46">
      <c r="A44" s="394">
        <v>22</v>
      </c>
      <c r="B44" s="396"/>
      <c r="C44" s="396" t="s">
        <v>537</v>
      </c>
      <c r="D44" s="396"/>
      <c r="E44" s="361">
        <f>'PC PROPOSED RATES-12.2022'!I44</f>
        <v>-3650.5</v>
      </c>
      <c r="F44" s="361">
        <f t="shared" si="10"/>
        <v>0</v>
      </c>
      <c r="G44" s="361">
        <f>'ADJ DETAIL-INPUT'!BX43</f>
        <v>-3650.5</v>
      </c>
      <c r="H44" s="405"/>
      <c r="I44" s="405"/>
      <c r="J44" s="783">
        <f t="shared" si="11"/>
        <v>-3650.5</v>
      </c>
      <c r="AT44" s="782"/>
    </row>
    <row r="45" spans="1:46">
      <c r="A45" s="394">
        <v>23</v>
      </c>
      <c r="B45" s="396"/>
      <c r="C45" s="396" t="s">
        <v>27</v>
      </c>
      <c r="D45" s="396"/>
      <c r="E45" s="784">
        <f>'PC PROPOSED RATES-12.2022'!I45</f>
        <v>3632</v>
      </c>
      <c r="F45" s="784">
        <f t="shared" si="10"/>
        <v>0</v>
      </c>
      <c r="G45" s="784">
        <f>'ADJ DETAIL-INPUT'!BX44</f>
        <v>3632</v>
      </c>
      <c r="H45" s="414"/>
      <c r="I45" s="414"/>
      <c r="J45" s="785">
        <f t="shared" si="11"/>
        <v>3632</v>
      </c>
      <c r="AT45" s="782"/>
    </row>
    <row r="46" spans="1:46">
      <c r="A46" s="394">
        <v>24</v>
      </c>
      <c r="B46" s="396"/>
      <c r="C46" s="396"/>
      <c r="D46" s="396" t="s">
        <v>58</v>
      </c>
      <c r="E46" s="414">
        <f t="shared" ref="E46:J46" si="12">SUM(E42:E45)</f>
        <v>122616.09296202532</v>
      </c>
      <c r="F46" s="414">
        <f t="shared" si="12"/>
        <v>-1922.0664177215222</v>
      </c>
      <c r="G46" s="414">
        <f t="shared" si="12"/>
        <v>120694.02654430379</v>
      </c>
      <c r="H46" s="414">
        <f t="shared" si="12"/>
        <v>1</v>
      </c>
      <c r="I46" s="414">
        <f t="shared" si="12"/>
        <v>6</v>
      </c>
      <c r="J46" s="414">
        <f t="shared" si="12"/>
        <v>120701.02654430379</v>
      </c>
      <c r="AT46" s="782"/>
    </row>
    <row r="47" spans="1:46">
      <c r="A47" s="394">
        <v>25</v>
      </c>
      <c r="B47" s="396" t="s">
        <v>59</v>
      </c>
      <c r="C47" s="396"/>
      <c r="D47" s="396"/>
      <c r="E47" s="414">
        <f t="shared" ref="E47:J47" si="13">E28+E35+E37+E38+E39+E46</f>
        <v>551553.06396202534</v>
      </c>
      <c r="F47" s="414">
        <f t="shared" si="13"/>
        <v>7027.1125822784779</v>
      </c>
      <c r="G47" s="414">
        <f t="shared" si="13"/>
        <v>558580.17654430377</v>
      </c>
      <c r="H47" s="414">
        <f t="shared" si="13"/>
        <v>17</v>
      </c>
      <c r="I47" s="414">
        <f t="shared" si="13"/>
        <v>125</v>
      </c>
      <c r="J47" s="414">
        <f t="shared" si="13"/>
        <v>558722.17654430377</v>
      </c>
      <c r="AT47" s="782"/>
    </row>
    <row r="48" spans="1:46" ht="7.5" customHeight="1">
      <c r="A48" s="394"/>
      <c r="B48" s="396"/>
      <c r="C48" s="396"/>
      <c r="D48" s="396"/>
      <c r="E48" s="405"/>
      <c r="F48" s="405"/>
      <c r="G48" s="405"/>
      <c r="H48" s="405"/>
      <c r="I48" s="405"/>
      <c r="J48" s="405"/>
      <c r="AT48" s="782"/>
    </row>
    <row r="49" spans="1:46">
      <c r="A49" s="394">
        <v>26</v>
      </c>
      <c r="B49" s="396" t="s">
        <v>60</v>
      </c>
      <c r="C49" s="396"/>
      <c r="D49" s="396"/>
      <c r="E49" s="405">
        <f>E19-E47</f>
        <v>124218.93603797466</v>
      </c>
      <c r="F49" s="405">
        <f t="shared" ref="F49:J49" si="14">F19-F47</f>
        <v>-4230.1125822784779</v>
      </c>
      <c r="G49" s="405">
        <f t="shared" si="14"/>
        <v>119988.82345569623</v>
      </c>
      <c r="H49" s="405">
        <f t="shared" si="14"/>
        <v>365</v>
      </c>
      <c r="I49" s="405">
        <f t="shared" si="14"/>
        <v>2724</v>
      </c>
      <c r="J49" s="405">
        <f t="shared" si="14"/>
        <v>123077.82345569623</v>
      </c>
      <c r="AT49" s="782"/>
    </row>
    <row r="50" spans="1:46" ht="9" customHeight="1">
      <c r="A50" s="394"/>
      <c r="B50" s="396"/>
      <c r="C50" s="396"/>
      <c r="D50" s="396"/>
      <c r="E50" s="405"/>
      <c r="F50" s="405"/>
      <c r="G50" s="405"/>
      <c r="H50" s="405"/>
      <c r="I50" s="405"/>
      <c r="J50" s="405"/>
      <c r="AT50" s="782"/>
    </row>
    <row r="51" spans="1:46">
      <c r="A51" s="394"/>
      <c r="B51" s="396" t="s">
        <v>61</v>
      </c>
      <c r="C51" s="396"/>
      <c r="D51" s="396"/>
      <c r="E51" s="405"/>
      <c r="F51" s="405"/>
      <c r="G51" s="405"/>
      <c r="H51" s="405"/>
      <c r="I51" s="405"/>
      <c r="J51" s="405"/>
      <c r="AT51" s="782"/>
    </row>
    <row r="52" spans="1:46">
      <c r="A52" s="394">
        <v>27</v>
      </c>
      <c r="B52" s="396" t="s">
        <v>62</v>
      </c>
      <c r="C52" s="396"/>
      <c r="D52" s="396"/>
      <c r="E52" s="361">
        <f>'PC PROPOSED RATES-12.2022'!I52</f>
        <v>5118.3965679746825</v>
      </c>
      <c r="F52" s="361">
        <f t="shared" ref="F52:F56" si="15">G52-E52</f>
        <v>-888.12364227848138</v>
      </c>
      <c r="G52" s="361">
        <f>'ADJ DETAIL-INPUT'!BX51</f>
        <v>4230.2729256962011</v>
      </c>
      <c r="H52" s="405">
        <f>PCCF!J22</f>
        <v>77</v>
      </c>
      <c r="I52" s="405">
        <f>PCCF!K22</f>
        <v>572</v>
      </c>
      <c r="J52" s="783">
        <f>G52+I52+H52</f>
        <v>4879.2729256962011</v>
      </c>
      <c r="AT52" s="782"/>
    </row>
    <row r="53" spans="1:46">
      <c r="A53" s="394">
        <v>28</v>
      </c>
      <c r="B53" s="381" t="s">
        <v>259</v>
      </c>
      <c r="E53" s="361">
        <f>'PC PROPOSED RATES-12.2022'!I53</f>
        <v>-1131.2259693150695</v>
      </c>
      <c r="F53" s="361">
        <f t="shared" si="15"/>
        <v>-418.78447051449098</v>
      </c>
      <c r="G53" s="361">
        <f>'ADJ DETAIL-INPUT'!BX52</f>
        <v>-1550.0104398295605</v>
      </c>
      <c r="H53" s="405"/>
      <c r="I53" s="405"/>
      <c r="J53" s="783">
        <f t="shared" ref="J53:J56" si="16">G53+I53+H53</f>
        <v>-1550.0104398295605</v>
      </c>
      <c r="AT53" s="782"/>
    </row>
    <row r="54" spans="1:46">
      <c r="A54" s="394">
        <v>29</v>
      </c>
      <c r="B54" s="396" t="s">
        <v>63</v>
      </c>
      <c r="C54" s="396"/>
      <c r="D54" s="396"/>
      <c r="E54" s="361">
        <f>'PC PROPOSED RATES-12.2022'!I54</f>
        <v>5646</v>
      </c>
      <c r="F54" s="361">
        <f t="shared" si="15"/>
        <v>842</v>
      </c>
      <c r="G54" s="361">
        <f>'ADJ DETAIL-INPUT'!BX53</f>
        <v>6488</v>
      </c>
      <c r="H54" s="405"/>
      <c r="I54" s="405"/>
      <c r="J54" s="783">
        <f t="shared" si="16"/>
        <v>6488</v>
      </c>
      <c r="AT54" s="782"/>
    </row>
    <row r="55" spans="1:46">
      <c r="A55" s="394">
        <v>30</v>
      </c>
      <c r="B55" s="396" t="s">
        <v>64</v>
      </c>
      <c r="C55" s="396"/>
      <c r="D55" s="396"/>
      <c r="E55" s="784">
        <f>'PC PROPOSED RATES-12.2022'!I55</f>
        <v>-318</v>
      </c>
      <c r="F55" s="784">
        <f t="shared" si="15"/>
        <v>0</v>
      </c>
      <c r="G55" s="784">
        <f>'ADJ DETAIL-INPUT'!BX54</f>
        <v>-318</v>
      </c>
      <c r="H55" s="414"/>
      <c r="I55" s="414"/>
      <c r="J55" s="785">
        <f t="shared" si="16"/>
        <v>-318</v>
      </c>
      <c r="AT55" s="782"/>
    </row>
    <row r="56" spans="1:46" ht="10.5" customHeight="1">
      <c r="A56" s="394" t="s">
        <v>1026</v>
      </c>
      <c r="B56" s="1361" t="s">
        <v>1025</v>
      </c>
      <c r="C56" s="1361"/>
      <c r="D56" s="1361"/>
      <c r="E56" s="784">
        <f>'PC PROPOSED RATES-12.2022'!I56</f>
        <v>0</v>
      </c>
      <c r="F56" s="784">
        <f t="shared" si="15"/>
        <v>0</v>
      </c>
      <c r="G56" s="784">
        <f>'ADJ DETAIL-INPUT'!BX55</f>
        <v>0</v>
      </c>
      <c r="H56" s="414"/>
      <c r="I56" s="414"/>
      <c r="J56" s="785">
        <f t="shared" si="16"/>
        <v>0</v>
      </c>
      <c r="AT56" s="782"/>
    </row>
    <row r="57" spans="1:46" ht="13.5" thickBot="1">
      <c r="A57" s="767">
        <v>31</v>
      </c>
      <c r="B57" s="395" t="s">
        <v>65</v>
      </c>
      <c r="C57" s="395"/>
      <c r="D57" s="395"/>
      <c r="E57" s="507">
        <f>E49-SUM(E52:E56)</f>
        <v>114903.76543931506</v>
      </c>
      <c r="F57" s="424">
        <f t="shared" ref="F57:I57" si="17">F49-SUM(F52:F56)</f>
        <v>-3765.2044694855058</v>
      </c>
      <c r="G57" s="424">
        <f t="shared" si="17"/>
        <v>111138.56096982959</v>
      </c>
      <c r="H57" s="424">
        <f t="shared" si="17"/>
        <v>288</v>
      </c>
      <c r="I57" s="424">
        <f t="shared" si="17"/>
        <v>2152</v>
      </c>
      <c r="J57" s="507">
        <f>J49-SUM(J52:J56)</f>
        <v>113578.56096982959</v>
      </c>
      <c r="AT57" s="782"/>
    </row>
    <row r="58" spans="1:46" ht="6.75" customHeight="1" thickTop="1">
      <c r="E58" s="405"/>
      <c r="F58" s="405"/>
      <c r="G58" s="405"/>
      <c r="H58" s="405"/>
      <c r="I58" s="405"/>
      <c r="J58" s="405"/>
      <c r="AT58" s="782"/>
    </row>
    <row r="59" spans="1:46">
      <c r="B59" s="381" t="s">
        <v>66</v>
      </c>
      <c r="E59" s="405"/>
      <c r="F59" s="405"/>
      <c r="G59" s="405"/>
      <c r="H59" s="405"/>
      <c r="I59" s="405"/>
      <c r="J59" s="405"/>
      <c r="AT59" s="782"/>
    </row>
    <row r="60" spans="1:46">
      <c r="A60" s="394"/>
      <c r="B60" s="381" t="s">
        <v>67</v>
      </c>
      <c r="E60" s="405"/>
      <c r="F60" s="405"/>
      <c r="G60" s="405"/>
      <c r="H60" s="405"/>
      <c r="I60" s="405"/>
      <c r="J60" s="405"/>
      <c r="AT60" s="782"/>
    </row>
    <row r="61" spans="1:46">
      <c r="A61" s="394">
        <v>32</v>
      </c>
      <c r="B61" s="395"/>
      <c r="C61" s="395" t="s">
        <v>68</v>
      </c>
      <c r="D61" s="395"/>
      <c r="E61" s="361">
        <f>'PC PROPOSED RATES-12.2022'!I61</f>
        <v>242477</v>
      </c>
      <c r="F61" s="395">
        <f t="shared" ref="F61:F65" si="18">G61-E61</f>
        <v>-146</v>
      </c>
      <c r="G61" s="395">
        <f>'ADJ DETAIL-INPUT'!BX60</f>
        <v>242331</v>
      </c>
      <c r="H61" s="395"/>
      <c r="I61" s="395"/>
      <c r="J61" s="395">
        <f>G61+I61+H61</f>
        <v>242331</v>
      </c>
      <c r="AT61" s="782"/>
    </row>
    <row r="62" spans="1:46">
      <c r="A62" s="394">
        <v>33</v>
      </c>
      <c r="B62" s="396"/>
      <c r="C62" s="396" t="s">
        <v>69</v>
      </c>
      <c r="D62" s="396"/>
      <c r="E62" s="361">
        <f>'PC PROPOSED RATES-12.2022'!I62</f>
        <v>1035013</v>
      </c>
      <c r="F62" s="361">
        <f t="shared" si="18"/>
        <v>22238</v>
      </c>
      <c r="G62" s="361">
        <f>'ADJ DETAIL-INPUT'!BX61</f>
        <v>1057251</v>
      </c>
      <c r="H62" s="405"/>
      <c r="I62" s="405"/>
      <c r="J62" s="405">
        <f>G62+I62+H62</f>
        <v>1057251</v>
      </c>
      <c r="AT62" s="782"/>
    </row>
    <row r="63" spans="1:46">
      <c r="A63" s="394">
        <v>34</v>
      </c>
      <c r="B63" s="396"/>
      <c r="C63" s="396" t="s">
        <v>70</v>
      </c>
      <c r="D63" s="396"/>
      <c r="E63" s="361">
        <f>'PC PROPOSED RATES-12.2022'!I63</f>
        <v>659623</v>
      </c>
      <c r="F63" s="361">
        <f t="shared" si="18"/>
        <v>30144</v>
      </c>
      <c r="G63" s="361">
        <f>'ADJ DETAIL-INPUT'!BX62</f>
        <v>689767</v>
      </c>
      <c r="H63" s="405"/>
      <c r="I63" s="405"/>
      <c r="J63" s="405">
        <f t="shared" ref="J63:J65" si="19">G63+I63+H63</f>
        <v>689767</v>
      </c>
      <c r="AT63" s="782"/>
    </row>
    <row r="64" spans="1:46">
      <c r="A64" s="394">
        <v>35</v>
      </c>
      <c r="B64" s="396"/>
      <c r="C64" s="396" t="s">
        <v>52</v>
      </c>
      <c r="D64" s="396"/>
      <c r="E64" s="361">
        <f>'PC PROPOSED RATES-12.2022'!I64</f>
        <v>1495321</v>
      </c>
      <c r="F64" s="361">
        <f t="shared" si="18"/>
        <v>106021</v>
      </c>
      <c r="G64" s="361">
        <f>'ADJ DETAIL-INPUT'!BX63</f>
        <v>1601342</v>
      </c>
      <c r="H64" s="405"/>
      <c r="I64" s="405"/>
      <c r="J64" s="405">
        <f t="shared" si="19"/>
        <v>1601342</v>
      </c>
      <c r="AT64" s="782"/>
    </row>
    <row r="65" spans="1:46">
      <c r="A65" s="394">
        <v>36</v>
      </c>
      <c r="B65" s="396"/>
      <c r="C65" s="396" t="s">
        <v>71</v>
      </c>
      <c r="D65" s="396"/>
      <c r="E65" s="784">
        <f>'PC PROPOSED RATES-12.2022'!I65</f>
        <v>328072</v>
      </c>
      <c r="F65" s="784">
        <f t="shared" si="18"/>
        <v>2489</v>
      </c>
      <c r="G65" s="784">
        <f>'ADJ DETAIL-INPUT'!BX64</f>
        <v>330561</v>
      </c>
      <c r="H65" s="414"/>
      <c r="I65" s="414"/>
      <c r="J65" s="414">
        <f t="shared" si="19"/>
        <v>330561</v>
      </c>
      <c r="AT65" s="782"/>
    </row>
    <row r="66" spans="1:46">
      <c r="A66" s="394">
        <v>37</v>
      </c>
      <c r="B66" s="396"/>
      <c r="C66" s="396"/>
      <c r="D66" s="396" t="s">
        <v>72</v>
      </c>
      <c r="E66" s="405">
        <f>SUM(E61:E65)</f>
        <v>3760506</v>
      </c>
      <c r="F66" s="405">
        <f t="shared" ref="F66:I66" si="20">SUM(F61:F65)</f>
        <v>160746</v>
      </c>
      <c r="G66" s="405">
        <f>SUM(G61:G65)</f>
        <v>3921252</v>
      </c>
      <c r="H66" s="405">
        <f>SUM(H61:H65)</f>
        <v>0</v>
      </c>
      <c r="I66" s="405">
        <f t="shared" si="20"/>
        <v>0</v>
      </c>
      <c r="J66" s="405">
        <f>SUM(J61:J65)</f>
        <v>3921252</v>
      </c>
      <c r="AT66" s="782"/>
    </row>
    <row r="67" spans="1:46">
      <c r="A67" s="397"/>
      <c r="B67" s="396" t="s">
        <v>218</v>
      </c>
      <c r="C67" s="396"/>
      <c r="D67" s="396"/>
      <c r="E67" s="405"/>
      <c r="F67" s="405"/>
      <c r="G67" s="405"/>
      <c r="H67" s="405"/>
      <c r="I67" s="405"/>
      <c r="J67" s="405"/>
      <c r="AT67" s="782"/>
    </row>
    <row r="68" spans="1:46">
      <c r="A68" s="397">
        <v>38</v>
      </c>
      <c r="B68" s="396"/>
      <c r="C68" s="395" t="s">
        <v>213</v>
      </c>
      <c r="D68" s="396"/>
      <c r="E68" s="361">
        <f>'PC PROPOSED RATES-12.2022'!I68</f>
        <v>-130903.52452415468</v>
      </c>
      <c r="F68" s="361">
        <f t="shared" ref="F68:F72" si="21">G68-E68</f>
        <v>-6532.6830161031248</v>
      </c>
      <c r="G68" s="361">
        <f>'ADJ DETAIL-INPUT'!BX67</f>
        <v>-137436.2075402578</v>
      </c>
      <c r="H68" s="405"/>
      <c r="I68" s="405"/>
      <c r="J68" s="405">
        <f t="shared" ref="J68:J72" si="22">G68+I68+H68</f>
        <v>-137436.2075402578</v>
      </c>
      <c r="AT68" s="782"/>
    </row>
    <row r="69" spans="1:46">
      <c r="A69" s="397">
        <v>39</v>
      </c>
      <c r="B69" s="396"/>
      <c r="C69" s="396" t="s">
        <v>214</v>
      </c>
      <c r="D69" s="396"/>
      <c r="E69" s="361">
        <f>'PC PROPOSED RATES-12.2022'!I69</f>
        <v>-482873.55850259442</v>
      </c>
      <c r="F69" s="361">
        <f t="shared" si="21"/>
        <v>-27897.372335062944</v>
      </c>
      <c r="G69" s="361">
        <f>'ADJ DETAIL-INPUT'!BX68</f>
        <v>-510770.93083765736</v>
      </c>
      <c r="H69" s="405"/>
      <c r="I69" s="405"/>
      <c r="J69" s="405">
        <f t="shared" si="22"/>
        <v>-510770.93083765736</v>
      </c>
      <c r="AT69" s="782"/>
    </row>
    <row r="70" spans="1:46">
      <c r="A70" s="397">
        <v>40</v>
      </c>
      <c r="B70" s="396"/>
      <c r="C70" s="396" t="s">
        <v>215</v>
      </c>
      <c r="D70" s="396"/>
      <c r="E70" s="361">
        <f>'PC PROPOSED RATES-12.2022'!I70</f>
        <v>-177972.31010866776</v>
      </c>
      <c r="F70" s="361">
        <f t="shared" si="21"/>
        <v>-11362.673231410939</v>
      </c>
      <c r="G70" s="361">
        <f>'ADJ DETAIL-INPUT'!BX69</f>
        <v>-189334.9833400787</v>
      </c>
      <c r="H70" s="405"/>
      <c r="I70" s="405"/>
      <c r="J70" s="405">
        <f t="shared" si="22"/>
        <v>-189334.9833400787</v>
      </c>
      <c r="AT70" s="782"/>
    </row>
    <row r="71" spans="1:46">
      <c r="A71" s="397">
        <v>41</v>
      </c>
      <c r="B71" s="396"/>
      <c r="C71" s="396" t="s">
        <v>199</v>
      </c>
      <c r="D71" s="396"/>
      <c r="E71" s="361">
        <f>'PC PROPOSED RATES-12.2022'!I71</f>
        <v>-452567.55828282621</v>
      </c>
      <c r="F71" s="361">
        <f t="shared" si="21"/>
        <v>-31350.372188550828</v>
      </c>
      <c r="G71" s="361">
        <f>'ADJ DETAIL-INPUT'!BX70</f>
        <v>-483917.93047137704</v>
      </c>
      <c r="H71" s="405"/>
      <c r="I71" s="405"/>
      <c r="J71" s="405">
        <f t="shared" si="22"/>
        <v>-483917.93047137704</v>
      </c>
      <c r="AT71" s="782"/>
    </row>
    <row r="72" spans="1:46">
      <c r="A72" s="397">
        <v>42</v>
      </c>
      <c r="B72" s="396"/>
      <c r="C72" s="396" t="s">
        <v>216</v>
      </c>
      <c r="D72" s="396"/>
      <c r="E72" s="784">
        <f>'PC PROPOSED RATES-12.2022'!I72</f>
        <v>-117806.37125091649</v>
      </c>
      <c r="F72" s="361">
        <f t="shared" si="21"/>
        <v>557.41916605566803</v>
      </c>
      <c r="G72" s="784">
        <f>'ADJ DETAIL-INPUT'!BX71</f>
        <v>-117248.95208486082</v>
      </c>
      <c r="H72" s="414"/>
      <c r="I72" s="414"/>
      <c r="J72" s="414">
        <f t="shared" si="22"/>
        <v>-117248.95208486082</v>
      </c>
      <c r="AT72" s="782"/>
    </row>
    <row r="73" spans="1:46">
      <c r="A73" s="397">
        <v>43</v>
      </c>
      <c r="B73" s="396" t="s">
        <v>262</v>
      </c>
      <c r="C73" s="396"/>
      <c r="D73" s="396"/>
      <c r="E73" s="787">
        <f>SUM(E68:E72)</f>
        <v>-1362123.3226691594</v>
      </c>
      <c r="F73" s="787">
        <f t="shared" ref="F73" si="23">SUM(F68:F72)</f>
        <v>-76585.681605072168</v>
      </c>
      <c r="G73" s="787">
        <f>SUM(G68:G72)</f>
        <v>-1438709.0042742316</v>
      </c>
      <c r="H73" s="787">
        <f>SUM(H68:H72)</f>
        <v>0</v>
      </c>
      <c r="I73" s="787">
        <f>SUM(I68:I72)</f>
        <v>0</v>
      </c>
      <c r="J73" s="787">
        <f>SUM(J68:J72)</f>
        <v>-1438709.0042742316</v>
      </c>
      <c r="AT73" s="782"/>
    </row>
    <row r="74" spans="1:46">
      <c r="A74" s="397">
        <v>44</v>
      </c>
      <c r="B74" s="396" t="s">
        <v>544</v>
      </c>
      <c r="C74" s="396"/>
      <c r="D74" s="395"/>
      <c r="E74" s="405">
        <f>E66+E73</f>
        <v>2398382.6773308404</v>
      </c>
      <c r="F74" s="405">
        <f t="shared" ref="F74:J74" si="24">F66+F73</f>
        <v>84160.318394927832</v>
      </c>
      <c r="G74" s="405">
        <f t="shared" si="24"/>
        <v>2482542.9957257686</v>
      </c>
      <c r="H74" s="405">
        <f>H66+H73</f>
        <v>0</v>
      </c>
      <c r="I74" s="405">
        <f t="shared" si="24"/>
        <v>0</v>
      </c>
      <c r="J74" s="405">
        <f t="shared" si="24"/>
        <v>2482542.9957257686</v>
      </c>
      <c r="AT74" s="782"/>
    </row>
    <row r="75" spans="1:46" ht="5.25" customHeight="1">
      <c r="A75" s="397"/>
      <c r="B75" s="396"/>
      <c r="C75" s="396"/>
      <c r="E75" s="322"/>
      <c r="F75" s="322"/>
      <c r="G75" s="322"/>
      <c r="H75" s="322"/>
      <c r="I75" s="322"/>
      <c r="J75" s="322"/>
      <c r="AT75" s="782"/>
    </row>
    <row r="76" spans="1:46">
      <c r="A76" s="398">
        <v>45</v>
      </c>
      <c r="B76" s="396" t="s">
        <v>219</v>
      </c>
      <c r="C76" s="396"/>
      <c r="D76" s="396"/>
      <c r="E76" s="784">
        <f>'PC PROPOSED RATES-12.2022'!I76</f>
        <v>-414327</v>
      </c>
      <c r="F76" s="784">
        <f t="shared" ref="F76" si="25">G76-E76</f>
        <v>-2654</v>
      </c>
      <c r="G76" s="784">
        <f>'ADJ DETAIL-INPUT'!BX75</f>
        <v>-416981</v>
      </c>
      <c r="H76" s="788"/>
      <c r="I76" s="788"/>
      <c r="J76" s="414">
        <f t="shared" ref="J76" si="26">G76+I76+H76</f>
        <v>-416981</v>
      </c>
      <c r="AT76" s="782"/>
    </row>
    <row r="77" spans="1:46">
      <c r="A77" s="398">
        <v>46</v>
      </c>
      <c r="B77" s="396"/>
      <c r="C77" s="396" t="s">
        <v>543</v>
      </c>
      <c r="D77" s="396"/>
      <c r="E77" s="405">
        <f>SUM(E74:E76)</f>
        <v>1984055.6773308404</v>
      </c>
      <c r="F77" s="405">
        <f t="shared" ref="F77:J77" si="27">SUM(F74:F76)</f>
        <v>81506.318394927832</v>
      </c>
      <c r="G77" s="405">
        <f t="shared" si="27"/>
        <v>2065561.9957257686</v>
      </c>
      <c r="H77" s="405">
        <f>SUM(H74:H76)</f>
        <v>0</v>
      </c>
      <c r="I77" s="405">
        <f t="shared" si="27"/>
        <v>0</v>
      </c>
      <c r="J77" s="405">
        <f t="shared" si="27"/>
        <v>2065561.9957257686</v>
      </c>
      <c r="AT77" s="782"/>
    </row>
    <row r="78" spans="1:46">
      <c r="A78" s="397">
        <v>47</v>
      </c>
      <c r="B78" s="396" t="s">
        <v>264</v>
      </c>
      <c r="C78" s="396"/>
      <c r="E78" s="361">
        <f>'PC PROPOSED RATES-12.2022'!I78</f>
        <v>7389</v>
      </c>
      <c r="F78" s="361">
        <f t="shared" ref="F78:F79" si="28">G78-E78</f>
        <v>-769</v>
      </c>
      <c r="G78" s="361">
        <f>'ADJ DETAIL-INPUT'!BX77</f>
        <v>6620</v>
      </c>
      <c r="J78" s="405">
        <f t="shared" ref="J78:J79" si="29">G78+I78+H78</f>
        <v>6620</v>
      </c>
      <c r="AT78" s="782"/>
    </row>
    <row r="79" spans="1:46">
      <c r="A79" s="397">
        <v>48</v>
      </c>
      <c r="B79" s="396" t="s">
        <v>252</v>
      </c>
      <c r="C79" s="396"/>
      <c r="E79" s="784">
        <f>'PC PROPOSED RATES-12.2022'!I79</f>
        <v>51300</v>
      </c>
      <c r="F79" s="784">
        <f t="shared" si="28"/>
        <v>0</v>
      </c>
      <c r="G79" s="784">
        <f>'ADJ DETAIL-INPUT'!BX78</f>
        <v>51300</v>
      </c>
      <c r="H79" s="788"/>
      <c r="I79" s="788"/>
      <c r="J79" s="414">
        <f t="shared" si="29"/>
        <v>51300</v>
      </c>
      <c r="AT79" s="782"/>
    </row>
    <row r="80" spans="1:46">
      <c r="A80" s="398"/>
      <c r="B80" s="396"/>
      <c r="C80" s="396"/>
      <c r="D80" s="396"/>
      <c r="AT80" s="782"/>
    </row>
    <row r="81" spans="1:46" ht="13.5" thickBot="1">
      <c r="A81" s="394">
        <v>49</v>
      </c>
      <c r="B81" s="395" t="s">
        <v>220</v>
      </c>
      <c r="C81" s="395"/>
      <c r="D81" s="395"/>
      <c r="E81" s="789">
        <f>SUM(E77:E79)</f>
        <v>2042744.6773308404</v>
      </c>
      <c r="F81" s="790">
        <f>SUM(F77:F79)</f>
        <v>80737.318394927832</v>
      </c>
      <c r="G81" s="789">
        <f t="shared" ref="G81:J81" si="30">SUM(G77:G79)</f>
        <v>2123481.9957257686</v>
      </c>
      <c r="H81" s="789">
        <f t="shared" si="30"/>
        <v>0</v>
      </c>
      <c r="I81" s="789">
        <f t="shared" si="30"/>
        <v>0</v>
      </c>
      <c r="J81" s="789">
        <f t="shared" si="30"/>
        <v>2123481.9957257686</v>
      </c>
      <c r="AT81" s="782"/>
    </row>
    <row r="82" spans="1:46" ht="13.5" thickTop="1">
      <c r="A82" s="394">
        <v>50</v>
      </c>
      <c r="B82" s="381" t="s">
        <v>614</v>
      </c>
      <c r="E82" s="255">
        <f>ROUND(E57/E81,4)</f>
        <v>5.62E-2</v>
      </c>
      <c r="F82" s="255"/>
      <c r="G82" s="255">
        <f>ROUND(G57/G81,4)</f>
        <v>5.2299999999999999E-2</v>
      </c>
      <c r="J82" s="255">
        <f>ROUND(J57/J81,4)</f>
        <v>5.3499999999999999E-2</v>
      </c>
      <c r="AT82" s="782"/>
    </row>
    <row r="83" spans="1:46">
      <c r="AT83" s="782"/>
    </row>
    <row r="90" spans="1:46">
      <c r="J90" s="791">
        <v>2.9700000000000001E-2</v>
      </c>
      <c r="K90" s="691" t="s">
        <v>970</v>
      </c>
    </row>
    <row r="91" spans="1:46">
      <c r="J91" s="791">
        <v>2.9600000000000001E-2</v>
      </c>
      <c r="K91" s="691" t="s">
        <v>971</v>
      </c>
    </row>
    <row r="92" spans="1:46">
      <c r="J92" s="791">
        <v>8.3299999999999999E-2</v>
      </c>
      <c r="K92" s="691" t="s">
        <v>972</v>
      </c>
    </row>
    <row r="94" spans="1:46">
      <c r="J94" s="768">
        <f>J81*(J92-J82)</f>
        <v>63279.763472627907</v>
      </c>
    </row>
    <row r="95" spans="1:46">
      <c r="J95" s="768">
        <f>J81*((J91-J90)*0.35)*-1</f>
        <v>74.321869850401455</v>
      </c>
    </row>
    <row r="96" spans="1:46">
      <c r="J96" s="768">
        <f>J94+J95</f>
        <v>63354.085342478305</v>
      </c>
    </row>
    <row r="98" spans="10:10">
      <c r="J98" s="768">
        <v>29017.981038566773</v>
      </c>
    </row>
  </sheetData>
  <mergeCells count="3">
    <mergeCell ref="E4:J4"/>
    <mergeCell ref="B56:D56"/>
    <mergeCell ref="F1:K3"/>
  </mergeCells>
  <printOptions horizontalCentered="1"/>
  <pageMargins left="0.75" right="0.76" top="0.5" bottom="0.75" header="0.25" footer="0.3"/>
  <pageSetup scale="67" orientation="portrait" r:id="rId1"/>
  <headerFooter alignWithMargins="0">
    <oddHeader xml:space="preserve">&amp;R </oddHeader>
    <oddFooter xml:space="preserve">&amp;RExhibit No. 5
Case Nos. AVU-E-21-01 and AVU-G-21-01
E. Andrews, Avista
Schedule 1, Page &amp;P of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08C11-3FFF-438F-B890-6AD098291A2C}">
  <sheetPr>
    <pageSetUpPr fitToPage="1"/>
  </sheetPr>
  <dimension ref="A1:BI51"/>
  <sheetViews>
    <sheetView workbookViewId="0">
      <selection activeCell="J5" sqref="J5"/>
    </sheetView>
  </sheetViews>
  <sheetFormatPr defaultColWidth="9.140625" defaultRowHeight="12.75"/>
  <cols>
    <col min="1" max="1" width="11.5703125" style="1149" customWidth="1"/>
    <col min="2" max="2" width="4.42578125" style="1149" customWidth="1"/>
    <col min="3" max="3" width="37" style="1149" customWidth="1"/>
    <col min="4" max="4" width="4.5703125" style="1149" customWidth="1"/>
    <col min="5" max="5" width="20.140625" style="96" customWidth="1"/>
    <col min="6" max="6" width="6" style="1149" customWidth="1"/>
    <col min="7" max="9" width="9.140625" style="1149"/>
    <col min="10" max="11" width="14.5703125" style="1149" customWidth="1"/>
    <col min="12" max="16" width="9.140625" style="1149"/>
    <col min="17" max="17" width="9.140625" style="1165"/>
    <col min="18" max="36" width="9.140625" style="1149"/>
    <col min="37" max="37" width="14.5703125" style="1149" customWidth="1"/>
    <col min="38" max="38" width="17" style="1149" customWidth="1"/>
    <col min="39" max="39" width="18" style="1149" customWidth="1"/>
    <col min="40" max="40" width="17" style="1149" customWidth="1"/>
    <col min="41" max="41" width="15.85546875" style="1149" customWidth="1"/>
    <col min="42" max="51" width="9.140625" style="1149"/>
    <col min="52" max="52" width="11.42578125" style="1149" customWidth="1"/>
    <col min="53" max="16384" width="9.140625" style="1149"/>
  </cols>
  <sheetData>
    <row r="1" spans="1:52" ht="13.5">
      <c r="A1" s="98" t="s">
        <v>115</v>
      </c>
      <c r="B1" s="98"/>
      <c r="C1" s="98"/>
      <c r="D1" s="98"/>
      <c r="E1" s="111"/>
      <c r="G1" s="99"/>
    </row>
    <row r="2" spans="1:52" ht="13.5" customHeight="1">
      <c r="A2" s="1367" t="s">
        <v>178</v>
      </c>
      <c r="B2" s="1367"/>
      <c r="C2" s="1367"/>
      <c r="D2" s="1367"/>
      <c r="E2" s="1367"/>
      <c r="G2" s="99"/>
    </row>
    <row r="3" spans="1:52">
      <c r="A3" s="1368" t="s">
        <v>239</v>
      </c>
      <c r="B3" s="1368"/>
      <c r="C3" s="1368"/>
      <c r="D3" s="1368"/>
      <c r="E3" s="1368"/>
      <c r="F3" s="363"/>
      <c r="G3" s="363"/>
      <c r="K3" s="1151"/>
      <c r="L3" s="1151"/>
      <c r="X3" s="1151"/>
      <c r="Y3" s="1151"/>
      <c r="Z3" s="1151"/>
      <c r="AA3" s="1151"/>
      <c r="AB3" s="1151"/>
      <c r="AC3" s="1151"/>
      <c r="AD3" s="1151"/>
      <c r="AE3" s="1151"/>
      <c r="AF3" s="1151"/>
      <c r="AG3" s="1151"/>
      <c r="AH3" s="1151"/>
      <c r="AI3" s="1151"/>
      <c r="AJ3" s="1151"/>
      <c r="AK3" s="1151"/>
      <c r="AL3" s="1151"/>
      <c r="AM3" s="1151"/>
      <c r="AN3" s="1151"/>
      <c r="AO3" s="1151"/>
      <c r="AP3" s="1151"/>
      <c r="AQ3" s="467"/>
      <c r="AR3" s="1151"/>
      <c r="AS3" s="1151"/>
      <c r="AT3" s="1151"/>
    </row>
    <row r="4" spans="1:52">
      <c r="A4" s="1368" t="str">
        <f>'RR Summary'!A4:G4</f>
        <v>TWELVE MONTHS ENDED SEPTEMBER 30, 2021</v>
      </c>
      <c r="B4" s="1368"/>
      <c r="C4" s="1368"/>
      <c r="D4" s="1368"/>
      <c r="E4" s="1368"/>
      <c r="G4" s="99"/>
      <c r="J4" s="1150">
        <v>12.202199999999999</v>
      </c>
      <c r="K4" s="1150">
        <v>12.202299999999999</v>
      </c>
      <c r="L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row>
    <row r="5" spans="1:52">
      <c r="C5" s="1308"/>
      <c r="E5" s="471"/>
      <c r="G5" s="99"/>
      <c r="J5" s="486" t="s">
        <v>180</v>
      </c>
      <c r="K5" s="486" t="s">
        <v>180</v>
      </c>
      <c r="L5" s="1151"/>
      <c r="V5" s="495"/>
      <c r="X5" s="1151"/>
      <c r="Y5" s="1151"/>
      <c r="Z5" s="1151"/>
      <c r="AA5" s="1151"/>
      <c r="AB5" s="1151"/>
      <c r="AC5" s="1151"/>
      <c r="AD5" s="1151"/>
      <c r="AE5" s="1151"/>
      <c r="AF5" s="1151"/>
      <c r="AG5" s="1151"/>
      <c r="AH5" s="1151"/>
      <c r="AI5" s="1151"/>
      <c r="AJ5" s="1151"/>
      <c r="AK5" s="1151"/>
      <c r="AL5" s="1151"/>
      <c r="AM5" s="1151"/>
      <c r="AN5" s="1151"/>
      <c r="AO5" s="1151"/>
      <c r="AP5" s="1151"/>
      <c r="AQ5" s="1151"/>
      <c r="AR5" s="1151"/>
      <c r="AS5" s="1151"/>
      <c r="AT5" s="467"/>
    </row>
    <row r="6" spans="1:52" s="1308" customFormat="1" ht="13.5">
      <c r="A6" s="1308" t="s">
        <v>119</v>
      </c>
      <c r="E6" s="112"/>
      <c r="G6" s="100"/>
      <c r="J6" s="487" t="s">
        <v>170</v>
      </c>
      <c r="K6" s="487" t="s">
        <v>170</v>
      </c>
      <c r="L6" s="490"/>
      <c r="Q6" s="130"/>
      <c r="X6" s="490"/>
      <c r="Y6" s="490"/>
      <c r="Z6" s="490"/>
      <c r="AA6" s="490"/>
      <c r="AB6" s="490"/>
      <c r="AC6" s="490"/>
      <c r="AD6" s="490"/>
      <c r="AE6" s="490"/>
      <c r="AF6" s="490"/>
      <c r="AG6" s="490"/>
      <c r="AH6" s="490"/>
      <c r="AI6" s="490"/>
      <c r="AJ6" s="490"/>
      <c r="AK6" s="490"/>
      <c r="AL6" s="490"/>
      <c r="AM6" s="490"/>
      <c r="AN6" s="490"/>
      <c r="AO6" s="490"/>
      <c r="AP6" s="490"/>
      <c r="AQ6" s="490"/>
      <c r="AR6" s="490"/>
      <c r="AS6" s="490"/>
      <c r="AT6" s="490"/>
      <c r="AZ6" s="364" t="s">
        <v>612</v>
      </c>
    </row>
    <row r="7" spans="1:52" s="1308" customFormat="1" ht="13.5">
      <c r="A7" s="101" t="s">
        <v>21</v>
      </c>
      <c r="C7" s="101" t="s">
        <v>80</v>
      </c>
      <c r="D7" s="490"/>
      <c r="E7" s="113" t="s">
        <v>171</v>
      </c>
      <c r="G7" s="100"/>
      <c r="L7" s="490"/>
      <c r="Q7" s="130"/>
      <c r="X7" s="490"/>
      <c r="Y7" s="490"/>
      <c r="Z7" s="490"/>
      <c r="AA7" s="490"/>
      <c r="AB7" s="490"/>
      <c r="AC7" s="490"/>
      <c r="AD7" s="490"/>
      <c r="AE7" s="490"/>
      <c r="AF7" s="490"/>
      <c r="AG7" s="490"/>
      <c r="AH7" s="490"/>
      <c r="AI7" s="490"/>
      <c r="AJ7" s="490"/>
      <c r="AK7" s="490"/>
      <c r="AL7" s="490"/>
      <c r="AM7" s="490"/>
      <c r="AN7" s="490"/>
      <c r="AO7" s="490"/>
      <c r="AP7" s="490"/>
      <c r="AQ7" s="490"/>
      <c r="AR7" s="490"/>
      <c r="AS7" s="490"/>
      <c r="AT7" s="490"/>
    </row>
    <row r="8" spans="1:52">
      <c r="G8" s="99"/>
      <c r="L8" s="1151"/>
      <c r="X8" s="1151"/>
      <c r="Y8" s="1151"/>
      <c r="Z8" s="1151"/>
      <c r="AA8" s="1151"/>
      <c r="AB8" s="1151"/>
      <c r="AC8" s="1151"/>
      <c r="AD8" s="1151"/>
      <c r="AE8" s="1151"/>
      <c r="AF8" s="1151"/>
      <c r="AG8" s="1151"/>
      <c r="AH8" s="1151"/>
      <c r="AI8" s="1151"/>
      <c r="AJ8" s="1151"/>
      <c r="AK8" s="1151"/>
      <c r="AL8" s="1151"/>
      <c r="AM8" s="1151"/>
      <c r="AN8" s="1151"/>
      <c r="AO8" s="1151"/>
      <c r="AP8" s="1151"/>
      <c r="AQ8" s="1151"/>
      <c r="AR8" s="1151"/>
      <c r="AS8" s="1151"/>
      <c r="AT8" s="1151"/>
    </row>
    <row r="9" spans="1:52">
      <c r="A9" s="1309">
        <v>1</v>
      </c>
      <c r="C9" s="102" t="s">
        <v>32</v>
      </c>
      <c r="E9" s="897">
        <f>'CF WA Elec'!E5</f>
        <v>1</v>
      </c>
      <c r="J9" s="103">
        <v>382</v>
      </c>
      <c r="K9" s="103">
        <v>2849</v>
      </c>
      <c r="L9" s="1151"/>
    </row>
    <row r="10" spans="1:52">
      <c r="A10" s="1309"/>
      <c r="E10" s="897"/>
      <c r="J10" s="99"/>
      <c r="K10" s="99"/>
      <c r="L10" s="1151"/>
    </row>
    <row r="11" spans="1:52">
      <c r="A11" s="1309"/>
      <c r="C11" s="97" t="s">
        <v>172</v>
      </c>
      <c r="D11" s="360"/>
      <c r="E11" s="498"/>
      <c r="F11" s="96"/>
      <c r="J11" s="99"/>
      <c r="K11" s="99"/>
      <c r="L11" s="1151"/>
    </row>
    <row r="12" spans="1:52">
      <c r="A12" s="1309">
        <v>2</v>
      </c>
      <c r="C12" s="360" t="s">
        <v>173</v>
      </c>
      <c r="D12" s="482"/>
      <c r="E12" s="499">
        <f>'CF WA Elec'!E9</f>
        <v>3.3262888499492435E-3</v>
      </c>
      <c r="F12" s="480"/>
      <c r="J12" s="99">
        <f>ROUND($J$9*E12,0)</f>
        <v>1</v>
      </c>
      <c r="K12" s="99">
        <f>ROUND($K$9*E12,0)</f>
        <v>9</v>
      </c>
      <c r="L12" s="1151"/>
    </row>
    <row r="13" spans="1:52">
      <c r="A13" s="1309"/>
      <c r="C13" s="360"/>
      <c r="D13" s="360"/>
      <c r="E13" s="499"/>
      <c r="J13" s="99"/>
      <c r="K13" s="99"/>
      <c r="L13" s="1151"/>
    </row>
    <row r="14" spans="1:52">
      <c r="A14" s="1309">
        <v>3</v>
      </c>
      <c r="C14" s="360" t="s">
        <v>174</v>
      </c>
      <c r="D14" s="360"/>
      <c r="E14" s="499">
        <f>'CF WA Elec'!E11</f>
        <v>2E-3</v>
      </c>
      <c r="J14" s="99">
        <f>ROUND($J$9*E14,0)</f>
        <v>1</v>
      </c>
      <c r="K14" s="99">
        <f>ROUND($K$9*E14,0)</f>
        <v>6</v>
      </c>
      <c r="L14" s="1151"/>
    </row>
    <row r="15" spans="1:52">
      <c r="A15" s="1309"/>
      <c r="C15" s="360"/>
      <c r="D15" s="360"/>
      <c r="E15" s="499"/>
      <c r="J15" s="99"/>
      <c r="K15" s="99"/>
      <c r="L15" s="1151"/>
      <c r="AP15" s="198"/>
    </row>
    <row r="16" spans="1:52">
      <c r="A16" s="1309">
        <v>4</v>
      </c>
      <c r="C16" s="360" t="s">
        <v>175</v>
      </c>
      <c r="D16" s="482"/>
      <c r="E16" s="499">
        <f>'CF WA Elec'!E13</f>
        <v>3.8605159527686062E-2</v>
      </c>
      <c r="F16" s="481"/>
      <c r="J16" s="99">
        <f>ROUND($J$9*E16,0)</f>
        <v>15</v>
      </c>
      <c r="K16" s="99">
        <f>ROUND($K$9*E16,0)</f>
        <v>110</v>
      </c>
      <c r="L16" s="1151"/>
    </row>
    <row r="17" spans="1:61">
      <c r="A17" s="1309"/>
      <c r="C17" s="360"/>
      <c r="D17" s="360"/>
      <c r="E17" s="500"/>
      <c r="J17" s="99"/>
      <c r="K17" s="99"/>
      <c r="L17" s="1151"/>
    </row>
    <row r="18" spans="1:61">
      <c r="A18" s="1309">
        <v>6</v>
      </c>
      <c r="C18" s="360" t="s">
        <v>176</v>
      </c>
      <c r="D18" s="360"/>
      <c r="E18" s="116">
        <f>SUM(E12:E16)</f>
        <v>4.3931448377635303E-2</v>
      </c>
      <c r="J18" s="104">
        <f>SUM(J12:J16)</f>
        <v>17</v>
      </c>
      <c r="K18" s="104">
        <f>SUM(K12:K16)</f>
        <v>125</v>
      </c>
      <c r="L18" s="1151"/>
    </row>
    <row r="19" spans="1:61">
      <c r="C19" s="360"/>
      <c r="D19" s="360"/>
      <c r="E19" s="115"/>
      <c r="J19" s="99"/>
      <c r="K19" s="99"/>
      <c r="L19" s="483"/>
    </row>
    <row r="20" spans="1:61">
      <c r="A20" s="1309">
        <v>7</v>
      </c>
      <c r="C20" s="360" t="s">
        <v>177</v>
      </c>
      <c r="D20" s="360"/>
      <c r="E20" s="115">
        <f>E9-E18</f>
        <v>0.9560685516223647</v>
      </c>
      <c r="J20" s="105">
        <f>J9-J18</f>
        <v>365</v>
      </c>
      <c r="K20" s="105">
        <f>K9-K18</f>
        <v>2724</v>
      </c>
      <c r="L20" s="1151"/>
      <c r="AP20" s="198"/>
    </row>
    <row r="21" spans="1:61">
      <c r="C21" s="360"/>
      <c r="D21" s="360"/>
      <c r="E21" s="115"/>
      <c r="J21" s="105"/>
      <c r="K21" s="105"/>
      <c r="L21" s="1151"/>
      <c r="BC21" s="1149">
        <v>109</v>
      </c>
      <c r="BI21" s="1149">
        <v>-2</v>
      </c>
    </row>
    <row r="22" spans="1:61">
      <c r="A22" s="681">
        <v>8</v>
      </c>
      <c r="B22" s="145"/>
      <c r="C22" s="500" t="s">
        <v>670</v>
      </c>
      <c r="D22" s="501"/>
      <c r="E22" s="502">
        <f>'CF WA Elec'!E20</f>
        <v>0.20077439584069659</v>
      </c>
      <c r="G22" s="99"/>
      <c r="J22" s="106">
        <f>ROUND(J20*0.21,0)</f>
        <v>77</v>
      </c>
      <c r="K22" s="106">
        <f>ROUND(K20*0.21,0)</f>
        <v>572</v>
      </c>
      <c r="L22" s="1151"/>
    </row>
    <row r="23" spans="1:61">
      <c r="A23" s="145"/>
      <c r="B23" s="145"/>
      <c r="C23" s="500"/>
      <c r="D23" s="500"/>
      <c r="E23" s="499"/>
      <c r="G23" s="99"/>
      <c r="L23" s="115"/>
    </row>
    <row r="24" spans="1:61" ht="13.5" thickBot="1">
      <c r="A24" s="681">
        <v>9</v>
      </c>
      <c r="B24" s="145"/>
      <c r="C24" s="503" t="s">
        <v>178</v>
      </c>
      <c r="D24" s="500"/>
      <c r="E24" s="504">
        <f>ROUND(E20-E22,6)</f>
        <v>0.75529400000000002</v>
      </c>
      <c r="J24" s="131">
        <f>J20-J22</f>
        <v>288</v>
      </c>
      <c r="K24" s="131">
        <f>K20-K22</f>
        <v>2152</v>
      </c>
      <c r="L24" s="1151"/>
    </row>
    <row r="25" spans="1:61" ht="13.5" thickTop="1">
      <c r="E25" s="114"/>
      <c r="L25" s="1151"/>
      <c r="BG25" s="1149">
        <v>622</v>
      </c>
    </row>
    <row r="26" spans="1:61">
      <c r="E26" s="114"/>
      <c r="J26" s="138">
        <f>J24/E24</f>
        <v>381.30847060879603</v>
      </c>
      <c r="K26" s="138">
        <f>K24/E24</f>
        <v>2849.2216276046147</v>
      </c>
      <c r="L26" s="1149" t="s">
        <v>976</v>
      </c>
    </row>
    <row r="27" spans="1:61">
      <c r="E27" s="114"/>
      <c r="J27" s="138">
        <f>J26-'RR Summary'!E24</f>
        <v>-37618.709218774304</v>
      </c>
      <c r="K27" s="138">
        <f>K26-'RR Summary'!G24</f>
        <v>-9650.5969456734438</v>
      </c>
      <c r="L27" s="1149" t="s">
        <v>92</v>
      </c>
    </row>
    <row r="30" spans="1:61">
      <c r="AP30" s="197"/>
    </row>
    <row r="35" spans="42:42">
      <c r="AP35" s="197"/>
    </row>
    <row r="50" spans="5:5">
      <c r="E50" s="354"/>
    </row>
    <row r="51" spans="5:5">
      <c r="E51" s="354"/>
    </row>
  </sheetData>
  <mergeCells count="3">
    <mergeCell ref="A2:E2"/>
    <mergeCell ref="A3:E3"/>
    <mergeCell ref="A4:E4"/>
  </mergeCells>
  <pageMargins left="0.75" right="0.51" top="1" bottom="0.5" header="0.5" footer="0.5"/>
  <pageSetup firstPageNumber="4" orientation="portrait" r:id="rId1"/>
  <headerFooter scaleWithDoc="0" alignWithMargins="0">
    <oddHeader>&amp;R Exh. EMA-8 - REVISED (60-Day update)
Reflects Bench Request 1 -  Revised</oddHeader>
    <oddFooter>&amp;RPage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CC858-3B01-4572-8B27-34D7531CC558}">
  <sheetPr>
    <tabColor rgb="FFFF0000"/>
  </sheetPr>
  <dimension ref="A1:O44"/>
  <sheetViews>
    <sheetView workbookViewId="0">
      <selection activeCell="P28" sqref="P28"/>
    </sheetView>
  </sheetViews>
  <sheetFormatPr defaultRowHeight="12.75"/>
  <cols>
    <col min="2" max="2" width="22.42578125" customWidth="1"/>
    <col min="4" max="4" width="14.85546875" customWidth="1"/>
    <col min="5" max="5" width="14.140625" customWidth="1"/>
    <col min="6" max="6" width="14.85546875" customWidth="1"/>
    <col min="8" max="8" width="6.5703125" customWidth="1"/>
    <col min="9" max="9" width="0.28515625" hidden="1" customWidth="1"/>
    <col min="10" max="10" width="22.42578125" hidden="1" customWidth="1"/>
    <col min="11" max="11" width="9.140625" hidden="1" customWidth="1"/>
    <col min="12" max="12" width="14.85546875" hidden="1" customWidth="1"/>
    <col min="13" max="13" width="14.140625" hidden="1" customWidth="1"/>
    <col min="14" max="14" width="14.85546875" hidden="1" customWidth="1"/>
  </cols>
  <sheetData>
    <row r="1" spans="1:15" ht="15">
      <c r="A1" s="1355" t="s">
        <v>1256</v>
      </c>
      <c r="B1" s="1355"/>
      <c r="C1" s="1355"/>
      <c r="D1" s="1355"/>
      <c r="E1" s="1355"/>
      <c r="F1" s="1355"/>
      <c r="I1" s="1355" t="s">
        <v>1257</v>
      </c>
      <c r="J1" s="1355"/>
      <c r="K1" s="1355"/>
      <c r="L1" s="1355"/>
      <c r="M1" s="1355"/>
      <c r="N1" s="1355"/>
    </row>
    <row r="2" spans="1:15" ht="20.25" customHeight="1">
      <c r="A2" s="1182" t="s">
        <v>1258</v>
      </c>
      <c r="B2" s="1179"/>
      <c r="C2" s="1325"/>
      <c r="D2" s="1190" t="s">
        <v>91</v>
      </c>
      <c r="E2" s="1190" t="s">
        <v>91</v>
      </c>
      <c r="F2" s="1326" t="s">
        <v>1259</v>
      </c>
      <c r="I2" s="1182" t="s">
        <v>1258</v>
      </c>
      <c r="J2" s="1179"/>
      <c r="K2" s="1325"/>
      <c r="L2" s="1190" t="s">
        <v>91</v>
      </c>
      <c r="M2" s="1190" t="s">
        <v>91</v>
      </c>
      <c r="N2" s="1326" t="s">
        <v>1259</v>
      </c>
    </row>
    <row r="3" spans="1:15" ht="20.25" customHeight="1">
      <c r="A3" s="1182" t="s">
        <v>1260</v>
      </c>
      <c r="B3" s="1179"/>
      <c r="C3" s="1325"/>
      <c r="D3" s="1190" t="s">
        <v>1115</v>
      </c>
      <c r="E3" s="1190" t="s">
        <v>1154</v>
      </c>
      <c r="F3" s="1326" t="s">
        <v>1261</v>
      </c>
      <c r="I3" s="1182" t="s">
        <v>1260</v>
      </c>
      <c r="J3" s="1179"/>
      <c r="K3" s="1325"/>
      <c r="L3" s="1190" t="s">
        <v>1115</v>
      </c>
      <c r="M3" s="1190" t="s">
        <v>1154</v>
      </c>
      <c r="N3" s="1326" t="s">
        <v>1261</v>
      </c>
    </row>
    <row r="4" spans="1:15" ht="20.25" customHeight="1">
      <c r="A4" s="1327"/>
      <c r="B4" s="1179"/>
      <c r="C4" s="1325"/>
      <c r="D4" s="1328"/>
      <c r="E4" s="1328"/>
      <c r="F4" s="1329"/>
      <c r="I4" s="1327"/>
      <c r="J4" s="1179"/>
      <c r="K4" s="1325"/>
      <c r="L4" s="1328"/>
      <c r="M4" s="1328"/>
      <c r="N4" s="1329"/>
    </row>
    <row r="5" spans="1:15" ht="20.25" customHeight="1">
      <c r="A5" s="1179" t="s">
        <v>1262</v>
      </c>
      <c r="B5" s="1179"/>
      <c r="C5" s="1325"/>
      <c r="D5" s="1330">
        <f>'PROPOSED RATES-12.2022'!K81</f>
        <v>2042744.6773308404</v>
      </c>
      <c r="E5" s="1330">
        <f>'[16]PROP0SED RATES-12.2022'!$L$81</f>
        <v>514942</v>
      </c>
      <c r="F5" s="1331">
        <f>SUM(D5:E5)</f>
        <v>2557686.6773308404</v>
      </c>
      <c r="G5" s="1179"/>
      <c r="I5" s="1179" t="s">
        <v>1262</v>
      </c>
      <c r="J5" s="1179"/>
      <c r="K5" s="1325"/>
      <c r="L5" s="1330">
        <v>1700977</v>
      </c>
      <c r="M5" s="1330">
        <v>414409</v>
      </c>
      <c r="N5" s="1331">
        <f>SUM(L5:M5)</f>
        <v>2115386</v>
      </c>
    </row>
    <row r="6" spans="1:15" ht="20.25" customHeight="1">
      <c r="A6" s="1179" t="s">
        <v>1263</v>
      </c>
      <c r="B6" s="1179"/>
      <c r="C6" s="1325"/>
      <c r="D6" s="1332">
        <f>'[17]RR SUMMARY'!L13</f>
        <v>0.48499999999999999</v>
      </c>
      <c r="E6" s="1332">
        <f>D6</f>
        <v>0.48499999999999999</v>
      </c>
      <c r="F6" s="1333">
        <f>E6</f>
        <v>0.48499999999999999</v>
      </c>
      <c r="I6" s="1179" t="s">
        <v>1263</v>
      </c>
      <c r="J6" s="1179"/>
      <c r="K6" s="1325"/>
      <c r="L6" s="1332">
        <v>0.47370000000000001</v>
      </c>
      <c r="M6" s="1332">
        <v>0.47370000000000001</v>
      </c>
      <c r="N6" s="1333">
        <f>M6</f>
        <v>0.47370000000000001</v>
      </c>
    </row>
    <row r="7" spans="1:15" ht="20.25" customHeight="1">
      <c r="A7" s="1179" t="s">
        <v>1264</v>
      </c>
      <c r="B7" s="1179"/>
      <c r="C7" s="1325"/>
      <c r="D7" s="1334">
        <f>ROUND(D5*D6,0)</f>
        <v>990731</v>
      </c>
      <c r="E7" s="1334">
        <f t="shared" ref="E7:F7" si="0">ROUND(E5*E6,0)</f>
        <v>249747</v>
      </c>
      <c r="F7" s="1335">
        <f t="shared" si="0"/>
        <v>1240478</v>
      </c>
      <c r="I7" s="1179" t="s">
        <v>1264</v>
      </c>
      <c r="J7" s="1179"/>
      <c r="K7" s="1325"/>
      <c r="L7" s="1334">
        <f>ROUND(L5*L6,0)</f>
        <v>805753</v>
      </c>
      <c r="M7" s="1334">
        <f t="shared" ref="M7:N7" si="1">ROUND(M5*M6,0)</f>
        <v>196306</v>
      </c>
      <c r="N7" s="1335">
        <f t="shared" si="1"/>
        <v>1002058</v>
      </c>
    </row>
    <row r="8" spans="1:15" ht="20.25" customHeight="1">
      <c r="A8" s="1179" t="s">
        <v>1265</v>
      </c>
      <c r="B8" s="1179"/>
      <c r="C8" s="1325"/>
      <c r="D8" s="1179"/>
      <c r="E8" s="1179"/>
      <c r="F8" s="1336"/>
      <c r="I8" s="1179" t="s">
        <v>1265</v>
      </c>
      <c r="J8" s="1179"/>
      <c r="K8" s="1325"/>
      <c r="L8" s="1179"/>
      <c r="M8" s="1179"/>
      <c r="N8" s="1336"/>
    </row>
    <row r="9" spans="1:15" ht="20.25" customHeight="1">
      <c r="A9" s="1179"/>
      <c r="B9" s="1179" t="s">
        <v>1266</v>
      </c>
      <c r="C9" s="1325"/>
      <c r="D9" s="1330">
        <f>'PROPOSED RATES-12.2022'!K57</f>
        <v>143604.78312869818</v>
      </c>
      <c r="E9" s="1330">
        <f>'[16]PROP0SED RATES-12.2022'!$L$59</f>
        <v>36200.685595999996</v>
      </c>
      <c r="F9" s="1331">
        <f>SUM(D9:E9)</f>
        <v>179805.46872469818</v>
      </c>
      <c r="I9" s="1179"/>
      <c r="J9" s="1179" t="s">
        <v>1266</v>
      </c>
      <c r="K9" s="1325"/>
      <c r="L9" s="1330">
        <v>108443.15615400001</v>
      </c>
      <c r="M9" s="1330">
        <v>24794.584751999999</v>
      </c>
      <c r="N9" s="1331">
        <f>SUM(L9:M9)</f>
        <v>133237.74090600002</v>
      </c>
      <c r="O9">
        <v>2023</v>
      </c>
    </row>
    <row r="10" spans="1:15" ht="20.25" customHeight="1">
      <c r="A10" s="1179"/>
      <c r="B10" s="1179" t="s">
        <v>1267</v>
      </c>
      <c r="C10" s="1325"/>
      <c r="D10" s="1337">
        <f>'DEBT CALC 2.14'!G68*-1</f>
        <v>-50432.871930071757</v>
      </c>
      <c r="E10" s="1337">
        <f>'[16]DEBT CALC 2.14'!$G$65*-1</f>
        <v>-12719.0674</v>
      </c>
      <c r="F10" s="1338">
        <f>SUM(D10:E10)</f>
        <v>-63151.939330071757</v>
      </c>
      <c r="I10" s="1179"/>
      <c r="J10" s="1179" t="s">
        <v>1267</v>
      </c>
      <c r="K10" s="1325"/>
      <c r="L10" s="1337">
        <v>-44055.304299999996</v>
      </c>
      <c r="M10" s="1337">
        <v>-10733.193099999999</v>
      </c>
      <c r="N10" s="1338">
        <f>SUM(L10:M10)</f>
        <v>-54788.497399999993</v>
      </c>
    </row>
    <row r="11" spans="1:15" ht="20.25" customHeight="1">
      <c r="A11" s="1179" t="s">
        <v>1268</v>
      </c>
      <c r="B11" s="1179"/>
      <c r="C11" s="1325"/>
      <c r="D11" s="1339">
        <f>SUM(D9:D10)</f>
        <v>93171.911198626418</v>
      </c>
      <c r="E11" s="1339">
        <f>SUM(E9:E10)</f>
        <v>23481.618195999996</v>
      </c>
      <c r="F11" s="1340">
        <f>SUM(F9:F10)</f>
        <v>116653.52939462641</v>
      </c>
      <c r="I11" s="1179" t="s">
        <v>1268</v>
      </c>
      <c r="J11" s="1179"/>
      <c r="K11" s="1325"/>
      <c r="L11" s="1339">
        <f>SUM(L9:L10)</f>
        <v>64387.851854000015</v>
      </c>
      <c r="M11" s="1339">
        <f>SUM(M9:M10)</f>
        <v>14061.391652</v>
      </c>
      <c r="N11" s="1340">
        <f>SUM(N9:N10)</f>
        <v>78449.243506000028</v>
      </c>
    </row>
    <row r="12" spans="1:15" ht="20.25" customHeight="1" thickBot="1">
      <c r="A12" s="1179" t="s">
        <v>1260</v>
      </c>
      <c r="B12" s="1179"/>
      <c r="C12" s="1325"/>
      <c r="D12" s="1341">
        <f>ROUND(D11/D7,5)</f>
        <v>9.4039999999999999E-2</v>
      </c>
      <c r="E12" s="1341">
        <f>ROUND(E11/E7,5)</f>
        <v>9.4020000000000006E-2</v>
      </c>
      <c r="F12" s="1342">
        <f>ROUND(F11/F7,5)</f>
        <v>9.4039999999999999E-2</v>
      </c>
      <c r="I12" s="1179" t="s">
        <v>1260</v>
      </c>
      <c r="J12" s="1179"/>
      <c r="K12" s="1325"/>
      <c r="L12" s="1343">
        <f>ROUND(L11/L7,5)</f>
        <v>7.9909999999999995E-2</v>
      </c>
      <c r="M12" s="1343">
        <f>ROUND(M11/M7,5)</f>
        <v>7.1629999999999999E-2</v>
      </c>
      <c r="N12" s="1344">
        <f>ROUND(N11/N7,5)</f>
        <v>7.8289999999999998E-2</v>
      </c>
    </row>
    <row r="13" spans="1:15" ht="20.25" customHeight="1" thickTop="1">
      <c r="D13" s="1345"/>
      <c r="E13" s="1345"/>
    </row>
    <row r="14" spans="1:15" ht="13.5" thickBot="1">
      <c r="A14" s="1346"/>
      <c r="B14" s="1346"/>
      <c r="C14" s="1346"/>
      <c r="D14" s="1346"/>
      <c r="E14" s="1346"/>
      <c r="F14" s="1346"/>
      <c r="I14" s="1346"/>
      <c r="J14" s="1346"/>
      <c r="K14" s="1346"/>
      <c r="L14" s="1346"/>
      <c r="M14" s="1346"/>
      <c r="N14" s="1346"/>
    </row>
    <row r="17" spans="1:15" ht="16.5" customHeight="1">
      <c r="A17" s="1355" t="s">
        <v>1269</v>
      </c>
      <c r="B17" s="1355"/>
      <c r="C17" s="1355"/>
      <c r="D17" s="1355"/>
      <c r="E17" s="1355"/>
      <c r="F17" s="1355"/>
    </row>
    <row r="18" spans="1:15" ht="16.5" customHeight="1">
      <c r="A18" s="1182" t="s">
        <v>1258</v>
      </c>
      <c r="B18" s="1179"/>
      <c r="C18" s="1325"/>
      <c r="D18" s="1190" t="s">
        <v>91</v>
      </c>
      <c r="E18" s="1190" t="s">
        <v>91</v>
      </c>
      <c r="F18" s="1326" t="s">
        <v>1259</v>
      </c>
      <c r="I18" s="1179"/>
      <c r="L18" s="1347"/>
      <c r="M18" s="1347"/>
      <c r="N18" s="1347"/>
    </row>
    <row r="19" spans="1:15" ht="16.5" customHeight="1">
      <c r="A19" s="1182" t="s">
        <v>1260</v>
      </c>
      <c r="B19" s="1179"/>
      <c r="C19" s="1325"/>
      <c r="D19" s="1190" t="s">
        <v>1115</v>
      </c>
      <c r="E19" s="1190" t="s">
        <v>1154</v>
      </c>
      <c r="F19" s="1326" t="s">
        <v>1261</v>
      </c>
      <c r="I19" s="1179"/>
      <c r="L19" s="1348"/>
      <c r="M19" s="1348"/>
      <c r="N19" s="1348"/>
    </row>
    <row r="20" spans="1:15" ht="16.5" customHeight="1">
      <c r="A20" s="1327"/>
      <c r="B20" s="1179"/>
      <c r="C20" s="1325"/>
      <c r="D20" s="1328"/>
      <c r="E20" s="1328"/>
      <c r="F20" s="1329"/>
      <c r="I20" s="1179"/>
      <c r="L20" s="1349"/>
      <c r="M20" s="1349"/>
      <c r="N20" s="1349"/>
    </row>
    <row r="21" spans="1:15" ht="16.5" customHeight="1">
      <c r="A21" s="1179" t="s">
        <v>1262</v>
      </c>
      <c r="B21" s="1179"/>
      <c r="C21" s="1325"/>
      <c r="D21" s="1330">
        <f>'PROPOSED RATES-12.2023'!J81</f>
        <v>2123481.9957257686</v>
      </c>
      <c r="E21" s="1330">
        <f>'[16]PROP0SED RATES-12.2023'!$K$81</f>
        <v>535042</v>
      </c>
      <c r="F21" s="1331">
        <f>SUM(D21:E21)</f>
        <v>2658523.9957257686</v>
      </c>
      <c r="I21" s="1179"/>
      <c r="L21" s="1350"/>
      <c r="M21" s="1350"/>
      <c r="N21" s="1350"/>
    </row>
    <row r="22" spans="1:15" ht="16.5" customHeight="1">
      <c r="A22" s="1179" t="s">
        <v>1263</v>
      </c>
      <c r="B22" s="1179"/>
      <c r="C22" s="1325"/>
      <c r="D22" s="1332">
        <f>D6</f>
        <v>0.48499999999999999</v>
      </c>
      <c r="E22" s="1332">
        <f>E6</f>
        <v>0.48499999999999999</v>
      </c>
      <c r="F22" s="1333">
        <f>E22</f>
        <v>0.48499999999999999</v>
      </c>
    </row>
    <row r="23" spans="1:15" ht="16.5" customHeight="1">
      <c r="A23" s="1179" t="s">
        <v>1264</v>
      </c>
      <c r="B23" s="1179"/>
      <c r="C23" s="1325"/>
      <c r="D23" s="1334">
        <f>ROUND(D21*D22,0)</f>
        <v>1029889</v>
      </c>
      <c r="E23" s="1334">
        <f t="shared" ref="E23:F23" si="2">ROUND(E21*E22,0)</f>
        <v>259495</v>
      </c>
      <c r="F23" s="1335">
        <f t="shared" si="2"/>
        <v>1289384</v>
      </c>
    </row>
    <row r="24" spans="1:15" ht="16.5" customHeight="1">
      <c r="A24" s="1179" t="s">
        <v>1265</v>
      </c>
      <c r="B24" s="1179"/>
      <c r="C24" s="1325"/>
      <c r="D24" s="1179"/>
      <c r="E24" s="1179"/>
      <c r="F24" s="1336"/>
      <c r="I24" s="1179"/>
      <c r="L24" s="1351"/>
      <c r="M24" s="1351"/>
      <c r="N24" s="1351"/>
    </row>
    <row r="25" spans="1:15" ht="16.5" customHeight="1">
      <c r="A25" s="1179"/>
      <c r="B25" s="1179" t="s">
        <v>1266</v>
      </c>
      <c r="C25" s="1325"/>
      <c r="D25" s="1330">
        <f>'PROPOSED RATES-12.2023'!J57</f>
        <v>149280.39723249074</v>
      </c>
      <c r="E25" s="1330">
        <f>'[16]PROP0SED RATES-12.2023'!$K$59</f>
        <v>37613.43883923391</v>
      </c>
      <c r="F25" s="1331">
        <f>SUM(D25:E25)</f>
        <v>186893.83607172465</v>
      </c>
      <c r="I25" s="1179"/>
      <c r="L25" s="1348"/>
      <c r="M25" s="1348"/>
      <c r="N25" s="1348"/>
    </row>
    <row r="26" spans="1:15" ht="16.5" customHeight="1">
      <c r="A26" s="1179"/>
      <c r="B26" s="1179" t="s">
        <v>1267</v>
      </c>
      <c r="C26" s="1325"/>
      <c r="D26" s="1337">
        <f>'DEBT CALC 2.14 (2)'!G80*-1</f>
        <v>-52402.383694426477</v>
      </c>
      <c r="E26" s="1337">
        <f>'[16]DEBT CALC 2.14 (2)'!$G$65*-1</f>
        <v>-13215.537399999999</v>
      </c>
      <c r="F26" s="1338">
        <f>SUM(D26:E26)</f>
        <v>-65617.921094426478</v>
      </c>
      <c r="I26" s="1179"/>
      <c r="L26" s="1352"/>
      <c r="M26" s="1352"/>
      <c r="N26" s="1352"/>
      <c r="O26">
        <v>2024</v>
      </c>
    </row>
    <row r="27" spans="1:15" ht="16.5" customHeight="1">
      <c r="A27" s="1179" t="s">
        <v>1268</v>
      </c>
      <c r="B27" s="1179"/>
      <c r="C27" s="1325"/>
      <c r="D27" s="1339">
        <f>SUM(D25:D26)</f>
        <v>96878.013538064261</v>
      </c>
      <c r="E27" s="1339">
        <f>SUM(E25:E26)</f>
        <v>24397.901439233909</v>
      </c>
      <c r="F27" s="1340">
        <f>SUM(F25:F26)</f>
        <v>121275.91497729818</v>
      </c>
      <c r="I27" s="1179"/>
      <c r="L27" s="1350"/>
      <c r="M27" s="1350"/>
      <c r="N27" s="1350"/>
    </row>
    <row r="28" spans="1:15" ht="16.5" customHeight="1" thickBot="1">
      <c r="A28" s="1179" t="s">
        <v>1260</v>
      </c>
      <c r="B28" s="1179"/>
      <c r="C28" s="1325"/>
      <c r="D28" s="1341">
        <f>ROUND(D27/D23,5)</f>
        <v>9.4070000000000001E-2</v>
      </c>
      <c r="E28" s="1341">
        <f>ROUND(E27/E23,5)</f>
        <v>9.4020000000000006E-2</v>
      </c>
      <c r="F28" s="1342">
        <f>ROUND(F27/F23,5)</f>
        <v>9.4060000000000005E-2</v>
      </c>
    </row>
    <row r="29" spans="1:15" ht="16.5" customHeight="1" thickTop="1">
      <c r="D29" s="1345"/>
      <c r="E29" s="1345"/>
    </row>
    <row r="30" spans="1:15" ht="16.5" customHeight="1" thickBot="1">
      <c r="A30" s="1346"/>
      <c r="B30" s="1346"/>
      <c r="C30" s="1346"/>
      <c r="D30" s="1346"/>
      <c r="E30" s="1346"/>
      <c r="F30" s="1346"/>
    </row>
    <row r="31" spans="1:15" ht="18.75" customHeight="1">
      <c r="A31" s="1355" t="s">
        <v>1270</v>
      </c>
      <c r="B31" s="1355"/>
      <c r="C31" s="1355"/>
      <c r="D31" s="1355"/>
      <c r="E31" s="1355"/>
      <c r="F31" s="1355"/>
      <c r="J31" s="1353"/>
      <c r="K31" s="1354"/>
      <c r="L31" s="1354"/>
      <c r="M31" s="1354"/>
      <c r="N31" s="1354"/>
    </row>
    <row r="32" spans="1:15" ht="18.75" customHeight="1">
      <c r="A32" s="1182" t="s">
        <v>1258</v>
      </c>
      <c r="B32" s="1179"/>
      <c r="C32" s="1325"/>
      <c r="D32" s="1190" t="s">
        <v>91</v>
      </c>
      <c r="E32" s="1190" t="s">
        <v>91</v>
      </c>
      <c r="F32" s="1326" t="s">
        <v>1259</v>
      </c>
    </row>
    <row r="33" spans="1:6" ht="18.75" customHeight="1">
      <c r="A33" s="1182" t="s">
        <v>1260</v>
      </c>
      <c r="B33" s="1179"/>
      <c r="C33" s="1325"/>
      <c r="D33" s="1190" t="s">
        <v>1115</v>
      </c>
      <c r="E33" s="1190" t="s">
        <v>1154</v>
      </c>
      <c r="F33" s="1326" t="s">
        <v>1261</v>
      </c>
    </row>
    <row r="34" spans="1:6" ht="18.75" customHeight="1">
      <c r="A34" s="1327"/>
      <c r="B34" s="1179"/>
      <c r="C34" s="1325"/>
      <c r="D34" s="1328"/>
      <c r="E34" s="1328"/>
      <c r="F34" s="1329"/>
    </row>
    <row r="35" spans="1:6" ht="18.75" customHeight="1">
      <c r="A35" s="1179" t="s">
        <v>1262</v>
      </c>
      <c r="B35" s="1179"/>
      <c r="C35" s="1325"/>
      <c r="D35" s="1330">
        <f>D5</f>
        <v>2042744.6773308404</v>
      </c>
      <c r="E35" s="1330">
        <f>E5</f>
        <v>514942</v>
      </c>
      <c r="F35" s="1331">
        <f>SUM(D35:E35)</f>
        <v>2557686.6773308404</v>
      </c>
    </row>
    <row r="36" spans="1:6" ht="18.75" customHeight="1">
      <c r="A36" s="1179" t="s">
        <v>1263</v>
      </c>
      <c r="B36" s="1179"/>
      <c r="C36" s="1325"/>
      <c r="D36" s="1332">
        <f>D6</f>
        <v>0.48499999999999999</v>
      </c>
      <c r="E36" s="1332">
        <f>E6</f>
        <v>0.48499999999999999</v>
      </c>
      <c r="F36" s="1333">
        <f>E36</f>
        <v>0.48499999999999999</v>
      </c>
    </row>
    <row r="37" spans="1:6" ht="18.75" customHeight="1">
      <c r="A37" s="1179" t="s">
        <v>1264</v>
      </c>
      <c r="B37" s="1179"/>
      <c r="C37" s="1325"/>
      <c r="D37" s="1334">
        <f>ROUND(D35*D36,0)</f>
        <v>990731</v>
      </c>
      <c r="E37" s="1334">
        <f t="shared" ref="E37:F37" si="3">ROUND(E35*E36,0)</f>
        <v>249747</v>
      </c>
      <c r="F37" s="1335">
        <f t="shared" si="3"/>
        <v>1240478</v>
      </c>
    </row>
    <row r="38" spans="1:6" ht="18.75" customHeight="1">
      <c r="A38" s="1179" t="s">
        <v>1265</v>
      </c>
      <c r="B38" s="1179"/>
      <c r="C38" s="1325"/>
      <c r="D38" s="1179"/>
      <c r="E38" s="1179"/>
      <c r="F38" s="1336"/>
    </row>
    <row r="39" spans="1:6" ht="18.75" customHeight="1">
      <c r="A39" s="1179"/>
      <c r="B39" s="1179" t="s">
        <v>1266</v>
      </c>
      <c r="C39" s="1325"/>
      <c r="D39" s="1330">
        <f>'[17]PROPOSED RATES -AWEC'!I56</f>
        <v>105074.63915940949</v>
      </c>
      <c r="E39" s="1330">
        <f>'[18]PROP0SED RATES - AWEC'!$J$59</f>
        <v>24646.242333098518</v>
      </c>
      <c r="F39" s="1331">
        <f>SUM(D39:E39)</f>
        <v>129720.88149250801</v>
      </c>
    </row>
    <row r="40" spans="1:6" ht="18.75" customHeight="1">
      <c r="A40" s="1179"/>
      <c r="B40" s="1179" t="s">
        <v>1267</v>
      </c>
      <c r="C40" s="1325"/>
      <c r="D40" s="1337">
        <f>D10</f>
        <v>-50432.871930071757</v>
      </c>
      <c r="E40" s="1337">
        <f>E10</f>
        <v>-12719.0674</v>
      </c>
      <c r="F40" s="1338">
        <f>SUM(D40:E40)</f>
        <v>-63151.939330071757</v>
      </c>
    </row>
    <row r="41" spans="1:6" ht="18.75" customHeight="1">
      <c r="A41" s="1179" t="s">
        <v>1268</v>
      </c>
      <c r="B41" s="1179"/>
      <c r="C41" s="1325"/>
      <c r="D41" s="1339">
        <f>SUM(D39:D40)</f>
        <v>54641.767229337733</v>
      </c>
      <c r="E41" s="1339">
        <f>SUM(E39:E40)</f>
        <v>11927.174933098519</v>
      </c>
      <c r="F41" s="1340">
        <f>SUM(F39:F40)</f>
        <v>66568.942162436259</v>
      </c>
    </row>
    <row r="42" spans="1:6" ht="18.75" customHeight="1" thickBot="1">
      <c r="A42" s="1179" t="s">
        <v>1260</v>
      </c>
      <c r="B42" s="1179"/>
      <c r="C42" s="1325"/>
      <c r="D42" s="1341">
        <f>ROUND(D41/D37,5)</f>
        <v>5.5149999999999998E-2</v>
      </c>
      <c r="E42" s="1341">
        <f>ROUND(E41/E37,5)</f>
        <v>4.7759999999999997E-2</v>
      </c>
      <c r="F42" s="1342">
        <f>ROUND(F41/F37,5)</f>
        <v>5.3659999999999999E-2</v>
      </c>
    </row>
    <row r="43" spans="1:6" ht="18.75" customHeight="1" thickTop="1">
      <c r="D43" s="1345"/>
      <c r="E43" s="1345"/>
    </row>
    <row r="44" spans="1:6" ht="18.75" customHeight="1" thickBot="1">
      <c r="A44" s="1346"/>
      <c r="B44" s="1346"/>
      <c r="C44" s="1346"/>
      <c r="D44" s="1346"/>
      <c r="E44" s="1346"/>
      <c r="F44" s="1346"/>
    </row>
  </sheetData>
  <mergeCells count="4">
    <mergeCell ref="A1:F1"/>
    <mergeCell ref="I1:N1"/>
    <mergeCell ref="A17:F17"/>
    <mergeCell ref="A31:F31"/>
  </mergeCells>
  <pageMargins left="0.7" right="0.7" top="0.75" bottom="0.75" header="0.3" footer="0.3"/>
  <pageSetup scale="9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FE194-DF6D-41B9-B673-1F1BCD099847}">
  <sheetPr codeName="Sheet7"/>
  <dimension ref="A1:Z92"/>
  <sheetViews>
    <sheetView workbookViewId="0">
      <selection activeCell="F1" sqref="F1:K3"/>
    </sheetView>
  </sheetViews>
  <sheetFormatPr defaultColWidth="9.140625" defaultRowHeight="12.75"/>
  <cols>
    <col min="1" max="1" width="4.5703125" style="382" customWidth="1"/>
    <col min="2" max="3" width="1.5703125" style="381" customWidth="1"/>
    <col min="4" max="4" width="25.42578125" style="381" customWidth="1"/>
    <col min="5" max="6" width="11.5703125" style="228" customWidth="1"/>
    <col min="7" max="7" width="12.42578125" style="228" customWidth="1"/>
    <col min="8" max="8" width="13.5703125" style="228" customWidth="1"/>
    <col min="9" max="9" width="17.5703125" style="228" customWidth="1"/>
    <col min="10" max="10" width="14.42578125" style="228" customWidth="1"/>
    <col min="11" max="11" width="13.42578125" style="228" customWidth="1"/>
    <col min="12" max="12" width="24" style="25" customWidth="1"/>
    <col min="13" max="13" width="9.140625" style="25"/>
    <col min="14" max="14" width="11.140625" style="25" bestFit="1" customWidth="1"/>
    <col min="15" max="15" width="9.5703125" style="25" bestFit="1" customWidth="1"/>
    <col min="16" max="16" width="9.140625" style="25"/>
    <col min="17" max="17" width="11.140625" style="25" bestFit="1" customWidth="1"/>
    <col min="18" max="18" width="9.140625" style="50"/>
    <col min="19" max="37" width="9.140625" style="25"/>
    <col min="38" max="38" width="14.5703125" style="25" customWidth="1"/>
    <col min="39" max="16384" width="9.140625" style="25"/>
  </cols>
  <sheetData>
    <row r="1" spans="1:23" ht="15" customHeight="1">
      <c r="A1" s="518" t="str">
        <f>'ADJ DETAIL-INPUT'!A1</f>
        <v xml:space="preserve">AVISTA UTILITIES  </v>
      </c>
      <c r="D1" s="382"/>
      <c r="E1" s="628"/>
      <c r="F1" s="1363" t="s">
        <v>1276</v>
      </c>
      <c r="G1" s="1363"/>
      <c r="H1" s="1363"/>
      <c r="I1" s="1363"/>
      <c r="J1" s="1363"/>
      <c r="K1" s="1363"/>
    </row>
    <row r="2" spans="1:23" ht="15">
      <c r="A2" s="518" t="str">
        <f>'ADJ DETAIL-INPUT'!A2</f>
        <v xml:space="preserve">WASHINGTON ELECTRIC RESULTS </v>
      </c>
      <c r="D2" s="382"/>
      <c r="F2" s="1363"/>
      <c r="G2" s="1363"/>
      <c r="H2" s="1363"/>
      <c r="I2" s="1363"/>
      <c r="J2" s="1363"/>
      <c r="K2" s="1363"/>
    </row>
    <row r="3" spans="1:23" ht="15" customHeight="1">
      <c r="A3" s="475" t="str">
        <f>'ADJ DETAIL-INPUT'!A3</f>
        <v>TWELVE MONTHS ENDED SEPTEMBER 30, 2021</v>
      </c>
      <c r="D3" s="382"/>
      <c r="F3" s="1364"/>
      <c r="G3" s="1364"/>
      <c r="H3" s="1364"/>
      <c r="I3" s="1364"/>
      <c r="J3" s="1364"/>
      <c r="K3" s="1364"/>
    </row>
    <row r="4" spans="1:23" ht="15">
      <c r="A4" s="518" t="str">
        <f>'ADJ DETAIL-INPUT'!A4</f>
        <v xml:space="preserve">(000'S OF DOLLARS)  </v>
      </c>
      <c r="D4" s="382"/>
      <c r="E4" s="1357" t="s">
        <v>1099</v>
      </c>
      <c r="F4" s="1358"/>
      <c r="G4" s="1358"/>
      <c r="H4" s="1359"/>
      <c r="I4" s="1359"/>
      <c r="J4" s="1359"/>
      <c r="K4" s="1360"/>
    </row>
    <row r="5" spans="1:23">
      <c r="A5" s="475"/>
      <c r="B5" s="384"/>
      <c r="C5" s="384"/>
      <c r="D5" s="383"/>
      <c r="E5" s="238" t="s">
        <v>166</v>
      </c>
      <c r="F5" s="239"/>
      <c r="G5" s="240"/>
      <c r="H5" s="239"/>
      <c r="I5" s="240"/>
      <c r="J5" s="238" t="s">
        <v>1096</v>
      </c>
      <c r="K5" s="240"/>
      <c r="Q5" s="248"/>
      <c r="W5" s="495"/>
    </row>
    <row r="6" spans="1:23">
      <c r="A6" s="385"/>
      <c r="B6" s="386"/>
      <c r="C6" s="387"/>
      <c r="D6" s="9"/>
      <c r="E6" s="241" t="s">
        <v>167</v>
      </c>
      <c r="F6" s="241" t="s">
        <v>134</v>
      </c>
      <c r="G6" s="721" t="s">
        <v>20</v>
      </c>
      <c r="H6" s="242" t="s">
        <v>134</v>
      </c>
      <c r="I6" s="721" t="s">
        <v>1098</v>
      </c>
      <c r="J6" s="242" t="s">
        <v>168</v>
      </c>
      <c r="K6" s="465" t="s">
        <v>1090</v>
      </c>
      <c r="Q6" s="248"/>
    </row>
    <row r="7" spans="1:23">
      <c r="A7" s="388" t="s">
        <v>8</v>
      </c>
      <c r="B7" s="389"/>
      <c r="C7" s="390"/>
      <c r="D7" s="13"/>
      <c r="E7" s="243" t="s">
        <v>9</v>
      </c>
      <c r="F7" s="243" t="s">
        <v>748</v>
      </c>
      <c r="G7" s="244" t="s">
        <v>745</v>
      </c>
      <c r="H7" s="244" t="s">
        <v>7</v>
      </c>
      <c r="I7" s="244" t="s">
        <v>644</v>
      </c>
      <c r="J7" s="244" t="s">
        <v>169</v>
      </c>
      <c r="K7" s="243" t="s">
        <v>168</v>
      </c>
      <c r="Q7" s="248"/>
    </row>
    <row r="8" spans="1:23">
      <c r="A8" s="391" t="s">
        <v>21</v>
      </c>
      <c r="B8" s="392"/>
      <c r="C8" s="393"/>
      <c r="D8" s="17" t="s">
        <v>22</v>
      </c>
      <c r="E8" s="245" t="s">
        <v>23</v>
      </c>
      <c r="F8" s="245" t="s">
        <v>144</v>
      </c>
      <c r="G8" s="246" t="s">
        <v>645</v>
      </c>
      <c r="H8" s="246" t="s">
        <v>144</v>
      </c>
      <c r="I8" s="246" t="s">
        <v>749</v>
      </c>
      <c r="J8" s="246" t="s">
        <v>170</v>
      </c>
      <c r="K8" s="245" t="s">
        <v>134</v>
      </c>
    </row>
    <row r="9" spans="1:23">
      <c r="A9" s="18"/>
      <c r="B9" s="19"/>
      <c r="C9" s="19"/>
      <c r="D9" s="19" t="s">
        <v>34</v>
      </c>
      <c r="E9" s="247" t="s">
        <v>35</v>
      </c>
      <c r="F9" s="627" t="s">
        <v>36</v>
      </c>
      <c r="G9" s="627" t="s">
        <v>37</v>
      </c>
      <c r="H9" s="247" t="s">
        <v>38</v>
      </c>
      <c r="I9" s="247" t="s">
        <v>39</v>
      </c>
      <c r="J9" s="247" t="s">
        <v>969</v>
      </c>
      <c r="K9" s="247" t="s">
        <v>1064</v>
      </c>
    </row>
    <row r="10" spans="1:23" ht="5.25" customHeight="1"/>
    <row r="11" spans="1:23" ht="5.25" customHeight="1"/>
    <row r="12" spans="1:23" ht="1.5" customHeight="1"/>
    <row r="13" spans="1:23">
      <c r="B13" s="381" t="s">
        <v>40</v>
      </c>
    </row>
    <row r="14" spans="1:23">
      <c r="A14" s="394">
        <v>1</v>
      </c>
      <c r="B14" s="395" t="s">
        <v>41</v>
      </c>
      <c r="C14" s="395"/>
      <c r="D14" s="395"/>
      <c r="E14" s="395">
        <f>'ADJ DETAIL-INPUT'!E13</f>
        <v>565624</v>
      </c>
      <c r="F14" s="395">
        <f>G14-E14</f>
        <v>-31096</v>
      </c>
      <c r="G14" s="395">
        <f>'ADJ DETAIL-INPUT'!AC13</f>
        <v>534528</v>
      </c>
      <c r="H14" s="395">
        <f>I14-G14</f>
        <v>14875</v>
      </c>
      <c r="I14" s="395">
        <f>'ADJ DETAIL-INPUT'!BH13</f>
        <v>549403</v>
      </c>
      <c r="J14" s="419">
        <f>'CF '!J9</f>
        <v>38000.017689383101</v>
      </c>
      <c r="K14" s="395">
        <f>I14+J14</f>
        <v>587403.01768938312</v>
      </c>
      <c r="M14" s="36"/>
    </row>
    <row r="15" spans="1:23">
      <c r="A15" s="394">
        <v>2</v>
      </c>
      <c r="B15" s="396" t="s">
        <v>42</v>
      </c>
      <c r="C15" s="396"/>
      <c r="D15" s="396"/>
      <c r="E15" s="405">
        <f>'ADJ DETAIL-INPUT'!E14</f>
        <v>1173</v>
      </c>
      <c r="F15" s="405">
        <f>G15-E15</f>
        <v>0</v>
      </c>
      <c r="G15" s="405">
        <f>'ADJ DETAIL-INPUT'!AC14</f>
        <v>1173</v>
      </c>
      <c r="H15" s="405">
        <f>I15-G15</f>
        <v>0</v>
      </c>
      <c r="I15" s="405">
        <f>'ADJ DETAIL-INPUT'!BH14</f>
        <v>1173</v>
      </c>
      <c r="J15" s="405"/>
      <c r="K15" s="405">
        <f t="shared" ref="K15:K16" si="0">I15+J15</f>
        <v>1173</v>
      </c>
      <c r="M15" s="36"/>
    </row>
    <row r="16" spans="1:23">
      <c r="A16" s="394">
        <v>3</v>
      </c>
      <c r="B16" s="396" t="s">
        <v>43</v>
      </c>
      <c r="C16" s="396"/>
      <c r="D16" s="396"/>
      <c r="E16" s="414">
        <f>'ADJ DETAIL-INPUT'!E15</f>
        <v>50450</v>
      </c>
      <c r="F16" s="414">
        <f>G16-E16</f>
        <v>-13832</v>
      </c>
      <c r="G16" s="414">
        <f>'ADJ DETAIL-INPUT'!AC15</f>
        <v>36618</v>
      </c>
      <c r="H16" s="414">
        <f>I16-G16</f>
        <v>53093</v>
      </c>
      <c r="I16" s="414">
        <f>'ADJ DETAIL-INPUT'!BH15</f>
        <v>89711</v>
      </c>
      <c r="J16" s="414"/>
      <c r="K16" s="414">
        <f t="shared" si="0"/>
        <v>89711</v>
      </c>
      <c r="M16" s="36"/>
    </row>
    <row r="17" spans="1:15">
      <c r="A17" s="394">
        <v>4</v>
      </c>
      <c r="B17" s="396"/>
      <c r="C17" s="396" t="s">
        <v>44</v>
      </c>
      <c r="D17" s="396"/>
      <c r="E17" s="405">
        <f>SUM(E14:E16)</f>
        <v>617247</v>
      </c>
      <c r="F17" s="405">
        <f>SUM(F14:F16)</f>
        <v>-44928</v>
      </c>
      <c r="G17" s="405">
        <f t="shared" ref="G17" si="1">SUM(G14:G16)</f>
        <v>572319</v>
      </c>
      <c r="H17" s="405">
        <f>SUM(H14:H16)</f>
        <v>67968</v>
      </c>
      <c r="I17" s="405">
        <f t="shared" ref="I17:K17" si="2">SUM(I14:I16)</f>
        <v>640287</v>
      </c>
      <c r="J17" s="405">
        <f t="shared" si="2"/>
        <v>38000.017689383101</v>
      </c>
      <c r="K17" s="405">
        <f t="shared" si="2"/>
        <v>678287.01768938312</v>
      </c>
      <c r="M17" s="36"/>
    </row>
    <row r="18" spans="1:15">
      <c r="A18" s="394">
        <v>5</v>
      </c>
      <c r="B18" s="396" t="s">
        <v>45</v>
      </c>
      <c r="C18" s="396"/>
      <c r="D18" s="396"/>
      <c r="E18" s="414">
        <f>'ADJ DETAIL-INPUT'!E17</f>
        <v>41339</v>
      </c>
      <c r="F18" s="414">
        <f>G18-E18</f>
        <v>-26002</v>
      </c>
      <c r="G18" s="414">
        <f>'ADJ DETAIL-INPUT'!AC17</f>
        <v>15337</v>
      </c>
      <c r="H18" s="414">
        <f>I18-G18</f>
        <v>20148</v>
      </c>
      <c r="I18" s="414">
        <f>'ADJ DETAIL-INPUT'!BH17</f>
        <v>35485</v>
      </c>
      <c r="J18" s="414"/>
      <c r="K18" s="414">
        <f>I18+J18</f>
        <v>35485</v>
      </c>
      <c r="M18" s="36"/>
    </row>
    <row r="19" spans="1:15">
      <c r="A19" s="394">
        <v>6</v>
      </c>
      <c r="B19" s="396"/>
      <c r="C19" s="396" t="s">
        <v>46</v>
      </c>
      <c r="D19" s="396"/>
      <c r="E19" s="405">
        <f>SUM(E17:E18)</f>
        <v>658586</v>
      </c>
      <c r="F19" s="405">
        <f t="shared" ref="F19" si="3">SUM(F17:F18)</f>
        <v>-70930</v>
      </c>
      <c r="G19" s="405">
        <f t="shared" ref="G19" si="4">SUM(G17:G18)</f>
        <v>587656</v>
      </c>
      <c r="H19" s="405">
        <f t="shared" ref="H19:K19" si="5">SUM(H17:H18)</f>
        <v>88116</v>
      </c>
      <c r="I19" s="405">
        <f t="shared" si="5"/>
        <v>675772</v>
      </c>
      <c r="J19" s="405">
        <f t="shared" si="5"/>
        <v>38000.017689383101</v>
      </c>
      <c r="K19" s="405">
        <f t="shared" si="5"/>
        <v>713772.01768938312</v>
      </c>
      <c r="M19" s="36"/>
    </row>
    <row r="20" spans="1:15" ht="5.25" customHeight="1">
      <c r="A20" s="394"/>
      <c r="B20" s="396"/>
      <c r="C20" s="396"/>
      <c r="D20" s="396"/>
      <c r="E20" s="405"/>
      <c r="F20" s="405"/>
      <c r="G20" s="405"/>
      <c r="H20" s="405"/>
      <c r="I20" s="405"/>
      <c r="J20" s="405"/>
      <c r="K20" s="405"/>
      <c r="M20" s="36"/>
    </row>
    <row r="21" spans="1:15">
      <c r="A21" s="394"/>
      <c r="B21" s="396" t="s">
        <v>47</v>
      </c>
      <c r="C21" s="396"/>
      <c r="D21" s="396"/>
      <c r="E21" s="405"/>
      <c r="F21" s="405"/>
      <c r="G21" s="405"/>
      <c r="H21" s="405"/>
      <c r="I21" s="405"/>
      <c r="J21" s="405"/>
      <c r="K21" s="405"/>
      <c r="M21" s="36"/>
    </row>
    <row r="22" spans="1:15">
      <c r="A22" s="394"/>
      <c r="B22" s="396" t="s">
        <v>48</v>
      </c>
      <c r="C22" s="396"/>
      <c r="D22" s="396"/>
      <c r="E22" s="405"/>
      <c r="F22" s="405"/>
      <c r="G22" s="405"/>
      <c r="H22" s="405"/>
      <c r="I22" s="405"/>
      <c r="J22" s="405"/>
      <c r="K22" s="405"/>
      <c r="M22" s="36"/>
      <c r="N22" s="1079"/>
      <c r="O22" s="1079"/>
    </row>
    <row r="23" spans="1:15">
      <c r="A23" s="394">
        <v>7</v>
      </c>
      <c r="B23" s="396"/>
      <c r="C23" s="396" t="s">
        <v>49</v>
      </c>
      <c r="D23" s="396"/>
      <c r="E23" s="405">
        <f>'ADJ DETAIL-INPUT'!E22</f>
        <v>156285</v>
      </c>
      <c r="F23" s="405">
        <f>G23-E23</f>
        <v>-26192</v>
      </c>
      <c r="G23" s="508">
        <f>'ADJ DETAIL-INPUT'!AC22</f>
        <v>130093</v>
      </c>
      <c r="H23" s="405">
        <f>I23-G23</f>
        <v>39265.676999999996</v>
      </c>
      <c r="I23" s="508">
        <f>'ADJ DETAIL-INPUT'!BH22</f>
        <v>169358.677</v>
      </c>
      <c r="J23" s="405"/>
      <c r="K23" s="405">
        <f>I23+J23</f>
        <v>169358.677</v>
      </c>
      <c r="M23" s="720"/>
      <c r="N23" s="248"/>
      <c r="O23" s="248"/>
    </row>
    <row r="24" spans="1:15">
      <c r="A24" s="394">
        <v>8</v>
      </c>
      <c r="B24" s="396"/>
      <c r="C24" s="396" t="s">
        <v>50</v>
      </c>
      <c r="D24" s="396"/>
      <c r="E24" s="405">
        <f>'ADJ DETAIL-INPUT'!E23</f>
        <v>95039</v>
      </c>
      <c r="F24" s="405">
        <f>G24-E24</f>
        <v>-20806</v>
      </c>
      <c r="G24" s="508">
        <f>'ADJ DETAIL-INPUT'!AC23</f>
        <v>74233</v>
      </c>
      <c r="H24" s="405">
        <f>I24-G24</f>
        <v>5539</v>
      </c>
      <c r="I24" s="508">
        <f>'ADJ DETAIL-INPUT'!BH23</f>
        <v>79772</v>
      </c>
      <c r="J24" s="405"/>
      <c r="K24" s="405">
        <f t="shared" ref="K24:K27" si="6">I24+J24</f>
        <v>79772</v>
      </c>
      <c r="M24" s="720"/>
      <c r="N24" s="248"/>
      <c r="O24" s="248"/>
    </row>
    <row r="25" spans="1:15">
      <c r="A25" s="394">
        <v>9</v>
      </c>
      <c r="B25" s="396"/>
      <c r="C25" s="396" t="s">
        <v>539</v>
      </c>
      <c r="D25" s="396"/>
      <c r="E25" s="405">
        <f>'ADJ DETAIL-INPUT'!E24</f>
        <v>42507</v>
      </c>
      <c r="F25" s="405">
        <f>G25-E25</f>
        <v>0</v>
      </c>
      <c r="G25" s="508">
        <f>'ADJ DETAIL-INPUT'!AC24</f>
        <v>42507</v>
      </c>
      <c r="H25" s="405">
        <f>I25-G25</f>
        <v>3789</v>
      </c>
      <c r="I25" s="508">
        <f>'ADJ DETAIL-INPUT'!BH24</f>
        <v>46296</v>
      </c>
      <c r="J25" s="405"/>
      <c r="K25" s="405">
        <f t="shared" si="6"/>
        <v>46296</v>
      </c>
      <c r="M25" s="720"/>
      <c r="N25" s="248"/>
      <c r="O25" s="248"/>
    </row>
    <row r="26" spans="1:15">
      <c r="A26" s="394">
        <v>10</v>
      </c>
      <c r="B26" s="396"/>
      <c r="C26" s="396" t="s">
        <v>678</v>
      </c>
      <c r="D26" s="396"/>
      <c r="E26" s="405">
        <f>'ADJ DETAIL-INPUT'!E25</f>
        <v>-12607</v>
      </c>
      <c r="F26" s="405">
        <f>G26-E26</f>
        <v>9792</v>
      </c>
      <c r="G26" s="508">
        <f>'ADJ DETAIL-INPUT'!AC25</f>
        <v>-2815</v>
      </c>
      <c r="H26" s="405">
        <f>I26-G26</f>
        <v>1854</v>
      </c>
      <c r="I26" s="508">
        <f>'ADJ DETAIL-INPUT'!BH25</f>
        <v>-961</v>
      </c>
      <c r="J26" s="405"/>
      <c r="K26" s="405">
        <f t="shared" si="6"/>
        <v>-961</v>
      </c>
      <c r="M26" s="720"/>
      <c r="N26" s="248"/>
      <c r="O26" s="248"/>
    </row>
    <row r="27" spans="1:15">
      <c r="A27" s="394">
        <v>11</v>
      </c>
      <c r="B27" s="396"/>
      <c r="C27" s="396" t="s">
        <v>27</v>
      </c>
      <c r="D27" s="396"/>
      <c r="E27" s="414">
        <f>'ADJ DETAIL-INPUT'!E26</f>
        <v>15827</v>
      </c>
      <c r="F27" s="414">
        <f>G27-E27</f>
        <v>1</v>
      </c>
      <c r="G27" s="509">
        <f>'ADJ DETAIL-INPUT'!AC26</f>
        <v>15828</v>
      </c>
      <c r="H27" s="414">
        <f>I27-G27</f>
        <v>57</v>
      </c>
      <c r="I27" s="509">
        <f>'ADJ DETAIL-INPUT'!BH26</f>
        <v>15885</v>
      </c>
      <c r="J27" s="414"/>
      <c r="K27" s="414">
        <f t="shared" si="6"/>
        <v>15885</v>
      </c>
      <c r="M27" s="720"/>
      <c r="N27" s="248"/>
      <c r="O27" s="248"/>
    </row>
    <row r="28" spans="1:15">
      <c r="A28" s="394">
        <v>12</v>
      </c>
      <c r="B28" s="396"/>
      <c r="C28" s="396"/>
      <c r="D28" s="396" t="s">
        <v>51</v>
      </c>
      <c r="E28" s="405">
        <f>SUM(E23:E27)</f>
        <v>297051</v>
      </c>
      <c r="F28" s="405">
        <f t="shared" ref="F28" si="7">SUM(F23:F27)</f>
        <v>-37205</v>
      </c>
      <c r="G28" s="405">
        <f t="shared" ref="G28" si="8">SUM(G23:G27)</f>
        <v>259846</v>
      </c>
      <c r="H28" s="405">
        <f t="shared" ref="H28:K28" si="9">SUM(H23:H27)</f>
        <v>50504.676999999996</v>
      </c>
      <c r="I28" s="405">
        <f t="shared" si="9"/>
        <v>310350.67700000003</v>
      </c>
      <c r="J28" s="405">
        <f t="shared" si="9"/>
        <v>0</v>
      </c>
      <c r="K28" s="405">
        <f t="shared" si="9"/>
        <v>310350.67700000003</v>
      </c>
      <c r="M28" s="720"/>
      <c r="N28" s="249"/>
      <c r="O28" s="249"/>
    </row>
    <row r="29" spans="1:15" ht="3.75" customHeight="1">
      <c r="A29" s="394"/>
      <c r="B29" s="396"/>
      <c r="C29" s="396"/>
      <c r="D29" s="396"/>
      <c r="E29" s="405"/>
      <c r="F29" s="405"/>
      <c r="G29" s="405"/>
      <c r="H29" s="405"/>
      <c r="I29" s="405"/>
      <c r="J29" s="405"/>
      <c r="K29" s="405"/>
      <c r="M29" s="720"/>
    </row>
    <row r="30" spans="1:15">
      <c r="A30" s="394"/>
      <c r="B30" s="396" t="s">
        <v>52</v>
      </c>
      <c r="C30" s="396"/>
      <c r="D30" s="396"/>
      <c r="E30" s="405"/>
      <c r="F30" s="405"/>
      <c r="G30" s="405"/>
      <c r="H30" s="405"/>
      <c r="I30" s="405"/>
      <c r="J30" s="405"/>
      <c r="K30" s="405"/>
      <c r="M30" s="720"/>
      <c r="N30" s="249"/>
      <c r="O30" s="249"/>
    </row>
    <row r="31" spans="1:15">
      <c r="A31" s="394">
        <v>13</v>
      </c>
      <c r="B31" s="396"/>
      <c r="C31" s="396" t="s">
        <v>49</v>
      </c>
      <c r="D31" s="396"/>
      <c r="E31" s="405">
        <f>'ADJ DETAIL-INPUT'!E30</f>
        <v>24622</v>
      </c>
      <c r="F31" s="405">
        <f>G31-E31</f>
        <v>0</v>
      </c>
      <c r="G31" s="416">
        <f>'ADJ DETAIL-INPUT'!AC30</f>
        <v>24622</v>
      </c>
      <c r="H31" s="405">
        <f>I31-G31</f>
        <v>5694.8989999999976</v>
      </c>
      <c r="I31" s="416">
        <f>'ADJ DETAIL-INPUT'!BH30</f>
        <v>30316.898999999998</v>
      </c>
      <c r="J31" s="405"/>
      <c r="K31" s="405">
        <f>I31+J31</f>
        <v>30316.898999999998</v>
      </c>
      <c r="M31" s="720"/>
      <c r="N31" s="36"/>
      <c r="O31" s="36"/>
    </row>
    <row r="32" spans="1:15">
      <c r="A32" s="394">
        <v>14</v>
      </c>
      <c r="B32" s="396"/>
      <c r="C32" s="396" t="s">
        <v>539</v>
      </c>
      <c r="D32" s="396"/>
      <c r="E32" s="405">
        <f>'ADJ DETAIL-INPUT'!E31</f>
        <v>34676</v>
      </c>
      <c r="F32" s="405">
        <f>G32-E32</f>
        <v>-63</v>
      </c>
      <c r="G32" s="416">
        <f>'ADJ DETAIL-INPUT'!AC31</f>
        <v>34613</v>
      </c>
      <c r="H32" s="405">
        <f>I32-G32</f>
        <v>4655</v>
      </c>
      <c r="I32" s="416">
        <f>'ADJ DETAIL-INPUT'!BH31</f>
        <v>39268</v>
      </c>
      <c r="J32" s="405"/>
      <c r="K32" s="405">
        <f t="shared" ref="K32:K34" si="10">I32+J32</f>
        <v>39268</v>
      </c>
      <c r="M32" s="36"/>
    </row>
    <row r="33" spans="1:18" s="1149" customFormat="1">
      <c r="A33" s="394" t="s">
        <v>1234</v>
      </c>
      <c r="B33" s="396"/>
      <c r="C33" s="396" t="s">
        <v>537</v>
      </c>
      <c r="D33" s="396"/>
      <c r="E33" s="405">
        <f>'ADJ DETAIL-INPUT'!E32</f>
        <v>0</v>
      </c>
      <c r="F33" s="405">
        <f>G33-E33</f>
        <v>0</v>
      </c>
      <c r="G33" s="416">
        <f>'ADJ DETAIL-INPUT'!AC32</f>
        <v>0</v>
      </c>
      <c r="H33" s="405">
        <f>I33-G33</f>
        <v>62</v>
      </c>
      <c r="I33" s="416">
        <f>'ADJ DETAIL-INPUT'!BH32</f>
        <v>62</v>
      </c>
      <c r="J33" s="405"/>
      <c r="K33" s="405">
        <f t="shared" ref="K33" si="11">I33+J33</f>
        <v>62</v>
      </c>
      <c r="M33" s="1152"/>
      <c r="R33" s="1165"/>
    </row>
    <row r="34" spans="1:18">
      <c r="A34" s="394">
        <v>15</v>
      </c>
      <c r="B34" s="396"/>
      <c r="C34" s="396" t="s">
        <v>27</v>
      </c>
      <c r="D34" s="396"/>
      <c r="E34" s="414">
        <f>'ADJ DETAIL-INPUT'!E33</f>
        <v>49705</v>
      </c>
      <c r="F34" s="414">
        <f>G34-E34</f>
        <v>-19887</v>
      </c>
      <c r="G34" s="414">
        <f>'ADJ DETAIL-INPUT'!AC33</f>
        <v>29818</v>
      </c>
      <c r="H34" s="414">
        <f>I34-G34</f>
        <v>1479</v>
      </c>
      <c r="I34" s="414">
        <f>'ADJ DETAIL-INPUT'!BH33</f>
        <v>31297</v>
      </c>
      <c r="J34" s="414">
        <f>'CF '!J16</f>
        <v>1467</v>
      </c>
      <c r="K34" s="414">
        <f t="shared" si="10"/>
        <v>32764</v>
      </c>
      <c r="M34" s="36"/>
    </row>
    <row r="35" spans="1:18">
      <c r="A35" s="394">
        <v>16</v>
      </c>
      <c r="B35" s="396"/>
      <c r="C35" s="396"/>
      <c r="D35" s="396" t="s">
        <v>53</v>
      </c>
      <c r="E35" s="405">
        <f t="shared" ref="E35:K35" si="12">SUM(E31:E34)</f>
        <v>109003</v>
      </c>
      <c r="F35" s="405">
        <f t="shared" si="12"/>
        <v>-19950</v>
      </c>
      <c r="G35" s="405">
        <f t="shared" si="12"/>
        <v>89053</v>
      </c>
      <c r="H35" s="405">
        <f t="shared" si="12"/>
        <v>11890.898999999998</v>
      </c>
      <c r="I35" s="405">
        <f t="shared" si="12"/>
        <v>100943.899</v>
      </c>
      <c r="J35" s="405">
        <f t="shared" si="12"/>
        <v>1467</v>
      </c>
      <c r="K35" s="405">
        <f t="shared" si="12"/>
        <v>102410.899</v>
      </c>
      <c r="M35" s="36"/>
    </row>
    <row r="36" spans="1:18" ht="6.75" customHeight="1">
      <c r="A36" s="394"/>
      <c r="B36" s="396"/>
      <c r="C36" s="396"/>
      <c r="D36" s="396"/>
      <c r="E36" s="405"/>
      <c r="F36" s="405"/>
      <c r="G36" s="405"/>
      <c r="H36" s="405"/>
      <c r="I36" s="405"/>
      <c r="J36" s="405"/>
      <c r="K36" s="405"/>
      <c r="M36" s="36"/>
    </row>
    <row r="37" spans="1:18">
      <c r="A37" s="394">
        <v>17</v>
      </c>
      <c r="B37" s="396" t="s">
        <v>54</v>
      </c>
      <c r="C37" s="396"/>
      <c r="D37" s="396"/>
      <c r="E37" s="405">
        <f>'ADJ DETAIL-INPUT'!E36</f>
        <v>15849</v>
      </c>
      <c r="F37" s="405">
        <f>G37-E37</f>
        <v>1534</v>
      </c>
      <c r="G37" s="416">
        <f>'ADJ DETAIL-INPUT'!AC36</f>
        <v>17383</v>
      </c>
      <c r="H37" s="405">
        <f>I37-G37</f>
        <v>-1039.5239999999994</v>
      </c>
      <c r="I37" s="416">
        <f>'ADJ DETAIL-INPUT'!BH36</f>
        <v>16343.476000000001</v>
      </c>
      <c r="J37" s="405">
        <f>'CF '!J12</f>
        <v>126</v>
      </c>
      <c r="K37" s="405">
        <f>I37+J37</f>
        <v>16469.476000000002</v>
      </c>
      <c r="M37" s="36"/>
    </row>
    <row r="38" spans="1:18">
      <c r="A38" s="394">
        <v>18</v>
      </c>
      <c r="B38" s="396" t="s">
        <v>55</v>
      </c>
      <c r="C38" s="396"/>
      <c r="D38" s="396"/>
      <c r="E38" s="405">
        <f>'ADJ DETAIL-INPUT'!E37</f>
        <v>25245</v>
      </c>
      <c r="F38" s="405">
        <f>G38-E38</f>
        <v>-24041</v>
      </c>
      <c r="G38" s="416">
        <f>'ADJ DETAIL-INPUT'!AC37</f>
        <v>1204</v>
      </c>
      <c r="H38" s="405">
        <f>I38-G38</f>
        <v>94.919000000000096</v>
      </c>
      <c r="I38" s="416">
        <f>'ADJ DETAIL-INPUT'!BH37</f>
        <v>1298.9190000000001</v>
      </c>
      <c r="J38" s="405"/>
      <c r="K38" s="405">
        <f t="shared" ref="K38:K39" si="13">I38+J38</f>
        <v>1298.9190000000001</v>
      </c>
      <c r="M38" s="36"/>
    </row>
    <row r="39" spans="1:18">
      <c r="A39" s="394">
        <v>19</v>
      </c>
      <c r="B39" s="396" t="s">
        <v>56</v>
      </c>
      <c r="C39" s="396"/>
      <c r="D39" s="396"/>
      <c r="E39" s="405">
        <f>'ADJ DETAIL-INPUT'!E38</f>
        <v>0</v>
      </c>
      <c r="F39" s="405">
        <f>G39-E39</f>
        <v>0</v>
      </c>
      <c r="G39" s="416">
        <f>'ADJ DETAIL-INPUT'!AC38</f>
        <v>0</v>
      </c>
      <c r="H39" s="405">
        <f>I39-G39</f>
        <v>0</v>
      </c>
      <c r="I39" s="416">
        <f>'ADJ DETAIL-INPUT'!BH38</f>
        <v>0</v>
      </c>
      <c r="J39" s="405"/>
      <c r="K39" s="405">
        <f t="shared" si="13"/>
        <v>0</v>
      </c>
      <c r="M39" s="36"/>
    </row>
    <row r="40" spans="1:18" ht="6.75" customHeight="1">
      <c r="A40" s="396"/>
      <c r="B40" s="396"/>
      <c r="C40" s="396"/>
      <c r="D40" s="396"/>
      <c r="E40" s="405"/>
      <c r="F40" s="405"/>
      <c r="G40" s="405"/>
      <c r="H40" s="405"/>
      <c r="I40" s="405"/>
      <c r="J40" s="405"/>
      <c r="K40" s="405"/>
      <c r="M40" s="36"/>
    </row>
    <row r="41" spans="1:18">
      <c r="A41" s="394"/>
      <c r="B41" s="396" t="s">
        <v>57</v>
      </c>
      <c r="C41" s="396"/>
      <c r="D41" s="396"/>
      <c r="E41" s="405"/>
      <c r="F41" s="405"/>
      <c r="G41" s="405"/>
      <c r="H41" s="405"/>
      <c r="I41" s="405"/>
      <c r="J41" s="405"/>
      <c r="K41" s="405"/>
      <c r="M41" s="36"/>
    </row>
    <row r="42" spans="1:18">
      <c r="A42" s="394">
        <v>20</v>
      </c>
      <c r="B42" s="396"/>
      <c r="C42" s="396" t="s">
        <v>49</v>
      </c>
      <c r="D42" s="396"/>
      <c r="E42" s="405">
        <f>'ADJ DETAIL-INPUT'!E41</f>
        <v>73927</v>
      </c>
      <c r="F42" s="405">
        <f>G42-E42</f>
        <v>1139</v>
      </c>
      <c r="G42" s="416">
        <f>'ADJ DETAIL-INPUT'!AC41</f>
        <v>75066</v>
      </c>
      <c r="H42" s="405">
        <f>I42-G42</f>
        <v>4605.5929620253155</v>
      </c>
      <c r="I42" s="416">
        <f>'ADJ DETAIL-INPUT'!BH41</f>
        <v>79671.592962025316</v>
      </c>
      <c r="J42" s="405">
        <f>'CF '!J14</f>
        <v>76</v>
      </c>
      <c r="K42" s="405">
        <f t="shared" ref="K42:K45" si="14">I42+J42</f>
        <v>79747.592962025316</v>
      </c>
      <c r="M42" s="36"/>
    </row>
    <row r="43" spans="1:18">
      <c r="A43" s="394">
        <v>21</v>
      </c>
      <c r="B43" s="396"/>
      <c r="C43" s="396" t="s">
        <v>539</v>
      </c>
      <c r="D43" s="396"/>
      <c r="E43" s="405">
        <f>'ADJ DETAIL-INPUT'!E42</f>
        <v>41343</v>
      </c>
      <c r="F43" s="405">
        <f>G43-E43</f>
        <v>0</v>
      </c>
      <c r="G43" s="416">
        <f>'ADJ DETAIL-INPUT'!AC42</f>
        <v>41343</v>
      </c>
      <c r="H43" s="405">
        <f>I43-G43</f>
        <v>1620</v>
      </c>
      <c r="I43" s="416">
        <f>'ADJ DETAIL-INPUT'!BH42</f>
        <v>42963</v>
      </c>
      <c r="J43" s="405"/>
      <c r="K43" s="405">
        <f t="shared" si="14"/>
        <v>42963</v>
      </c>
      <c r="M43" s="36"/>
    </row>
    <row r="44" spans="1:18">
      <c r="A44" s="394">
        <v>22</v>
      </c>
      <c r="B44" s="396"/>
      <c r="C44" s="396" t="s">
        <v>678</v>
      </c>
      <c r="D44" s="396"/>
      <c r="E44" s="405">
        <f>'ADJ DETAIL-INPUT'!E43</f>
        <v>-20056</v>
      </c>
      <c r="F44" s="405">
        <f>G44-E44</f>
        <v>2612</v>
      </c>
      <c r="G44" s="416">
        <f>'ADJ DETAIL-INPUT'!AC43</f>
        <v>-17444</v>
      </c>
      <c r="H44" s="405">
        <f>I44-G44</f>
        <v>13793.5</v>
      </c>
      <c r="I44" s="416">
        <f>'ADJ DETAIL-INPUT'!BH43</f>
        <v>-3650.5</v>
      </c>
      <c r="J44" s="405"/>
      <c r="K44" s="405">
        <f t="shared" si="14"/>
        <v>-3650.5</v>
      </c>
      <c r="M44" s="36"/>
    </row>
    <row r="45" spans="1:18">
      <c r="A45" s="418">
        <v>23</v>
      </c>
      <c r="B45" s="396"/>
      <c r="C45" s="396" t="s">
        <v>27</v>
      </c>
      <c r="D45" s="396"/>
      <c r="E45" s="414">
        <f>'ADJ DETAIL-INPUT'!E44</f>
        <v>3632</v>
      </c>
      <c r="F45" s="414">
        <f>G45-E45</f>
        <v>0</v>
      </c>
      <c r="G45" s="414">
        <f>'ADJ DETAIL-INPUT'!AC44</f>
        <v>3632</v>
      </c>
      <c r="H45" s="414">
        <f>I45-G45</f>
        <v>0</v>
      </c>
      <c r="I45" s="414">
        <f>'ADJ DETAIL-INPUT'!BH44</f>
        <v>3632</v>
      </c>
      <c r="J45" s="414"/>
      <c r="K45" s="414">
        <f t="shared" si="14"/>
        <v>3632</v>
      </c>
      <c r="M45" s="36"/>
    </row>
    <row r="46" spans="1:18">
      <c r="A46" s="394">
        <v>24</v>
      </c>
      <c r="B46" s="396"/>
      <c r="C46" s="396"/>
      <c r="D46" s="396" t="s">
        <v>58</v>
      </c>
      <c r="E46" s="414">
        <f t="shared" ref="E46:K46" si="15">SUM(E42:E45)</f>
        <v>98846</v>
      </c>
      <c r="F46" s="414">
        <f t="shared" si="15"/>
        <v>3751</v>
      </c>
      <c r="G46" s="414">
        <f t="shared" si="15"/>
        <v>102597</v>
      </c>
      <c r="H46" s="414">
        <f t="shared" si="15"/>
        <v>20019.092962025316</v>
      </c>
      <c r="I46" s="414">
        <f t="shared" si="15"/>
        <v>122616.09296202532</v>
      </c>
      <c r="J46" s="414">
        <f t="shared" si="15"/>
        <v>76</v>
      </c>
      <c r="K46" s="414">
        <f t="shared" si="15"/>
        <v>122692.09296202532</v>
      </c>
      <c r="M46" s="36"/>
    </row>
    <row r="47" spans="1:18">
      <c r="A47" s="394">
        <v>25</v>
      </c>
      <c r="B47" s="396" t="s">
        <v>59</v>
      </c>
      <c r="C47" s="396"/>
      <c r="D47" s="396"/>
      <c r="E47" s="414">
        <f t="shared" ref="E47:K47" si="16">E28+E35+E37+E38+E39+E46</f>
        <v>545994</v>
      </c>
      <c r="F47" s="414">
        <f t="shared" si="16"/>
        <v>-75911</v>
      </c>
      <c r="G47" s="414">
        <f t="shared" si="16"/>
        <v>470083</v>
      </c>
      <c r="H47" s="414">
        <f t="shared" si="16"/>
        <v>81470.063962025306</v>
      </c>
      <c r="I47" s="414">
        <f t="shared" si="16"/>
        <v>551553.06396202534</v>
      </c>
      <c r="J47" s="414">
        <f t="shared" si="16"/>
        <v>1669</v>
      </c>
      <c r="K47" s="414">
        <f t="shared" si="16"/>
        <v>553222.06396202534</v>
      </c>
      <c r="M47" s="36"/>
    </row>
    <row r="48" spans="1:18" ht="7.5" customHeight="1">
      <c r="A48" s="394"/>
      <c r="B48" s="396"/>
      <c r="C48" s="396"/>
      <c r="D48" s="396"/>
      <c r="E48" s="405"/>
      <c r="F48" s="405"/>
      <c r="G48" s="405"/>
      <c r="H48" s="405"/>
      <c r="I48" s="405"/>
      <c r="J48" s="405"/>
      <c r="K48" s="405"/>
      <c r="M48" s="36"/>
    </row>
    <row r="49" spans="1:26">
      <c r="A49" s="394">
        <v>26</v>
      </c>
      <c r="B49" s="396" t="s">
        <v>60</v>
      </c>
      <c r="C49" s="396"/>
      <c r="D49" s="396"/>
      <c r="E49" s="405">
        <f t="shared" ref="E49:K49" si="17">E19-E47</f>
        <v>112592</v>
      </c>
      <c r="F49" s="405">
        <f t="shared" si="17"/>
        <v>4981</v>
      </c>
      <c r="G49" s="405">
        <f t="shared" si="17"/>
        <v>117573</v>
      </c>
      <c r="H49" s="405">
        <f t="shared" si="17"/>
        <v>6645.936037974694</v>
      </c>
      <c r="I49" s="405">
        <f t="shared" si="17"/>
        <v>124218.93603797466</v>
      </c>
      <c r="J49" s="405">
        <f t="shared" si="17"/>
        <v>36331.017689383101</v>
      </c>
      <c r="K49" s="405">
        <f t="shared" si="17"/>
        <v>160549.95372735779</v>
      </c>
      <c r="M49" s="36"/>
    </row>
    <row r="50" spans="1:26" ht="5.25" customHeight="1">
      <c r="A50" s="394"/>
      <c r="B50" s="396"/>
      <c r="C50" s="396"/>
      <c r="D50" s="396"/>
      <c r="E50" s="405"/>
      <c r="F50" s="405"/>
      <c r="G50" s="405"/>
      <c r="H50" s="405"/>
      <c r="I50" s="405"/>
      <c r="J50" s="405"/>
      <c r="K50" s="405"/>
      <c r="M50" s="36"/>
    </row>
    <row r="51" spans="1:26">
      <c r="A51" s="394"/>
      <c r="B51" s="396" t="s">
        <v>61</v>
      </c>
      <c r="C51" s="396"/>
      <c r="D51" s="396"/>
      <c r="E51" s="405"/>
      <c r="F51" s="405"/>
      <c r="G51" s="405"/>
      <c r="H51" s="405"/>
      <c r="I51" s="405"/>
      <c r="J51" s="405"/>
      <c r="K51" s="405"/>
      <c r="M51" s="36"/>
    </row>
    <row r="52" spans="1:26">
      <c r="A52" s="394">
        <v>27</v>
      </c>
      <c r="B52" s="396" t="s">
        <v>62</v>
      </c>
      <c r="C52" s="396"/>
      <c r="D52" s="396"/>
      <c r="E52" s="405">
        <f>'ADJ DETAIL-INPUT'!E51</f>
        <v>-2018</v>
      </c>
      <c r="F52" s="405">
        <f>G52-E52</f>
        <v>5740.55</v>
      </c>
      <c r="G52" s="416">
        <f>'ADJ DETAIL-INPUT'!AC51</f>
        <v>3722.55</v>
      </c>
      <c r="H52" s="405">
        <f>I52-G52</f>
        <v>1395.8465679746823</v>
      </c>
      <c r="I52" s="416">
        <f>'ADJ DETAIL-INPUT'!BH51</f>
        <v>5118.3965679746825</v>
      </c>
      <c r="J52" s="405">
        <f>'CF '!J22</f>
        <v>7630</v>
      </c>
      <c r="K52" s="405">
        <f>I52+J52</f>
        <v>12748.396567974683</v>
      </c>
      <c r="M52" s="36"/>
      <c r="N52" s="145"/>
      <c r="O52" s="145"/>
      <c r="Z52" s="145"/>
    </row>
    <row r="53" spans="1:26">
      <c r="A53" s="394">
        <v>28</v>
      </c>
      <c r="B53" s="381" t="s">
        <v>259</v>
      </c>
      <c r="E53" s="405">
        <f>'ADJ DETAIL-INPUT'!E52</f>
        <v>0</v>
      </c>
      <c r="F53" s="405">
        <f>G53-E53</f>
        <v>-250.69289699999996</v>
      </c>
      <c r="G53" s="416">
        <f>'ADJ DETAIL-INPUT'!AC52</f>
        <v>-250.69289699999996</v>
      </c>
      <c r="H53" s="405">
        <f>I53-G53</f>
        <v>-880.5330723150696</v>
      </c>
      <c r="I53" s="416">
        <f>'ADJ DETAIL-INPUT'!BH52</f>
        <v>-1131.2259693150695</v>
      </c>
      <c r="J53" s="405"/>
      <c r="K53" s="405">
        <f>I53+J53</f>
        <v>-1131.2259693150695</v>
      </c>
      <c r="M53" s="36"/>
    </row>
    <row r="54" spans="1:26">
      <c r="A54" s="394">
        <v>29</v>
      </c>
      <c r="B54" s="396" t="s">
        <v>63</v>
      </c>
      <c r="C54" s="396"/>
      <c r="D54" s="396"/>
      <c r="E54" s="405">
        <f>'ADJ DETAIL-INPUT'!E53</f>
        <v>8368</v>
      </c>
      <c r="F54" s="405">
        <f>G54-E54</f>
        <v>-3356</v>
      </c>
      <c r="G54" s="416">
        <f>'ADJ DETAIL-INPUT'!AC53</f>
        <v>5012</v>
      </c>
      <c r="H54" s="405">
        <f>I54-G54</f>
        <v>634</v>
      </c>
      <c r="I54" s="416">
        <f>'ADJ DETAIL-INPUT'!BH53</f>
        <v>5646</v>
      </c>
      <c r="J54" s="405"/>
      <c r="K54" s="405">
        <f>I54+J54</f>
        <v>5646</v>
      </c>
      <c r="M54" s="36"/>
      <c r="O54" s="145"/>
    </row>
    <row r="55" spans="1:26">
      <c r="A55" s="394">
        <v>30</v>
      </c>
      <c r="B55" s="396" t="s">
        <v>64</v>
      </c>
      <c r="C55" s="396"/>
      <c r="D55" s="396"/>
      <c r="E55" s="414">
        <f>'ADJ DETAIL-INPUT'!E54</f>
        <v>-318</v>
      </c>
      <c r="F55" s="414">
        <f>G55-E55</f>
        <v>0</v>
      </c>
      <c r="G55" s="414">
        <f>'ADJ DETAIL-INPUT'!AC54</f>
        <v>-318</v>
      </c>
      <c r="H55" s="414">
        <f>I55-G55</f>
        <v>0</v>
      </c>
      <c r="I55" s="414">
        <f>'ADJ DETAIL-INPUT'!BH54</f>
        <v>-318</v>
      </c>
      <c r="J55" s="414"/>
      <c r="K55" s="414">
        <f>I55+J55</f>
        <v>-318</v>
      </c>
      <c r="M55" s="36"/>
    </row>
    <row r="56" spans="1:26" ht="12.75" customHeight="1">
      <c r="A56" s="394"/>
      <c r="B56" s="1361"/>
      <c r="C56" s="1361"/>
      <c r="D56" s="1361"/>
      <c r="E56" s="414"/>
      <c r="F56" s="414"/>
      <c r="G56" s="414"/>
      <c r="H56" s="414"/>
      <c r="I56" s="414"/>
      <c r="J56" s="414"/>
      <c r="K56" s="414"/>
      <c r="M56" s="36"/>
    </row>
    <row r="57" spans="1:26" ht="13.5" thickBot="1">
      <c r="A57" s="382">
        <v>31</v>
      </c>
      <c r="B57" s="395" t="s">
        <v>65</v>
      </c>
      <c r="C57" s="395"/>
      <c r="D57" s="395"/>
      <c r="E57" s="983">
        <f>E49-SUM(E52:E56)</f>
        <v>106560</v>
      </c>
      <c r="F57" s="983">
        <f t="shared" ref="F57:K57" si="18">F49-SUM(F52:F56)</f>
        <v>2847.1428969999997</v>
      </c>
      <c r="G57" s="983">
        <f t="shared" si="18"/>
        <v>109407.142897</v>
      </c>
      <c r="H57" s="983">
        <f t="shared" si="18"/>
        <v>5496.6225423150809</v>
      </c>
      <c r="I57" s="983">
        <f t="shared" si="18"/>
        <v>114903.76543931506</v>
      </c>
      <c r="J57" s="983">
        <f t="shared" si="18"/>
        <v>28701.017689383101</v>
      </c>
      <c r="K57" s="983">
        <f t="shared" si="18"/>
        <v>143604.78312869818</v>
      </c>
      <c r="M57" s="36"/>
      <c r="N57" s="36"/>
    </row>
    <row r="58" spans="1:26" ht="5.25" customHeight="1" thickTop="1">
      <c r="E58" s="405"/>
      <c r="F58" s="405"/>
      <c r="G58" s="405"/>
      <c r="H58" s="405"/>
      <c r="I58" s="405"/>
      <c r="J58" s="405"/>
      <c r="K58" s="405"/>
      <c r="M58" s="36"/>
      <c r="N58" s="99"/>
      <c r="Q58" s="99"/>
    </row>
    <row r="59" spans="1:26">
      <c r="B59" s="381" t="s">
        <v>66</v>
      </c>
      <c r="E59" s="405"/>
      <c r="F59" s="405"/>
      <c r="G59" s="405"/>
      <c r="H59" s="405"/>
      <c r="I59" s="405"/>
      <c r="J59" s="405"/>
      <c r="K59" s="405"/>
      <c r="M59" s="36"/>
      <c r="N59" s="36"/>
    </row>
    <row r="60" spans="1:26">
      <c r="A60" s="394"/>
      <c r="B60" s="381" t="s">
        <v>67</v>
      </c>
      <c r="E60" s="405"/>
      <c r="F60" s="405"/>
      <c r="G60" s="405"/>
      <c r="H60" s="405"/>
      <c r="I60" s="405"/>
      <c r="J60" s="405"/>
      <c r="K60" s="405"/>
      <c r="M60" s="36"/>
      <c r="N60" s="36"/>
    </row>
    <row r="61" spans="1:26">
      <c r="A61" s="394">
        <v>32</v>
      </c>
      <c r="B61" s="395"/>
      <c r="C61" s="395" t="s">
        <v>68</v>
      </c>
      <c r="D61" s="395"/>
      <c r="E61" s="395">
        <f>'ADJ DETAIL-INPUT'!E60</f>
        <v>230718</v>
      </c>
      <c r="F61" s="395">
        <f>G61-E61</f>
        <v>7692</v>
      </c>
      <c r="G61" s="506">
        <f>'ADJ DETAIL-INPUT'!AC60</f>
        <v>238410</v>
      </c>
      <c r="H61" s="395">
        <f>I61-G61</f>
        <v>4067</v>
      </c>
      <c r="I61" s="506">
        <f>'ADJ DETAIL-INPUT'!BH60</f>
        <v>242477</v>
      </c>
      <c r="J61" s="395"/>
      <c r="K61" s="395">
        <f>I61+J61</f>
        <v>242477</v>
      </c>
      <c r="M61" s="36"/>
    </row>
    <row r="62" spans="1:26">
      <c r="A62" s="394">
        <v>33</v>
      </c>
      <c r="B62" s="396"/>
      <c r="C62" s="396" t="s">
        <v>69</v>
      </c>
      <c r="D62" s="396"/>
      <c r="E62" s="405">
        <f>'ADJ DETAIL-INPUT'!E61</f>
        <v>948067</v>
      </c>
      <c r="F62" s="405">
        <f>G62-E62</f>
        <v>14773</v>
      </c>
      <c r="G62" s="416">
        <f>'ADJ DETAIL-INPUT'!AC61</f>
        <v>962840</v>
      </c>
      <c r="H62" s="405">
        <f>I62-G62</f>
        <v>72173</v>
      </c>
      <c r="I62" s="416">
        <f>'ADJ DETAIL-INPUT'!BH61</f>
        <v>1035013</v>
      </c>
      <c r="J62" s="405"/>
      <c r="K62" s="405">
        <f t="shared" ref="K62:K65" si="19">I62+J62</f>
        <v>1035013</v>
      </c>
      <c r="M62" s="36"/>
      <c r="N62" s="146"/>
    </row>
    <row r="63" spans="1:26">
      <c r="A63" s="394">
        <v>34</v>
      </c>
      <c r="B63" s="396"/>
      <c r="C63" s="396" t="s">
        <v>70</v>
      </c>
      <c r="D63" s="396"/>
      <c r="E63" s="405">
        <f>'ADJ DETAIL-INPUT'!E62</f>
        <v>575635</v>
      </c>
      <c r="F63" s="405">
        <f>G63-E63</f>
        <v>32625</v>
      </c>
      <c r="G63" s="416">
        <f>'ADJ DETAIL-INPUT'!AC62</f>
        <v>608260</v>
      </c>
      <c r="H63" s="405">
        <f>I63-G63</f>
        <v>51363</v>
      </c>
      <c r="I63" s="416">
        <f>'ADJ DETAIL-INPUT'!BH62</f>
        <v>659623</v>
      </c>
      <c r="J63" s="405"/>
      <c r="K63" s="405">
        <f t="shared" si="19"/>
        <v>659623</v>
      </c>
      <c r="M63" s="36"/>
    </row>
    <row r="64" spans="1:26">
      <c r="A64" s="394">
        <v>35</v>
      </c>
      <c r="B64" s="396"/>
      <c r="C64" s="396" t="s">
        <v>52</v>
      </c>
      <c r="D64" s="396"/>
      <c r="E64" s="405">
        <f>'ADJ DETAIL-INPUT'!E63</f>
        <v>1327782</v>
      </c>
      <c r="F64" s="405">
        <f>G64-E64</f>
        <v>29355</v>
      </c>
      <c r="G64" s="416">
        <f>'ADJ DETAIL-INPUT'!AC63</f>
        <v>1357137</v>
      </c>
      <c r="H64" s="405">
        <f>I64-G64</f>
        <v>138184</v>
      </c>
      <c r="I64" s="416">
        <f>'ADJ DETAIL-INPUT'!BH63</f>
        <v>1495321</v>
      </c>
      <c r="J64" s="405"/>
      <c r="K64" s="405">
        <f t="shared" si="19"/>
        <v>1495321</v>
      </c>
      <c r="M64" s="36"/>
    </row>
    <row r="65" spans="1:13">
      <c r="A65" s="394">
        <v>36</v>
      </c>
      <c r="B65" s="396"/>
      <c r="C65" s="396" t="s">
        <v>71</v>
      </c>
      <c r="D65" s="396"/>
      <c r="E65" s="414">
        <f>'ADJ DETAIL-INPUT'!E64</f>
        <v>294532</v>
      </c>
      <c r="F65" s="414">
        <f>G65-E65</f>
        <v>10592</v>
      </c>
      <c r="G65" s="414">
        <f>'ADJ DETAIL-INPUT'!AC64</f>
        <v>305124</v>
      </c>
      <c r="H65" s="414">
        <f>I65-G65</f>
        <v>22948</v>
      </c>
      <c r="I65" s="414">
        <f>'ADJ DETAIL-INPUT'!BH64</f>
        <v>328072</v>
      </c>
      <c r="J65" s="414"/>
      <c r="K65" s="414">
        <f t="shared" si="19"/>
        <v>328072</v>
      </c>
      <c r="M65" s="36"/>
    </row>
    <row r="66" spans="1:13">
      <c r="A66" s="394">
        <v>37</v>
      </c>
      <c r="B66" s="396"/>
      <c r="C66" s="396"/>
      <c r="D66" s="396" t="s">
        <v>72</v>
      </c>
      <c r="E66" s="405">
        <f>SUM(E61:E65)</f>
        <v>3376734</v>
      </c>
      <c r="F66" s="405">
        <f t="shared" ref="F66" si="20">SUM(F61:F65)</f>
        <v>95037</v>
      </c>
      <c r="G66" s="405">
        <f t="shared" ref="G66" si="21">SUM(G61:G65)</f>
        <v>3471771</v>
      </c>
      <c r="H66" s="405">
        <f t="shared" ref="H66:J66" si="22">SUM(H61:H65)</f>
        <v>288735</v>
      </c>
      <c r="I66" s="405">
        <f t="shared" si="22"/>
        <v>3760506</v>
      </c>
      <c r="J66" s="405">
        <f t="shared" si="22"/>
        <v>0</v>
      </c>
      <c r="K66" s="405">
        <f>SUM(K61:K65)</f>
        <v>3760506</v>
      </c>
      <c r="M66" s="36"/>
    </row>
    <row r="67" spans="1:13">
      <c r="A67" s="397"/>
      <c r="B67" s="396" t="s">
        <v>218</v>
      </c>
      <c r="C67" s="396"/>
      <c r="D67" s="396"/>
      <c r="E67" s="405"/>
      <c r="F67" s="405"/>
      <c r="G67" s="405"/>
      <c r="H67" s="405"/>
      <c r="I67" s="405"/>
      <c r="J67" s="405"/>
      <c r="K67" s="405"/>
      <c r="M67" s="36"/>
    </row>
    <row r="68" spans="1:13">
      <c r="A68" s="397">
        <v>38</v>
      </c>
      <c r="B68" s="396"/>
      <c r="C68" s="395" t="s">
        <v>213</v>
      </c>
      <c r="D68" s="396"/>
      <c r="E68" s="405">
        <f>'ADJ DETAIL-INPUT'!E67</f>
        <v>-84845</v>
      </c>
      <c r="F68" s="405">
        <f>G68-E68</f>
        <v>-7817</v>
      </c>
      <c r="G68" s="416">
        <f>'ADJ DETAIL-INPUT'!AC67</f>
        <v>-92662</v>
      </c>
      <c r="H68" s="405">
        <f>I68-G68</f>
        <v>-38241.52452415468</v>
      </c>
      <c r="I68" s="416">
        <f>'ADJ DETAIL-INPUT'!BH67</f>
        <v>-130903.52452415468</v>
      </c>
      <c r="J68" s="416"/>
      <c r="K68" s="416">
        <f>I68+J68</f>
        <v>-130903.52452415468</v>
      </c>
      <c r="M68" s="36"/>
    </row>
    <row r="69" spans="1:13">
      <c r="A69" s="397">
        <v>39</v>
      </c>
      <c r="B69" s="396"/>
      <c r="C69" s="396" t="s">
        <v>214</v>
      </c>
      <c r="D69" s="396"/>
      <c r="E69" s="405">
        <f>'ADJ DETAIL-INPUT'!E68</f>
        <v>-423739</v>
      </c>
      <c r="F69" s="405">
        <f>G69-E69</f>
        <v>-14429</v>
      </c>
      <c r="G69" s="416">
        <f>'ADJ DETAIL-INPUT'!AC68</f>
        <v>-438168</v>
      </c>
      <c r="H69" s="405">
        <f>I69-G69</f>
        <v>-44705.558502594416</v>
      </c>
      <c r="I69" s="416">
        <f>'ADJ DETAIL-INPUT'!BH68</f>
        <v>-482873.55850259442</v>
      </c>
      <c r="J69" s="405"/>
      <c r="K69" s="416">
        <f t="shared" ref="K69:K72" si="23">I69+J69</f>
        <v>-482873.55850259442</v>
      </c>
      <c r="M69" s="36"/>
    </row>
    <row r="70" spans="1:13">
      <c r="A70" s="397">
        <v>40</v>
      </c>
      <c r="B70" s="396"/>
      <c r="C70" s="396" t="s">
        <v>215</v>
      </c>
      <c r="D70" s="396"/>
      <c r="E70" s="405">
        <f>'ADJ DETAIL-INPUT'!E69</f>
        <v>-158761</v>
      </c>
      <c r="F70" s="405">
        <f>G70-E70</f>
        <v>-751</v>
      </c>
      <c r="G70" s="416">
        <f>'ADJ DETAIL-INPUT'!AC69</f>
        <v>-159512</v>
      </c>
      <c r="H70" s="405">
        <f>I70-G70</f>
        <v>-18460.310108667763</v>
      </c>
      <c r="I70" s="416">
        <f>'ADJ DETAIL-INPUT'!BH69</f>
        <v>-177972.31010866776</v>
      </c>
      <c r="J70" s="405"/>
      <c r="K70" s="416">
        <f t="shared" si="23"/>
        <v>-177972.31010866776</v>
      </c>
      <c r="M70" s="36"/>
    </row>
    <row r="71" spans="1:13">
      <c r="A71" s="397">
        <v>41</v>
      </c>
      <c r="B71" s="396"/>
      <c r="C71" s="396" t="s">
        <v>199</v>
      </c>
      <c r="D71" s="396"/>
      <c r="E71" s="405">
        <f>'ADJ DETAIL-INPUT'!E70</f>
        <v>-384189</v>
      </c>
      <c r="F71" s="405">
        <f>G71-E71</f>
        <v>-15212</v>
      </c>
      <c r="G71" s="416">
        <f>'ADJ DETAIL-INPUT'!AC70</f>
        <v>-399401</v>
      </c>
      <c r="H71" s="405">
        <f>I71-G71</f>
        <v>-53166.558282826212</v>
      </c>
      <c r="I71" s="416">
        <f>'ADJ DETAIL-INPUT'!BH70</f>
        <v>-452567.55828282621</v>
      </c>
      <c r="J71" s="405"/>
      <c r="K71" s="416">
        <f t="shared" si="23"/>
        <v>-452567.55828282621</v>
      </c>
      <c r="M71" s="36"/>
    </row>
    <row r="72" spans="1:13">
      <c r="A72" s="397">
        <v>42</v>
      </c>
      <c r="B72" s="396"/>
      <c r="C72" s="396" t="s">
        <v>216</v>
      </c>
      <c r="D72" s="396"/>
      <c r="E72" s="405">
        <f>'ADJ DETAIL-INPUT'!E71</f>
        <v>-99285</v>
      </c>
      <c r="F72" s="414">
        <f>G72-E72</f>
        <v>-5762</v>
      </c>
      <c r="G72" s="416">
        <f>'ADJ DETAIL-INPUT'!AC71</f>
        <v>-105047</v>
      </c>
      <c r="H72" s="414">
        <f>I72-G72</f>
        <v>-12759.371250916491</v>
      </c>
      <c r="I72" s="416">
        <f>'ADJ DETAIL-INPUT'!BH71</f>
        <v>-117806.37125091649</v>
      </c>
      <c r="J72" s="414"/>
      <c r="K72" s="416">
        <f t="shared" si="23"/>
        <v>-117806.37125091649</v>
      </c>
      <c r="M72" s="36"/>
    </row>
    <row r="73" spans="1:13">
      <c r="A73" s="397">
        <v>43</v>
      </c>
      <c r="B73" s="396" t="s">
        <v>262</v>
      </c>
      <c r="C73" s="396"/>
      <c r="D73" s="396"/>
      <c r="E73" s="257">
        <f>SUM(E68:E72)</f>
        <v>-1150819</v>
      </c>
      <c r="F73" s="257">
        <f t="shared" ref="F73" si="24">SUM(F68:F72)</f>
        <v>-43971</v>
      </c>
      <c r="G73" s="257">
        <f>SUM(G68:G72)</f>
        <v>-1194790</v>
      </c>
      <c r="H73" s="257">
        <f t="shared" ref="H73" si="25">SUM(H68:H72)</f>
        <v>-167333.32266915956</v>
      </c>
      <c r="I73" s="257">
        <f>SUM(I68:I72)</f>
        <v>-1362123.3226691594</v>
      </c>
      <c r="J73" s="257">
        <f>SUM(J68:J72)</f>
        <v>0</v>
      </c>
      <c r="K73" s="257">
        <f>SUM(K68:K72)</f>
        <v>-1362123.3226691594</v>
      </c>
      <c r="M73" s="36"/>
    </row>
    <row r="74" spans="1:13">
      <c r="A74" s="397">
        <v>44</v>
      </c>
      <c r="B74" s="396" t="s">
        <v>544</v>
      </c>
      <c r="C74" s="396"/>
      <c r="D74" s="395"/>
      <c r="E74" s="416">
        <f>E66+E73</f>
        <v>2225915</v>
      </c>
      <c r="F74" s="416">
        <f t="shared" ref="F74" si="26">F66+F73</f>
        <v>51066</v>
      </c>
      <c r="G74" s="416">
        <f t="shared" ref="G74" si="27">G66+G73</f>
        <v>2276981</v>
      </c>
      <c r="H74" s="416">
        <f t="shared" ref="H74:J74" si="28">H66+H73</f>
        <v>121401.67733084044</v>
      </c>
      <c r="I74" s="416">
        <f t="shared" si="28"/>
        <v>2398382.6773308404</v>
      </c>
      <c r="J74" s="416">
        <f t="shared" si="28"/>
        <v>0</v>
      </c>
      <c r="K74" s="416">
        <f>K66+K73</f>
        <v>2398382.6773308404</v>
      </c>
      <c r="M74" s="36"/>
    </row>
    <row r="75" spans="1:13" ht="5.25" customHeight="1">
      <c r="A75" s="397"/>
      <c r="B75" s="396"/>
      <c r="C75" s="396"/>
      <c r="E75" s="322"/>
      <c r="F75" s="322"/>
      <c r="G75" s="322"/>
      <c r="H75" s="322"/>
      <c r="I75" s="322"/>
      <c r="J75" s="322"/>
      <c r="K75" s="322"/>
      <c r="M75" s="36"/>
    </row>
    <row r="76" spans="1:13">
      <c r="A76" s="398">
        <v>45</v>
      </c>
      <c r="B76" s="396" t="s">
        <v>219</v>
      </c>
      <c r="C76" s="396"/>
      <c r="D76" s="396"/>
      <c r="E76" s="414">
        <f>'ADJ DETAIL-INPUT'!E75</f>
        <v>-428637</v>
      </c>
      <c r="F76" s="414">
        <f>G76-E76</f>
        <v>22443</v>
      </c>
      <c r="G76" s="414">
        <f>'ADJ DETAIL-INPUT'!AC75</f>
        <v>-406194</v>
      </c>
      <c r="H76" s="414">
        <f>I76-G76</f>
        <v>-8133</v>
      </c>
      <c r="I76" s="414">
        <f>'ADJ DETAIL-INPUT'!BH75</f>
        <v>-414327</v>
      </c>
      <c r="J76" s="287"/>
      <c r="K76" s="414">
        <f>I76+J76</f>
        <v>-414327</v>
      </c>
      <c r="M76" s="36"/>
    </row>
    <row r="77" spans="1:13">
      <c r="A77" s="398">
        <v>46</v>
      </c>
      <c r="B77" s="396"/>
      <c r="C77" s="396" t="s">
        <v>543</v>
      </c>
      <c r="D77" s="396"/>
      <c r="E77" s="416">
        <f>SUM(E74:E76)</f>
        <v>1797278</v>
      </c>
      <c r="F77" s="416">
        <f t="shared" ref="F77" si="29">SUM(F74:F76)</f>
        <v>73509</v>
      </c>
      <c r="G77" s="416">
        <f>SUM(G74:G76)</f>
        <v>1870787</v>
      </c>
      <c r="H77" s="416">
        <f t="shared" ref="H77:J77" si="30">SUM(H74:H76)</f>
        <v>113268.67733084044</v>
      </c>
      <c r="I77" s="416">
        <f>SUM(I74:I76)</f>
        <v>1984055.6773308404</v>
      </c>
      <c r="J77" s="416">
        <f t="shared" si="30"/>
        <v>0</v>
      </c>
      <c r="K77" s="416">
        <f>I77+J77</f>
        <v>1984055.6773308404</v>
      </c>
      <c r="M77" s="36"/>
    </row>
    <row r="78" spans="1:13">
      <c r="A78" s="397">
        <v>47</v>
      </c>
      <c r="B78" s="396" t="s">
        <v>264</v>
      </c>
      <c r="C78" s="396"/>
      <c r="E78" s="405">
        <f>'ADJ DETAIL-INPUT'!E77</f>
        <v>-24217</v>
      </c>
      <c r="F78" s="405">
        <f>G78-E78</f>
        <v>-24883</v>
      </c>
      <c r="G78" s="416">
        <f>'ADJ DETAIL-INPUT'!AC77</f>
        <v>-49100</v>
      </c>
      <c r="H78" s="405">
        <f>I78-G78</f>
        <v>56489</v>
      </c>
      <c r="I78" s="416">
        <f>'ADJ DETAIL-INPUT'!BH77</f>
        <v>7389</v>
      </c>
      <c r="K78" s="416">
        <f>I78+J78</f>
        <v>7389</v>
      </c>
      <c r="M78" s="36"/>
    </row>
    <row r="79" spans="1:13">
      <c r="A79" s="397">
        <v>48</v>
      </c>
      <c r="B79" s="396" t="s">
        <v>252</v>
      </c>
      <c r="C79" s="396"/>
      <c r="E79" s="414">
        <f>'ADJ DETAIL-INPUT'!E78</f>
        <v>51595</v>
      </c>
      <c r="F79" s="414">
        <f>G79-E79</f>
        <v>-295</v>
      </c>
      <c r="G79" s="414">
        <f>'ADJ DETAIL-INPUT'!AC78</f>
        <v>51300</v>
      </c>
      <c r="H79" s="414">
        <f>I79-G79</f>
        <v>0</v>
      </c>
      <c r="I79" s="414">
        <f>'ADJ DETAIL-INPUT'!BH78</f>
        <v>51300</v>
      </c>
      <c r="J79" s="287"/>
      <c r="K79" s="414">
        <f t="shared" ref="K79" si="31">I79+J79</f>
        <v>51300</v>
      </c>
      <c r="M79" s="36"/>
    </row>
    <row r="80" spans="1:13" ht="2.25" customHeight="1">
      <c r="A80" s="398">
        <v>49</v>
      </c>
      <c r="B80" s="396"/>
      <c r="C80" s="396"/>
      <c r="D80" s="396"/>
      <c r="M80" s="36"/>
    </row>
    <row r="81" spans="1:13" ht="13.5" thickBot="1">
      <c r="A81" s="394">
        <v>50</v>
      </c>
      <c r="B81" s="395" t="s">
        <v>220</v>
      </c>
      <c r="C81" s="395"/>
      <c r="D81" s="395"/>
      <c r="E81" s="324">
        <f>SUM(E77:E79)</f>
        <v>1824656</v>
      </c>
      <c r="F81" s="324">
        <f t="shared" ref="F81" si="32">SUM(F77:F79)</f>
        <v>48331</v>
      </c>
      <c r="G81" s="324">
        <f t="shared" ref="G81" si="33">SUM(G77:G79)</f>
        <v>1872987</v>
      </c>
      <c r="H81" s="324">
        <f t="shared" ref="H81:K81" si="34">SUM(H77:H79)</f>
        <v>169757.67733084044</v>
      </c>
      <c r="I81" s="324">
        <f t="shared" si="34"/>
        <v>2042744.6773308404</v>
      </c>
      <c r="J81" s="324">
        <f t="shared" si="34"/>
        <v>0</v>
      </c>
      <c r="K81" s="324">
        <f t="shared" si="34"/>
        <v>2042744.6773308404</v>
      </c>
      <c r="M81" s="36"/>
    </row>
    <row r="82" spans="1:13" ht="13.5" thickTop="1">
      <c r="A82" s="394">
        <v>51</v>
      </c>
      <c r="B82" s="381" t="s">
        <v>614</v>
      </c>
      <c r="E82" s="255">
        <f>ROUND(E57/E81,4)</f>
        <v>5.8400000000000001E-2</v>
      </c>
      <c r="F82" s="255"/>
      <c r="G82" s="255">
        <f>ROUND(G57/G81,4)</f>
        <v>5.8400000000000001E-2</v>
      </c>
      <c r="I82" s="255">
        <f>ROUND(I57/I81,4)</f>
        <v>5.62E-2</v>
      </c>
      <c r="K82" s="255">
        <f>ROUND(K57/K81,4)</f>
        <v>7.0300000000000001E-2</v>
      </c>
    </row>
    <row r="83" spans="1:13" ht="6.75" customHeight="1">
      <c r="A83" s="1362"/>
      <c r="B83" s="1362"/>
      <c r="C83" s="1362"/>
      <c r="D83" s="1362"/>
      <c r="E83" s="1362"/>
      <c r="F83" s="1362"/>
      <c r="G83" s="1362"/>
      <c r="H83" s="1362"/>
      <c r="I83" s="1362"/>
      <c r="J83" s="1362"/>
      <c r="K83" s="1362"/>
    </row>
    <row r="85" spans="1:13">
      <c r="E85" s="355"/>
      <c r="F85" s="355"/>
    </row>
    <row r="86" spans="1:13">
      <c r="E86" s="355"/>
      <c r="F86" s="355"/>
    </row>
    <row r="90" spans="1:13">
      <c r="K90" s="351"/>
    </row>
    <row r="91" spans="1:13">
      <c r="K91" s="351"/>
    </row>
    <row r="92" spans="1:13">
      <c r="K92" s="351"/>
    </row>
  </sheetData>
  <mergeCells count="4">
    <mergeCell ref="E4:K4"/>
    <mergeCell ref="A83:K83"/>
    <mergeCell ref="B56:D56"/>
    <mergeCell ref="F1:K3"/>
  </mergeCells>
  <pageMargins left="0.75" right="0.51" top="1" bottom="0.5" header="0.5" footer="0.35"/>
  <pageSetup scale="72" orientation="portrait" r:id="rId1"/>
  <headerFooter scaleWithDoc="0" alignWithMargins="0">
    <oddHeader xml:space="preserve">&amp;R Exh. EMA-8 - REVISED (60-Day update)
Reflects Bench Request 1 -  Revised </oddHeader>
    <oddFooter>&amp;RPage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B4AE4-5851-494F-8261-3AAFE6C25EA8}">
  <sheetPr codeName="Sheet8"/>
  <dimension ref="A1:AT98"/>
  <sheetViews>
    <sheetView workbookViewId="0">
      <selection activeCell="E1" sqref="E1:J3"/>
    </sheetView>
  </sheetViews>
  <sheetFormatPr defaultColWidth="9" defaultRowHeight="12.75"/>
  <cols>
    <col min="1" max="1" width="4.5703125" style="767" customWidth="1"/>
    <col min="2" max="3" width="1.5703125" style="381" customWidth="1"/>
    <col min="4" max="4" width="34.42578125" style="381" customWidth="1"/>
    <col min="5" max="5" width="14" style="768" customWidth="1"/>
    <col min="6" max="6" width="11.5703125" style="768" customWidth="1"/>
    <col min="7" max="7" width="11.42578125" style="768" customWidth="1"/>
    <col min="8" max="8" width="16.5703125" style="768" customWidth="1"/>
    <col min="9" max="9" width="17.42578125" style="768" bestFit="1" customWidth="1"/>
    <col min="10" max="10" width="18.42578125" style="768" bestFit="1" customWidth="1"/>
    <col min="11" max="11" width="9" style="691" customWidth="1"/>
    <col min="12" max="12" width="10.5703125" style="691" customWidth="1"/>
    <col min="13" max="13" width="11.28515625" style="691" customWidth="1"/>
    <col min="14" max="14" width="9" style="691"/>
    <col min="15" max="15" width="11.7109375" style="691" bestFit="1" customWidth="1"/>
    <col min="16" max="17" width="9" style="691"/>
    <col min="18" max="18" width="9" style="769"/>
    <col min="19" max="37" width="9" style="691"/>
    <col min="38" max="38" width="14.5703125" style="691" customWidth="1"/>
    <col min="39" max="46" width="9" style="691"/>
    <col min="47" max="47" width="11.42578125" style="691" customWidth="1"/>
    <col min="48" max="16384" width="9" style="691"/>
  </cols>
  <sheetData>
    <row r="1" spans="1:46" ht="12.75" customHeight="1">
      <c r="A1" s="766" t="str">
        <f>'PROPOSED RATES-12.2022'!A1</f>
        <v xml:space="preserve">AVISTA UTILITIES  </v>
      </c>
      <c r="D1" s="767"/>
      <c r="E1" s="1363" t="s">
        <v>1276</v>
      </c>
      <c r="F1" s="1363"/>
      <c r="G1" s="1363"/>
      <c r="H1" s="1363"/>
      <c r="I1" s="1363"/>
      <c r="J1" s="1363"/>
    </row>
    <row r="2" spans="1:46">
      <c r="A2" s="766" t="str">
        <f>'PROPOSED RATES-12.2022'!A2</f>
        <v xml:space="preserve">WASHINGTON ELECTRIC RESULTS </v>
      </c>
      <c r="D2" s="767"/>
      <c r="E2" s="1363"/>
      <c r="F2" s="1363"/>
      <c r="G2" s="1363"/>
      <c r="H2" s="1363"/>
      <c r="I2" s="1363"/>
      <c r="J2" s="1363"/>
    </row>
    <row r="3" spans="1:46">
      <c r="A3" s="766" t="str">
        <f>'PROPOSED RATES-12.2022'!A3</f>
        <v>TWELVE MONTHS ENDED SEPTEMBER 30, 2021</v>
      </c>
      <c r="D3" s="767"/>
      <c r="E3" s="1364"/>
      <c r="F3" s="1364"/>
      <c r="G3" s="1364"/>
      <c r="H3" s="1364"/>
      <c r="I3" s="1364"/>
      <c r="J3" s="1364"/>
    </row>
    <row r="4" spans="1:46" ht="14.25">
      <c r="A4" s="766" t="str">
        <f>'PROPOSED RATES-12.2022'!A4</f>
        <v xml:space="preserve">(000'S OF DOLLARS)  </v>
      </c>
      <c r="D4" s="767"/>
      <c r="E4" s="1357" t="s">
        <v>1095</v>
      </c>
      <c r="F4" s="1365"/>
      <c r="G4" s="1365"/>
      <c r="H4" s="1365"/>
      <c r="I4" s="1365"/>
      <c r="J4" s="1366"/>
      <c r="K4" s="802"/>
    </row>
    <row r="5" spans="1:46">
      <c r="A5" s="384"/>
      <c r="B5" s="384"/>
      <c r="C5" s="384"/>
      <c r="D5" s="384"/>
      <c r="E5" s="770" t="s">
        <v>1096</v>
      </c>
      <c r="F5" s="771"/>
      <c r="G5" s="772"/>
      <c r="H5" s="773"/>
      <c r="I5" s="770" t="s">
        <v>1097</v>
      </c>
      <c r="J5" s="772"/>
    </row>
    <row r="6" spans="1:46">
      <c r="A6" s="731"/>
      <c r="B6" s="386"/>
      <c r="C6" s="387"/>
      <c r="D6" s="9"/>
      <c r="E6" s="774" t="s">
        <v>1090</v>
      </c>
      <c r="F6" s="774" t="s">
        <v>1091</v>
      </c>
      <c r="G6" s="774" t="s">
        <v>1091</v>
      </c>
      <c r="H6" s="775" t="s">
        <v>1092</v>
      </c>
      <c r="I6" s="775" t="s">
        <v>1093</v>
      </c>
      <c r="J6" s="775" t="s">
        <v>1094</v>
      </c>
      <c r="O6" s="776"/>
    </row>
    <row r="7" spans="1:46">
      <c r="A7" s="777" t="s">
        <v>8</v>
      </c>
      <c r="B7" s="389"/>
      <c r="C7" s="384"/>
      <c r="D7" s="13"/>
      <c r="E7" s="778" t="s">
        <v>7</v>
      </c>
      <c r="F7" s="778" t="s">
        <v>134</v>
      </c>
      <c r="G7" s="778" t="s">
        <v>7</v>
      </c>
      <c r="H7" s="778" t="s">
        <v>169</v>
      </c>
      <c r="I7" s="778" t="s">
        <v>169</v>
      </c>
      <c r="J7" s="778" t="s">
        <v>168</v>
      </c>
    </row>
    <row r="8" spans="1:46">
      <c r="A8" s="779" t="s">
        <v>21</v>
      </c>
      <c r="B8" s="392"/>
      <c r="C8" s="393"/>
      <c r="D8" s="17" t="s">
        <v>22</v>
      </c>
      <c r="E8" s="780" t="s">
        <v>134</v>
      </c>
      <c r="F8" s="780" t="s">
        <v>144</v>
      </c>
      <c r="G8" s="780" t="s">
        <v>134</v>
      </c>
      <c r="H8" s="780" t="s">
        <v>170</v>
      </c>
      <c r="I8" s="780" t="s">
        <v>170</v>
      </c>
      <c r="J8" s="780" t="s">
        <v>134</v>
      </c>
    </row>
    <row r="9" spans="1:46">
      <c r="A9" s="19"/>
      <c r="B9" s="19"/>
      <c r="C9" s="19"/>
      <c r="D9" s="19" t="s">
        <v>34</v>
      </c>
      <c r="E9" s="781" t="s">
        <v>35</v>
      </c>
      <c r="F9" s="781" t="s">
        <v>36</v>
      </c>
      <c r="G9" s="781" t="s">
        <v>37</v>
      </c>
      <c r="H9" s="781" t="s">
        <v>38</v>
      </c>
      <c r="I9" s="781" t="s">
        <v>39</v>
      </c>
      <c r="J9" s="781" t="s">
        <v>969</v>
      </c>
    </row>
    <row r="10" spans="1:46" ht="5.25" customHeight="1"/>
    <row r="11" spans="1:46" ht="3.75" customHeight="1">
      <c r="AT11" s="782"/>
    </row>
    <row r="12" spans="1:46" ht="3.75" customHeight="1">
      <c r="AT12" s="782"/>
    </row>
    <row r="13" spans="1:46">
      <c r="B13" s="381" t="s">
        <v>40</v>
      </c>
      <c r="AT13" s="782"/>
    </row>
    <row r="14" spans="1:46">
      <c r="A14" s="394">
        <v>1</v>
      </c>
      <c r="B14" s="395" t="s">
        <v>41</v>
      </c>
      <c r="C14" s="395"/>
      <c r="D14" s="395"/>
      <c r="E14" s="395">
        <f>'PROPOSED RATES-12.2022'!I14</f>
        <v>549403</v>
      </c>
      <c r="F14" s="395">
        <f>G14-E14</f>
        <v>0</v>
      </c>
      <c r="G14" s="395">
        <f>'ADJ DETAIL-INPUT'!BX13</f>
        <v>549403</v>
      </c>
      <c r="H14" s="395">
        <f>'CF '!J9</f>
        <v>38000.017689383101</v>
      </c>
      <c r="I14" s="395">
        <f>'CF '!K9</f>
        <v>12499.818573278058</v>
      </c>
      <c r="J14" s="395">
        <f>G14+I14+H14</f>
        <v>599902.83626266115</v>
      </c>
      <c r="AT14" s="782"/>
    </row>
    <row r="15" spans="1:46">
      <c r="A15" s="394">
        <v>2</v>
      </c>
      <c r="B15" s="396" t="s">
        <v>42</v>
      </c>
      <c r="C15" s="396"/>
      <c r="D15" s="396"/>
      <c r="E15" s="361">
        <f>'PROPOSED RATES-12.2022'!I15</f>
        <v>1173</v>
      </c>
      <c r="F15" s="361">
        <f>G15-E15</f>
        <v>0</v>
      </c>
      <c r="G15" s="361">
        <f>'ADJ DETAIL-INPUT'!BX14</f>
        <v>1173</v>
      </c>
      <c r="H15" s="405"/>
      <c r="I15" s="405"/>
      <c r="J15" s="783">
        <f>G15+I15+H15</f>
        <v>1173</v>
      </c>
      <c r="AT15" s="782"/>
    </row>
    <row r="16" spans="1:46">
      <c r="A16" s="394">
        <v>3</v>
      </c>
      <c r="B16" s="396" t="s">
        <v>43</v>
      </c>
      <c r="C16" s="396"/>
      <c r="D16" s="396"/>
      <c r="E16" s="784">
        <f>'PROPOSED RATES-12.2022'!I16</f>
        <v>89711</v>
      </c>
      <c r="F16" s="784">
        <f>G16-E16</f>
        <v>0</v>
      </c>
      <c r="G16" s="784">
        <f>'ADJ DETAIL-INPUT'!BX15</f>
        <v>89711</v>
      </c>
      <c r="H16" s="414"/>
      <c r="I16" s="414"/>
      <c r="J16" s="785">
        <f>G16+I16+H16</f>
        <v>89711</v>
      </c>
      <c r="AT16" s="782"/>
    </row>
    <row r="17" spans="1:46">
      <c r="A17" s="394">
        <v>4</v>
      </c>
      <c r="B17" s="396"/>
      <c r="C17" s="396" t="s">
        <v>44</v>
      </c>
      <c r="D17" s="396"/>
      <c r="E17" s="405">
        <f>SUM(E14:E16)</f>
        <v>640287</v>
      </c>
      <c r="F17" s="405">
        <f>SUM(F14:F16)</f>
        <v>0</v>
      </c>
      <c r="G17" s="395">
        <f>SUM(G14:G16)</f>
        <v>640287</v>
      </c>
      <c r="H17" s="405">
        <f t="shared" ref="H17:J17" si="0">SUM(H14:H16)</f>
        <v>38000.017689383101</v>
      </c>
      <c r="I17" s="405">
        <f t="shared" si="0"/>
        <v>12499.818573278058</v>
      </c>
      <c r="J17" s="405">
        <f t="shared" si="0"/>
        <v>690786.83626266115</v>
      </c>
      <c r="AT17" s="782"/>
    </row>
    <row r="18" spans="1:46">
      <c r="A18" s="394">
        <v>5</v>
      </c>
      <c r="B18" s="396" t="s">
        <v>45</v>
      </c>
      <c r="C18" s="396"/>
      <c r="D18" s="396"/>
      <c r="E18" s="800">
        <f>'PROPOSED RATES-12.2022'!I18</f>
        <v>35485</v>
      </c>
      <c r="F18" s="784">
        <f>G18-E18</f>
        <v>2797</v>
      </c>
      <c r="G18" s="784">
        <f>'ADJ DETAIL-INPUT'!BX17</f>
        <v>38282</v>
      </c>
      <c r="H18" s="414"/>
      <c r="I18" s="414"/>
      <c r="J18" s="785">
        <f>G18+I18+H18</f>
        <v>38282</v>
      </c>
      <c r="AT18" s="782"/>
    </row>
    <row r="19" spans="1:46">
      <c r="A19" s="394">
        <v>6</v>
      </c>
      <c r="B19" s="396"/>
      <c r="C19" s="396" t="s">
        <v>46</v>
      </c>
      <c r="D19" s="396"/>
      <c r="E19" s="405">
        <f>SUM(E17:E18)</f>
        <v>675772</v>
      </c>
      <c r="F19" s="405">
        <f t="shared" ref="F19:J19" si="1">SUM(F17:F18)</f>
        <v>2797</v>
      </c>
      <c r="G19" s="405">
        <f t="shared" si="1"/>
        <v>678569</v>
      </c>
      <c r="H19" s="405">
        <f>SUM(H17:H18)</f>
        <v>38000.017689383101</v>
      </c>
      <c r="I19" s="405">
        <f t="shared" si="1"/>
        <v>12499.818573278058</v>
      </c>
      <c r="J19" s="405">
        <f t="shared" si="1"/>
        <v>729068.83626266115</v>
      </c>
      <c r="AT19" s="782"/>
    </row>
    <row r="20" spans="1:46">
      <c r="A20" s="394"/>
      <c r="B20" s="396"/>
      <c r="C20" s="396"/>
      <c r="D20" s="396"/>
      <c r="E20" s="405"/>
      <c r="F20" s="405"/>
      <c r="G20" s="405"/>
      <c r="H20" s="405"/>
      <c r="I20" s="405"/>
      <c r="J20" s="405"/>
      <c r="AT20" s="782"/>
    </row>
    <row r="21" spans="1:46">
      <c r="A21" s="394"/>
      <c r="B21" s="396" t="s">
        <v>47</v>
      </c>
      <c r="C21" s="396"/>
      <c r="D21" s="396"/>
      <c r="E21" s="405"/>
      <c r="F21" s="405"/>
      <c r="G21" s="405"/>
      <c r="H21" s="405"/>
      <c r="I21" s="405"/>
      <c r="J21" s="405"/>
      <c r="AT21" s="782"/>
    </row>
    <row r="22" spans="1:46">
      <c r="A22" s="394"/>
      <c r="B22" s="396" t="s">
        <v>48</v>
      </c>
      <c r="C22" s="396"/>
      <c r="D22" s="396"/>
      <c r="E22" s="405"/>
      <c r="F22" s="405"/>
      <c r="G22" s="405"/>
      <c r="H22" s="405"/>
      <c r="I22" s="405"/>
      <c r="J22" s="405"/>
      <c r="M22" s="36"/>
      <c r="N22" s="1079"/>
      <c r="O22" s="1079"/>
      <c r="AT22" s="782"/>
    </row>
    <row r="23" spans="1:46">
      <c r="A23" s="394">
        <v>7</v>
      </c>
      <c r="B23" s="396"/>
      <c r="C23" s="396" t="s">
        <v>49</v>
      </c>
      <c r="D23" s="396"/>
      <c r="E23" s="361">
        <f>'PROPOSED RATES-12.2022'!I23</f>
        <v>169358.677</v>
      </c>
      <c r="F23" s="361">
        <f t="shared" ref="F23:F27" si="2">G23-E23</f>
        <v>3045.7449999999953</v>
      </c>
      <c r="G23" s="361">
        <f>'ADJ DETAIL-INPUT'!BX22</f>
        <v>172404.42199999999</v>
      </c>
      <c r="H23" s="405"/>
      <c r="I23" s="405"/>
      <c r="J23" s="783">
        <f t="shared" ref="J23:J27" si="3">G23+I23+H23</f>
        <v>172404.42199999999</v>
      </c>
      <c r="M23" s="720"/>
      <c r="N23" s="248"/>
      <c r="O23" s="99"/>
      <c r="AT23" s="782"/>
    </row>
    <row r="24" spans="1:46">
      <c r="A24" s="394">
        <v>8</v>
      </c>
      <c r="B24" s="396"/>
      <c r="C24" s="396" t="s">
        <v>50</v>
      </c>
      <c r="D24" s="396"/>
      <c r="E24" s="361">
        <f>'PROPOSED RATES-12.2022'!I24</f>
        <v>79772</v>
      </c>
      <c r="F24" s="361">
        <f t="shared" si="2"/>
        <v>0</v>
      </c>
      <c r="G24" s="361">
        <f>'ADJ DETAIL-INPUT'!BX23</f>
        <v>79772</v>
      </c>
      <c r="H24" s="405"/>
      <c r="I24" s="405"/>
      <c r="J24" s="783">
        <f t="shared" si="3"/>
        <v>79772</v>
      </c>
      <c r="M24" s="720"/>
      <c r="N24" s="248"/>
      <c r="O24" s="99"/>
      <c r="AT24" s="782"/>
    </row>
    <row r="25" spans="1:46">
      <c r="A25" s="394">
        <v>9</v>
      </c>
      <c r="B25" s="396"/>
      <c r="C25" s="396" t="s">
        <v>539</v>
      </c>
      <c r="D25" s="396"/>
      <c r="E25" s="361">
        <f>'PROPOSED RATES-12.2022'!I25</f>
        <v>46296</v>
      </c>
      <c r="F25" s="361">
        <f t="shared" si="2"/>
        <v>656</v>
      </c>
      <c r="G25" s="361">
        <f>'ADJ DETAIL-INPUT'!BX24</f>
        <v>46952</v>
      </c>
      <c r="H25" s="405"/>
      <c r="I25" s="405"/>
      <c r="J25" s="783">
        <f t="shared" si="3"/>
        <v>46952</v>
      </c>
      <c r="M25" s="720"/>
      <c r="N25" s="248"/>
      <c r="O25" s="99"/>
      <c r="AT25" s="782"/>
    </row>
    <row r="26" spans="1:46">
      <c r="A26" s="394">
        <v>10</v>
      </c>
      <c r="B26" s="396"/>
      <c r="C26" s="396" t="s">
        <v>537</v>
      </c>
      <c r="D26" s="396"/>
      <c r="E26" s="361">
        <f>'PROPOSED RATES-12.2022'!I26</f>
        <v>-961</v>
      </c>
      <c r="F26" s="361">
        <f t="shared" si="2"/>
        <v>0</v>
      </c>
      <c r="G26" s="361">
        <f>'ADJ DETAIL-INPUT'!BX25</f>
        <v>-961</v>
      </c>
      <c r="H26" s="405"/>
      <c r="I26" s="405"/>
      <c r="J26" s="783">
        <f t="shared" si="3"/>
        <v>-961</v>
      </c>
      <c r="M26" s="720"/>
      <c r="N26" s="248"/>
      <c r="O26" s="99"/>
      <c r="AT26" s="782"/>
    </row>
    <row r="27" spans="1:46">
      <c r="A27" s="394">
        <v>11</v>
      </c>
      <c r="B27" s="396"/>
      <c r="C27" s="396" t="s">
        <v>27</v>
      </c>
      <c r="D27" s="396"/>
      <c r="E27" s="784">
        <f>'PROPOSED RATES-12.2022'!I27</f>
        <v>15885</v>
      </c>
      <c r="F27" s="784">
        <f t="shared" si="2"/>
        <v>153</v>
      </c>
      <c r="G27" s="784">
        <f>'ADJ DETAIL-INPUT'!BX26</f>
        <v>16038</v>
      </c>
      <c r="H27" s="414"/>
      <c r="I27" s="414"/>
      <c r="J27" s="785">
        <f t="shared" si="3"/>
        <v>16038</v>
      </c>
      <c r="M27" s="720"/>
      <c r="N27" s="248"/>
      <c r="O27" s="99"/>
      <c r="AT27" s="782"/>
    </row>
    <row r="28" spans="1:46">
      <c r="A28" s="394">
        <v>12</v>
      </c>
      <c r="B28" s="396"/>
      <c r="C28" s="396"/>
      <c r="D28" s="396" t="s">
        <v>51</v>
      </c>
      <c r="E28" s="405">
        <f>SUM(E23:E27)</f>
        <v>310350.67700000003</v>
      </c>
      <c r="F28" s="405">
        <f t="shared" ref="F28:J28" si="4">SUM(F23:F27)</f>
        <v>3854.7449999999953</v>
      </c>
      <c r="G28" s="405">
        <f t="shared" si="4"/>
        <v>314205.42200000002</v>
      </c>
      <c r="H28" s="405">
        <f>SUM(H23:H27)</f>
        <v>0</v>
      </c>
      <c r="I28" s="405">
        <f t="shared" si="4"/>
        <v>0</v>
      </c>
      <c r="J28" s="405">
        <f t="shared" si="4"/>
        <v>314205.42200000002</v>
      </c>
      <c r="M28" s="720"/>
      <c r="N28" s="249"/>
      <c r="O28" s="106"/>
      <c r="AT28" s="782"/>
    </row>
    <row r="29" spans="1:46" ht="7.5" customHeight="1">
      <c r="A29" s="394"/>
      <c r="B29" s="396"/>
      <c r="C29" s="396"/>
      <c r="D29" s="396"/>
      <c r="E29" s="405"/>
      <c r="F29" s="405"/>
      <c r="G29" s="405"/>
      <c r="H29" s="405"/>
      <c r="I29" s="405"/>
      <c r="J29" s="405"/>
      <c r="M29" s="720"/>
      <c r="N29" s="25"/>
      <c r="O29" s="99"/>
      <c r="AT29" s="782"/>
    </row>
    <row r="30" spans="1:46">
      <c r="A30" s="394"/>
      <c r="B30" s="396" t="s">
        <v>52</v>
      </c>
      <c r="C30" s="396"/>
      <c r="D30" s="396"/>
      <c r="E30" s="405"/>
      <c r="F30" s="405"/>
      <c r="G30" s="405"/>
      <c r="H30" s="405"/>
      <c r="I30" s="405"/>
      <c r="J30" s="405"/>
      <c r="M30" s="720"/>
      <c r="N30" s="249"/>
      <c r="O30" s="106"/>
      <c r="AT30" s="782"/>
    </row>
    <row r="31" spans="1:46">
      <c r="A31" s="394">
        <v>13</v>
      </c>
      <c r="B31" s="396"/>
      <c r="C31" s="396" t="s">
        <v>49</v>
      </c>
      <c r="D31" s="396"/>
      <c r="E31" s="361">
        <f>'PROPOSED RATES-12.2022'!I31</f>
        <v>30316.898999999998</v>
      </c>
      <c r="F31" s="361">
        <f t="shared" ref="F31:F34" si="5">G31-E31</f>
        <v>1376.8300000000017</v>
      </c>
      <c r="G31" s="361">
        <f>'ADJ DETAIL-INPUT'!BX30</f>
        <v>31693.728999999999</v>
      </c>
      <c r="H31" s="405"/>
      <c r="I31" s="405"/>
      <c r="J31" s="783">
        <f t="shared" ref="J31:J34" si="6">G31+I31+H31</f>
        <v>31693.728999999999</v>
      </c>
      <c r="M31" s="720"/>
      <c r="N31" s="36"/>
      <c r="O31" s="99"/>
      <c r="AT31" s="782"/>
    </row>
    <row r="32" spans="1:46">
      <c r="A32" s="394">
        <v>14</v>
      </c>
      <c r="B32" s="396"/>
      <c r="C32" s="396" t="s">
        <v>539</v>
      </c>
      <c r="D32" s="396"/>
      <c r="E32" s="361">
        <f>'PROPOSED RATES-12.2022'!I32</f>
        <v>39268</v>
      </c>
      <c r="F32" s="361">
        <f t="shared" si="5"/>
        <v>2816</v>
      </c>
      <c r="G32" s="361">
        <f>'ADJ DETAIL-INPUT'!BX31</f>
        <v>42084</v>
      </c>
      <c r="H32" s="405"/>
      <c r="I32" s="405"/>
      <c r="J32" s="783">
        <f t="shared" si="6"/>
        <v>42084</v>
      </c>
      <c r="AT32" s="782"/>
    </row>
    <row r="33" spans="1:46">
      <c r="A33" s="394" t="s">
        <v>1234</v>
      </c>
      <c r="B33" s="396"/>
      <c r="C33" s="399" t="s">
        <v>537</v>
      </c>
      <c r="D33" s="396"/>
      <c r="E33" s="361">
        <f>'PROPOSED RATES-12.2022'!I33</f>
        <v>62</v>
      </c>
      <c r="F33" s="361">
        <f t="shared" ref="F33" si="7">G33-E33</f>
        <v>46</v>
      </c>
      <c r="G33" s="361">
        <f>'ADJ DETAIL-INPUT'!BX32</f>
        <v>108</v>
      </c>
      <c r="H33" s="405"/>
      <c r="I33" s="405"/>
      <c r="J33" s="783">
        <f t="shared" si="6"/>
        <v>108</v>
      </c>
      <c r="AT33" s="782"/>
    </row>
    <row r="34" spans="1:46">
      <c r="A34" s="394">
        <v>15</v>
      </c>
      <c r="B34" s="396"/>
      <c r="C34" s="396" t="s">
        <v>27</v>
      </c>
      <c r="D34" s="396"/>
      <c r="E34" s="361">
        <f>'PROPOSED RATES-12.2022'!I34</f>
        <v>31297</v>
      </c>
      <c r="F34" s="361">
        <f t="shared" si="5"/>
        <v>473</v>
      </c>
      <c r="G34" s="784">
        <f>'ADJ DETAIL-INPUT'!BX33</f>
        <v>31770</v>
      </c>
      <c r="H34" s="405">
        <f>'CF '!J16</f>
        <v>1467</v>
      </c>
      <c r="I34" s="405">
        <f>'CF '!K16</f>
        <v>483</v>
      </c>
      <c r="J34" s="783">
        <f t="shared" si="6"/>
        <v>33720</v>
      </c>
      <c r="AT34" s="782"/>
    </row>
    <row r="35" spans="1:46">
      <c r="A35" s="394">
        <v>17</v>
      </c>
      <c r="B35" s="396"/>
      <c r="C35" s="396"/>
      <c r="D35" s="396" t="s">
        <v>53</v>
      </c>
      <c r="E35" s="786">
        <f t="shared" ref="E35:J35" si="8">SUM(E31:E34)</f>
        <v>100943.899</v>
      </c>
      <c r="F35" s="786">
        <f t="shared" si="8"/>
        <v>4711.8300000000017</v>
      </c>
      <c r="G35" s="786">
        <f t="shared" si="8"/>
        <v>105655.72899999999</v>
      </c>
      <c r="H35" s="786">
        <f t="shared" si="8"/>
        <v>1467</v>
      </c>
      <c r="I35" s="786">
        <f t="shared" si="8"/>
        <v>483</v>
      </c>
      <c r="J35" s="786">
        <f t="shared" si="8"/>
        <v>107605.72899999999</v>
      </c>
      <c r="AT35" s="782"/>
    </row>
    <row r="36" spans="1:46" ht="6.75" customHeight="1">
      <c r="A36" s="394"/>
      <c r="B36" s="396"/>
      <c r="C36" s="396"/>
      <c r="D36" s="396"/>
      <c r="E36" s="405"/>
      <c r="F36" s="405"/>
      <c r="G36" s="405"/>
      <c r="H36" s="405"/>
      <c r="I36" s="405"/>
      <c r="J36" s="405"/>
      <c r="AT36" s="782"/>
    </row>
    <row r="37" spans="1:46">
      <c r="A37" s="394">
        <v>18</v>
      </c>
      <c r="B37" s="396" t="s">
        <v>54</v>
      </c>
      <c r="C37" s="396"/>
      <c r="D37" s="396"/>
      <c r="E37" s="361">
        <f>'PROPOSED RATES-12.2022'!I37</f>
        <v>16343.476000000001</v>
      </c>
      <c r="F37" s="361">
        <f t="shared" ref="F37:F39" si="9">G37-E37</f>
        <v>302.30700000000252</v>
      </c>
      <c r="G37" s="361">
        <f>'ADJ DETAIL-INPUT'!BX36</f>
        <v>16645.783000000003</v>
      </c>
      <c r="H37" s="405">
        <f>'CF '!J12</f>
        <v>126</v>
      </c>
      <c r="I37" s="405">
        <f>'CF '!K12</f>
        <v>42</v>
      </c>
      <c r="J37" s="783">
        <f t="shared" ref="J37:J39" si="10">G37+I37+H37</f>
        <v>16813.783000000003</v>
      </c>
      <c r="AT37" s="782"/>
    </row>
    <row r="38" spans="1:46">
      <c r="A38" s="394">
        <v>19</v>
      </c>
      <c r="B38" s="396" t="s">
        <v>55</v>
      </c>
      <c r="C38" s="396"/>
      <c r="D38" s="396"/>
      <c r="E38" s="361">
        <f>'PROPOSED RATES-12.2022'!I38</f>
        <v>1298.9190000000001</v>
      </c>
      <c r="F38" s="361">
        <f t="shared" si="9"/>
        <v>80.297000000000025</v>
      </c>
      <c r="G38" s="361">
        <f>'ADJ DETAIL-INPUT'!BX37</f>
        <v>1379.2160000000001</v>
      </c>
      <c r="H38" s="405"/>
      <c r="I38" s="405"/>
      <c r="J38" s="783">
        <f t="shared" si="10"/>
        <v>1379.2160000000001</v>
      </c>
      <c r="AT38" s="782"/>
    </row>
    <row r="39" spans="1:46">
      <c r="A39" s="394">
        <v>20</v>
      </c>
      <c r="B39" s="396" t="s">
        <v>56</v>
      </c>
      <c r="C39" s="396"/>
      <c r="D39" s="396"/>
      <c r="E39" s="361">
        <f>'PROPOSED RATES-12.2022'!I39</f>
        <v>0</v>
      </c>
      <c r="F39" s="361">
        <f t="shared" si="9"/>
        <v>0</v>
      </c>
      <c r="G39" s="361">
        <f>'ADJ DETAIL-INPUT'!BX38</f>
        <v>0</v>
      </c>
      <c r="H39" s="405"/>
      <c r="I39" s="405"/>
      <c r="J39" s="783">
        <f t="shared" si="10"/>
        <v>0</v>
      </c>
      <c r="AT39" s="782"/>
    </row>
    <row r="40" spans="1:46" ht="6.75" customHeight="1">
      <c r="A40" s="396"/>
      <c r="B40" s="396"/>
      <c r="C40" s="396"/>
      <c r="D40" s="396"/>
      <c r="E40" s="405"/>
      <c r="F40" s="405"/>
      <c r="G40" s="405"/>
      <c r="H40" s="405"/>
      <c r="I40" s="405"/>
      <c r="J40" s="405"/>
      <c r="AT40" s="782"/>
    </row>
    <row r="41" spans="1:46">
      <c r="A41" s="394"/>
      <c r="B41" s="396" t="s">
        <v>57</v>
      </c>
      <c r="C41" s="396"/>
      <c r="D41" s="396"/>
      <c r="E41" s="405"/>
      <c r="F41" s="405"/>
      <c r="G41" s="405"/>
      <c r="H41" s="405"/>
      <c r="I41" s="405"/>
      <c r="J41" s="405"/>
      <c r="AT41" s="782"/>
    </row>
    <row r="42" spans="1:46">
      <c r="A42" s="394">
        <v>21</v>
      </c>
      <c r="B42" s="396"/>
      <c r="C42" s="396" t="s">
        <v>49</v>
      </c>
      <c r="D42" s="396"/>
      <c r="E42" s="361">
        <f>'PROPOSED RATES-12.2022'!I42</f>
        <v>79671.592962025316</v>
      </c>
      <c r="F42" s="361">
        <f t="shared" ref="F42:F45" si="11">G42-E42</f>
        <v>-626.06641772152216</v>
      </c>
      <c r="G42" s="361">
        <f>'ADJ DETAIL-INPUT'!BX41</f>
        <v>79045.526544303793</v>
      </c>
      <c r="H42" s="405">
        <f>'CF '!J14</f>
        <v>76</v>
      </c>
      <c r="I42" s="405">
        <f>'CF '!K14</f>
        <v>25</v>
      </c>
      <c r="J42" s="783">
        <f t="shared" ref="J42:J45" si="12">G42+I42+H42</f>
        <v>79146.526544303793</v>
      </c>
      <c r="AT42" s="782"/>
    </row>
    <row r="43" spans="1:46">
      <c r="A43" s="394">
        <v>22</v>
      </c>
      <c r="B43" s="396"/>
      <c r="C43" s="396" t="s">
        <v>539</v>
      </c>
      <c r="D43" s="396"/>
      <c r="E43" s="361">
        <f>'PROPOSED RATES-12.2022'!I43</f>
        <v>42963</v>
      </c>
      <c r="F43" s="361">
        <f t="shared" si="11"/>
        <v>-1296</v>
      </c>
      <c r="G43" s="361">
        <f>'ADJ DETAIL-INPUT'!BX42</f>
        <v>41667</v>
      </c>
      <c r="H43" s="405"/>
      <c r="I43" s="405"/>
      <c r="J43" s="783">
        <f t="shared" si="12"/>
        <v>41667</v>
      </c>
      <c r="AT43" s="782"/>
    </row>
    <row r="44" spans="1:46">
      <c r="A44" s="394">
        <v>22</v>
      </c>
      <c r="B44" s="396"/>
      <c r="C44" s="396" t="s">
        <v>537</v>
      </c>
      <c r="D44" s="396"/>
      <c r="E44" s="361">
        <f>'PROPOSED RATES-12.2022'!I44</f>
        <v>-3650.5</v>
      </c>
      <c r="F44" s="361">
        <f t="shared" si="11"/>
        <v>0</v>
      </c>
      <c r="G44" s="361">
        <f>'ADJ DETAIL-INPUT'!BX43</f>
        <v>-3650.5</v>
      </c>
      <c r="H44" s="405"/>
      <c r="I44" s="405"/>
      <c r="J44" s="783">
        <f t="shared" si="12"/>
        <v>-3650.5</v>
      </c>
      <c r="AT44" s="782"/>
    </row>
    <row r="45" spans="1:46">
      <c r="A45" s="394">
        <v>23</v>
      </c>
      <c r="B45" s="396"/>
      <c r="C45" s="396" t="s">
        <v>27</v>
      </c>
      <c r="D45" s="396"/>
      <c r="E45" s="784">
        <f>'PROPOSED RATES-12.2022'!I45</f>
        <v>3632</v>
      </c>
      <c r="F45" s="784">
        <f t="shared" si="11"/>
        <v>0</v>
      </c>
      <c r="G45" s="784">
        <f>'ADJ DETAIL-INPUT'!BX44</f>
        <v>3632</v>
      </c>
      <c r="H45" s="414"/>
      <c r="I45" s="414"/>
      <c r="J45" s="785">
        <f t="shared" si="12"/>
        <v>3632</v>
      </c>
      <c r="AT45" s="782"/>
    </row>
    <row r="46" spans="1:46">
      <c r="A46" s="394">
        <v>24</v>
      </c>
      <c r="B46" s="396"/>
      <c r="C46" s="396"/>
      <c r="D46" s="396" t="s">
        <v>58</v>
      </c>
      <c r="E46" s="414">
        <f t="shared" ref="E46:J46" si="13">SUM(E42:E45)</f>
        <v>122616.09296202532</v>
      </c>
      <c r="F46" s="414">
        <f t="shared" si="13"/>
        <v>-1922.0664177215222</v>
      </c>
      <c r="G46" s="414">
        <f t="shared" si="13"/>
        <v>120694.02654430379</v>
      </c>
      <c r="H46" s="414">
        <f t="shared" si="13"/>
        <v>76</v>
      </c>
      <c r="I46" s="414">
        <f t="shared" si="13"/>
        <v>25</v>
      </c>
      <c r="J46" s="414">
        <f t="shared" si="13"/>
        <v>120795.02654430379</v>
      </c>
      <c r="AT46" s="782"/>
    </row>
    <row r="47" spans="1:46">
      <c r="A47" s="394">
        <v>25</v>
      </c>
      <c r="B47" s="396" t="s">
        <v>59</v>
      </c>
      <c r="C47" s="396"/>
      <c r="D47" s="396"/>
      <c r="E47" s="414">
        <f t="shared" ref="E47:J47" si="14">E28+E35+E37+E38+E39+E46</f>
        <v>551553.06396202534</v>
      </c>
      <c r="F47" s="414">
        <f t="shared" si="14"/>
        <v>7027.1125822784779</v>
      </c>
      <c r="G47" s="414">
        <f t="shared" si="14"/>
        <v>558580.17654430377</v>
      </c>
      <c r="H47" s="414">
        <f t="shared" si="14"/>
        <v>1669</v>
      </c>
      <c r="I47" s="414">
        <f t="shared" si="14"/>
        <v>550</v>
      </c>
      <c r="J47" s="414">
        <f t="shared" si="14"/>
        <v>560799.17654430377</v>
      </c>
      <c r="AT47" s="782"/>
    </row>
    <row r="48" spans="1:46" ht="7.5" customHeight="1">
      <c r="A48" s="394"/>
      <c r="B48" s="396"/>
      <c r="C48" s="396"/>
      <c r="D48" s="396"/>
      <c r="E48" s="405"/>
      <c r="F48" s="405"/>
      <c r="G48" s="405"/>
      <c r="H48" s="405"/>
      <c r="I48" s="405"/>
      <c r="J48" s="405"/>
      <c r="AT48" s="782"/>
    </row>
    <row r="49" spans="1:46">
      <c r="A49" s="394">
        <v>26</v>
      </c>
      <c r="B49" s="396" t="s">
        <v>60</v>
      </c>
      <c r="C49" s="396"/>
      <c r="D49" s="396"/>
      <c r="E49" s="405">
        <f>E19-E47</f>
        <v>124218.93603797466</v>
      </c>
      <c r="F49" s="405">
        <f t="shared" ref="F49:J49" si="15">F19-F47</f>
        <v>-4230.1125822784779</v>
      </c>
      <c r="G49" s="405">
        <f t="shared" si="15"/>
        <v>119988.82345569623</v>
      </c>
      <c r="H49" s="405">
        <f t="shared" si="15"/>
        <v>36331.017689383101</v>
      </c>
      <c r="I49" s="405">
        <f t="shared" si="15"/>
        <v>11949.818573278058</v>
      </c>
      <c r="J49" s="405">
        <f t="shared" si="15"/>
        <v>168269.65971835738</v>
      </c>
      <c r="AT49" s="782"/>
    </row>
    <row r="50" spans="1:46" ht="9" customHeight="1">
      <c r="A50" s="394"/>
      <c r="B50" s="396"/>
      <c r="C50" s="396"/>
      <c r="D50" s="396"/>
      <c r="E50" s="405"/>
      <c r="F50" s="405"/>
      <c r="G50" s="405"/>
      <c r="H50" s="405"/>
      <c r="I50" s="405"/>
      <c r="J50" s="405"/>
      <c r="AT50" s="782"/>
    </row>
    <row r="51" spans="1:46">
      <c r="A51" s="394"/>
      <c r="B51" s="396" t="s">
        <v>61</v>
      </c>
      <c r="C51" s="396"/>
      <c r="D51" s="396"/>
      <c r="E51" s="405"/>
      <c r="F51" s="405"/>
      <c r="G51" s="405"/>
      <c r="H51" s="405"/>
      <c r="I51" s="405"/>
      <c r="J51" s="405"/>
      <c r="AT51" s="782"/>
    </row>
    <row r="52" spans="1:46">
      <c r="A52" s="394">
        <v>27</v>
      </c>
      <c r="B52" s="396" t="s">
        <v>62</v>
      </c>
      <c r="C52" s="396"/>
      <c r="D52" s="396"/>
      <c r="E52" s="361">
        <f>'PROPOSED RATES-12.2022'!I52</f>
        <v>5118.3965679746825</v>
      </c>
      <c r="F52" s="361">
        <f t="shared" ref="F52:F55" si="16">G52-E52</f>
        <v>-888.12364227848138</v>
      </c>
      <c r="G52" s="361">
        <f>'ADJ DETAIL-INPUT'!BX51</f>
        <v>4230.2729256962011</v>
      </c>
      <c r="H52" s="405">
        <f>'CF '!J22</f>
        <v>7630</v>
      </c>
      <c r="I52" s="405">
        <f>'CF '!K22</f>
        <v>2509</v>
      </c>
      <c r="J52" s="783">
        <f>G52+I52+H52</f>
        <v>14369.272925696201</v>
      </c>
      <c r="AT52" s="782"/>
    </row>
    <row r="53" spans="1:46">
      <c r="A53" s="394">
        <v>28</v>
      </c>
      <c r="B53" s="381" t="s">
        <v>259</v>
      </c>
      <c r="E53" s="361">
        <f>'PROPOSED RATES-12.2022'!I53</f>
        <v>-1131.2259693150695</v>
      </c>
      <c r="F53" s="361">
        <f t="shared" si="16"/>
        <v>-418.78447051449098</v>
      </c>
      <c r="G53" s="361">
        <f>'ADJ DETAIL-INPUT'!BX52</f>
        <v>-1550.0104398295605</v>
      </c>
      <c r="H53" s="405"/>
      <c r="I53" s="405"/>
      <c r="J53" s="783">
        <f t="shared" ref="J53:J55" si="17">G53+I53+H53</f>
        <v>-1550.0104398295605</v>
      </c>
      <c r="AT53" s="782"/>
    </row>
    <row r="54" spans="1:46">
      <c r="A54" s="394">
        <v>29</v>
      </c>
      <c r="B54" s="396" t="s">
        <v>63</v>
      </c>
      <c r="C54" s="396"/>
      <c r="D54" s="396"/>
      <c r="E54" s="361">
        <f>'PROPOSED RATES-12.2022'!I54</f>
        <v>5646</v>
      </c>
      <c r="F54" s="361">
        <f t="shared" si="16"/>
        <v>842</v>
      </c>
      <c r="G54" s="361">
        <f>'ADJ DETAIL-INPUT'!BX53</f>
        <v>6488</v>
      </c>
      <c r="H54" s="405"/>
      <c r="I54" s="405"/>
      <c r="J54" s="783">
        <f t="shared" si="17"/>
        <v>6488</v>
      </c>
      <c r="AT54" s="782"/>
    </row>
    <row r="55" spans="1:46">
      <c r="A55" s="394">
        <v>30</v>
      </c>
      <c r="B55" s="396" t="s">
        <v>64</v>
      </c>
      <c r="C55" s="396"/>
      <c r="D55" s="396"/>
      <c r="E55" s="784">
        <f>'PROPOSED RATES-12.2022'!I55</f>
        <v>-318</v>
      </c>
      <c r="F55" s="784">
        <f t="shared" si="16"/>
        <v>0</v>
      </c>
      <c r="G55" s="784">
        <f>'ADJ DETAIL-INPUT'!BX54</f>
        <v>-318</v>
      </c>
      <c r="H55" s="414"/>
      <c r="I55" s="414"/>
      <c r="J55" s="785">
        <f t="shared" si="17"/>
        <v>-318</v>
      </c>
      <c r="AT55" s="782"/>
    </row>
    <row r="56" spans="1:46" ht="10.5" customHeight="1">
      <c r="A56" s="394" t="s">
        <v>1026</v>
      </c>
      <c r="B56" s="1361" t="s">
        <v>1025</v>
      </c>
      <c r="C56" s="1361"/>
      <c r="D56" s="1361"/>
      <c r="E56" s="784">
        <f>'PROPOSED RATES-12.2022'!I56</f>
        <v>0</v>
      </c>
      <c r="F56" s="784">
        <f t="shared" ref="F56" si="18">G56-E56</f>
        <v>0</v>
      </c>
      <c r="G56" s="784">
        <f>'ADJ DETAIL-INPUT'!BX55</f>
        <v>0</v>
      </c>
      <c r="H56" s="414"/>
      <c r="I56" s="414"/>
      <c r="J56" s="785">
        <f t="shared" ref="J56" si="19">G56+I56+H56</f>
        <v>0</v>
      </c>
      <c r="AT56" s="782"/>
    </row>
    <row r="57" spans="1:46" ht="13.5" thickBot="1">
      <c r="A57" s="767">
        <v>31</v>
      </c>
      <c r="B57" s="395" t="s">
        <v>65</v>
      </c>
      <c r="C57" s="395"/>
      <c r="D57" s="395"/>
      <c r="E57" s="507">
        <f>E49-SUM(E52:E56)</f>
        <v>114903.76543931506</v>
      </c>
      <c r="F57" s="424">
        <f t="shared" ref="F57:I57" si="20">F49-SUM(F52:F56)</f>
        <v>-3765.2044694855058</v>
      </c>
      <c r="G57" s="424">
        <f t="shared" si="20"/>
        <v>111138.56096982959</v>
      </c>
      <c r="H57" s="424">
        <f t="shared" si="20"/>
        <v>28701.017689383101</v>
      </c>
      <c r="I57" s="424">
        <f t="shared" si="20"/>
        <v>9440.8185732780585</v>
      </c>
      <c r="J57" s="507">
        <f>J49-SUM(J52:J56)</f>
        <v>149280.39723249074</v>
      </c>
      <c r="AT57" s="782"/>
    </row>
    <row r="58" spans="1:46" ht="6.75" customHeight="1" thickTop="1">
      <c r="E58" s="405"/>
      <c r="F58" s="405"/>
      <c r="G58" s="405"/>
      <c r="H58" s="405"/>
      <c r="I58" s="405"/>
      <c r="J58" s="405"/>
      <c r="AT58" s="782"/>
    </row>
    <row r="59" spans="1:46">
      <c r="B59" s="381" t="s">
        <v>66</v>
      </c>
      <c r="E59" s="405"/>
      <c r="F59" s="405"/>
      <c r="G59" s="405"/>
      <c r="H59" s="405"/>
      <c r="I59" s="405"/>
      <c r="J59" s="405"/>
      <c r="AT59" s="782"/>
    </row>
    <row r="60" spans="1:46">
      <c r="A60" s="394"/>
      <c r="B60" s="381" t="s">
        <v>67</v>
      </c>
      <c r="E60" s="405"/>
      <c r="F60" s="405"/>
      <c r="G60" s="405"/>
      <c r="H60" s="405"/>
      <c r="I60" s="405"/>
      <c r="J60" s="405"/>
      <c r="AT60" s="782"/>
    </row>
    <row r="61" spans="1:46">
      <c r="A61" s="394">
        <v>32</v>
      </c>
      <c r="B61" s="395"/>
      <c r="C61" s="395" t="s">
        <v>68</v>
      </c>
      <c r="D61" s="395"/>
      <c r="E61" s="361">
        <f>'PROPOSED RATES-12.2022'!I61</f>
        <v>242477</v>
      </c>
      <c r="F61" s="395">
        <f t="shared" ref="F61:F65" si="21">G61-E61</f>
        <v>-146</v>
      </c>
      <c r="G61" s="395">
        <f>'ADJ DETAIL-INPUT'!BX60</f>
        <v>242331</v>
      </c>
      <c r="H61" s="395"/>
      <c r="I61" s="395"/>
      <c r="J61" s="395">
        <f>G61+I61+H61</f>
        <v>242331</v>
      </c>
      <c r="AT61" s="782"/>
    </row>
    <row r="62" spans="1:46">
      <c r="A62" s="394">
        <v>33</v>
      </c>
      <c r="B62" s="396"/>
      <c r="C62" s="396" t="s">
        <v>69</v>
      </c>
      <c r="D62" s="396"/>
      <c r="E62" s="361">
        <f>'PROPOSED RATES-12.2022'!I62</f>
        <v>1035013</v>
      </c>
      <c r="F62" s="361">
        <f t="shared" si="21"/>
        <v>22238</v>
      </c>
      <c r="G62" s="361">
        <f>'ADJ DETAIL-INPUT'!BX61</f>
        <v>1057251</v>
      </c>
      <c r="H62" s="405"/>
      <c r="I62" s="405"/>
      <c r="J62" s="405">
        <f>G62+I62+H62</f>
        <v>1057251</v>
      </c>
      <c r="AT62" s="782"/>
    </row>
    <row r="63" spans="1:46">
      <c r="A63" s="394">
        <v>34</v>
      </c>
      <c r="B63" s="396"/>
      <c r="C63" s="396" t="s">
        <v>70</v>
      </c>
      <c r="D63" s="396"/>
      <c r="E63" s="361">
        <f>'PROPOSED RATES-12.2022'!I63</f>
        <v>659623</v>
      </c>
      <c r="F63" s="361">
        <f t="shared" si="21"/>
        <v>30144</v>
      </c>
      <c r="G63" s="361">
        <f>'ADJ DETAIL-INPUT'!BX62</f>
        <v>689767</v>
      </c>
      <c r="H63" s="405"/>
      <c r="I63" s="405"/>
      <c r="J63" s="405">
        <f t="shared" ref="J63:J65" si="22">G63+I63+H63</f>
        <v>689767</v>
      </c>
      <c r="AT63" s="782"/>
    </row>
    <row r="64" spans="1:46">
      <c r="A64" s="394">
        <v>35</v>
      </c>
      <c r="B64" s="396"/>
      <c r="C64" s="396" t="s">
        <v>52</v>
      </c>
      <c r="D64" s="396"/>
      <c r="E64" s="361">
        <f>'PROPOSED RATES-12.2022'!I64</f>
        <v>1495321</v>
      </c>
      <c r="F64" s="361">
        <f t="shared" si="21"/>
        <v>106021</v>
      </c>
      <c r="G64" s="361">
        <f>'ADJ DETAIL-INPUT'!BX63</f>
        <v>1601342</v>
      </c>
      <c r="H64" s="405"/>
      <c r="I64" s="405"/>
      <c r="J64" s="405">
        <f t="shared" si="22"/>
        <v>1601342</v>
      </c>
      <c r="AT64" s="782"/>
    </row>
    <row r="65" spans="1:46">
      <c r="A65" s="394">
        <v>36</v>
      </c>
      <c r="B65" s="396"/>
      <c r="C65" s="396" t="s">
        <v>71</v>
      </c>
      <c r="D65" s="396"/>
      <c r="E65" s="784">
        <f>'PROPOSED RATES-12.2022'!I65</f>
        <v>328072</v>
      </c>
      <c r="F65" s="784">
        <f t="shared" si="21"/>
        <v>2489</v>
      </c>
      <c r="G65" s="784">
        <f>'ADJ DETAIL-INPUT'!BX64</f>
        <v>330561</v>
      </c>
      <c r="H65" s="414"/>
      <c r="I65" s="414"/>
      <c r="J65" s="414">
        <f t="shared" si="22"/>
        <v>330561</v>
      </c>
      <c r="AT65" s="782"/>
    </row>
    <row r="66" spans="1:46">
      <c r="A66" s="394">
        <v>37</v>
      </c>
      <c r="B66" s="396"/>
      <c r="C66" s="396"/>
      <c r="D66" s="396" t="s">
        <v>72</v>
      </c>
      <c r="E66" s="405">
        <f>SUM(E61:E65)</f>
        <v>3760506</v>
      </c>
      <c r="F66" s="405">
        <f t="shared" ref="F66:I66" si="23">SUM(F61:F65)</f>
        <v>160746</v>
      </c>
      <c r="G66" s="405">
        <f>SUM(G61:G65)</f>
        <v>3921252</v>
      </c>
      <c r="H66" s="405">
        <f>SUM(H61:H65)</f>
        <v>0</v>
      </c>
      <c r="I66" s="405">
        <f t="shared" si="23"/>
        <v>0</v>
      </c>
      <c r="J66" s="405">
        <f>SUM(J61:J65)</f>
        <v>3921252</v>
      </c>
      <c r="AT66" s="782"/>
    </row>
    <row r="67" spans="1:46">
      <c r="A67" s="397"/>
      <c r="B67" s="396" t="s">
        <v>218</v>
      </c>
      <c r="C67" s="396"/>
      <c r="D67" s="396"/>
      <c r="E67" s="405"/>
      <c r="F67" s="405"/>
      <c r="G67" s="405"/>
      <c r="H67" s="405"/>
      <c r="I67" s="405"/>
      <c r="J67" s="405"/>
      <c r="AT67" s="782"/>
    </row>
    <row r="68" spans="1:46">
      <c r="A68" s="397">
        <v>38</v>
      </c>
      <c r="B68" s="396"/>
      <c r="C68" s="395" t="s">
        <v>213</v>
      </c>
      <c r="D68" s="396"/>
      <c r="E68" s="361">
        <f>'PROPOSED RATES-12.2022'!I68</f>
        <v>-130903.52452415468</v>
      </c>
      <c r="F68" s="361">
        <f t="shared" ref="F68:F72" si="24">G68-E68</f>
        <v>-6532.6830161031248</v>
      </c>
      <c r="G68" s="361">
        <f>'ADJ DETAIL-INPUT'!BX67</f>
        <v>-137436.2075402578</v>
      </c>
      <c r="H68" s="405"/>
      <c r="I68" s="405"/>
      <c r="J68" s="405">
        <f t="shared" ref="J68:J72" si="25">G68+I68+H68</f>
        <v>-137436.2075402578</v>
      </c>
      <c r="AT68" s="782"/>
    </row>
    <row r="69" spans="1:46">
      <c r="A69" s="397">
        <v>39</v>
      </c>
      <c r="B69" s="396"/>
      <c r="C69" s="396" t="s">
        <v>214</v>
      </c>
      <c r="D69" s="396"/>
      <c r="E69" s="361">
        <f>'PROPOSED RATES-12.2022'!I69</f>
        <v>-482873.55850259442</v>
      </c>
      <c r="F69" s="361">
        <f t="shared" si="24"/>
        <v>-27897.372335062944</v>
      </c>
      <c r="G69" s="361">
        <f>'ADJ DETAIL-INPUT'!BX68</f>
        <v>-510770.93083765736</v>
      </c>
      <c r="H69" s="405"/>
      <c r="I69" s="405"/>
      <c r="J69" s="405">
        <f t="shared" si="25"/>
        <v>-510770.93083765736</v>
      </c>
      <c r="AT69" s="782"/>
    </row>
    <row r="70" spans="1:46">
      <c r="A70" s="397">
        <v>40</v>
      </c>
      <c r="B70" s="396"/>
      <c r="C70" s="396" t="s">
        <v>215</v>
      </c>
      <c r="D70" s="396"/>
      <c r="E70" s="361">
        <f>'PROPOSED RATES-12.2022'!I70</f>
        <v>-177972.31010866776</v>
      </c>
      <c r="F70" s="361">
        <f t="shared" si="24"/>
        <v>-11362.673231410939</v>
      </c>
      <c r="G70" s="361">
        <f>'ADJ DETAIL-INPUT'!BX69</f>
        <v>-189334.9833400787</v>
      </c>
      <c r="H70" s="405"/>
      <c r="I70" s="405"/>
      <c r="J70" s="405">
        <f t="shared" si="25"/>
        <v>-189334.9833400787</v>
      </c>
      <c r="AT70" s="782"/>
    </row>
    <row r="71" spans="1:46">
      <c r="A71" s="397">
        <v>41</v>
      </c>
      <c r="B71" s="396"/>
      <c r="C71" s="396" t="s">
        <v>199</v>
      </c>
      <c r="D71" s="396"/>
      <c r="E71" s="361">
        <f>'PROPOSED RATES-12.2022'!I71</f>
        <v>-452567.55828282621</v>
      </c>
      <c r="F71" s="361">
        <f t="shared" si="24"/>
        <v>-31350.372188550828</v>
      </c>
      <c r="G71" s="361">
        <f>'ADJ DETAIL-INPUT'!BX70</f>
        <v>-483917.93047137704</v>
      </c>
      <c r="H71" s="405"/>
      <c r="I71" s="405"/>
      <c r="J71" s="405">
        <f t="shared" si="25"/>
        <v>-483917.93047137704</v>
      </c>
      <c r="AT71" s="782"/>
    </row>
    <row r="72" spans="1:46">
      <c r="A72" s="397">
        <v>42</v>
      </c>
      <c r="B72" s="396"/>
      <c r="C72" s="396" t="s">
        <v>216</v>
      </c>
      <c r="D72" s="396"/>
      <c r="E72" s="784">
        <f>'PROPOSED RATES-12.2022'!I72</f>
        <v>-117806.37125091649</v>
      </c>
      <c r="F72" s="361">
        <f t="shared" si="24"/>
        <v>557.41916605566803</v>
      </c>
      <c r="G72" s="784">
        <f>'ADJ DETAIL-INPUT'!BX71</f>
        <v>-117248.95208486082</v>
      </c>
      <c r="H72" s="414"/>
      <c r="I72" s="414"/>
      <c r="J72" s="414">
        <f t="shared" si="25"/>
        <v>-117248.95208486082</v>
      </c>
      <c r="AT72" s="782"/>
    </row>
    <row r="73" spans="1:46">
      <c r="A73" s="397">
        <v>43</v>
      </c>
      <c r="B73" s="396" t="s">
        <v>262</v>
      </c>
      <c r="C73" s="396"/>
      <c r="D73" s="396"/>
      <c r="E73" s="787">
        <f>SUM(E68:E72)</f>
        <v>-1362123.3226691594</v>
      </c>
      <c r="F73" s="787">
        <f t="shared" ref="F73" si="26">SUM(F68:F72)</f>
        <v>-76585.681605072168</v>
      </c>
      <c r="G73" s="787">
        <f>SUM(G68:G72)</f>
        <v>-1438709.0042742316</v>
      </c>
      <c r="H73" s="787">
        <f>SUM(H68:H72)</f>
        <v>0</v>
      </c>
      <c r="I73" s="787">
        <f>SUM(I68:I72)</f>
        <v>0</v>
      </c>
      <c r="J73" s="787">
        <f>SUM(J68:J72)</f>
        <v>-1438709.0042742316</v>
      </c>
      <c r="AT73" s="782"/>
    </row>
    <row r="74" spans="1:46">
      <c r="A74" s="397">
        <v>44</v>
      </c>
      <c r="B74" s="396" t="s">
        <v>544</v>
      </c>
      <c r="C74" s="396"/>
      <c r="D74" s="395"/>
      <c r="E74" s="405">
        <f>E66+E73</f>
        <v>2398382.6773308404</v>
      </c>
      <c r="F74" s="405">
        <f t="shared" ref="F74:J74" si="27">F66+F73</f>
        <v>84160.318394927832</v>
      </c>
      <c r="G74" s="405">
        <f t="shared" si="27"/>
        <v>2482542.9957257686</v>
      </c>
      <c r="H74" s="405">
        <f>H66+H73</f>
        <v>0</v>
      </c>
      <c r="I74" s="405">
        <f t="shared" si="27"/>
        <v>0</v>
      </c>
      <c r="J74" s="405">
        <f t="shared" si="27"/>
        <v>2482542.9957257686</v>
      </c>
      <c r="AT74" s="782"/>
    </row>
    <row r="75" spans="1:46" ht="5.25" customHeight="1">
      <c r="A75" s="397"/>
      <c r="B75" s="396"/>
      <c r="C75" s="396"/>
      <c r="E75" s="322"/>
      <c r="F75" s="322"/>
      <c r="G75" s="322"/>
      <c r="H75" s="322"/>
      <c r="I75" s="322"/>
      <c r="J75" s="322"/>
      <c r="AT75" s="782"/>
    </row>
    <row r="76" spans="1:46">
      <c r="A76" s="398">
        <v>45</v>
      </c>
      <c r="B76" s="396" t="s">
        <v>219</v>
      </c>
      <c r="C76" s="396"/>
      <c r="D76" s="396"/>
      <c r="E76" s="784">
        <f>'PROPOSED RATES-12.2022'!I76</f>
        <v>-414327</v>
      </c>
      <c r="F76" s="784">
        <f t="shared" ref="F76" si="28">G76-E76</f>
        <v>-2654</v>
      </c>
      <c r="G76" s="784">
        <f>'ADJ DETAIL-INPUT'!BX75</f>
        <v>-416981</v>
      </c>
      <c r="H76" s="788"/>
      <c r="I76" s="788"/>
      <c r="J76" s="414">
        <f t="shared" ref="J76" si="29">G76+I76+H76</f>
        <v>-416981</v>
      </c>
      <c r="AT76" s="782"/>
    </row>
    <row r="77" spans="1:46">
      <c r="A77" s="398">
        <v>46</v>
      </c>
      <c r="B77" s="396"/>
      <c r="C77" s="396" t="s">
        <v>543</v>
      </c>
      <c r="D77" s="396"/>
      <c r="E77" s="405">
        <f>SUM(E74:E76)</f>
        <v>1984055.6773308404</v>
      </c>
      <c r="F77" s="405">
        <f t="shared" ref="F77:J77" si="30">SUM(F74:F76)</f>
        <v>81506.318394927832</v>
      </c>
      <c r="G77" s="405">
        <f t="shared" si="30"/>
        <v>2065561.9957257686</v>
      </c>
      <c r="H77" s="405">
        <f>SUM(H74:H76)</f>
        <v>0</v>
      </c>
      <c r="I77" s="405">
        <f t="shared" si="30"/>
        <v>0</v>
      </c>
      <c r="J77" s="405">
        <f t="shared" si="30"/>
        <v>2065561.9957257686</v>
      </c>
      <c r="AT77" s="782"/>
    </row>
    <row r="78" spans="1:46">
      <c r="A78" s="397">
        <v>47</v>
      </c>
      <c r="B78" s="396" t="s">
        <v>264</v>
      </c>
      <c r="C78" s="396"/>
      <c r="E78" s="361">
        <f>'PROPOSED RATES-12.2022'!I78</f>
        <v>7389</v>
      </c>
      <c r="F78" s="361">
        <f t="shared" ref="F78:F79" si="31">G78-E78</f>
        <v>-769</v>
      </c>
      <c r="G78" s="361">
        <f>'ADJ DETAIL-INPUT'!BX77</f>
        <v>6620</v>
      </c>
      <c r="J78" s="405">
        <f t="shared" ref="J78:J79" si="32">G78+I78+H78</f>
        <v>6620</v>
      </c>
      <c r="AT78" s="782"/>
    </row>
    <row r="79" spans="1:46">
      <c r="A79" s="397">
        <v>48</v>
      </c>
      <c r="B79" s="396" t="s">
        <v>252</v>
      </c>
      <c r="C79" s="396"/>
      <c r="E79" s="784">
        <f>'PROPOSED RATES-12.2022'!I79</f>
        <v>51300</v>
      </c>
      <c r="F79" s="784">
        <f t="shared" si="31"/>
        <v>0</v>
      </c>
      <c r="G79" s="784">
        <f>'ADJ DETAIL-INPUT'!BX78</f>
        <v>51300</v>
      </c>
      <c r="H79" s="788"/>
      <c r="I79" s="788"/>
      <c r="J79" s="414">
        <f t="shared" si="32"/>
        <v>51300</v>
      </c>
      <c r="AT79" s="782"/>
    </row>
    <row r="80" spans="1:46">
      <c r="A80" s="398"/>
      <c r="B80" s="396"/>
      <c r="C80" s="396"/>
      <c r="D80" s="396"/>
      <c r="AT80" s="782"/>
    </row>
    <row r="81" spans="1:46" ht="13.5" thickBot="1">
      <c r="A81" s="394">
        <v>49</v>
      </c>
      <c r="B81" s="395" t="s">
        <v>220</v>
      </c>
      <c r="C81" s="395"/>
      <c r="D81" s="395"/>
      <c r="E81" s="789">
        <f>SUM(E77:E79)</f>
        <v>2042744.6773308404</v>
      </c>
      <c r="F81" s="790">
        <f>SUM(F77:F79)</f>
        <v>80737.318394927832</v>
      </c>
      <c r="G81" s="789">
        <f t="shared" ref="G81:J81" si="33">SUM(G77:G79)</f>
        <v>2123481.9957257686</v>
      </c>
      <c r="H81" s="789">
        <f t="shared" si="33"/>
        <v>0</v>
      </c>
      <c r="I81" s="789">
        <f t="shared" si="33"/>
        <v>0</v>
      </c>
      <c r="J81" s="789">
        <f t="shared" si="33"/>
        <v>2123481.9957257686</v>
      </c>
      <c r="AT81" s="782"/>
    </row>
    <row r="82" spans="1:46" ht="13.5" thickTop="1">
      <c r="A82" s="394">
        <v>50</v>
      </c>
      <c r="B82" s="381" t="s">
        <v>614</v>
      </c>
      <c r="E82" s="255">
        <f>ROUND(E57/E81,4)</f>
        <v>5.62E-2</v>
      </c>
      <c r="F82" s="255"/>
      <c r="G82" s="255">
        <f>ROUND(G57/G81,4)</f>
        <v>5.2299999999999999E-2</v>
      </c>
      <c r="J82" s="255">
        <f>ROUND(J57/J81,4)</f>
        <v>7.0300000000000001E-2</v>
      </c>
      <c r="AT82" s="782"/>
    </row>
    <row r="83" spans="1:46">
      <c r="AT83" s="782"/>
    </row>
    <row r="90" spans="1:46">
      <c r="J90" s="791">
        <v>2.9700000000000001E-2</v>
      </c>
      <c r="K90" s="691" t="s">
        <v>970</v>
      </c>
    </row>
    <row r="91" spans="1:46">
      <c r="J91" s="791">
        <v>2.9600000000000001E-2</v>
      </c>
      <c r="K91" s="691" t="s">
        <v>971</v>
      </c>
    </row>
    <row r="92" spans="1:46">
      <c r="J92" s="791">
        <v>8.3299999999999999E-2</v>
      </c>
      <c r="K92" s="691" t="s">
        <v>972</v>
      </c>
    </row>
    <row r="94" spans="1:46">
      <c r="J94" s="768">
        <f>J81*(J92-J82)</f>
        <v>27605.265944434988</v>
      </c>
    </row>
    <row r="95" spans="1:46">
      <c r="J95" s="768">
        <f>J81*((J91-J90)*0.35)*-1</f>
        <v>74.321869850401455</v>
      </c>
    </row>
    <row r="96" spans="1:46">
      <c r="J96" s="768">
        <f>J94+J95</f>
        <v>27679.587814285391</v>
      </c>
    </row>
    <row r="98" spans="10:10">
      <c r="J98" s="768">
        <v>29017.981038566773</v>
      </c>
    </row>
  </sheetData>
  <mergeCells count="3">
    <mergeCell ref="E4:J4"/>
    <mergeCell ref="B56:D56"/>
    <mergeCell ref="E1:J3"/>
  </mergeCells>
  <printOptions horizontalCentered="1"/>
  <pageMargins left="0.75" right="0.76" top="0.5" bottom="0.75" header="0.25" footer="0.3"/>
  <pageSetup scale="67" orientation="portrait" r:id="rId1"/>
  <headerFooter alignWithMargins="0">
    <oddHeader xml:space="preserve">&amp;R </oddHeader>
    <oddFooter xml:space="preserve">&amp;RExhibit No. 5
Case Nos. AVU-E-21-01 and AVU-G-21-01
E. Andrews, Avista
Schedule 1, Page &amp;P of &amp;N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pageSetUpPr fitToPage="1"/>
  </sheetPr>
  <dimension ref="A1:AA55"/>
  <sheetViews>
    <sheetView topLeftCell="A4" workbookViewId="0">
      <selection activeCell="G24" sqref="G24"/>
    </sheetView>
  </sheetViews>
  <sheetFormatPr defaultColWidth="9.140625" defaultRowHeight="14.25" customHeight="1"/>
  <cols>
    <col min="1" max="1" width="5.140625" style="577" bestFit="1" customWidth="1"/>
    <col min="2" max="2" width="1.5703125" style="577" customWidth="1"/>
    <col min="3" max="3" width="46.42578125" style="577" customWidth="1"/>
    <col min="4" max="4" width="3" style="577" customWidth="1"/>
    <col min="5" max="5" width="19.5703125" style="577" customWidth="1"/>
    <col min="6" max="6" width="16" style="577" customWidth="1"/>
    <col min="7" max="7" width="16.5703125" style="586" bestFit="1" customWidth="1"/>
    <col min="8" max="8" width="12.42578125" style="577" customWidth="1"/>
    <col min="9" max="9" width="6.85546875" style="520" customWidth="1"/>
    <col min="10" max="10" width="14.140625" style="520" customWidth="1"/>
    <col min="11" max="11" width="12.85546875" style="520" customWidth="1"/>
    <col min="12" max="12" width="15.140625" style="550" customWidth="1"/>
    <col min="13" max="13" width="14.140625" style="520" customWidth="1"/>
    <col min="14" max="14" width="11.85546875" style="520" customWidth="1"/>
    <col min="15" max="15" width="8.5703125" style="520" hidden="1" customWidth="1"/>
    <col min="16" max="16" width="14.5703125" style="520" hidden="1" customWidth="1"/>
    <col min="17" max="17" width="9.140625" style="520" hidden="1" customWidth="1"/>
    <col min="18" max="18" width="10.42578125" style="520" hidden="1" customWidth="1"/>
    <col min="19" max="20" width="9.5703125" style="520" hidden="1" customWidth="1"/>
    <col min="21" max="21" width="11.42578125" style="520" hidden="1" customWidth="1"/>
    <col min="22" max="22" width="10.42578125" style="520" hidden="1" customWidth="1"/>
    <col min="23" max="23" width="9.140625" style="520" hidden="1" customWidth="1"/>
    <col min="24" max="24" width="17" style="520" hidden="1" customWidth="1"/>
    <col min="25" max="16384" width="9.140625" style="520"/>
  </cols>
  <sheetData>
    <row r="1" spans="1:27" ht="19.5" customHeight="1">
      <c r="A1" s="1379" t="s">
        <v>115</v>
      </c>
      <c r="B1" s="1379"/>
      <c r="C1" s="1379"/>
      <c r="D1" s="1379"/>
      <c r="E1" s="1379"/>
      <c r="F1" s="1379"/>
      <c r="G1" s="1379"/>
      <c r="H1" s="519"/>
      <c r="I1" s="1370" t="s">
        <v>115</v>
      </c>
      <c r="J1" s="1371"/>
      <c r="K1" s="1371"/>
      <c r="L1" s="1371"/>
      <c r="M1" s="1372"/>
      <c r="N1" s="521"/>
    </row>
    <row r="2" spans="1:27" ht="14.25" customHeight="1">
      <c r="A2" s="1379" t="s">
        <v>671</v>
      </c>
      <c r="B2" s="1379"/>
      <c r="C2" s="1379"/>
      <c r="D2" s="1379"/>
      <c r="E2" s="1379"/>
      <c r="F2" s="1379"/>
      <c r="G2" s="1379"/>
      <c r="H2" s="521"/>
      <c r="I2" s="1373" t="s">
        <v>611</v>
      </c>
      <c r="J2" s="1374"/>
      <c r="K2" s="1374"/>
      <c r="L2" s="1374"/>
      <c r="M2" s="1375"/>
      <c r="N2" s="522"/>
    </row>
    <row r="3" spans="1:27" ht="14.25" customHeight="1">
      <c r="A3" s="1379" t="s">
        <v>239</v>
      </c>
      <c r="B3" s="1379"/>
      <c r="C3" s="1379"/>
      <c r="D3" s="1379"/>
      <c r="E3" s="1379"/>
      <c r="F3" s="1379"/>
      <c r="G3" s="1379"/>
      <c r="H3" s="521"/>
      <c r="I3" s="1373" t="s">
        <v>239</v>
      </c>
      <c r="J3" s="1374"/>
      <c r="K3" s="1374"/>
      <c r="L3" s="1374"/>
      <c r="M3" s="1375"/>
      <c r="N3" s="522"/>
    </row>
    <row r="4" spans="1:27" ht="14.25" customHeight="1">
      <c r="A4" s="1379" t="str">
        <f>'ADJ DETAIL-INPUT'!A3</f>
        <v>TWELVE MONTHS ENDED SEPTEMBER 30, 2021</v>
      </c>
      <c r="B4" s="1379"/>
      <c r="C4" s="1379"/>
      <c r="D4" s="1379"/>
      <c r="E4" s="1379"/>
      <c r="F4" s="1379"/>
      <c r="G4" s="1379"/>
      <c r="H4" s="521"/>
      <c r="I4" s="1376"/>
      <c r="J4" s="1377"/>
      <c r="K4" s="1377"/>
      <c r="L4" s="1377"/>
      <c r="M4" s="1378"/>
      <c r="N4" s="524"/>
    </row>
    <row r="5" spans="1:27" ht="14.25" customHeight="1" thickBot="1">
      <c r="A5" s="522"/>
      <c r="B5" s="522"/>
      <c r="C5" s="522"/>
      <c r="D5" s="522"/>
      <c r="E5" s="522"/>
      <c r="F5" s="536"/>
      <c r="G5" s="739"/>
      <c r="H5" s="521"/>
      <c r="I5" s="514"/>
      <c r="J5" s="515"/>
      <c r="K5" s="515"/>
      <c r="L5" s="515"/>
      <c r="M5" s="516"/>
      <c r="N5" s="524"/>
    </row>
    <row r="6" spans="1:27" ht="14.25" customHeight="1">
      <c r="A6" s="521"/>
      <c r="B6" s="521"/>
      <c r="C6" s="521"/>
      <c r="D6" s="521"/>
      <c r="E6" s="796" t="s">
        <v>665</v>
      </c>
      <c r="F6" s="798" t="s">
        <v>665</v>
      </c>
      <c r="G6" s="1380" t="s">
        <v>975</v>
      </c>
      <c r="H6" s="525"/>
      <c r="I6" s="443" t="s">
        <v>694</v>
      </c>
      <c r="J6" s="444"/>
      <c r="K6" s="444"/>
      <c r="L6" s="444"/>
      <c r="M6" s="445"/>
      <c r="N6" s="515"/>
      <c r="S6" s="523" t="s">
        <v>609</v>
      </c>
      <c r="X6" s="526"/>
    </row>
    <row r="7" spans="1:27" ht="14.25" customHeight="1">
      <c r="A7" s="522"/>
      <c r="B7" s="522"/>
      <c r="C7" s="1369"/>
      <c r="D7" s="1369"/>
      <c r="E7" s="796" t="s">
        <v>973</v>
      </c>
      <c r="F7" s="798" t="s">
        <v>974</v>
      </c>
      <c r="G7" s="1380"/>
      <c r="H7" s="587"/>
      <c r="I7" s="446"/>
      <c r="J7" s="447"/>
      <c r="K7" s="512"/>
      <c r="L7" s="448"/>
      <c r="M7" s="513"/>
      <c r="N7" s="515"/>
      <c r="S7" s="523"/>
      <c r="X7" s="526"/>
    </row>
    <row r="8" spans="1:27" ht="14.25" customHeight="1">
      <c r="A8" s="522"/>
      <c r="B8" s="522"/>
      <c r="C8" s="522"/>
      <c r="D8" s="522"/>
      <c r="E8" s="1301" t="s">
        <v>1090</v>
      </c>
      <c r="F8" s="1302" t="s">
        <v>1091</v>
      </c>
      <c r="G8" s="1301" t="s">
        <v>1091</v>
      </c>
      <c r="H8" s="528"/>
      <c r="I8" s="446"/>
      <c r="J8" s="449"/>
      <c r="K8" s="512" t="s">
        <v>121</v>
      </c>
      <c r="L8" s="512"/>
      <c r="M8" s="513" t="s">
        <v>122</v>
      </c>
      <c r="N8" s="515"/>
      <c r="S8" s="523"/>
      <c r="X8" s="526"/>
    </row>
    <row r="9" spans="1:27" ht="18" customHeight="1">
      <c r="A9" s="522" t="s">
        <v>119</v>
      </c>
      <c r="B9" s="522"/>
      <c r="C9" s="522"/>
      <c r="D9" s="522"/>
      <c r="E9" s="796" t="s">
        <v>120</v>
      </c>
      <c r="F9" s="798" t="s">
        <v>120</v>
      </c>
      <c r="G9" s="796" t="s">
        <v>120</v>
      </c>
      <c r="H9" s="587"/>
      <c r="I9" s="446"/>
      <c r="J9" s="450" t="s">
        <v>124</v>
      </c>
      <c r="K9" s="450" t="s">
        <v>126</v>
      </c>
      <c r="L9" s="450" t="s">
        <v>127</v>
      </c>
      <c r="M9" s="451" t="s">
        <v>127</v>
      </c>
      <c r="N9" s="529"/>
      <c r="X9" s="526"/>
      <c r="AA9" s="678"/>
    </row>
    <row r="10" spans="1:27" ht="14.25" customHeight="1">
      <c r="A10" s="527" t="s">
        <v>21</v>
      </c>
      <c r="B10" s="522"/>
      <c r="C10" s="527" t="s">
        <v>80</v>
      </c>
      <c r="D10" s="524"/>
      <c r="E10" s="797" t="s">
        <v>123</v>
      </c>
      <c r="F10" s="799" t="s">
        <v>123</v>
      </c>
      <c r="G10" s="797" t="s">
        <v>123</v>
      </c>
      <c r="H10" s="587"/>
      <c r="I10" s="446"/>
      <c r="J10" s="447"/>
      <c r="K10" s="447"/>
      <c r="L10" s="448"/>
      <c r="M10" s="452"/>
      <c r="N10" s="529"/>
    </row>
    <row r="11" spans="1:27" ht="14.25" customHeight="1">
      <c r="A11" s="520"/>
      <c r="B11" s="520"/>
      <c r="C11" s="520"/>
      <c r="D11" s="520"/>
      <c r="E11" s="520"/>
      <c r="F11" s="520"/>
      <c r="G11" s="530"/>
      <c r="H11" s="530"/>
      <c r="I11" s="446"/>
      <c r="J11" s="449" t="s">
        <v>18</v>
      </c>
      <c r="K11" s="453">
        <v>0.51500000000000001</v>
      </c>
      <c r="L11" s="1094">
        <v>4.8000000000000001E-2</v>
      </c>
      <c r="M11" s="455">
        <f>ROUND(K11*L11,4)</f>
        <v>2.47E-2</v>
      </c>
      <c r="N11" s="531" t="s">
        <v>227</v>
      </c>
      <c r="P11" s="532" t="s">
        <v>234</v>
      </c>
      <c r="Q11" s="533"/>
      <c r="R11" s="534" t="s">
        <v>141</v>
      </c>
      <c r="S11" s="535"/>
      <c r="T11" s="522" t="s">
        <v>140</v>
      </c>
      <c r="Z11" s="1101"/>
    </row>
    <row r="12" spans="1:27" ht="14.25" customHeight="1">
      <c r="A12" s="536">
        <v>1</v>
      </c>
      <c r="B12" s="520"/>
      <c r="C12" s="520" t="s">
        <v>179</v>
      </c>
      <c r="D12" s="520"/>
      <c r="E12" s="705">
        <f>'ADJ DETAIL-INPUT'!BH80</f>
        <v>2042744.6773308404</v>
      </c>
      <c r="F12" s="537">
        <f>'ADJ DETAIL-INPUT'!BX80</f>
        <v>2123481.9957257682</v>
      </c>
      <c r="G12" s="740"/>
      <c r="H12" s="538"/>
      <c r="I12" s="446"/>
      <c r="J12" s="449"/>
      <c r="K12" s="453"/>
      <c r="L12" s="454"/>
      <c r="M12" s="455"/>
      <c r="N12" s="540">
        <f>SUM(M11:M12)</f>
        <v>2.47E-2</v>
      </c>
      <c r="P12" s="541" t="s">
        <v>235</v>
      </c>
      <c r="Q12" s="524"/>
      <c r="R12" s="522" t="s">
        <v>121</v>
      </c>
      <c r="S12" s="522" t="s">
        <v>140</v>
      </c>
      <c r="T12" s="522" t="s">
        <v>122</v>
      </c>
    </row>
    <row r="13" spans="1:27" ht="14.25" customHeight="1">
      <c r="A13" s="536"/>
      <c r="B13" s="520"/>
      <c r="C13" s="520"/>
      <c r="D13" s="520"/>
      <c r="E13" s="539"/>
      <c r="F13" s="539"/>
      <c r="G13" s="547"/>
      <c r="H13" s="542"/>
      <c r="I13" s="446"/>
      <c r="J13" s="449" t="s">
        <v>11</v>
      </c>
      <c r="K13" s="453">
        <f>100%-K11</f>
        <v>0.48499999999999999</v>
      </c>
      <c r="L13" s="575">
        <v>9.4E-2</v>
      </c>
      <c r="M13" s="455">
        <f>ROUND(K13*L13,4)</f>
        <v>4.5600000000000002E-2</v>
      </c>
      <c r="P13" s="527" t="s">
        <v>124</v>
      </c>
      <c r="Q13" s="524"/>
      <c r="R13" s="527" t="s">
        <v>126</v>
      </c>
      <c r="S13" s="527" t="s">
        <v>127</v>
      </c>
      <c r="T13" s="527" t="s">
        <v>127</v>
      </c>
    </row>
    <row r="14" spans="1:27" ht="14.25" customHeight="1">
      <c r="A14" s="536">
        <v>2</v>
      </c>
      <c r="B14" s="520"/>
      <c r="C14" s="520" t="s">
        <v>129</v>
      </c>
      <c r="D14" s="520"/>
      <c r="E14" s="1095">
        <f>$M$15</f>
        <v>7.0300000000000001E-2</v>
      </c>
      <c r="F14" s="1095">
        <f>$M$15</f>
        <v>7.0300000000000001E-2</v>
      </c>
      <c r="G14" s="478"/>
      <c r="H14" s="544"/>
      <c r="I14" s="446"/>
      <c r="J14" s="449"/>
      <c r="K14" s="456"/>
      <c r="L14" s="457"/>
      <c r="M14" s="455"/>
      <c r="P14" s="535"/>
      <c r="Q14" s="533"/>
      <c r="R14" s="535"/>
      <c r="S14" s="535"/>
      <c r="T14" s="535"/>
    </row>
    <row r="15" spans="1:27" ht="14.25" customHeight="1" thickBot="1">
      <c r="A15" s="536"/>
      <c r="B15" s="520"/>
      <c r="C15" s="520"/>
      <c r="D15" s="520"/>
      <c r="E15" s="543"/>
      <c r="F15" s="543"/>
      <c r="G15" s="570"/>
      <c r="H15" s="543"/>
      <c r="I15" s="446"/>
      <c r="J15" s="449" t="s">
        <v>134</v>
      </c>
      <c r="K15" s="458">
        <f>SUM(K11:K13)</f>
        <v>1</v>
      </c>
      <c r="L15" s="457"/>
      <c r="M15" s="459">
        <f>SUM(M11:M13)</f>
        <v>7.0300000000000001E-2</v>
      </c>
      <c r="N15" s="530"/>
      <c r="P15" s="520" t="s">
        <v>128</v>
      </c>
      <c r="Q15" s="542"/>
      <c r="R15" s="545">
        <v>0.4415</v>
      </c>
      <c r="S15" s="545">
        <v>7.7499999999999999E-2</v>
      </c>
      <c r="T15" s="545">
        <f>ROUND(R15*S15,4)</f>
        <v>3.4200000000000001E-2</v>
      </c>
    </row>
    <row r="16" spans="1:27" ht="14.25" customHeight="1" thickTop="1" thickBot="1">
      <c r="A16" s="536">
        <v>3</v>
      </c>
      <c r="B16" s="520"/>
      <c r="C16" s="520" t="s">
        <v>130</v>
      </c>
      <c r="D16" s="520"/>
      <c r="E16" s="546">
        <f>ROUND(E12*E14,4)</f>
        <v>143604.95079999999</v>
      </c>
      <c r="F16" s="546">
        <f t="shared" ref="F16" si="0">ROUND(F12*F14,4)</f>
        <v>149280.7843</v>
      </c>
      <c r="G16" s="547"/>
      <c r="H16" s="547"/>
      <c r="I16" s="460"/>
      <c r="J16" s="461"/>
      <c r="K16" s="462"/>
      <c r="L16" s="463"/>
      <c r="M16" s="464"/>
      <c r="N16" s="529"/>
      <c r="Q16" s="548"/>
      <c r="R16" s="545"/>
      <c r="S16" s="545"/>
      <c r="T16" s="545"/>
    </row>
    <row r="17" spans="1:25" ht="14.25" customHeight="1">
      <c r="A17" s="536"/>
      <c r="B17" s="520"/>
      <c r="C17" s="520"/>
      <c r="D17" s="520"/>
      <c r="E17" s="539"/>
      <c r="F17" s="539"/>
      <c r="G17" s="547"/>
      <c r="H17" s="542"/>
      <c r="I17" s="549"/>
      <c r="N17" s="529"/>
      <c r="P17" s="551" t="s">
        <v>131</v>
      </c>
      <c r="Q17" s="552"/>
      <c r="R17" s="553">
        <v>3.39E-2</v>
      </c>
      <c r="S17" s="553">
        <v>7.0800000000000002E-2</v>
      </c>
      <c r="T17" s="553">
        <f>ROUND(R17*S17,4)</f>
        <v>2.3999999999999998E-3</v>
      </c>
    </row>
    <row r="18" spans="1:25" ht="14.25" customHeight="1">
      <c r="A18" s="536">
        <v>4</v>
      </c>
      <c r="B18" s="520"/>
      <c r="C18" s="520" t="s">
        <v>132</v>
      </c>
      <c r="D18" s="520"/>
      <c r="E18" s="554">
        <f>'ADJ DETAIL-INPUT'!BH56</f>
        <v>114903.76543931507</v>
      </c>
      <c r="F18" s="554">
        <f>'ADJ DETAIL-INPUT'!BX56</f>
        <v>111138.5609698296</v>
      </c>
      <c r="G18" s="547"/>
      <c r="H18" s="555"/>
      <c r="K18" s="556"/>
      <c r="L18" s="556"/>
      <c r="N18" s="529"/>
      <c r="O18" s="556"/>
      <c r="Q18" s="548"/>
      <c r="R18" s="545"/>
      <c r="S18" s="545"/>
      <c r="T18" s="545"/>
      <c r="U18" s="557" t="s">
        <v>227</v>
      </c>
      <c r="V18" s="557" t="s">
        <v>228</v>
      </c>
    </row>
    <row r="19" spans="1:25" ht="14.25" customHeight="1">
      <c r="A19" s="536"/>
      <c r="B19" s="520"/>
      <c r="C19" s="520"/>
      <c r="D19" s="520"/>
      <c r="E19" s="520"/>
      <c r="F19" s="520"/>
      <c r="G19" s="530"/>
      <c r="H19" s="526"/>
      <c r="J19" s="539"/>
      <c r="N19" s="529"/>
      <c r="O19" s="558"/>
      <c r="Q19" s="548"/>
      <c r="R19" s="545"/>
      <c r="S19" s="545"/>
      <c r="T19" s="545"/>
      <c r="U19" s="559"/>
      <c r="V19" s="559"/>
    </row>
    <row r="20" spans="1:25" ht="14.25" customHeight="1">
      <c r="A20" s="536">
        <v>5</v>
      </c>
      <c r="B20" s="520"/>
      <c r="C20" s="520" t="s">
        <v>133</v>
      </c>
      <c r="D20" s="520"/>
      <c r="E20" s="539">
        <f>E16-E18</f>
        <v>28701.185360684918</v>
      </c>
      <c r="F20" s="539">
        <f t="shared" ref="F20" si="1">F16-F18</f>
        <v>38142.223330170396</v>
      </c>
      <c r="G20" s="539">
        <f>F20-E20</f>
        <v>9441.0379694854782</v>
      </c>
      <c r="H20" s="542"/>
      <c r="I20" s="1105" t="s">
        <v>1085</v>
      </c>
      <c r="K20" s="1104"/>
      <c r="L20" s="600"/>
      <c r="M20" s="526"/>
      <c r="N20" s="526"/>
      <c r="O20" s="526"/>
      <c r="P20" s="526"/>
      <c r="Q20" s="548"/>
      <c r="R20" s="544"/>
      <c r="S20" s="544"/>
      <c r="T20" s="544"/>
      <c r="U20" s="526"/>
      <c r="V20" s="588"/>
      <c r="W20" s="526"/>
      <c r="X20" s="526"/>
    </row>
    <row r="21" spans="1:25" ht="14.25" customHeight="1">
      <c r="A21" s="536"/>
      <c r="B21" s="520"/>
      <c r="C21" s="520"/>
      <c r="D21" s="520"/>
      <c r="E21" s="520"/>
      <c r="F21" s="520"/>
      <c r="G21" s="520"/>
      <c r="H21" s="530"/>
      <c r="I21" s="530"/>
      <c r="K21" s="1107" t="s">
        <v>1080</v>
      </c>
      <c r="L21" s="1107" t="s">
        <v>1081</v>
      </c>
      <c r="M21" s="1107" t="s">
        <v>1084</v>
      </c>
      <c r="N21" s="526"/>
      <c r="O21" s="526"/>
      <c r="P21" s="526"/>
      <c r="Q21" s="548"/>
      <c r="R21" s="544"/>
      <c r="S21" s="544"/>
      <c r="T21" s="544"/>
      <c r="U21" s="526"/>
      <c r="V21" s="526"/>
      <c r="W21" s="526"/>
      <c r="X21" s="526"/>
    </row>
    <row r="22" spans="1:25" ht="14.25" customHeight="1">
      <c r="A22" s="536">
        <v>6</v>
      </c>
      <c r="B22" s="520"/>
      <c r="C22" s="520" t="s">
        <v>135</v>
      </c>
      <c r="D22" s="520"/>
      <c r="E22" s="560">
        <f>'CF '!E24</f>
        <v>0.75529400000000002</v>
      </c>
      <c r="F22" s="560">
        <f>E22</f>
        <v>0.75529400000000002</v>
      </c>
      <c r="G22" s="792">
        <f>F22</f>
        <v>0.75529400000000002</v>
      </c>
      <c r="H22" s="561"/>
      <c r="I22" s="530"/>
      <c r="J22" s="1108" t="s">
        <v>1082</v>
      </c>
      <c r="K22" s="1106">
        <v>541.73460930448346</v>
      </c>
      <c r="L22" s="1106">
        <v>21.11429456606129</v>
      </c>
      <c r="M22" s="542">
        <f>K22+L22</f>
        <v>562.84890387054475</v>
      </c>
      <c r="N22" s="530"/>
      <c r="O22" s="526"/>
      <c r="P22" s="526"/>
      <c r="Q22" s="548"/>
      <c r="R22" s="544"/>
      <c r="S22" s="544"/>
      <c r="T22" s="544"/>
      <c r="U22" s="526"/>
      <c r="V22" s="526"/>
      <c r="W22" s="526"/>
      <c r="X22" s="526"/>
      <c r="Y22" s="526"/>
    </row>
    <row r="23" spans="1:25" ht="13.5" customHeight="1" thickBot="1">
      <c r="A23" s="536"/>
      <c r="B23" s="520"/>
      <c r="C23" s="520"/>
      <c r="D23" s="520"/>
      <c r="E23" s="563"/>
      <c r="F23" s="795"/>
      <c r="G23" s="520"/>
      <c r="H23" s="564"/>
      <c r="I23" s="530"/>
      <c r="J23" s="1108" t="s">
        <v>1083</v>
      </c>
      <c r="K23" s="1109">
        <v>136</v>
      </c>
      <c r="L23" s="1109">
        <v>5.294766255925424</v>
      </c>
      <c r="M23" s="1110">
        <f>K23+L23</f>
        <v>141.29476625592542</v>
      </c>
      <c r="N23" s="526"/>
      <c r="O23" s="526"/>
      <c r="P23" s="526"/>
      <c r="Q23" s="548"/>
      <c r="R23" s="544"/>
      <c r="S23" s="544"/>
      <c r="T23" s="544"/>
      <c r="U23" s="526"/>
      <c r="V23" s="526"/>
      <c r="W23" s="526"/>
      <c r="X23" s="526"/>
      <c r="Y23" s="526"/>
    </row>
    <row r="24" spans="1:25" ht="20.25" customHeight="1" thickBot="1">
      <c r="A24" s="536">
        <v>7</v>
      </c>
      <c r="B24" s="520"/>
      <c r="C24" s="520" t="s">
        <v>642</v>
      </c>
      <c r="D24" s="520"/>
      <c r="E24" s="704">
        <f>E20/E22</f>
        <v>38000.017689383101</v>
      </c>
      <c r="F24" s="547">
        <f t="shared" ref="F24" si="2">ROUND(F20/F22,0)</f>
        <v>50500</v>
      </c>
      <c r="G24" s="793">
        <f>G20/G22</f>
        <v>12499.818573278058</v>
      </c>
      <c r="H24" s="565"/>
      <c r="I24" s="530"/>
      <c r="J24" s="1112" t="s">
        <v>584</v>
      </c>
      <c r="K24" s="1111">
        <f>K23+K22</f>
        <v>677.73460930448346</v>
      </c>
      <c r="L24" s="1111">
        <f>L23+L22</f>
        <v>26.409060821986714</v>
      </c>
      <c r="M24" s="1111">
        <f>M23+M22</f>
        <v>704.14367012647017</v>
      </c>
      <c r="N24" s="566"/>
      <c r="O24" s="526"/>
      <c r="P24" s="526"/>
      <c r="Q24" s="548"/>
      <c r="R24" s="543"/>
      <c r="S24" s="543"/>
      <c r="T24" s="544"/>
      <c r="U24" s="526"/>
      <c r="V24" s="526"/>
      <c r="W24" s="526"/>
      <c r="X24" s="526"/>
      <c r="Y24" s="526"/>
    </row>
    <row r="25" spans="1:25" ht="14.25" customHeight="1">
      <c r="A25" s="536"/>
      <c r="B25" s="535"/>
      <c r="C25" s="520"/>
      <c r="D25" s="520"/>
      <c r="E25" s="539"/>
      <c r="F25" s="520"/>
      <c r="G25" s="520"/>
      <c r="H25" s="567"/>
      <c r="I25" s="568"/>
      <c r="N25" s="569"/>
      <c r="O25" s="530"/>
      <c r="P25" s="530"/>
      <c r="Q25" s="567"/>
      <c r="R25" s="570"/>
      <c r="S25" s="570"/>
      <c r="T25" s="478"/>
      <c r="U25" s="530"/>
      <c r="V25" s="530"/>
      <c r="W25" s="530"/>
      <c r="X25" s="526"/>
      <c r="Y25" s="526"/>
    </row>
    <row r="26" spans="1:25" ht="14.25" customHeight="1">
      <c r="A26" s="536">
        <v>8</v>
      </c>
      <c r="B26" s="535"/>
      <c r="C26" s="520" t="s">
        <v>643</v>
      </c>
      <c r="D26" s="520"/>
      <c r="E26" s="542">
        <f>'ADJ DETAIL-INPUT'!BH13+'ADJ DETAIL-INPUT'!BH14</f>
        <v>550576</v>
      </c>
      <c r="F26" s="542"/>
      <c r="G26" s="539">
        <f>E26+E24</f>
        <v>588576.01768938312</v>
      </c>
      <c r="H26" s="571"/>
      <c r="I26" s="530"/>
      <c r="J26" s="547"/>
      <c r="K26" s="547"/>
      <c r="L26" s="547"/>
      <c r="M26" s="547"/>
      <c r="N26" s="569"/>
      <c r="O26" s="530"/>
      <c r="P26" s="530"/>
      <c r="Q26" s="567"/>
      <c r="R26" s="570"/>
      <c r="S26" s="570"/>
      <c r="T26" s="478"/>
      <c r="U26" s="530"/>
      <c r="V26" s="530"/>
      <c r="W26" s="530"/>
      <c r="X26" s="526"/>
      <c r="Y26" s="526"/>
    </row>
    <row r="27" spans="1:25" ht="14.25" customHeight="1">
      <c r="A27" s="536"/>
      <c r="B27" s="535"/>
      <c r="C27" s="520"/>
      <c r="D27" s="520"/>
      <c r="E27" s="520"/>
      <c r="F27" s="526"/>
      <c r="G27" s="520"/>
      <c r="H27" s="572"/>
      <c r="I27" s="573"/>
      <c r="J27" s="1103"/>
      <c r="K27" s="1103"/>
      <c r="L27" s="589"/>
      <c r="M27" s="1103"/>
      <c r="N27" s="1103"/>
      <c r="O27" s="530"/>
      <c r="P27" s="530"/>
      <c r="Q27" s="567"/>
      <c r="R27" s="570"/>
      <c r="S27" s="570"/>
      <c r="T27" s="478"/>
      <c r="U27" s="530"/>
      <c r="V27" s="530"/>
      <c r="W27" s="530"/>
      <c r="X27" s="526"/>
      <c r="Y27" s="526"/>
    </row>
    <row r="28" spans="1:25" ht="14.25" customHeight="1" thickBot="1">
      <c r="A28" s="536">
        <v>9</v>
      </c>
      <c r="B28" s="535"/>
      <c r="C28" s="520" t="s">
        <v>136</v>
      </c>
      <c r="D28" s="520"/>
      <c r="E28" s="574">
        <f>ROUND(E24/E26,4)</f>
        <v>6.9000000000000006E-2</v>
      </c>
      <c r="F28" s="544"/>
      <c r="G28" s="574">
        <f>G24/G26</f>
        <v>2.1237390239496216E-2</v>
      </c>
      <c r="H28" s="575"/>
      <c r="I28" s="529"/>
      <c r="J28" s="529"/>
      <c r="K28" s="1103"/>
      <c r="L28" s="547"/>
      <c r="M28" s="1103"/>
      <c r="N28" s="576"/>
      <c r="O28" s="530"/>
      <c r="P28" s="530"/>
      <c r="Q28" s="547"/>
      <c r="R28" s="478"/>
      <c r="S28" s="570"/>
      <c r="T28" s="478"/>
      <c r="U28" s="530"/>
      <c r="V28" s="530"/>
      <c r="W28" s="530"/>
      <c r="X28" s="526"/>
      <c r="Y28" s="526"/>
    </row>
    <row r="29" spans="1:25" ht="14.25" customHeight="1" thickTop="1">
      <c r="E29" s="578"/>
      <c r="F29" s="578"/>
      <c r="G29" s="577"/>
      <c r="H29" s="579"/>
      <c r="I29" s="529"/>
      <c r="J29" s="1303"/>
      <c r="K29" s="580"/>
      <c r="L29" s="1103"/>
      <c r="M29" s="580"/>
      <c r="N29" s="1103"/>
      <c r="O29" s="530"/>
      <c r="P29" s="530"/>
      <c r="Q29" s="530"/>
      <c r="R29" s="530"/>
      <c r="S29" s="530"/>
      <c r="T29" s="530"/>
      <c r="U29" s="530"/>
      <c r="V29" s="530"/>
      <c r="W29" s="530"/>
      <c r="X29" s="526"/>
      <c r="Y29" s="526"/>
    </row>
    <row r="30" spans="1:25" ht="14.25" customHeight="1">
      <c r="A30" s="536">
        <v>10</v>
      </c>
      <c r="B30" s="535"/>
      <c r="C30" s="520" t="s">
        <v>693</v>
      </c>
      <c r="D30" s="520"/>
      <c r="E30" s="547">
        <v>539148</v>
      </c>
      <c r="F30" s="542"/>
      <c r="G30" s="539">
        <f>E30+E24-1</f>
        <v>577147.01768938312</v>
      </c>
      <c r="H30" s="547"/>
      <c r="I30" s="529"/>
      <c r="J30" s="1103"/>
      <c r="K30" s="529"/>
      <c r="L30" s="576"/>
      <c r="M30" s="529"/>
      <c r="N30" s="576"/>
      <c r="O30" s="530"/>
      <c r="P30" s="530"/>
      <c r="Q30" s="530"/>
      <c r="R30" s="530"/>
      <c r="S30" s="530"/>
      <c r="T30" s="530"/>
      <c r="U30" s="530"/>
      <c r="V30" s="530"/>
      <c r="W30" s="530"/>
      <c r="X30" s="526"/>
      <c r="Y30" s="526"/>
    </row>
    <row r="31" spans="1:25" ht="14.25" customHeight="1">
      <c r="A31" s="536"/>
      <c r="B31" s="535"/>
      <c r="C31" s="520"/>
      <c r="D31" s="520"/>
      <c r="E31" s="581"/>
      <c r="F31" s="526"/>
      <c r="G31" s="577"/>
      <c r="H31" s="478"/>
      <c r="I31" s="529"/>
      <c r="J31" s="539">
        <f>E24</f>
        <v>38000.017689383101</v>
      </c>
      <c r="K31" s="539">
        <f>G24</f>
        <v>12499.818573278058</v>
      </c>
      <c r="L31" s="1304">
        <f>J31+J31+K31</f>
        <v>88499.853952044257</v>
      </c>
      <c r="M31" s="582"/>
      <c r="N31" s="569"/>
      <c r="O31" s="530"/>
      <c r="P31" s="530"/>
      <c r="Q31" s="530"/>
      <c r="R31" s="530"/>
      <c r="S31" s="530"/>
      <c r="T31" s="530"/>
      <c r="U31" s="530"/>
      <c r="V31" s="530"/>
      <c r="W31" s="530"/>
      <c r="X31" s="526"/>
    </row>
    <row r="32" spans="1:25" ht="14.25" customHeight="1" thickBot="1">
      <c r="A32" s="536">
        <v>11</v>
      </c>
      <c r="B32" s="535"/>
      <c r="C32" s="520" t="s">
        <v>136</v>
      </c>
      <c r="D32" s="520"/>
      <c r="E32" s="583">
        <f>ROUND(E24/E30,4)</f>
        <v>7.0499999999999993E-2</v>
      </c>
      <c r="F32" s="794"/>
      <c r="G32" s="574">
        <f>G24/G30</f>
        <v>2.1657945359089392E-2</v>
      </c>
      <c r="H32" s="575"/>
      <c r="I32" s="529"/>
      <c r="J32" s="539">
        <v>8827</v>
      </c>
      <c r="K32" s="539">
        <v>2089</v>
      </c>
      <c r="L32" s="1304">
        <f>J32+J32+K32</f>
        <v>19743</v>
      </c>
      <c r="M32" s="526"/>
      <c r="N32" s="526"/>
      <c r="O32" s="530"/>
      <c r="P32" s="530"/>
      <c r="Q32" s="530"/>
      <c r="R32" s="530"/>
      <c r="S32" s="530"/>
      <c r="T32" s="530"/>
      <c r="U32" s="530"/>
      <c r="V32" s="530"/>
      <c r="W32" s="530"/>
      <c r="X32" s="526"/>
    </row>
    <row r="33" spans="1:24" ht="14.25" customHeight="1" thickTop="1">
      <c r="A33" s="578"/>
      <c r="B33" s="578"/>
      <c r="C33" s="578"/>
      <c r="D33" s="578"/>
      <c r="E33" s="584"/>
      <c r="F33" s="578"/>
      <c r="G33" s="741"/>
      <c r="H33" s="578"/>
      <c r="I33" s="529"/>
      <c r="J33" s="539">
        <f>SUM(J31:J32)</f>
        <v>46827.017689383101</v>
      </c>
      <c r="K33" s="539">
        <f>SUM(K31:K32)</f>
        <v>14588.818573278058</v>
      </c>
      <c r="L33" s="1305">
        <f>SUM(L31:L32)</f>
        <v>108242.85395204426</v>
      </c>
    </row>
    <row r="34" spans="1:24" ht="14.25" customHeight="1" thickBot="1">
      <c r="F34" s="578"/>
      <c r="I34" s="530"/>
      <c r="J34" s="539"/>
      <c r="K34" s="539"/>
      <c r="L34" s="562"/>
      <c r="M34" s="619"/>
    </row>
    <row r="35" spans="1:24" ht="14.25" customHeight="1" thickBot="1">
      <c r="E35" s="704">
        <v>52851.637428069393</v>
      </c>
      <c r="F35" s="547">
        <v>69985</v>
      </c>
      <c r="G35" s="793">
        <v>17133.461099131328</v>
      </c>
      <c r="I35" s="530"/>
      <c r="J35" s="530">
        <f>38000+7500</f>
        <v>45500</v>
      </c>
      <c r="K35" s="530">
        <f>12500+1500</f>
        <v>14000</v>
      </c>
      <c r="L35" s="1304">
        <f>J35+J35+K35</f>
        <v>105000</v>
      </c>
      <c r="M35" s="478"/>
      <c r="N35" s="530"/>
      <c r="O35" s="530"/>
      <c r="P35" s="530"/>
      <c r="Q35" s="530"/>
      <c r="R35" s="530"/>
      <c r="S35" s="530"/>
      <c r="T35" s="530"/>
      <c r="U35" s="530"/>
      <c r="V35" s="530"/>
      <c r="W35" s="530"/>
      <c r="X35" s="526"/>
    </row>
    <row r="36" spans="1:24" ht="14.25" customHeight="1">
      <c r="F36" s="578"/>
      <c r="I36" s="530"/>
      <c r="J36" s="478">
        <f>J35/J33</f>
        <v>0.97166128113932893</v>
      </c>
      <c r="K36" s="478">
        <f>K35/K33</f>
        <v>0.95963905025479024</v>
      </c>
      <c r="L36" s="562">
        <f>L35/L33</f>
        <v>0.97004094188535561</v>
      </c>
      <c r="M36" s="530"/>
      <c r="N36" s="530"/>
      <c r="O36" s="585"/>
      <c r="P36" s="530"/>
      <c r="Q36" s="530"/>
      <c r="R36" s="530"/>
      <c r="S36" s="530"/>
      <c r="T36" s="530"/>
      <c r="U36" s="530"/>
      <c r="V36" s="530"/>
      <c r="W36" s="530"/>
      <c r="X36" s="617" t="s">
        <v>742</v>
      </c>
    </row>
    <row r="37" spans="1:24" ht="14.25" customHeight="1">
      <c r="E37" s="1306">
        <f>E35-E24</f>
        <v>14851.619738686291</v>
      </c>
      <c r="G37" s="1306">
        <f>G35-G24</f>
        <v>4633.642525853269</v>
      </c>
      <c r="I37" s="530"/>
      <c r="J37" s="530"/>
      <c r="K37" s="530"/>
      <c r="L37" s="562"/>
      <c r="M37" s="530"/>
      <c r="N37" s="530"/>
      <c r="O37" s="585"/>
      <c r="P37" s="530"/>
      <c r="Q37" s="530"/>
      <c r="R37" s="530"/>
      <c r="S37" s="530"/>
      <c r="T37" s="530"/>
      <c r="U37" s="530"/>
      <c r="V37" s="530"/>
      <c r="W37" s="530"/>
    </row>
    <row r="38" spans="1:24" ht="14.25" customHeight="1">
      <c r="I38" s="530"/>
      <c r="J38" s="530"/>
      <c r="K38" s="530"/>
      <c r="L38" s="562"/>
    </row>
    <row r="39" spans="1:24" ht="14.25" customHeight="1">
      <c r="E39" s="537">
        <v>29088.620365956729</v>
      </c>
      <c r="F39" s="537">
        <v>45296</v>
      </c>
      <c r="G39" s="705">
        <v>16207.284553412956</v>
      </c>
      <c r="I39" s="530"/>
      <c r="J39" s="530"/>
      <c r="K39" s="530"/>
      <c r="L39" s="562"/>
    </row>
    <row r="40" spans="1:24" ht="14.25" customHeight="1">
      <c r="I40" s="530"/>
      <c r="J40" s="530"/>
      <c r="K40" s="530"/>
      <c r="L40" s="562"/>
    </row>
    <row r="41" spans="1:24" ht="14.25" customHeight="1">
      <c r="I41" s="530"/>
      <c r="J41" s="530"/>
      <c r="K41" s="530"/>
      <c r="L41" s="562"/>
    </row>
    <row r="42" spans="1:24" ht="14.25" customHeight="1">
      <c r="I42" s="530"/>
      <c r="J42" s="530"/>
      <c r="K42" s="530"/>
      <c r="L42" s="562"/>
      <c r="M42" s="530"/>
      <c r="N42" s="530"/>
      <c r="O42" s="585"/>
      <c r="P42" s="530"/>
      <c r="Q42" s="530"/>
      <c r="R42" s="530"/>
      <c r="S42" s="530"/>
      <c r="T42" s="530"/>
      <c r="U42" s="530"/>
      <c r="V42" s="530"/>
      <c r="W42" s="530"/>
    </row>
    <row r="43" spans="1:24" ht="14.25" customHeight="1">
      <c r="I43" s="530"/>
      <c r="J43" s="530"/>
      <c r="K43" s="530"/>
      <c r="L43" s="562"/>
      <c r="M43" s="530"/>
      <c r="N43" s="530"/>
      <c r="O43" s="585"/>
      <c r="P43" s="530"/>
      <c r="Q43" s="530"/>
      <c r="R43" s="530"/>
      <c r="S43" s="530"/>
      <c r="T43" s="530"/>
      <c r="U43" s="530"/>
      <c r="V43" s="530"/>
      <c r="W43" s="530"/>
    </row>
    <row r="44" spans="1:24" ht="14.25" customHeight="1">
      <c r="E44" s="620"/>
      <c r="G44" s="742"/>
    </row>
    <row r="45" spans="1:24" ht="14.25" customHeight="1">
      <c r="G45" s="742"/>
    </row>
    <row r="46" spans="1:24" ht="14.25" customHeight="1">
      <c r="E46" s="586"/>
      <c r="M46" s="530"/>
      <c r="N46" s="530"/>
      <c r="O46" s="585"/>
      <c r="P46" s="530"/>
      <c r="Q46" s="530"/>
      <c r="R46" s="530"/>
      <c r="S46" s="530"/>
      <c r="T46" s="530"/>
      <c r="U46" s="530"/>
      <c r="V46" s="530"/>
      <c r="W46" s="530"/>
    </row>
    <row r="47" spans="1:24" ht="14.25" customHeight="1">
      <c r="E47" s="586"/>
      <c r="M47" s="530"/>
      <c r="N47" s="530"/>
      <c r="O47" s="585"/>
      <c r="P47" s="530"/>
      <c r="Q47" s="530"/>
      <c r="R47" s="530"/>
      <c r="S47" s="530"/>
      <c r="T47" s="530"/>
      <c r="U47" s="530"/>
      <c r="V47" s="530"/>
      <c r="W47" s="530"/>
    </row>
    <row r="48" spans="1:24" ht="14.25" customHeight="1">
      <c r="M48" s="530"/>
      <c r="N48" s="530"/>
      <c r="O48" s="585"/>
      <c r="P48" s="530"/>
      <c r="Q48" s="530"/>
      <c r="R48" s="530"/>
      <c r="S48" s="530"/>
      <c r="T48" s="530"/>
      <c r="U48" s="530"/>
      <c r="V48" s="530"/>
      <c r="W48" s="530"/>
    </row>
    <row r="49" spans="13:23" ht="14.25" customHeight="1">
      <c r="M49" s="530"/>
      <c r="N49" s="530"/>
      <c r="O49" s="585"/>
      <c r="P49" s="530"/>
      <c r="Q49" s="530"/>
      <c r="R49" s="530"/>
      <c r="S49" s="530"/>
      <c r="T49" s="530"/>
      <c r="U49" s="530"/>
      <c r="V49" s="530"/>
      <c r="W49" s="530"/>
    </row>
    <row r="50" spans="13:23" ht="14.25" customHeight="1">
      <c r="M50" s="530"/>
      <c r="N50" s="530"/>
      <c r="O50" s="530"/>
      <c r="P50" s="530"/>
      <c r="Q50" s="530"/>
      <c r="R50" s="530"/>
      <c r="S50" s="530"/>
      <c r="T50" s="530"/>
      <c r="U50" s="530"/>
      <c r="V50" s="530"/>
      <c r="W50" s="530"/>
    </row>
    <row r="51" spans="13:23" ht="14.25" customHeight="1">
      <c r="M51" s="530"/>
      <c r="N51" s="530"/>
      <c r="O51" s="530"/>
      <c r="P51" s="530"/>
      <c r="Q51" s="530"/>
      <c r="R51" s="530"/>
      <c r="S51" s="530"/>
      <c r="T51" s="530"/>
      <c r="U51" s="530"/>
      <c r="V51" s="530"/>
      <c r="W51" s="530"/>
    </row>
    <row r="52" spans="13:23" ht="14.25" customHeight="1">
      <c r="N52" s="530"/>
      <c r="O52" s="530"/>
      <c r="P52" s="530"/>
      <c r="Q52" s="530"/>
      <c r="R52" s="530"/>
      <c r="S52" s="530"/>
      <c r="T52" s="530"/>
      <c r="U52" s="530"/>
      <c r="V52" s="530"/>
      <c r="W52" s="530"/>
    </row>
    <row r="53" spans="13:23" ht="14.25" customHeight="1">
      <c r="N53" s="530"/>
      <c r="O53" s="530"/>
      <c r="P53" s="530"/>
      <c r="Q53" s="530"/>
      <c r="R53" s="530"/>
      <c r="S53" s="530"/>
      <c r="T53" s="530"/>
      <c r="U53" s="530"/>
      <c r="V53" s="530"/>
      <c r="W53" s="530"/>
    </row>
    <row r="54" spans="13:23" ht="14.25" customHeight="1">
      <c r="M54" s="618"/>
    </row>
    <row r="55" spans="13:23" ht="14.25" customHeight="1">
      <c r="M55" s="618"/>
    </row>
  </sheetData>
  <mergeCells count="10">
    <mergeCell ref="C7:D7"/>
    <mergeCell ref="I1:M1"/>
    <mergeCell ref="I2:M2"/>
    <mergeCell ref="I3:M3"/>
    <mergeCell ref="I4:M4"/>
    <mergeCell ref="A2:G2"/>
    <mergeCell ref="A1:G1"/>
    <mergeCell ref="A3:G3"/>
    <mergeCell ref="A4:G4"/>
    <mergeCell ref="G6:G7"/>
  </mergeCells>
  <phoneticPr fontId="0" type="noConversion"/>
  <pageMargins left="1.25" right="0.51" top="1.25" bottom="0.5" header="0.5" footer="0.5"/>
  <pageSetup scale="79" firstPageNumber="4" orientation="portrait" r:id="rId1"/>
  <headerFooter scaleWithDoc="0" alignWithMargins="0">
    <oddHeader>&amp;R Exh. EMA-8 - REVISED (60-Day update)
Reflects Bench Request 1 -  Revised</oddHeader>
    <oddFooter>&amp;RPage &amp;P of &amp;N</oddFooter>
  </headerFooter>
  <colBreaks count="1" manualBreakCount="1">
    <brk id="5" max="56" man="1"/>
  </colBreaks>
  <ignoredErrors>
    <ignoredError sqref="F8:G8 E8" numberStoredAsText="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pageSetUpPr fitToPage="1"/>
  </sheetPr>
  <dimension ref="A1:BI51"/>
  <sheetViews>
    <sheetView workbookViewId="0">
      <selection activeCell="J5" sqref="J5"/>
    </sheetView>
  </sheetViews>
  <sheetFormatPr defaultColWidth="9.140625" defaultRowHeight="12.75"/>
  <cols>
    <col min="1" max="1" width="11.5703125" style="25" customWidth="1"/>
    <col min="2" max="2" width="4.42578125" style="25" customWidth="1"/>
    <col min="3" max="3" width="37" style="25" customWidth="1"/>
    <col min="4" max="4" width="4.5703125" style="25" customWidth="1"/>
    <col min="5" max="5" width="20.140625" style="96" customWidth="1"/>
    <col min="6" max="6" width="6" style="25" customWidth="1"/>
    <col min="7" max="9" width="9.140625" style="25"/>
    <col min="10" max="11" width="14.5703125" style="25" customWidth="1"/>
    <col min="12" max="16" width="9.140625" style="25"/>
    <col min="17" max="17" width="9.140625" style="50"/>
    <col min="18" max="36" width="9.140625" style="25"/>
    <col min="37" max="37" width="14.570312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98" t="s">
        <v>115</v>
      </c>
      <c r="B1" s="98"/>
      <c r="C1" s="98"/>
      <c r="D1" s="98"/>
      <c r="E1" s="111"/>
      <c r="G1" s="99"/>
    </row>
    <row r="2" spans="1:52" ht="13.5" customHeight="1">
      <c r="A2" s="1367" t="s">
        <v>178</v>
      </c>
      <c r="B2" s="1367"/>
      <c r="C2" s="1367"/>
      <c r="D2" s="1367"/>
      <c r="E2" s="1367"/>
      <c r="G2" s="99"/>
    </row>
    <row r="3" spans="1:52">
      <c r="A3" s="1368" t="s">
        <v>239</v>
      </c>
      <c r="B3" s="1368"/>
      <c r="C3" s="1368"/>
      <c r="D3" s="1368"/>
      <c r="E3" s="1368"/>
      <c r="F3" s="363"/>
      <c r="G3" s="363"/>
      <c r="K3" s="27"/>
      <c r="L3" s="27"/>
      <c r="X3" s="27"/>
      <c r="Y3" s="27"/>
      <c r="Z3" s="27"/>
      <c r="AA3" s="27"/>
      <c r="AB3" s="27"/>
      <c r="AC3" s="27"/>
      <c r="AD3" s="27"/>
      <c r="AE3" s="27"/>
      <c r="AF3" s="27"/>
      <c r="AG3" s="27"/>
      <c r="AH3" s="27"/>
      <c r="AI3" s="27"/>
      <c r="AJ3" s="27"/>
      <c r="AK3" s="27"/>
      <c r="AL3" s="27"/>
      <c r="AM3" s="27"/>
      <c r="AN3" s="27"/>
      <c r="AO3" s="27"/>
      <c r="AP3" s="27"/>
      <c r="AQ3" s="467"/>
      <c r="AR3" s="27"/>
      <c r="AS3" s="27"/>
      <c r="AT3" s="27"/>
    </row>
    <row r="4" spans="1:52">
      <c r="A4" s="1368" t="str">
        <f>'RR Summary'!A4:G4</f>
        <v>TWELVE MONTHS ENDED SEPTEMBER 30, 2021</v>
      </c>
      <c r="B4" s="1368"/>
      <c r="C4" s="1368"/>
      <c r="D4" s="1368"/>
      <c r="E4" s="1368"/>
      <c r="G4" s="99"/>
      <c r="J4" s="1150">
        <v>12.202199999999999</v>
      </c>
      <c r="K4" s="29">
        <v>12.202299999999999</v>
      </c>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C5" s="496"/>
      <c r="E5" s="471"/>
      <c r="G5" s="99"/>
      <c r="J5" s="486" t="s">
        <v>180</v>
      </c>
      <c r="K5" s="486" t="s">
        <v>180</v>
      </c>
      <c r="L5" s="27"/>
      <c r="V5" s="495"/>
      <c r="X5" s="27"/>
      <c r="Y5" s="27"/>
      <c r="Z5" s="27"/>
      <c r="AA5" s="27"/>
      <c r="AB5" s="27"/>
      <c r="AC5" s="27"/>
      <c r="AD5" s="27"/>
      <c r="AE5" s="27"/>
      <c r="AF5" s="27"/>
      <c r="AG5" s="27"/>
      <c r="AH5" s="27"/>
      <c r="AI5" s="27"/>
      <c r="AJ5" s="27"/>
      <c r="AK5" s="27"/>
      <c r="AL5" s="27"/>
      <c r="AM5" s="27"/>
      <c r="AN5" s="27"/>
      <c r="AO5" s="27"/>
      <c r="AP5" s="27"/>
      <c r="AQ5" s="27"/>
      <c r="AR5" s="27"/>
      <c r="AS5" s="27"/>
      <c r="AT5" s="467"/>
    </row>
    <row r="6" spans="1:52" s="26" customFormat="1" ht="13.5">
      <c r="A6" s="496" t="s">
        <v>119</v>
      </c>
      <c r="B6" s="496"/>
      <c r="C6" s="496"/>
      <c r="D6" s="496"/>
      <c r="E6" s="112"/>
      <c r="G6" s="100"/>
      <c r="J6" s="487" t="s">
        <v>170</v>
      </c>
      <c r="K6" s="487" t="s">
        <v>170</v>
      </c>
      <c r="L6" s="485"/>
      <c r="Q6" s="130"/>
      <c r="X6" s="466"/>
      <c r="Y6" s="466"/>
      <c r="Z6" s="466"/>
      <c r="AA6" s="466"/>
      <c r="AB6" s="466"/>
      <c r="AC6" s="466"/>
      <c r="AD6" s="466"/>
      <c r="AE6" s="466"/>
      <c r="AF6" s="466"/>
      <c r="AG6" s="466"/>
      <c r="AH6" s="466"/>
      <c r="AI6" s="466"/>
      <c r="AJ6" s="466"/>
      <c r="AK6" s="466"/>
      <c r="AL6" s="466"/>
      <c r="AM6" s="466"/>
      <c r="AN6" s="466"/>
      <c r="AO6" s="466"/>
      <c r="AP6" s="466"/>
      <c r="AQ6" s="466"/>
      <c r="AR6" s="466"/>
      <c r="AS6" s="466"/>
      <c r="AT6" s="466"/>
      <c r="AZ6" s="364" t="s">
        <v>612</v>
      </c>
    </row>
    <row r="7" spans="1:52" s="26" customFormat="1" ht="13.5">
      <c r="A7" s="101" t="s">
        <v>21</v>
      </c>
      <c r="B7" s="496"/>
      <c r="C7" s="101" t="s">
        <v>80</v>
      </c>
      <c r="D7" s="490"/>
      <c r="E7" s="113" t="s">
        <v>171</v>
      </c>
      <c r="G7" s="100"/>
      <c r="K7" s="736"/>
      <c r="L7" s="485"/>
      <c r="Q7" s="130"/>
      <c r="X7" s="466"/>
      <c r="Y7" s="466"/>
      <c r="Z7" s="466"/>
      <c r="AA7" s="466"/>
      <c r="AB7" s="466"/>
      <c r="AC7" s="466"/>
      <c r="AD7" s="466"/>
      <c r="AE7" s="466"/>
      <c r="AF7" s="466"/>
      <c r="AG7" s="466"/>
      <c r="AH7" s="466"/>
      <c r="AI7" s="466"/>
      <c r="AJ7" s="466"/>
      <c r="AK7" s="466"/>
      <c r="AL7" s="466"/>
      <c r="AM7" s="466"/>
      <c r="AN7" s="466"/>
      <c r="AO7" s="466"/>
      <c r="AP7" s="466"/>
      <c r="AQ7" s="466"/>
      <c r="AR7" s="466"/>
      <c r="AS7" s="466"/>
      <c r="AT7" s="466"/>
    </row>
    <row r="8" spans="1:52">
      <c r="G8" s="99"/>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497">
        <v>1</v>
      </c>
      <c r="C9" s="102" t="s">
        <v>32</v>
      </c>
      <c r="E9" s="897">
        <f>'CF WA Elec'!E5</f>
        <v>1</v>
      </c>
      <c r="J9" s="103">
        <f>'RR Summary'!E24</f>
        <v>38000.017689383101</v>
      </c>
      <c r="K9" s="103">
        <f>'RR Summary'!G24</f>
        <v>12499.818573278058</v>
      </c>
      <c r="L9" s="27"/>
    </row>
    <row r="10" spans="1:52">
      <c r="A10" s="497"/>
      <c r="E10" s="897"/>
      <c r="J10" s="99"/>
      <c r="K10" s="99"/>
      <c r="L10" s="27"/>
    </row>
    <row r="11" spans="1:52">
      <c r="A11" s="497"/>
      <c r="C11" s="97" t="s">
        <v>172</v>
      </c>
      <c r="D11" s="360"/>
      <c r="E11" s="498"/>
      <c r="F11" s="96"/>
      <c r="J11" s="99"/>
      <c r="K11" s="99"/>
      <c r="L11" s="27"/>
    </row>
    <row r="12" spans="1:52">
      <c r="A12" s="497">
        <v>2</v>
      </c>
      <c r="C12" s="360" t="s">
        <v>173</v>
      </c>
      <c r="D12" s="482"/>
      <c r="E12" s="499">
        <f>'CF WA Elec'!E9</f>
        <v>3.3262888499492435E-3</v>
      </c>
      <c r="F12" s="480"/>
      <c r="J12" s="99">
        <f>ROUND($J$9*E12,0)</f>
        <v>126</v>
      </c>
      <c r="K12" s="99">
        <f>ROUND($K$9*E12,0)</f>
        <v>42</v>
      </c>
      <c r="L12" s="27"/>
    </row>
    <row r="13" spans="1:52">
      <c r="A13" s="497"/>
      <c r="C13" s="360"/>
      <c r="D13" s="360"/>
      <c r="E13" s="499"/>
      <c r="J13" s="99"/>
      <c r="K13" s="99"/>
      <c r="L13" s="27"/>
    </row>
    <row r="14" spans="1:52">
      <c r="A14" s="497">
        <v>3</v>
      </c>
      <c r="C14" s="360" t="s">
        <v>174</v>
      </c>
      <c r="D14" s="360"/>
      <c r="E14" s="499">
        <f>'CF WA Elec'!E11</f>
        <v>2E-3</v>
      </c>
      <c r="J14" s="99">
        <f>ROUND($J$9*E14,0)</f>
        <v>76</v>
      </c>
      <c r="K14" s="99">
        <f>ROUND($K$9*E14,0)</f>
        <v>25</v>
      </c>
      <c r="L14" s="27"/>
    </row>
    <row r="15" spans="1:52">
      <c r="A15" s="497"/>
      <c r="C15" s="360"/>
      <c r="D15" s="360"/>
      <c r="E15" s="499"/>
      <c r="J15" s="99"/>
      <c r="K15" s="99"/>
      <c r="L15" s="27"/>
      <c r="AP15" s="198"/>
    </row>
    <row r="16" spans="1:52">
      <c r="A16" s="497">
        <v>4</v>
      </c>
      <c r="C16" s="360" t="s">
        <v>175</v>
      </c>
      <c r="D16" s="482"/>
      <c r="E16" s="499">
        <f>'CF WA Elec'!E13</f>
        <v>3.8605159527686062E-2</v>
      </c>
      <c r="F16" s="481"/>
      <c r="J16" s="99">
        <f>ROUND($J$9*E16,0)</f>
        <v>1467</v>
      </c>
      <c r="K16" s="99">
        <f>ROUND($K$9*E16,0)</f>
        <v>483</v>
      </c>
      <c r="L16" s="27"/>
    </row>
    <row r="17" spans="1:61">
      <c r="A17" s="497"/>
      <c r="C17" s="360"/>
      <c r="D17" s="360"/>
      <c r="E17" s="500"/>
      <c r="J17" s="99"/>
      <c r="K17" s="99"/>
      <c r="L17" s="27"/>
    </row>
    <row r="18" spans="1:61">
      <c r="A18" s="497">
        <v>6</v>
      </c>
      <c r="C18" s="360" t="s">
        <v>176</v>
      </c>
      <c r="D18" s="360"/>
      <c r="E18" s="116">
        <f>SUM(E12:E16)</f>
        <v>4.3931448377635303E-2</v>
      </c>
      <c r="J18" s="104">
        <f>SUM(J12:J16)</f>
        <v>1669</v>
      </c>
      <c r="K18" s="104">
        <f>SUM(K12:K16)</f>
        <v>550</v>
      </c>
      <c r="L18" s="27"/>
    </row>
    <row r="19" spans="1:61">
      <c r="C19" s="360"/>
      <c r="D19" s="360"/>
      <c r="E19" s="115"/>
      <c r="J19" s="99"/>
      <c r="K19" s="99"/>
      <c r="L19" s="483"/>
    </row>
    <row r="20" spans="1:61">
      <c r="A20" s="497">
        <v>7</v>
      </c>
      <c r="C20" s="360" t="s">
        <v>177</v>
      </c>
      <c r="D20" s="360"/>
      <c r="E20" s="115">
        <f>E9-E18</f>
        <v>0.9560685516223647</v>
      </c>
      <c r="J20" s="105">
        <f>J9-J18</f>
        <v>36331.017689383101</v>
      </c>
      <c r="K20" s="105">
        <f>K9-K18</f>
        <v>11949.818573278058</v>
      </c>
      <c r="L20" s="27"/>
      <c r="AP20" s="198"/>
    </row>
    <row r="21" spans="1:61">
      <c r="C21" s="360"/>
      <c r="D21" s="360"/>
      <c r="E21" s="115"/>
      <c r="J21" s="105"/>
      <c r="K21" s="105"/>
      <c r="L21" s="27"/>
      <c r="BC21" s="25">
        <v>109</v>
      </c>
      <c r="BI21" s="25">
        <v>-2</v>
      </c>
    </row>
    <row r="22" spans="1:61">
      <c r="A22" s="474">
        <v>8</v>
      </c>
      <c r="B22" s="145"/>
      <c r="C22" s="500" t="s">
        <v>670</v>
      </c>
      <c r="D22" s="501"/>
      <c r="E22" s="502">
        <f>'CF WA Elec'!E20</f>
        <v>0.20077439584069659</v>
      </c>
      <c r="G22" s="99"/>
      <c r="J22" s="106">
        <f>ROUND(J20*0.21,0)</f>
        <v>7630</v>
      </c>
      <c r="K22" s="106">
        <f>ROUND(K20*0.21,0)</f>
        <v>2509</v>
      </c>
      <c r="L22" s="27"/>
    </row>
    <row r="23" spans="1:61">
      <c r="A23" s="145"/>
      <c r="B23" s="145"/>
      <c r="C23" s="500"/>
      <c r="D23" s="500"/>
      <c r="E23" s="499"/>
      <c r="G23" s="99"/>
      <c r="L23" s="115"/>
    </row>
    <row r="24" spans="1:61" ht="13.5" thickBot="1">
      <c r="A24" s="474">
        <v>9</v>
      </c>
      <c r="B24" s="145"/>
      <c r="C24" s="503" t="s">
        <v>178</v>
      </c>
      <c r="D24" s="500"/>
      <c r="E24" s="504">
        <f>ROUND(E20-E22,6)</f>
        <v>0.75529400000000002</v>
      </c>
      <c r="J24" s="131">
        <f>J20-J22</f>
        <v>28701.017689383101</v>
      </c>
      <c r="K24" s="131">
        <f>K20-K22</f>
        <v>9440.8185732780585</v>
      </c>
      <c r="L24" s="27"/>
    </row>
    <row r="25" spans="1:61" ht="13.5" thickTop="1">
      <c r="E25" s="114"/>
      <c r="L25" s="27"/>
      <c r="BG25" s="25">
        <v>622</v>
      </c>
    </row>
    <row r="26" spans="1:61">
      <c r="E26" s="114"/>
      <c r="J26" s="138">
        <f>J24/E24</f>
        <v>37999.795694634275</v>
      </c>
      <c r="K26" s="138">
        <f>K24/E24</f>
        <v>12499.528095388097</v>
      </c>
      <c r="L26" s="25" t="s">
        <v>976</v>
      </c>
    </row>
    <row r="27" spans="1:61">
      <c r="E27" s="114"/>
      <c r="J27" s="138">
        <f>J26-'RR Summary'!E24</f>
        <v>-0.22199474882654613</v>
      </c>
      <c r="K27" s="138">
        <f>K26-'RR Summary'!G24</f>
        <v>-0.29047788996103918</v>
      </c>
      <c r="L27" s="25" t="s">
        <v>92</v>
      </c>
    </row>
    <row r="30" spans="1:61">
      <c r="AP30" s="197"/>
    </row>
    <row r="35" spans="42:42">
      <c r="AP35" s="197"/>
    </row>
    <row r="50" spans="5:5">
      <c r="E50" s="354"/>
    </row>
    <row r="51" spans="5:5">
      <c r="E51" s="354"/>
    </row>
  </sheetData>
  <mergeCells count="3">
    <mergeCell ref="A3:E3"/>
    <mergeCell ref="A2:E2"/>
    <mergeCell ref="A4:E4"/>
  </mergeCells>
  <phoneticPr fontId="0" type="noConversion"/>
  <pageMargins left="0.75" right="0.51" top="1" bottom="0.5" header="0.5" footer="0.5"/>
  <pageSetup firstPageNumber="4" orientation="portrait" r:id="rId1"/>
  <headerFooter scaleWithDoc="0" alignWithMargins="0">
    <oddHeader>&amp;R Exh. EMA-8 - REVISED (60-Day update)
Reflects Bench Request 1 -  Revised</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Exhibit - List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2022-09-14T07:00:00+00:00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Props1.xml><?xml version="1.0" encoding="utf-8"?>
<ds:datastoreItem xmlns:ds="http://schemas.openxmlformats.org/officeDocument/2006/customXml" ds:itemID="{696F0F35-2786-45BA-8761-F5643E940854}"/>
</file>

<file path=customXml/itemProps2.xml><?xml version="1.0" encoding="utf-8"?>
<ds:datastoreItem xmlns:ds="http://schemas.openxmlformats.org/officeDocument/2006/customXml" ds:itemID="{14ABF821-64D0-4918-9E01-DA58E4C43C13}"/>
</file>

<file path=customXml/itemProps3.xml><?xml version="1.0" encoding="utf-8"?>
<ds:datastoreItem xmlns:ds="http://schemas.openxmlformats.org/officeDocument/2006/customXml" ds:itemID="{831D809A-CDE6-47B8-A0F1-ADE6963CDA56}"/>
</file>

<file path=customXml/itemProps4.xml><?xml version="1.0" encoding="utf-8"?>
<ds:datastoreItem xmlns:ds="http://schemas.openxmlformats.org/officeDocument/2006/customXml" ds:itemID="{F36445AD-9CBE-4DE9-B5AE-7E5811C6C2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30</vt:i4>
      </vt:variant>
    </vt:vector>
  </HeadingPairs>
  <TitlesOfParts>
    <vt:vector size="52" baseType="lpstr">
      <vt:lpstr>PC ROE-ROR</vt:lpstr>
      <vt:lpstr>PC PROPOSED RATES-12.2022</vt:lpstr>
      <vt:lpstr>PC PROPOSED RATES-12.2023</vt:lpstr>
      <vt:lpstr>PCCF</vt:lpstr>
      <vt:lpstr>Settlement ROE-ROR</vt:lpstr>
      <vt:lpstr>PROPOSED RATES-12.2022</vt:lpstr>
      <vt:lpstr>PROPOSED RATES-12.2023</vt:lpstr>
      <vt:lpstr>RR Summary</vt:lpstr>
      <vt:lpstr>CF </vt:lpstr>
      <vt:lpstr>ADJ DETAIL-INPUT</vt:lpstr>
      <vt:lpstr>ADJ SUMMARY</vt:lpstr>
      <vt:lpstr>CF WA Elec</vt:lpstr>
      <vt:lpstr>ROO INPUT 1.00</vt:lpstr>
      <vt:lpstr>DEBT CALC 2.14</vt:lpstr>
      <vt:lpstr>DEBT CALC 2.14 (2)</vt:lpstr>
      <vt:lpstr>Recap Sum Comparison</vt:lpstr>
      <vt:lpstr>Exh. 6 p. 1-2 Elec RY2 Escalatn</vt:lpstr>
      <vt:lpstr>LEAD SHEETS-DO NOT ENTER</vt:lpstr>
      <vt:lpstr>Electric 2022-2024 Summary</vt:lpstr>
      <vt:lpstr>E and G Offsets</vt:lpstr>
      <vt:lpstr>old PROPOSED RATES-Original</vt:lpstr>
      <vt:lpstr>old ADJ Cites to Exh </vt:lpstr>
      <vt:lpstr>'DEBT CALC 2.14 (2)'!ID_Elec</vt:lpstr>
      <vt:lpstr>ID_Elec</vt:lpstr>
      <vt:lpstr>'ADJ DETAIL-INPUT'!Print_Area</vt:lpstr>
      <vt:lpstr>'ADJ SUMMARY'!Print_Area</vt:lpstr>
      <vt:lpstr>'CF '!Print_Area</vt:lpstr>
      <vt:lpstr>'DEBT CALC 2.14'!Print_Area</vt:lpstr>
      <vt:lpstr>'DEBT CALC 2.14 (2)'!Print_Area</vt:lpstr>
      <vt:lpstr>'Exh. 6 p. 1-2 Elec RY2 Escalatn'!Print_Area</vt:lpstr>
      <vt:lpstr>'LEAD SHEETS-DO NOT ENTER'!Print_Area</vt:lpstr>
      <vt:lpstr>'old ADJ Cites to Exh '!Print_Area</vt:lpstr>
      <vt:lpstr>'old PROPOSED RATES-Original'!Print_Area</vt:lpstr>
      <vt:lpstr>'PC PROPOSED RATES-12.2022'!Print_Area</vt:lpstr>
      <vt:lpstr>'PC PROPOSED RATES-12.2023'!Print_Area</vt:lpstr>
      <vt:lpstr>'PC ROE-ROR'!Print_Area</vt:lpstr>
      <vt:lpstr>PCCF!Print_Area</vt:lpstr>
      <vt:lpstr>'PROPOSED RATES-12.2022'!Print_Area</vt:lpstr>
      <vt:lpstr>'PROPOSED RATES-12.2023'!Print_Area</vt:lpstr>
      <vt:lpstr>'Recap Sum Comparison'!Print_Area</vt:lpstr>
      <vt:lpstr>'ROO INPUT 1.00'!Print_Area</vt:lpstr>
      <vt:lpstr>'RR Summary'!Print_Area</vt:lpstr>
      <vt:lpstr>'Settlement ROE-ROR'!Print_Area</vt:lpstr>
      <vt:lpstr>'old ADJ Cites to Exh '!Print_for_CBReport</vt:lpstr>
      <vt:lpstr>'Recap Sum Comparison'!Print_for_CBReport</vt:lpstr>
      <vt:lpstr>Print_for_CBReport</vt:lpstr>
      <vt:lpstr>'ADJ DETAIL-INPUT'!Print_Titles</vt:lpstr>
      <vt:lpstr>'LEAD SHEETS-DO NOT ENTER'!Print_Titles</vt:lpstr>
      <vt:lpstr>'old ADJ Cites to Exh '!Print_Titles</vt:lpstr>
      <vt:lpstr>'ROO INPUT 1.00'!Print_Titles</vt:lpstr>
      <vt:lpstr>'DEBT CALC 2.14 (2)'!WA_Elec</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dc:title>
  <dc:creator>Preferred Customer</dc:creator>
  <cp:lastModifiedBy>Andrews, Liz</cp:lastModifiedBy>
  <cp:lastPrinted>2022-08-02T23:44:14Z</cp:lastPrinted>
  <dcterms:created xsi:type="dcterms:W3CDTF">1997-05-15T21:41:44Z</dcterms:created>
  <dcterms:modified xsi:type="dcterms:W3CDTF">2022-08-18T17:42:25Z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_docset_NoMedatataSyncRequired">
    <vt:lpwstr>False</vt:lpwstr>
  </property>
  <property fmtid="{D5CDD505-2E9C-101B-9397-08002B2CF9AE}" pid="4" name="IsEFSEC">
    <vt:bool>false</vt:bool>
  </property>
</Properties>
</file>