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97 PCAM + Sch.99 PTC\2023\December 2024 Settlement\"/>
    </mc:Choice>
  </mc:AlternateContent>
  <xr:revisionPtr revIDLastSave="0" documentId="13_ncr:1_{E9122EF6-234C-4A77-933C-94F2F1487784}" xr6:coauthVersionLast="47" xr6:coauthVersionMax="47" xr10:uidLastSave="{00000000-0000-0000-0000-000000000000}"/>
  <bookViews>
    <workbookView xWindow="-120" yWindow="-120" windowWidth="29040" windowHeight="15990" tabRatio="812" xr2:uid="{C50A2D30-EDB2-4D6A-B024-23151F28D2A7}"/>
  </bookViews>
  <sheets>
    <sheet name="Revenue Effects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'Revenue Effects'!$B$1:$T$27,'Revenue Effects'!$A$28:$P$76,'Revenue Effects'!$W$1:$AA$27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6" l="1"/>
  <c r="N9" i="6"/>
  <c r="N8" i="6"/>
  <c r="N7" i="6"/>
  <c r="N17" i="6" l="1"/>
  <c r="N16" i="6"/>
  <c r="N15" i="6"/>
  <c r="N14" i="6"/>
  <c r="N12" i="6"/>
  <c r="N11" i="6"/>
  <c r="H9" i="6" l="1"/>
  <c r="H8" i="6"/>
  <c r="H7" i="6"/>
  <c r="H17" i="6" l="1"/>
  <c r="H16" i="6"/>
  <c r="H15" i="6"/>
  <c r="H14" i="6"/>
  <c r="H12" i="6"/>
  <c r="H11" i="6"/>
  <c r="H10" i="6"/>
  <c r="F24" i="6" l="1"/>
  <c r="E24" i="6"/>
  <c r="D24" i="6"/>
  <c r="V17" i="6" l="1"/>
  <c r="V16" i="6"/>
  <c r="V15" i="6"/>
  <c r="V14" i="6"/>
  <c r="U17" i="6"/>
  <c r="U16" i="6"/>
  <c r="U15" i="6"/>
  <c r="U14" i="6"/>
  <c r="U12" i="6"/>
  <c r="U11" i="6"/>
  <c r="U10" i="6"/>
  <c r="U9" i="6"/>
  <c r="U8" i="6"/>
  <c r="U7" i="6"/>
  <c r="X12" i="6" l="1"/>
  <c r="X13" i="6"/>
  <c r="X14" i="6"/>
  <c r="X15" i="6"/>
  <c r="X16" i="6"/>
  <c r="X17" i="6"/>
  <c r="X18" i="6"/>
  <c r="X19" i="6"/>
  <c r="X20" i="6"/>
  <c r="X21" i="6"/>
  <c r="X22" i="6"/>
  <c r="X11" i="6"/>
  <c r="X6" i="6"/>
  <c r="X7" i="6"/>
  <c r="X8" i="6"/>
  <c r="X9" i="6"/>
  <c r="X10" i="6"/>
  <c r="X5" i="6"/>
  <c r="K68" i="6"/>
  <c r="K56" i="6"/>
  <c r="K45" i="6"/>
  <c r="K36" i="6"/>
  <c r="G68" i="6"/>
  <c r="G56" i="6"/>
  <c r="G45" i="6"/>
  <c r="G36" i="6"/>
  <c r="U69" i="6" l="1"/>
  <c r="U62" i="6"/>
  <c r="U53" i="6"/>
  <c r="U54" i="6"/>
  <c r="U55" i="6"/>
  <c r="U52" i="6"/>
  <c r="U46" i="6"/>
  <c r="U43" i="6"/>
  <c r="U44" i="6"/>
  <c r="U42" i="6"/>
  <c r="U34" i="6"/>
  <c r="U35" i="6"/>
  <c r="U33" i="6"/>
  <c r="E14" i="6"/>
  <c r="E15" i="6"/>
  <c r="E16" i="6"/>
  <c r="E17" i="6"/>
  <c r="G46" i="6" l="1"/>
  <c r="K46" i="6"/>
  <c r="K35" i="6"/>
  <c r="G35" i="6"/>
  <c r="G42" i="6"/>
  <c r="K42" i="6"/>
  <c r="G44" i="6"/>
  <c r="K44" i="6"/>
  <c r="G52" i="6"/>
  <c r="K52" i="6"/>
  <c r="G34" i="6"/>
  <c r="K34" i="6"/>
  <c r="G43" i="6"/>
  <c r="K43" i="6"/>
  <c r="K55" i="6"/>
  <c r="G55" i="6"/>
  <c r="K54" i="6"/>
  <c r="G54" i="6"/>
  <c r="K53" i="6"/>
  <c r="G53" i="6"/>
  <c r="K62" i="6"/>
  <c r="K66" i="6" s="1"/>
  <c r="G62" i="6"/>
  <c r="G66" i="6" s="1"/>
  <c r="K33" i="6"/>
  <c r="G33" i="6"/>
  <c r="G69" i="6"/>
  <c r="G71" i="6" s="1"/>
  <c r="K69" i="6"/>
  <c r="K71" i="6" s="1"/>
  <c r="O16" i="6"/>
  <c r="I16" i="6"/>
  <c r="I14" i="6"/>
  <c r="O14" i="6"/>
  <c r="O8" i="6"/>
  <c r="I8" i="6"/>
  <c r="K60" i="6" l="1"/>
  <c r="G60" i="6"/>
  <c r="G50" i="6"/>
  <c r="G40" i="6"/>
  <c r="K40" i="6"/>
  <c r="P9" i="6"/>
  <c r="L62" i="6"/>
  <c r="L66" i="6" s="1"/>
  <c r="L55" i="6"/>
  <c r="M55" i="6" s="1"/>
  <c r="N55" i="6" s="1"/>
  <c r="P10" i="6"/>
  <c r="L33" i="6"/>
  <c r="K50" i="6"/>
  <c r="L52" i="6"/>
  <c r="L42" i="6"/>
  <c r="L34" i="6"/>
  <c r="M34" i="6" s="1"/>
  <c r="N34" i="6" s="1"/>
  <c r="I11" i="6"/>
  <c r="O11" i="6"/>
  <c r="O15" i="6"/>
  <c r="I15" i="6"/>
  <c r="O7" i="6"/>
  <c r="I7" i="6"/>
  <c r="I9" i="6"/>
  <c r="O9" i="6"/>
  <c r="I10" i="6"/>
  <c r="O10" i="6"/>
  <c r="I12" i="6"/>
  <c r="O12" i="6"/>
  <c r="P8" i="6"/>
  <c r="Q8" i="6" s="1"/>
  <c r="O17" i="6"/>
  <c r="I17" i="6"/>
  <c r="A76" i="6"/>
  <c r="A75" i="6"/>
  <c r="A74" i="6"/>
  <c r="F71" i="6"/>
  <c r="E71" i="6"/>
  <c r="D71" i="6"/>
  <c r="F66" i="6"/>
  <c r="E66" i="6"/>
  <c r="D66" i="6"/>
  <c r="F60" i="6"/>
  <c r="E60" i="6"/>
  <c r="D60" i="6"/>
  <c r="F50" i="6"/>
  <c r="E50" i="6"/>
  <c r="D50" i="6"/>
  <c r="F40" i="6"/>
  <c r="E40" i="6"/>
  <c r="D40" i="6"/>
  <c r="F22" i="6"/>
  <c r="F21" i="6"/>
  <c r="F20" i="6"/>
  <c r="F17" i="6"/>
  <c r="D17" i="6"/>
  <c r="F16" i="6"/>
  <c r="D16" i="6"/>
  <c r="F15" i="6"/>
  <c r="D15" i="6"/>
  <c r="F14" i="6"/>
  <c r="D14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K73" i="6" l="1"/>
  <c r="O24" i="6"/>
  <c r="I18" i="6"/>
  <c r="I24" i="6"/>
  <c r="G73" i="6"/>
  <c r="Q9" i="6"/>
  <c r="O18" i="6"/>
  <c r="Q10" i="6"/>
  <c r="R10" i="6" s="1"/>
  <c r="R8" i="6"/>
  <c r="R9" i="6"/>
  <c r="P12" i="6"/>
  <c r="Q12" i="6" s="1"/>
  <c r="R12" i="6" s="1"/>
  <c r="M62" i="6"/>
  <c r="L43" i="6"/>
  <c r="M43" i="6" s="1"/>
  <c r="N43" i="6" s="1"/>
  <c r="L35" i="6"/>
  <c r="M35" i="6" s="1"/>
  <c r="N35" i="6" s="1"/>
  <c r="L53" i="6"/>
  <c r="M53" i="6" s="1"/>
  <c r="N53" i="6" s="1"/>
  <c r="P11" i="6"/>
  <c r="Q11" i="6" s="1"/>
  <c r="R11" i="6" s="1"/>
  <c r="P7" i="6"/>
  <c r="M33" i="6"/>
  <c r="M42" i="6"/>
  <c r="L54" i="6"/>
  <c r="M54" i="6" s="1"/>
  <c r="N54" i="6" s="1"/>
  <c r="L44" i="6"/>
  <c r="M44" i="6" s="1"/>
  <c r="N44" i="6" s="1"/>
  <c r="M52" i="6"/>
  <c r="E73" i="6"/>
  <c r="F73" i="6"/>
  <c r="D73" i="6"/>
  <c r="E18" i="6"/>
  <c r="F18" i="6"/>
  <c r="D18" i="6"/>
  <c r="N42" i="6" l="1"/>
  <c r="N33" i="6"/>
  <c r="N62" i="6"/>
  <c r="M66" i="6"/>
  <c r="N52" i="6"/>
  <c r="H55" i="6"/>
  <c r="I55" i="6" s="1"/>
  <c r="H54" i="6"/>
  <c r="I54" i="6" s="1"/>
  <c r="J12" i="6"/>
  <c r="K12" i="6" s="1"/>
  <c r="J7" i="6"/>
  <c r="H35" i="6"/>
  <c r="I35" i="6" s="1"/>
  <c r="Q7" i="6"/>
  <c r="H62" i="6" l="1"/>
  <c r="H66" i="6" s="1"/>
  <c r="J11" i="6"/>
  <c r="K11" i="6" s="1"/>
  <c r="S11" i="6" s="1"/>
  <c r="T11" i="6" s="1"/>
  <c r="H33" i="6"/>
  <c r="I33" i="6" s="1"/>
  <c r="J9" i="6"/>
  <c r="K9" i="6" s="1"/>
  <c r="L9" i="6" s="1"/>
  <c r="H53" i="6"/>
  <c r="I53" i="6" s="1"/>
  <c r="J53" i="6" s="1"/>
  <c r="J10" i="6"/>
  <c r="H43" i="6"/>
  <c r="I43" i="6" s="1"/>
  <c r="O43" i="6" s="1"/>
  <c r="P43" i="6" s="1"/>
  <c r="H44" i="6"/>
  <c r="I44" i="6" s="1"/>
  <c r="J44" i="6" s="1"/>
  <c r="Y10" i="6"/>
  <c r="Y18" i="6"/>
  <c r="Y19" i="6"/>
  <c r="Y7" i="6"/>
  <c r="Y13" i="6"/>
  <c r="Y17" i="6"/>
  <c r="Y12" i="6"/>
  <c r="Y21" i="6"/>
  <c r="Y8" i="6"/>
  <c r="Y16" i="6"/>
  <c r="Y5" i="6"/>
  <c r="Y15" i="6"/>
  <c r="Y20" i="6"/>
  <c r="Y22" i="6"/>
  <c r="Y6" i="6"/>
  <c r="Y9" i="6"/>
  <c r="Y11" i="6"/>
  <c r="Y14" i="6"/>
  <c r="K7" i="6"/>
  <c r="J54" i="6"/>
  <c r="O54" i="6"/>
  <c r="P54" i="6" s="1"/>
  <c r="L45" i="6"/>
  <c r="L36" i="6"/>
  <c r="L40" i="6" s="1"/>
  <c r="L56" i="6"/>
  <c r="L60" i="6" s="1"/>
  <c r="P16" i="6"/>
  <c r="Q16" i="6" s="1"/>
  <c r="R16" i="6" s="1"/>
  <c r="H34" i="6"/>
  <c r="I34" i="6" s="1"/>
  <c r="H42" i="6"/>
  <c r="H52" i="6"/>
  <c r="J8" i="6"/>
  <c r="K8" i="6" s="1"/>
  <c r="H46" i="6"/>
  <c r="I46" i="6" s="1"/>
  <c r="J17" i="6"/>
  <c r="K17" i="6" s="1"/>
  <c r="H69" i="6"/>
  <c r="I69" i="6" s="1"/>
  <c r="J15" i="6"/>
  <c r="K15" i="6" s="1"/>
  <c r="H68" i="6"/>
  <c r="J14" i="6"/>
  <c r="S12" i="6"/>
  <c r="T12" i="6" s="1"/>
  <c r="L12" i="6"/>
  <c r="L68" i="6"/>
  <c r="P14" i="6"/>
  <c r="J35" i="6"/>
  <c r="O35" i="6"/>
  <c r="P35" i="6" s="1"/>
  <c r="H56" i="6"/>
  <c r="I56" i="6" s="1"/>
  <c r="H45" i="6"/>
  <c r="I45" i="6" s="1"/>
  <c r="H36" i="6"/>
  <c r="I36" i="6" s="1"/>
  <c r="J16" i="6"/>
  <c r="K16" i="6" s="1"/>
  <c r="J55" i="6"/>
  <c r="O55" i="6"/>
  <c r="P55" i="6" s="1"/>
  <c r="L46" i="6"/>
  <c r="M46" i="6" s="1"/>
  <c r="N46" i="6" s="1"/>
  <c r="P17" i="6"/>
  <c r="Q17" i="6" s="1"/>
  <c r="R17" i="6" s="1"/>
  <c r="L69" i="6"/>
  <c r="M69" i="6" s="1"/>
  <c r="N69" i="6" s="1"/>
  <c r="P15" i="6"/>
  <c r="Q15" i="6" s="1"/>
  <c r="R15" i="6" s="1"/>
  <c r="R7" i="6"/>
  <c r="S9" i="6" l="1"/>
  <c r="T9" i="6" s="1"/>
  <c r="J24" i="6"/>
  <c r="H71" i="6"/>
  <c r="J43" i="6"/>
  <c r="P24" i="6"/>
  <c r="J18" i="6"/>
  <c r="I62" i="6"/>
  <c r="J62" i="6" s="1"/>
  <c r="L11" i="6"/>
  <c r="K10" i="6"/>
  <c r="H40" i="6"/>
  <c r="I40" i="6"/>
  <c r="J40" i="6" s="1"/>
  <c r="H60" i="6"/>
  <c r="H50" i="6"/>
  <c r="L71" i="6"/>
  <c r="L50" i="6"/>
  <c r="O53" i="6"/>
  <c r="P53" i="6" s="1"/>
  <c r="O44" i="6"/>
  <c r="P44" i="6" s="1"/>
  <c r="J34" i="6"/>
  <c r="O34" i="6"/>
  <c r="P34" i="6" s="1"/>
  <c r="M56" i="6"/>
  <c r="J45" i="6"/>
  <c r="J56" i="6"/>
  <c r="M45" i="6"/>
  <c r="L17" i="6"/>
  <c r="S17" i="6"/>
  <c r="T17" i="6" s="1"/>
  <c r="J36" i="6"/>
  <c r="K14" i="6"/>
  <c r="K18" i="6" s="1"/>
  <c r="J69" i="6"/>
  <c r="O69" i="6"/>
  <c r="P69" i="6" s="1"/>
  <c r="J46" i="6"/>
  <c r="O46" i="6"/>
  <c r="P46" i="6" s="1"/>
  <c r="L7" i="6"/>
  <c r="S7" i="6"/>
  <c r="J33" i="6"/>
  <c r="O33" i="6"/>
  <c r="I68" i="6"/>
  <c r="I71" i="6" s="1"/>
  <c r="L15" i="6"/>
  <c r="S15" i="6"/>
  <c r="T15" i="6" s="1"/>
  <c r="M68" i="6"/>
  <c r="M71" i="6" s="1"/>
  <c r="S8" i="6"/>
  <c r="T8" i="6" s="1"/>
  <c r="L8" i="6"/>
  <c r="L16" i="6"/>
  <c r="S16" i="6"/>
  <c r="T16" i="6" s="1"/>
  <c r="M36" i="6"/>
  <c r="Q14" i="6"/>
  <c r="Q24" i="6" s="1"/>
  <c r="R24" i="6" s="1"/>
  <c r="P18" i="6"/>
  <c r="N66" i="6"/>
  <c r="L73" i="6" l="1"/>
  <c r="K24" i="6"/>
  <c r="L24" i="6" s="1"/>
  <c r="L10" i="6"/>
  <c r="O62" i="6"/>
  <c r="O66" i="6" s="1"/>
  <c r="P66" i="6" s="1"/>
  <c r="I66" i="6"/>
  <c r="J66" i="6" s="1"/>
  <c r="H73" i="6"/>
  <c r="S10" i="6"/>
  <c r="T10" i="6" s="1"/>
  <c r="N45" i="6"/>
  <c r="M50" i="6"/>
  <c r="P33" i="6"/>
  <c r="N36" i="6"/>
  <c r="M40" i="6"/>
  <c r="N56" i="6"/>
  <c r="M60" i="6"/>
  <c r="O56" i="6"/>
  <c r="P56" i="6" s="1"/>
  <c r="O36" i="6"/>
  <c r="P36" i="6" s="1"/>
  <c r="Q18" i="6"/>
  <c r="R18" i="6" s="1"/>
  <c r="R14" i="6"/>
  <c r="N68" i="6"/>
  <c r="N71" i="6"/>
  <c r="J68" i="6"/>
  <c r="J71" i="6"/>
  <c r="O68" i="6"/>
  <c r="O71" i="6" s="1"/>
  <c r="O45" i="6"/>
  <c r="P45" i="6" s="1"/>
  <c r="L14" i="6"/>
  <c r="S14" i="6"/>
  <c r="L18" i="6"/>
  <c r="T7" i="6"/>
  <c r="Z5" i="6"/>
  <c r="AA5" i="6" s="1"/>
  <c r="Z13" i="6"/>
  <c r="AA13" i="6" s="1"/>
  <c r="Z14" i="6"/>
  <c r="AA14" i="6" s="1"/>
  <c r="Z18" i="6"/>
  <c r="AA18" i="6" s="1"/>
  <c r="Z11" i="6"/>
  <c r="AA11" i="6" s="1"/>
  <c r="Z16" i="6"/>
  <c r="AA16" i="6" s="1"/>
  <c r="Z12" i="6"/>
  <c r="AA12" i="6" s="1"/>
  <c r="Z7" i="6"/>
  <c r="AA7" i="6" s="1"/>
  <c r="Z9" i="6"/>
  <c r="AA9" i="6" s="1"/>
  <c r="Z15" i="6"/>
  <c r="AA15" i="6" s="1"/>
  <c r="Z19" i="6"/>
  <c r="AA19" i="6" s="1"/>
  <c r="Z20" i="6"/>
  <c r="AA20" i="6" s="1"/>
  <c r="Z21" i="6"/>
  <c r="AA21" i="6" s="1"/>
  <c r="Z17" i="6"/>
  <c r="AA17" i="6" s="1"/>
  <c r="Z8" i="6"/>
  <c r="AA8" i="6" s="1"/>
  <c r="Z6" i="6"/>
  <c r="AA6" i="6" s="1"/>
  <c r="Z22" i="6"/>
  <c r="AA22" i="6" s="1"/>
  <c r="Z10" i="6"/>
  <c r="AA10" i="6" s="1"/>
  <c r="P62" i="6" l="1"/>
  <c r="S24" i="6"/>
  <c r="T24" i="6" s="1"/>
  <c r="M73" i="6"/>
  <c r="O40" i="6"/>
  <c r="P68" i="6"/>
  <c r="P71" i="6"/>
  <c r="T14" i="6"/>
  <c r="S18" i="6"/>
  <c r="T18" i="6" s="1"/>
  <c r="I42" i="6"/>
  <c r="I50" i="6" s="1"/>
  <c r="I52" i="6"/>
  <c r="I60" i="6" s="1"/>
  <c r="I73" i="6" l="1"/>
  <c r="O52" i="6"/>
  <c r="J52" i="6"/>
  <c r="J42" i="6"/>
  <c r="O42" i="6"/>
  <c r="N60" i="6"/>
  <c r="N50" i="6"/>
  <c r="P52" i="6" l="1"/>
  <c r="O60" i="6"/>
  <c r="P60" i="6" s="1"/>
  <c r="P42" i="6"/>
  <c r="O50" i="6"/>
  <c r="N40" i="6"/>
  <c r="P40" i="6"/>
  <c r="J50" i="6"/>
  <c r="J73" i="6"/>
  <c r="J60" i="6"/>
  <c r="N73" i="6"/>
  <c r="P50" i="6" l="1"/>
  <c r="O73" i="6"/>
  <c r="P73" i="6" s="1"/>
</calcChain>
</file>

<file path=xl/sharedStrings.xml><?xml version="1.0" encoding="utf-8"?>
<sst xmlns="http://schemas.openxmlformats.org/spreadsheetml/2006/main" count="228" uniqueCount="72">
  <si>
    <t>All</t>
  </si>
  <si>
    <t>Schedule</t>
  </si>
  <si>
    <t>16,17,19</t>
  </si>
  <si>
    <t>24</t>
  </si>
  <si>
    <t>40</t>
  </si>
  <si>
    <t>Schedule 99</t>
  </si>
  <si>
    <t>Residential Bill Comparisons</t>
  </si>
  <si>
    <t>Kilowatt</t>
  </si>
  <si>
    <t>$ Per Month</t>
  </si>
  <si>
    <t>$000</t>
  </si>
  <si>
    <t>Hours</t>
  </si>
  <si>
    <t>Percent</t>
  </si>
  <si>
    <t>Average</t>
  </si>
  <si>
    <t>Megawatt</t>
  </si>
  <si>
    <t>($ Per Kilowatt Hour)</t>
  </si>
  <si>
    <t>Per Month</t>
  </si>
  <si>
    <t>Present</t>
  </si>
  <si>
    <t>Proposed</t>
  </si>
  <si>
    <t>Change</t>
  </si>
  <si>
    <t>Service</t>
  </si>
  <si>
    <t>Customers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</si>
  <si>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</si>
  <si>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</si>
  <si>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</si>
  <si>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</si>
  <si>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</si>
  <si>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</si>
  <si>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</si>
  <si>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</si>
  <si>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</si>
  <si>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</si>
  <si>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</si>
  <si>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</si>
  <si>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</si>
  <si>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</si>
  <si>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</si>
  <si>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</si>
  <si>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</si>
  <si>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</si>
  <si>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</si>
  <si>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</si>
  <si>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</si>
  <si>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</si>
  <si>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Assumes Single-Family Single-Phase Service and Schedule 16</t>
  </si>
  <si>
    <t>prices effective April 3, 2024 per Docket UE-230172</t>
  </si>
  <si>
    <t>Average Customers and Megawatt Hours per Normalized Results for the 12 Months Ended June 2022</t>
  </si>
  <si>
    <t>Base $000 effective April 3rd, 2024 per Docket UE-230172</t>
  </si>
  <si>
    <t>The average residential customer uses 1,200 kilowatt hours</t>
  </si>
  <si>
    <t>Percent Change is Change as a percentage of Base</t>
  </si>
  <si>
    <t>per month</t>
  </si>
  <si>
    <t>Class</t>
  </si>
  <si>
    <t>Commercial</t>
  </si>
  <si>
    <t>Industrial</t>
  </si>
  <si>
    <t>Irrigation</t>
  </si>
  <si>
    <t>Lighting</t>
  </si>
  <si>
    <t>48T,47T</t>
  </si>
  <si>
    <t>Surcharge</t>
  </si>
  <si>
    <t>Annual Revenue Effects of Proposed Changes to PCAM Adjustment (Schedule 97) and PTC Tracker Adjustment (Schedule 99), by Service</t>
  </si>
  <si>
    <t>Annual Revenue Effects of Proposed Changes to PCAM Adjustment (Schedule 97) and PTC Tracker Adjustment (Schedule 99), by Class and Service</t>
  </si>
  <si>
    <t>Schedule 97</t>
  </si>
  <si>
    <t>Schedule 97 $000</t>
  </si>
  <si>
    <t>Schedule 99 $000</t>
  </si>
  <si>
    <t>Total $000</t>
  </si>
  <si>
    <t>Billing</t>
  </si>
  <si>
    <t>Cost of</t>
  </si>
  <si>
    <t>Study</t>
  </si>
  <si>
    <t>Factor 10</t>
  </si>
  <si>
    <t>Target $000</t>
  </si>
  <si>
    <t>97</t>
  </si>
  <si>
    <t>99</t>
  </si>
  <si>
    <t>Excludes Rider Schedules 91, 92, 93, 98, 191, 197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</si>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</sst>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1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135">
    <xf numFmtId="0" fontId="0" fillId="0" borderId="0" xfId="0"/>
    <xf numFmtId="43" fontId="2" fillId="0" borderId="11" xfId="9" applyFont="1" applyBorder="1" applyAlignment="1">
      <alignment horizontal="centerContinuous"/>
    </xf>
    <xf numFmtId="164" fontId="5" fillId="0" borderId="4" xfId="2" applyNumberFormat="1" applyFont="1" applyFill="1" applyBorder="1" applyAlignment="1">
      <alignment horizontal="left"/>
    </xf>
    <xf numFmtId="164" fontId="5" fillId="0" borderId="6" xfId="2" applyNumberFormat="1" applyFont="1" applyFill="1" applyBorder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164" fontId="2" fillId="0" borderId="5" xfId="9" applyNumberFormat="1" applyFont="1" applyBorder="1"/>
    <xf numFmtId="164" fontId="2" fillId="0" borderId="9" xfId="5" applyNumberFormat="1" applyFont="1" applyBorder="1" applyAlignment="1">
      <alignment horizontal="centerContinuous"/>
    </xf>
    <xf numFmtId="164" fontId="5" fillId="0" borderId="9" xfId="5" applyNumberFormat="1" applyFont="1" applyBorder="1" applyAlignment="1">
      <alignment horizontal="centerContinuous"/>
    </xf>
    <xf numFmtId="164" fontId="2" fillId="0" borderId="12" xfId="5" applyNumberFormat="1" applyFont="1" applyBorder="1" applyAlignment="1">
      <alignment horizontal="centerContinuous"/>
    </xf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11" xfId="2" applyNumberFormat="1" applyFont="1" applyFill="1" applyBorder="1" applyAlignment="1">
      <alignment horizontal="centerContinuous"/>
    </xf>
    <xf numFmtId="164" fontId="0" fillId="0" borderId="9" xfId="2" applyNumberFormat="1" applyFont="1" applyFill="1" applyBorder="1" applyAlignment="1">
      <alignment horizontal="centerContinuous"/>
    </xf>
    <xf numFmtId="164" fontId="0" fillId="0" borderId="12" xfId="2" applyNumberFormat="1" applyFont="1" applyFill="1" applyBorder="1" applyAlignment="1">
      <alignment horizontal="centerContinuous"/>
    </xf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0" fillId="0" borderId="3" xfId="5" applyNumberFormat="1" applyFont="1" applyBorder="1" applyAlignment="1">
      <alignment horizontal="centerContinuous"/>
    </xf>
    <xf numFmtId="43" fontId="0" fillId="0" borderId="4" xfId="5" applyFont="1" applyBorder="1"/>
    <xf numFmtId="0" fontId="2" fillId="0" borderId="9" xfId="11" applyBorder="1" applyAlignment="1">
      <alignment horizontal="centerContinuous"/>
    </xf>
    <xf numFmtId="0" fontId="2" fillId="0" borderId="12" xfId="11" applyBorder="1" applyAlignment="1">
      <alignment horizontal="centerContinuous"/>
    </xf>
    <xf numFmtId="164" fontId="5" fillId="0" borderId="5" xfId="5" applyNumberFormat="1" applyFont="1" applyBorder="1"/>
    <xf numFmtId="164" fontId="5" fillId="0" borderId="2" xfId="5" applyNumberFormat="1" applyFont="1" applyBorder="1" applyAlignment="1">
      <alignment horizontal="left"/>
    </xf>
    <xf numFmtId="164" fontId="0" fillId="0" borderId="5" xfId="5" applyNumberFormat="1" applyFont="1" applyBorder="1" applyAlignment="1">
      <alignment horizontal="centerContinuous"/>
    </xf>
    <xf numFmtId="164" fontId="2" fillId="0" borderId="5" xfId="5" applyNumberFormat="1" applyFont="1" applyBorder="1" applyAlignment="1">
      <alignment horizontal="centerContinuous"/>
    </xf>
    <xf numFmtId="164" fontId="2" fillId="0" borderId="2" xfId="5" applyNumberFormat="1" applyFont="1" applyBorder="1" applyAlignment="1">
      <alignment horizontal="centerContinuous"/>
    </xf>
    <xf numFmtId="164" fontId="0" fillId="0" borderId="9" xfId="5" quotePrefix="1" applyNumberFormat="1" applyFont="1" applyBorder="1" applyAlignment="1">
      <alignment horizontal="centerContinuous"/>
    </xf>
    <xf numFmtId="43" fontId="0" fillId="0" borderId="5" xfId="5" applyFont="1" applyFill="1" applyBorder="1"/>
    <xf numFmtId="164" fontId="0" fillId="0" borderId="8" xfId="2" applyNumberFormat="1" applyFont="1" applyFill="1" applyBorder="1" applyAlignment="1">
      <alignment horizontal="left"/>
    </xf>
    <xf numFmtId="164" fontId="0" fillId="0" borderId="4" xfId="2" applyNumberFormat="1" applyFont="1" applyFill="1" applyBorder="1" applyAlignment="1">
      <alignment horizontal="left"/>
    </xf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43" fontId="5" fillId="0" borderId="6" xfId="5" applyFont="1" applyFill="1" applyBorder="1" applyAlignment="1">
      <alignment horizontal="left"/>
    </xf>
    <xf numFmtId="164" fontId="5" fillId="0" borderId="2" xfId="5" applyNumberFormat="1" applyFont="1" applyBorder="1" applyAlignment="1"/>
    <xf numFmtId="164" fontId="0" fillId="0" borderId="5" xfId="5" applyNumberFormat="1" applyFont="1" applyBorder="1"/>
    <xf numFmtId="164" fontId="0" fillId="0" borderId="2" xfId="2" applyNumberFormat="1" applyFont="1" applyFill="1" applyBorder="1"/>
    <xf numFmtId="165" fontId="0" fillId="0" borderId="5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6" fontId="2" fillId="0" borderId="5" xfId="5" applyNumberFormat="1" applyFont="1" applyBorder="1"/>
    <xf numFmtId="164" fontId="2" fillId="0" borderId="5" xfId="5" applyNumberFormat="1" applyFont="1" applyBorder="1" applyAlignment="1">
      <alignment horizontal="left"/>
    </xf>
    <xf numFmtId="165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0" fillId="0" borderId="13" xfId="2" applyNumberFormat="1" applyFont="1" applyFill="1" applyBorder="1"/>
    <xf numFmtId="43" fontId="0" fillId="0" borderId="6" xfId="5" applyFont="1" applyFill="1" applyBorder="1"/>
    <xf numFmtId="165" fontId="0" fillId="0" borderId="6" xfId="2" applyNumberFormat="1" applyFont="1" applyFill="1" applyBorder="1"/>
    <xf numFmtId="43" fontId="0" fillId="0" borderId="4" xfId="5" applyFont="1" applyFill="1" applyBorder="1"/>
    <xf numFmtId="165" fontId="0" fillId="0" borderId="4" xfId="2" applyNumberFormat="1" applyFont="1" applyFill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5" fontId="2" fillId="0" borderId="14" xfId="5" applyNumberFormat="1" applyFont="1" applyBorder="1" applyAlignment="1">
      <alignment horizontal="left"/>
    </xf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0" fillId="0" borderId="3" xfId="5" applyNumberFormat="1" applyFont="1" applyBorder="1"/>
    <xf numFmtId="164" fontId="2" fillId="0" borderId="0" xfId="5" applyNumberFormat="1" applyFont="1" applyBorder="1"/>
    <xf numFmtId="164" fontId="0" fillId="0" borderId="2" xfId="5" applyNumberFormat="1" applyFont="1" applyBorder="1" applyAlignment="1">
      <alignment horizontal="left" indent="1"/>
    </xf>
    <xf numFmtId="164" fontId="5" fillId="0" borderId="0" xfId="5" applyNumberFormat="1" applyFont="1" applyBorder="1" applyAlignment="1">
      <alignment horizontal="left"/>
    </xf>
    <xf numFmtId="164" fontId="0" fillId="0" borderId="2" xfId="5" applyNumberFormat="1" applyFont="1" applyBorder="1"/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43" fontId="5" fillId="0" borderId="11" xfId="5" applyFont="1" applyBorder="1" applyAlignment="1">
      <alignment horizontal="centerContinuous"/>
    </xf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43" fontId="5" fillId="0" borderId="5" xfId="5" applyFont="1" applyBorder="1"/>
    <xf numFmtId="164" fontId="2" fillId="0" borderId="8" xfId="5" applyNumberFormat="1" applyFont="1" applyBorder="1"/>
    <xf numFmtId="43" fontId="0" fillId="0" borderId="6" xfId="5" applyFont="1" applyBorder="1"/>
    <xf numFmtId="43" fontId="5" fillId="0" borderId="6" xfId="5" applyFont="1" applyBorder="1"/>
    <xf numFmtId="43" fontId="5" fillId="0" borderId="6" xfId="5" applyFont="1" applyBorder="1" applyAlignment="1">
      <alignment horizontal="left"/>
    </xf>
    <xf numFmtId="164" fontId="0" fillId="0" borderId="1" xfId="5" applyNumberFormat="1" applyFont="1" applyBorder="1"/>
    <xf numFmtId="164" fontId="0" fillId="0" borderId="6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5" fontId="2" fillId="0" borderId="4" xfId="5" applyNumberFormat="1" applyFont="1" applyBorder="1" applyAlignment="1">
      <alignment horizontal="left"/>
    </xf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4" fontId="2" fillId="0" borderId="8" xfId="5" applyNumberFormat="1" applyFont="1" applyBorder="1" applyAlignment="1">
      <alignment horizontal="centerContinuous"/>
    </xf>
    <xf numFmtId="164" fontId="5" fillId="0" borderId="13" xfId="5" applyNumberFormat="1" applyFont="1" applyBorder="1" applyAlignment="1">
      <alignment horizontal="centerContinuous"/>
    </xf>
    <xf numFmtId="164" fontId="5" fillId="0" borderId="1" xfId="5" applyNumberFormat="1" applyFont="1" applyBorder="1" applyAlignment="1">
      <alignment horizontal="centerContinuous"/>
    </xf>
    <xf numFmtId="165" fontId="2" fillId="0" borderId="0" xfId="9" applyNumberFormat="1" applyFont="1" applyBorder="1"/>
    <xf numFmtId="164" fontId="2" fillId="0" borderId="13" xfId="5" applyNumberFormat="1" applyFont="1" applyBorder="1" applyAlignment="1">
      <alignment horizontal="centerContinuous"/>
    </xf>
    <xf numFmtId="164" fontId="2" fillId="0" borderId="1" xfId="5" applyNumberFormat="1" applyFont="1" applyBorder="1" applyAlignment="1">
      <alignment horizontal="centerContinuous"/>
    </xf>
    <xf numFmtId="164" fontId="0" fillId="0" borderId="15" xfId="5" quotePrefix="1" applyNumberFormat="1" applyFont="1" applyBorder="1" applyAlignment="1">
      <alignment horizontal="centerContinuous"/>
    </xf>
    <xf numFmtId="164" fontId="2" fillId="0" borderId="15" xfId="5" applyNumberFormat="1" applyFont="1" applyBorder="1" applyAlignment="1">
      <alignment horizontal="centerContinuous"/>
    </xf>
    <xf numFmtId="43" fontId="5" fillId="0" borderId="13" xfId="5" applyFont="1" applyBorder="1" applyAlignment="1">
      <alignment horizontal="centerContinuous"/>
    </xf>
    <xf numFmtId="43" fontId="5" fillId="0" borderId="1" xfId="5" applyFont="1" applyBorder="1" applyAlignment="1">
      <alignment horizontal="centerContinuous"/>
    </xf>
    <xf numFmtId="164" fontId="2" fillId="0" borderId="0" xfId="5" applyNumberFormat="1" applyFont="1" applyBorder="1" applyAlignment="1">
      <alignment horizontal="centerContinuous"/>
    </xf>
    <xf numFmtId="164" fontId="5" fillId="0" borderId="12" xfId="5" applyNumberFormat="1" applyFont="1" applyBorder="1" applyAlignment="1">
      <alignment horizontal="centerContinuous"/>
    </xf>
    <xf numFmtId="164" fontId="0" fillId="0" borderId="2" xfId="5" applyNumberFormat="1" applyFont="1" applyBorder="1" applyAlignment="1">
      <alignment horizontal="centerContinuous"/>
    </xf>
    <xf numFmtId="164" fontId="6" fillId="0" borderId="5" xfId="5" applyNumberFormat="1" applyFont="1" applyBorder="1"/>
    <xf numFmtId="164" fontId="6" fillId="0" borderId="0" xfId="9" applyNumberFormat="1" applyFont="1"/>
    <xf numFmtId="3" fontId="9" fillId="0" borderId="10" xfId="0" applyNumberFormat="1" applyFont="1" applyBorder="1"/>
    <xf numFmtId="164" fontId="0" fillId="0" borderId="13" xfId="5" applyNumberFormat="1" applyFont="1" applyBorder="1"/>
    <xf numFmtId="165" fontId="2" fillId="0" borderId="5" xfId="9" applyNumberFormat="1" applyFont="1" applyBorder="1" applyAlignment="1">
      <alignment horizontal="left"/>
    </xf>
    <xf numFmtId="165" fontId="5" fillId="0" borderId="14" xfId="9" applyNumberFormat="1" applyFont="1" applyBorder="1" applyAlignment="1">
      <alignment horizontal="left"/>
    </xf>
    <xf numFmtId="165" fontId="5" fillId="0" borderId="4" xfId="9" applyNumberFormat="1" applyFont="1" applyBorder="1" applyAlignment="1">
      <alignment horizontal="left"/>
    </xf>
    <xf numFmtId="43" fontId="5" fillId="0" borderId="12" xfId="5" applyFont="1" applyBorder="1" applyAlignment="1">
      <alignment horizontal="centerContinuous"/>
    </xf>
    <xf numFmtId="43" fontId="5" fillId="0" borderId="14" xfId="5" quotePrefix="1" applyFont="1" applyBorder="1" applyAlignment="1">
      <alignment horizontal="center"/>
    </xf>
    <xf numFmtId="164" fontId="6" fillId="0" borderId="14" xfId="5" applyNumberFormat="1" applyFont="1" applyBorder="1"/>
    <xf numFmtId="43" fontId="0" fillId="0" borderId="8" xfId="5" applyFont="1" applyFill="1" applyBorder="1"/>
    <xf numFmtId="43" fontId="0" fillId="0" borderId="7" xfId="5" applyFont="1" applyFill="1" applyBorder="1"/>
    <xf numFmtId="43" fontId="0" fillId="0" borderId="3" xfId="5" applyFont="1" applyFill="1" applyBorder="1"/>
    <xf numFmtId="43" fontId="0" fillId="0" borderId="2" xfId="5" applyFont="1" applyFill="1" applyBorder="1"/>
    <xf numFmtId="43" fontId="0" fillId="0" borderId="13" xfId="5" applyFont="1" applyFill="1" applyBorder="1"/>
    <xf numFmtId="164" fontId="5" fillId="0" borderId="2" xfId="5" quotePrefix="1" applyNumberFormat="1" applyFont="1" applyBorder="1" applyAlignment="1">
      <alignment horizontal="left"/>
    </xf>
    <xf numFmtId="43" fontId="2" fillId="0" borderId="4" xfId="5" applyFont="1" applyBorder="1"/>
    <xf numFmtId="164" fontId="5" fillId="0" borderId="6" xfId="5" quotePrefix="1" applyNumberFormat="1" applyFont="1" applyBorder="1" applyAlignment="1">
      <alignment horizontal="left"/>
    </xf>
    <xf numFmtId="165" fontId="6" fillId="0" borderId="0" xfId="9" applyNumberFormat="1" applyFont="1" applyBorder="1"/>
    <xf numFmtId="164" fontId="0" fillId="0" borderId="0" xfId="5" applyNumberFormat="1" applyFont="1" applyBorder="1"/>
    <xf numFmtId="165" fontId="6" fillId="0" borderId="2" xfId="9" applyNumberFormat="1" applyFont="1" applyBorder="1"/>
    <xf numFmtId="165" fontId="2" fillId="0" borderId="2" xfId="9" applyNumberFormat="1" applyFont="1" applyBorder="1"/>
    <xf numFmtId="165" fontId="6" fillId="0" borderId="13" xfId="9" applyNumberFormat="1" applyFont="1" applyBorder="1"/>
    <xf numFmtId="0" fontId="2" fillId="0" borderId="0" xfId="1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AA78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12.5" style="10" bestFit="1" customWidth="1"/>
    <col min="2" max="2" width="34.25" style="10" bestFit="1" customWidth="1"/>
    <col min="3" max="3" width="12.5" style="91" bestFit="1" customWidth="1"/>
    <col min="4" max="4" width="11.5" style="72" customWidth="1"/>
    <col min="5" max="5" width="11.25" style="72" customWidth="1"/>
    <col min="6" max="8" width="10.25" style="10" customWidth="1"/>
    <col min="9" max="9" width="10.25" style="9" customWidth="1"/>
    <col min="10" max="20" width="10.25" style="10" customWidth="1"/>
    <col min="21" max="21" width="11.25" style="10" customWidth="1"/>
    <col min="22" max="22" width="10.25" style="10" customWidth="1"/>
    <col min="23" max="23" width="11.25" style="10" customWidth="1"/>
    <col min="24" max="29" width="10.25" style="10" customWidth="1"/>
    <col min="30" max="34" width="11.25" style="10" customWidth="1"/>
    <col min="35" max="16384" width="9" style="10"/>
  </cols>
  <sheetData>
    <row r="1" spans="2:27">
      <c r="B1" s="1" t="s">
        <v>57</v>
      </c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83"/>
      <c r="V1" s="97" t="s">
        <v>64</v>
      </c>
      <c r="W1" s="11" t="s">
        <v>6</v>
      </c>
      <c r="X1" s="12"/>
      <c r="Y1" s="12"/>
      <c r="Z1" s="12"/>
      <c r="AA1" s="13"/>
    </row>
    <row r="2" spans="2:27">
      <c r="B2" s="20"/>
      <c r="C2" s="21"/>
      <c r="D2" s="22"/>
      <c r="E2" s="23"/>
      <c r="F2" s="23"/>
      <c r="G2" s="110" t="s">
        <v>59</v>
      </c>
      <c r="H2" s="108"/>
      <c r="I2" s="105"/>
      <c r="J2" s="105"/>
      <c r="K2" s="105"/>
      <c r="L2" s="103"/>
      <c r="M2" s="110" t="s">
        <v>5</v>
      </c>
      <c r="N2" s="108"/>
      <c r="O2" s="105"/>
      <c r="P2" s="105"/>
      <c r="Q2" s="105"/>
      <c r="R2" s="103"/>
      <c r="S2" s="30"/>
      <c r="T2" s="45"/>
      <c r="U2" s="29"/>
      <c r="V2" s="62" t="s">
        <v>19</v>
      </c>
      <c r="W2" s="17" t="s">
        <v>7</v>
      </c>
      <c r="X2" s="18" t="s">
        <v>8</v>
      </c>
      <c r="Y2" s="18"/>
      <c r="Z2" s="18"/>
      <c r="AA2" s="19"/>
    </row>
    <row r="3" spans="2:27">
      <c r="B3" s="20"/>
      <c r="C3" s="21"/>
      <c r="D3" s="22"/>
      <c r="E3" s="23"/>
      <c r="F3" s="24"/>
      <c r="G3" s="16" t="s">
        <v>56</v>
      </c>
      <c r="H3" s="98"/>
      <c r="I3" s="25" t="s">
        <v>9</v>
      </c>
      <c r="J3" s="6"/>
      <c r="K3" s="6"/>
      <c r="L3" s="8"/>
      <c r="M3" s="16" t="s">
        <v>56</v>
      </c>
      <c r="N3" s="98"/>
      <c r="O3" s="25" t="s">
        <v>9</v>
      </c>
      <c r="P3" s="6"/>
      <c r="Q3" s="6"/>
      <c r="R3" s="8"/>
      <c r="S3" s="102" t="s">
        <v>62</v>
      </c>
      <c r="T3" s="103"/>
      <c r="U3" s="36" t="s">
        <v>63</v>
      </c>
      <c r="V3" s="130" t="s">
        <v>65</v>
      </c>
      <c r="W3" s="26" t="s">
        <v>10</v>
      </c>
      <c r="X3" s="27"/>
      <c r="Y3" s="28"/>
      <c r="Z3" s="28"/>
      <c r="AA3" s="2" t="s">
        <v>11</v>
      </c>
    </row>
    <row r="4" spans="2:27">
      <c r="B4" s="29"/>
      <c r="C4" s="30"/>
      <c r="D4" s="31" t="s">
        <v>12</v>
      </c>
      <c r="E4" s="31" t="s">
        <v>13</v>
      </c>
      <c r="F4" s="21" t="s">
        <v>71</v>
      </c>
      <c r="G4" s="99" t="s">
        <v>14</v>
      </c>
      <c r="H4" s="100"/>
      <c r="I4" s="32"/>
      <c r="J4" s="32"/>
      <c r="K4" s="32"/>
      <c r="L4" s="33" t="s">
        <v>11</v>
      </c>
      <c r="M4" s="99" t="s">
        <v>14</v>
      </c>
      <c r="N4" s="100"/>
      <c r="O4" s="32"/>
      <c r="P4" s="32"/>
      <c r="Q4" s="32"/>
      <c r="R4" s="33" t="s">
        <v>11</v>
      </c>
      <c r="S4" s="32"/>
      <c r="T4" s="33" t="s">
        <v>11</v>
      </c>
      <c r="U4" s="31" t="s">
        <v>13</v>
      </c>
      <c r="V4" s="64" t="s">
        <v>66</v>
      </c>
      <c r="W4" s="34" t="s">
        <v>15</v>
      </c>
      <c r="X4" s="4" t="s">
        <v>16</v>
      </c>
      <c r="Y4" s="3" t="s">
        <v>17</v>
      </c>
      <c r="Z4" s="3" t="s">
        <v>18</v>
      </c>
      <c r="AA4" s="3" t="s">
        <v>18</v>
      </c>
    </row>
    <row r="5" spans="2:27">
      <c r="B5" s="31" t="s">
        <v>19</v>
      </c>
      <c r="C5" s="35" t="s">
        <v>1</v>
      </c>
      <c r="D5" s="31" t="s">
        <v>20</v>
      </c>
      <c r="E5" s="31" t="s">
        <v>10</v>
      </c>
      <c r="F5" s="126" t="s">
        <v>9</v>
      </c>
      <c r="G5" s="33" t="s">
        <v>16</v>
      </c>
      <c r="H5" s="33" t="s">
        <v>17</v>
      </c>
      <c r="I5" s="36" t="s">
        <v>16</v>
      </c>
      <c r="J5" s="36" t="s">
        <v>17</v>
      </c>
      <c r="K5" s="36" t="s">
        <v>18</v>
      </c>
      <c r="L5" s="36" t="s">
        <v>18</v>
      </c>
      <c r="M5" s="33" t="s">
        <v>16</v>
      </c>
      <c r="N5" s="33" t="s">
        <v>17</v>
      </c>
      <c r="O5" s="36" t="s">
        <v>16</v>
      </c>
      <c r="P5" s="36" t="s">
        <v>17</v>
      </c>
      <c r="Q5" s="36" t="s">
        <v>18</v>
      </c>
      <c r="R5" s="36" t="s">
        <v>18</v>
      </c>
      <c r="S5" s="36" t="s">
        <v>18</v>
      </c>
      <c r="T5" s="36" t="s">
        <v>18</v>
      </c>
      <c r="U5" s="31" t="s">
        <v>10</v>
      </c>
      <c r="V5" s="68" t="s">
        <v>11</v>
      </c>
      <c r="W5" s="37">
        <v>100</v>
      </c>
      <c r="X5" s="26">
        <f>8.5+(0.09247+G$7+M$7)*W5</f>
        <v>18.806999999999999</v>
      </c>
      <c r="Y5" s="26">
        <f>8.5+(0.09247+H$7+N$7)*W5</f>
        <v>20.865000000000002</v>
      </c>
      <c r="Z5" s="26">
        <f t="shared" ref="Z5:Z22" si="0">Y5-X5</f>
        <v>2.0580000000000034</v>
      </c>
      <c r="AA5" s="38">
        <f t="shared" ref="AA5:AA22" si="1">Z5/X5*100</f>
        <v>10.94273408837137</v>
      </c>
    </row>
    <row r="6" spans="2:27">
      <c r="B6" s="39"/>
      <c r="C6" s="40"/>
      <c r="D6" s="39"/>
      <c r="E6" s="39"/>
      <c r="F6" s="39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2"/>
      <c r="V6" s="94"/>
      <c r="W6" s="37">
        <v>200</v>
      </c>
      <c r="X6" s="26">
        <f t="shared" ref="X6:X10" si="2">8.5+(0.09247+G$7+M$7)*W6</f>
        <v>29.113999999999997</v>
      </c>
      <c r="Y6" s="26">
        <f t="shared" ref="Y6:Y10" si="3">8.5+(0.09247+H$7+N$7)*W6</f>
        <v>33.230000000000004</v>
      </c>
      <c r="Z6" s="26">
        <f t="shared" si="0"/>
        <v>4.1160000000000068</v>
      </c>
      <c r="AA6" s="38">
        <f t="shared" si="1"/>
        <v>14.137528336882625</v>
      </c>
    </row>
    <row r="7" spans="2:27">
      <c r="B7" s="20" t="s">
        <v>21</v>
      </c>
      <c r="C7" s="41" t="s">
        <v>2</v>
      </c>
      <c r="D7" s="29">
        <f t="shared" ref="D7:F12" si="4">SUMIFS(D$33:D$70,$B$33:$B$70,$B7)</f>
        <v>110741.69655913977</v>
      </c>
      <c r="E7" s="29">
        <f t="shared" si="4"/>
        <v>1631466.9598382837</v>
      </c>
      <c r="F7" s="29">
        <f t="shared" si="4"/>
        <v>179171.91317847537</v>
      </c>
      <c r="G7" s="42">
        <v>1.0120000000000001E-2</v>
      </c>
      <c r="H7" s="42">
        <f>ROUND(R$31*E7/E$24/U7,5)+G7</f>
        <v>3.0360000000000002E-2</v>
      </c>
      <c r="I7" s="5">
        <f t="shared" ref="I7:J12" si="5">$U7*G7</f>
        <v>16510.445633563431</v>
      </c>
      <c r="J7" s="5">
        <f t="shared" si="5"/>
        <v>49531.336900690294</v>
      </c>
      <c r="K7" s="43">
        <f t="shared" ref="K7:K12" si="6">J7-I7</f>
        <v>33020.891267126863</v>
      </c>
      <c r="L7" s="44">
        <f t="shared" ref="L7:L12" si="7">K7/$F7*100</f>
        <v>18.429725218279241</v>
      </c>
      <c r="M7" s="42">
        <v>4.8000000000000001E-4</v>
      </c>
      <c r="N7" s="42">
        <f>ROUND(S$31*V7/U7/100,5)+M7</f>
        <v>8.1999999999999998E-4</v>
      </c>
      <c r="O7" s="5">
        <f t="shared" ref="O7:P12" si="8">$U7*M7</f>
        <v>783.1041407223762</v>
      </c>
      <c r="P7" s="5">
        <f t="shared" si="8"/>
        <v>1337.8029070673927</v>
      </c>
      <c r="Q7" s="43">
        <f>P7-O7</f>
        <v>554.69876634501645</v>
      </c>
      <c r="R7" s="44">
        <f t="shared" ref="R7:R12" si="9">Q7/$F7*100</f>
        <v>0.30959024576160782</v>
      </c>
      <c r="S7" s="43">
        <f>K7+Q7</f>
        <v>33575.590033471883</v>
      </c>
      <c r="T7" s="44">
        <f t="shared" ref="T7:T12" si="10">S7/$F7*100</f>
        <v>18.73931546404085</v>
      </c>
      <c r="U7" s="29">
        <f>SUMIFS(U$33:U$69,B$33:B$69,B7)</f>
        <v>1631466.9598382837</v>
      </c>
      <c r="V7" s="131">
        <v>43.930627692172401</v>
      </c>
      <c r="W7" s="37">
        <v>300</v>
      </c>
      <c r="X7" s="26">
        <f t="shared" si="2"/>
        <v>39.420999999999999</v>
      </c>
      <c r="Y7" s="26">
        <f t="shared" si="3"/>
        <v>45.594999999999999</v>
      </c>
      <c r="Z7" s="26">
        <f t="shared" si="0"/>
        <v>6.1739999999999995</v>
      </c>
      <c r="AA7" s="38">
        <f t="shared" si="1"/>
        <v>15.661703153141726</v>
      </c>
    </row>
    <row r="8" spans="2:27">
      <c r="B8" s="20" t="s">
        <v>22</v>
      </c>
      <c r="C8" s="41" t="s">
        <v>3</v>
      </c>
      <c r="D8" s="29">
        <f t="shared" si="4"/>
        <v>20813.865258751903</v>
      </c>
      <c r="E8" s="29">
        <f t="shared" si="4"/>
        <v>547764.80929518421</v>
      </c>
      <c r="F8" s="29">
        <f t="shared" si="4"/>
        <v>59103.298529717766</v>
      </c>
      <c r="G8" s="42">
        <v>9.9000000000000008E-3</v>
      </c>
      <c r="H8" s="42">
        <f>ROUND(R$31*E8/E$24/U8,5)+G8</f>
        <v>3.014E-2</v>
      </c>
      <c r="I8" s="5">
        <f t="shared" si="5"/>
        <v>5422.8716120223244</v>
      </c>
      <c r="J8" s="5">
        <f t="shared" si="5"/>
        <v>16509.631352156852</v>
      </c>
      <c r="K8" s="43">
        <f t="shared" si="6"/>
        <v>11086.759740134527</v>
      </c>
      <c r="L8" s="44">
        <f t="shared" si="7"/>
        <v>18.758275791595601</v>
      </c>
      <c r="M8" s="42">
        <v>4.2000000000000002E-4</v>
      </c>
      <c r="N8" s="42">
        <f>ROUND(S$31*V8/U8/100,5)+M8</f>
        <v>7.1000000000000002E-4</v>
      </c>
      <c r="O8" s="5">
        <f t="shared" si="8"/>
        <v>230.06121990397739</v>
      </c>
      <c r="P8" s="5">
        <f t="shared" si="8"/>
        <v>388.91301459958078</v>
      </c>
      <c r="Q8" s="43">
        <f>P8-O8</f>
        <v>158.85179469560339</v>
      </c>
      <c r="R8" s="44">
        <f t="shared" si="9"/>
        <v>0.26876976183610296</v>
      </c>
      <c r="S8" s="43">
        <f t="shared" ref="S8:S17" si="11">K8+Q8</f>
        <v>11245.61153483013</v>
      </c>
      <c r="T8" s="44">
        <f t="shared" si="10"/>
        <v>19.027045553431705</v>
      </c>
      <c r="U8" s="29">
        <f t="shared" ref="U8:U17" si="12">SUMIFS(U$33:U$69,B$33:B$69,B8)</f>
        <v>547764.80929518421</v>
      </c>
      <c r="V8" s="131">
        <v>12.465157834340999</v>
      </c>
      <c r="W8" s="37">
        <v>400</v>
      </c>
      <c r="X8" s="26">
        <f t="shared" si="2"/>
        <v>49.727999999999994</v>
      </c>
      <c r="Y8" s="26">
        <f t="shared" si="3"/>
        <v>57.96</v>
      </c>
      <c r="Z8" s="26">
        <f t="shared" si="0"/>
        <v>8.2320000000000064</v>
      </c>
      <c r="AA8" s="38">
        <f t="shared" si="1"/>
        <v>16.554054054054067</v>
      </c>
    </row>
    <row r="9" spans="2:27">
      <c r="B9" s="20" t="s">
        <v>23</v>
      </c>
      <c r="C9" s="41" t="s">
        <v>24</v>
      </c>
      <c r="D9" s="29">
        <f t="shared" si="4"/>
        <v>1070.5694444444446</v>
      </c>
      <c r="E9" s="29">
        <f t="shared" si="4"/>
        <v>932596.84183813736</v>
      </c>
      <c r="F9" s="29">
        <f t="shared" si="4"/>
        <v>86289.812993745058</v>
      </c>
      <c r="G9" s="42">
        <v>9.8899999999999995E-3</v>
      </c>
      <c r="H9" s="42">
        <f>ROUND(R$31*E9/E$24/U9,5)+G9</f>
        <v>3.0130000000000001E-2</v>
      </c>
      <c r="I9" s="5">
        <f t="shared" si="5"/>
        <v>9223.3827657791771</v>
      </c>
      <c r="J9" s="5">
        <f t="shared" si="5"/>
        <v>28099.142844583079</v>
      </c>
      <c r="K9" s="43">
        <f t="shared" si="6"/>
        <v>18875.760078803902</v>
      </c>
      <c r="L9" s="44">
        <f t="shared" si="7"/>
        <v>21.874841796414788</v>
      </c>
      <c r="M9" s="42">
        <v>4.0999999999999999E-4</v>
      </c>
      <c r="N9" s="42">
        <f>ROUND(S$31*V9/U9/100,5)+M9</f>
        <v>6.8999999999999997E-4</v>
      </c>
      <c r="O9" s="5">
        <f t="shared" si="8"/>
        <v>382.36470515363629</v>
      </c>
      <c r="P9" s="5">
        <f t="shared" si="8"/>
        <v>643.49182086831479</v>
      </c>
      <c r="Q9" s="43">
        <f>P9-O9</f>
        <v>261.1271157146785</v>
      </c>
      <c r="R9" s="44">
        <f t="shared" si="9"/>
        <v>0.30261638848795164</v>
      </c>
      <c r="S9" s="43">
        <f t="shared" si="11"/>
        <v>19136.887194518582</v>
      </c>
      <c r="T9" s="44">
        <f t="shared" si="10"/>
        <v>22.17745818490274</v>
      </c>
      <c r="U9" s="29">
        <f t="shared" si="12"/>
        <v>932596.84183813736</v>
      </c>
      <c r="V9" s="131">
        <v>20.573393331769001</v>
      </c>
      <c r="W9" s="37">
        <v>500</v>
      </c>
      <c r="X9" s="26">
        <f t="shared" si="2"/>
        <v>60.034999999999997</v>
      </c>
      <c r="Y9" s="26">
        <f t="shared" si="3"/>
        <v>70.324999999999989</v>
      </c>
      <c r="Z9" s="26">
        <f t="shared" si="0"/>
        <v>10.289999999999992</v>
      </c>
      <c r="AA9" s="38">
        <f t="shared" si="1"/>
        <v>17.140001665694999</v>
      </c>
    </row>
    <row r="10" spans="2:27">
      <c r="B10" s="20" t="s">
        <v>25</v>
      </c>
      <c r="C10" s="41" t="s">
        <v>55</v>
      </c>
      <c r="D10" s="29">
        <f t="shared" si="4"/>
        <v>67.444444444444443</v>
      </c>
      <c r="E10" s="29">
        <f t="shared" si="4"/>
        <v>378385.79511939187</v>
      </c>
      <c r="F10" s="29">
        <f t="shared" si="4"/>
        <v>32659.657678970903</v>
      </c>
      <c r="G10" s="42">
        <v>9.8300000000000002E-3</v>
      </c>
      <c r="H10" s="42">
        <f>ROUND(R$31*(E10+E11)/E$24/(U10+U11),5)+G10</f>
        <v>3.007E-2</v>
      </c>
      <c r="I10" s="5">
        <f t="shared" si="5"/>
        <v>3719.5323660236222</v>
      </c>
      <c r="J10" s="5">
        <f t="shared" si="5"/>
        <v>11378.060859240113</v>
      </c>
      <c r="K10" s="43">
        <f t="shared" si="6"/>
        <v>7658.5284932164905</v>
      </c>
      <c r="L10" s="44">
        <f t="shared" si="7"/>
        <v>23.44950632519247</v>
      </c>
      <c r="M10" s="42">
        <v>3.6000000000000002E-4</v>
      </c>
      <c r="N10" s="42">
        <f>ROUND(S$31*(V10+V11)/(U10+U11)/100,5)+M10</f>
        <v>6.2E-4</v>
      </c>
      <c r="O10" s="5">
        <f t="shared" si="8"/>
        <v>136.21888624298109</v>
      </c>
      <c r="P10" s="5">
        <f t="shared" si="8"/>
        <v>234.59919297402297</v>
      </c>
      <c r="Q10" s="43">
        <f>P10-O10</f>
        <v>98.380306731041884</v>
      </c>
      <c r="R10" s="44">
        <f t="shared" si="9"/>
        <v>0.30122883619318397</v>
      </c>
      <c r="S10" s="43">
        <f t="shared" si="11"/>
        <v>7756.9087999475323</v>
      </c>
      <c r="T10" s="44">
        <f t="shared" si="10"/>
        <v>23.750735161385656</v>
      </c>
      <c r="U10" s="29">
        <f t="shared" si="12"/>
        <v>378385.79511939187</v>
      </c>
      <c r="V10" s="131">
        <v>8.1526788451186505</v>
      </c>
      <c r="W10" s="46">
        <v>600</v>
      </c>
      <c r="X10" s="26">
        <f t="shared" si="2"/>
        <v>70.341999999999999</v>
      </c>
      <c r="Y10" s="26">
        <f t="shared" si="3"/>
        <v>82.69</v>
      </c>
      <c r="Z10" s="47">
        <f t="shared" si="0"/>
        <v>12.347999999999999</v>
      </c>
      <c r="AA10" s="48">
        <f t="shared" si="1"/>
        <v>17.554235023172499</v>
      </c>
    </row>
    <row r="11" spans="2:27">
      <c r="B11" s="20" t="s">
        <v>26</v>
      </c>
      <c r="C11" s="41" t="s">
        <v>27</v>
      </c>
      <c r="D11" s="29">
        <f t="shared" si="4"/>
        <v>1</v>
      </c>
      <c r="E11" s="29">
        <f t="shared" si="4"/>
        <v>544168.56528857455</v>
      </c>
      <c r="F11" s="29">
        <f t="shared" si="4"/>
        <v>39291.381198894938</v>
      </c>
      <c r="G11" s="42">
        <v>9.8300000000000002E-3</v>
      </c>
      <c r="H11" s="42">
        <f>ROUND(R$31*(E10+E11)/E$24/(U10+U11),5)+G11</f>
        <v>3.007E-2</v>
      </c>
      <c r="I11" s="5">
        <f t="shared" si="5"/>
        <v>5349.1769967866876</v>
      </c>
      <c r="J11" s="5">
        <f t="shared" si="5"/>
        <v>16363.148758227437</v>
      </c>
      <c r="K11" s="43">
        <f t="shared" si="6"/>
        <v>11013.971761440749</v>
      </c>
      <c r="L11" s="44">
        <f t="shared" si="7"/>
        <v>28.031520973231949</v>
      </c>
      <c r="M11" s="42">
        <v>3.6000000000000002E-4</v>
      </c>
      <c r="N11" s="42">
        <f>ROUND(S$31*(V10+V11)/(U10+U11)/100,5)+M11</f>
        <v>6.2E-4</v>
      </c>
      <c r="O11" s="5">
        <f t="shared" si="8"/>
        <v>195.90068350388685</v>
      </c>
      <c r="P11" s="5">
        <f t="shared" si="8"/>
        <v>337.38451047891624</v>
      </c>
      <c r="Q11" s="43">
        <f>P11-O11</f>
        <v>141.48382697502939</v>
      </c>
      <c r="R11" s="44">
        <f t="shared" si="9"/>
        <v>0.36008870815416533</v>
      </c>
      <c r="S11" s="43">
        <f t="shared" si="11"/>
        <v>11155.455588415778</v>
      </c>
      <c r="T11" s="44">
        <f t="shared" si="10"/>
        <v>28.391609681386111</v>
      </c>
      <c r="U11" s="29">
        <f t="shared" si="12"/>
        <v>544168.56528857455</v>
      </c>
      <c r="V11" s="131">
        <v>10.9883940503413</v>
      </c>
      <c r="W11" s="37">
        <v>700</v>
      </c>
      <c r="X11" s="123">
        <f>8.5+(0.09247+G$7+M$7)*600+(0.10708+G$7+M$7)*(W11-600)</f>
        <v>82.11</v>
      </c>
      <c r="Y11" s="49">
        <f>8.5+(0.09247+H$7+N$7)*600+(0.10708+H$7+N$7)*(W11-600)</f>
        <v>96.515999999999991</v>
      </c>
      <c r="Z11" s="121">
        <f t="shared" si="0"/>
        <v>14.405999999999992</v>
      </c>
      <c r="AA11" s="50">
        <f t="shared" si="1"/>
        <v>17.544757033248072</v>
      </c>
    </row>
    <row r="12" spans="2:27">
      <c r="B12" s="20" t="s">
        <v>28</v>
      </c>
      <c r="C12" s="41" t="s">
        <v>4</v>
      </c>
      <c r="D12" s="29">
        <f t="shared" si="4"/>
        <v>5140.8634747118504</v>
      </c>
      <c r="E12" s="29">
        <f t="shared" si="4"/>
        <v>152841.48716573825</v>
      </c>
      <c r="F12" s="29">
        <f t="shared" si="4"/>
        <v>14721.232322454847</v>
      </c>
      <c r="G12" s="42">
        <v>9.4599999999999997E-3</v>
      </c>
      <c r="H12" s="42">
        <f>ROUND(R$31*E12/E$24/U12,5)+G12</f>
        <v>2.9700000000000001E-2</v>
      </c>
      <c r="I12" s="5">
        <f t="shared" si="5"/>
        <v>1445.8804685878838</v>
      </c>
      <c r="J12" s="5">
        <f t="shared" si="5"/>
        <v>4539.3921688224264</v>
      </c>
      <c r="K12" s="43">
        <f t="shared" si="6"/>
        <v>3093.5117002345423</v>
      </c>
      <c r="L12" s="44">
        <f t="shared" si="7"/>
        <v>21.013945249107259</v>
      </c>
      <c r="M12" s="42">
        <v>4.2000000000000002E-4</v>
      </c>
      <c r="N12" s="42">
        <f>ROUND(S$31*V12/U12/100,5)+M12</f>
        <v>7.2999999999999996E-4</v>
      </c>
      <c r="O12" s="5">
        <f t="shared" si="8"/>
        <v>64.193424609610062</v>
      </c>
      <c r="P12" s="5">
        <f t="shared" si="8"/>
        <v>111.57428563098891</v>
      </c>
      <c r="Q12" s="43">
        <f t="shared" ref="Q12:Q15" si="13">P12-O12</f>
        <v>47.380861021378848</v>
      </c>
      <c r="R12" s="44">
        <f t="shared" si="9"/>
        <v>0.32185390450707746</v>
      </c>
      <c r="S12" s="43">
        <f t="shared" si="11"/>
        <v>3140.892561255921</v>
      </c>
      <c r="T12" s="44">
        <f t="shared" si="10"/>
        <v>21.335799153614335</v>
      </c>
      <c r="U12" s="29">
        <f t="shared" si="12"/>
        <v>152841.48716573825</v>
      </c>
      <c r="V12" s="131">
        <v>3.7775340035184901</v>
      </c>
      <c r="W12" s="37">
        <v>800</v>
      </c>
      <c r="X12" s="124">
        <f t="shared" ref="X12:X22" si="14">8.5+(0.09247+G$7+M$7)*600+(0.10708+G$7+M$7)*(W12-600)</f>
        <v>93.878</v>
      </c>
      <c r="Y12" s="26">
        <f t="shared" ref="Y12:Y22" si="15">8.5+(0.09247+H$7+N$7)*600+(0.10708+H$7+N$7)*(W12-600)</f>
        <v>110.342</v>
      </c>
      <c r="Z12" s="122">
        <f t="shared" si="0"/>
        <v>16.463999999999999</v>
      </c>
      <c r="AA12" s="38">
        <f t="shared" si="1"/>
        <v>17.537655254692258</v>
      </c>
    </row>
    <row r="13" spans="2:27">
      <c r="B13" s="20"/>
      <c r="C13" s="41"/>
      <c r="D13" s="29"/>
      <c r="E13" s="29"/>
      <c r="F13" s="29"/>
      <c r="G13" s="42"/>
      <c r="H13" s="42"/>
      <c r="I13" s="5"/>
      <c r="J13" s="5"/>
      <c r="K13" s="43"/>
      <c r="L13" s="44"/>
      <c r="M13" s="42"/>
      <c r="N13" s="42"/>
      <c r="O13" s="5"/>
      <c r="P13" s="5"/>
      <c r="Q13" s="43"/>
      <c r="R13" s="44"/>
      <c r="S13" s="43"/>
      <c r="T13" s="44"/>
      <c r="U13" s="29"/>
      <c r="V13" s="132"/>
      <c r="W13" s="37">
        <v>900</v>
      </c>
      <c r="X13" s="124">
        <f t="shared" si="14"/>
        <v>105.64599999999999</v>
      </c>
      <c r="Y13" s="26">
        <f t="shared" si="15"/>
        <v>124.16800000000001</v>
      </c>
      <c r="Z13" s="122">
        <f t="shared" si="0"/>
        <v>18.52200000000002</v>
      </c>
      <c r="AA13" s="38">
        <f t="shared" si="1"/>
        <v>17.532135622740117</v>
      </c>
    </row>
    <row r="14" spans="2:27">
      <c r="B14" s="20" t="s">
        <v>29</v>
      </c>
      <c r="C14" s="41" t="s">
        <v>30</v>
      </c>
      <c r="D14" s="29">
        <f>SUMIFS(D$33:D$70,$B$33:$B$70,$B14)</f>
        <v>225.91666666666666</v>
      </c>
      <c r="E14" s="29">
        <f t="shared" ref="E14:E17" si="16">SUMIFS(E$33:E$70,$B$33:$B$70,$B14)</f>
        <v>1820.2173769310609</v>
      </c>
      <c r="F14" s="29">
        <f>SUMIFS(F$33:F$70,$B$33:$B$70,$B14)</f>
        <v>474.93427289223689</v>
      </c>
      <c r="G14" s="42">
        <v>3.329E-2</v>
      </c>
      <c r="H14" s="42">
        <f>ROUND(R$31*E14/E$24/U14,5)+G14</f>
        <v>5.3589999999999999E-2</v>
      </c>
      <c r="I14" s="5">
        <f t="shared" ref="I14:J17" si="17">$U14*G14</f>
        <v>60.44098661896561</v>
      </c>
      <c r="J14" s="5">
        <f t="shared" si="17"/>
        <v>97.297460886463412</v>
      </c>
      <c r="K14" s="43">
        <f>J14-I14</f>
        <v>36.856474267497802</v>
      </c>
      <c r="L14" s="44">
        <f>K14/$F14*100</f>
        <v>7.7603315597862901</v>
      </c>
      <c r="M14" s="42">
        <v>7.6000000000000004E-4</v>
      </c>
      <c r="N14" s="42">
        <f>ROUND(S$31*V14/U14/100,5)+M14</f>
        <v>9.6000000000000002E-4</v>
      </c>
      <c r="O14" s="5">
        <f t="shared" ref="O14:P17" si="18">$U14*M14</f>
        <v>1.3798482976994253</v>
      </c>
      <c r="P14" s="5">
        <f t="shared" si="18"/>
        <v>1.7429662707782214</v>
      </c>
      <c r="Q14" s="43">
        <f t="shared" si="13"/>
        <v>0.36311797307879612</v>
      </c>
      <c r="R14" s="44">
        <f>Q14/$F14*100</f>
        <v>7.6456468569323061E-2</v>
      </c>
      <c r="S14" s="43">
        <f t="shared" si="11"/>
        <v>37.219592240576596</v>
      </c>
      <c r="T14" s="44">
        <f>S14/$F14*100</f>
        <v>7.8367880283556124</v>
      </c>
      <c r="U14" s="29">
        <f t="shared" si="12"/>
        <v>1815.5898653939805</v>
      </c>
      <c r="V14" s="131">
        <f>E14/E$18*0.112214242739157</f>
        <v>2.9376765882842017E-2</v>
      </c>
      <c r="W14" s="37">
        <v>1000</v>
      </c>
      <c r="X14" s="124">
        <f t="shared" si="14"/>
        <v>117.41399999999999</v>
      </c>
      <c r="Y14" s="26">
        <f t="shared" si="15"/>
        <v>137.994</v>
      </c>
      <c r="Z14" s="122">
        <f t="shared" si="0"/>
        <v>20.580000000000013</v>
      </c>
      <c r="AA14" s="38">
        <f t="shared" si="1"/>
        <v>17.52772241811029</v>
      </c>
    </row>
    <row r="15" spans="2:27">
      <c r="B15" s="20" t="s">
        <v>31</v>
      </c>
      <c r="C15" s="41" t="s">
        <v>32</v>
      </c>
      <c r="D15" s="29">
        <f>SUMIFS(D$33:D$70,$B$33:$B$70,$B15)</f>
        <v>232.58333333333334</v>
      </c>
      <c r="E15" s="29">
        <f t="shared" si="16"/>
        <v>1961.4729048762861</v>
      </c>
      <c r="F15" s="29">
        <f>SUMIFS(F$33:F$70,$B$33:$B$70,$B15)</f>
        <v>110.14583765693475</v>
      </c>
      <c r="G15" s="42">
        <v>9.7199999999999995E-3</v>
      </c>
      <c r="H15" s="42">
        <f>ROUND(R$31*E15/E$24/U15,5)+G15</f>
        <v>2.9960000000000001E-2</v>
      </c>
      <c r="I15" s="5">
        <f t="shared" si="17"/>
        <v>19.065516635397501</v>
      </c>
      <c r="J15" s="5">
        <f t="shared" si="17"/>
        <v>58.765728230093529</v>
      </c>
      <c r="K15" s="43">
        <f>J15-I15</f>
        <v>39.700211594696029</v>
      </c>
      <c r="L15" s="44">
        <f>K15/$F15*100</f>
        <v>36.043315334663959</v>
      </c>
      <c r="M15" s="42">
        <v>2.2000000000000001E-4</v>
      </c>
      <c r="N15" s="42">
        <f>ROUND(S$31*V15/U15/100,5)+M15</f>
        <v>4.2000000000000002E-4</v>
      </c>
      <c r="O15" s="5">
        <f t="shared" si="18"/>
        <v>0.43152403907278297</v>
      </c>
      <c r="P15" s="5">
        <f t="shared" si="18"/>
        <v>0.82381862004804018</v>
      </c>
      <c r="Q15" s="43">
        <f t="shared" si="13"/>
        <v>0.39229458097525721</v>
      </c>
      <c r="R15" s="44">
        <f>Q15/$F15*100</f>
        <v>0.35615924243739089</v>
      </c>
      <c r="S15" s="43">
        <f t="shared" si="11"/>
        <v>40.092506175671289</v>
      </c>
      <c r="T15" s="44">
        <f>S15/$F15*100</f>
        <v>36.399474577101351</v>
      </c>
      <c r="U15" s="29">
        <f t="shared" si="12"/>
        <v>1961.4729048762861</v>
      </c>
      <c r="V15" s="131">
        <f>E15/E$18*0.112214242739157</f>
        <v>3.1656510393962181E-2</v>
      </c>
      <c r="W15" s="37">
        <v>1100</v>
      </c>
      <c r="X15" s="124">
        <f t="shared" si="14"/>
        <v>129.18199999999999</v>
      </c>
      <c r="Y15" s="26">
        <f t="shared" si="15"/>
        <v>151.82</v>
      </c>
      <c r="Z15" s="122">
        <f t="shared" si="0"/>
        <v>22.638000000000005</v>
      </c>
      <c r="AA15" s="38">
        <f t="shared" si="1"/>
        <v>17.524113266554171</v>
      </c>
    </row>
    <row r="16" spans="2:27">
      <c r="B16" s="20" t="s">
        <v>33</v>
      </c>
      <c r="C16" s="41" t="s">
        <v>34</v>
      </c>
      <c r="D16" s="29">
        <f>SUMIFS(D$33:D$70,$B$33:$B$70,$B16)</f>
        <v>2208.4166666666665</v>
      </c>
      <c r="E16" s="29">
        <f t="shared" si="16"/>
        <v>2856.7467026120999</v>
      </c>
      <c r="F16" s="29">
        <f>SUMIFS(F$33:F$70,$B$33:$B$70,$B16)</f>
        <v>301.67748452170582</v>
      </c>
      <c r="G16" s="42">
        <v>3.329E-2</v>
      </c>
      <c r="H16" s="42">
        <f>ROUND(R$31*E16/E$24/U16,5)+G16</f>
        <v>0.11312</v>
      </c>
      <c r="I16" s="5">
        <f t="shared" si="17"/>
        <v>24.118798228519172</v>
      </c>
      <c r="J16" s="5">
        <f t="shared" si="17"/>
        <v>81.95609659387469</v>
      </c>
      <c r="K16" s="43">
        <f>J16-I16</f>
        <v>57.837298365355522</v>
      </c>
      <c r="L16" s="44">
        <f>K16/$F16*100</f>
        <v>19.171897583624311</v>
      </c>
      <c r="M16" s="42">
        <v>7.6000000000000004E-4</v>
      </c>
      <c r="N16" s="42">
        <f>ROUND(S$31*V16/U16/100,5)+M16</f>
        <v>1.5600000000000002E-3</v>
      </c>
      <c r="O16" s="5">
        <f t="shared" si="18"/>
        <v>0.55062441134498563</v>
      </c>
      <c r="P16" s="5">
        <f t="shared" si="18"/>
        <v>1.1302290548660232</v>
      </c>
      <c r="Q16" s="43">
        <f>P16-O16</f>
        <v>0.57960464352103758</v>
      </c>
      <c r="R16" s="44">
        <f>Q16/$F16*100</f>
        <v>0.19212724623449146</v>
      </c>
      <c r="S16" s="43">
        <f t="shared" si="11"/>
        <v>58.41690300887656</v>
      </c>
      <c r="T16" s="44">
        <f>S16/$F16*100</f>
        <v>19.364024829858803</v>
      </c>
      <c r="U16" s="29">
        <f t="shared" si="12"/>
        <v>724.50580440129681</v>
      </c>
      <c r="V16" s="131">
        <f>E16/E$18*0.112214242739157</f>
        <v>4.6105470771140231E-2</v>
      </c>
      <c r="W16" s="37">
        <v>1200</v>
      </c>
      <c r="X16" s="124">
        <f t="shared" si="14"/>
        <v>140.94999999999999</v>
      </c>
      <c r="Y16" s="26">
        <f t="shared" si="15"/>
        <v>165.64600000000002</v>
      </c>
      <c r="Z16" s="122">
        <f t="shared" si="0"/>
        <v>24.696000000000026</v>
      </c>
      <c r="AA16" s="38">
        <f t="shared" si="1"/>
        <v>17.521106775452306</v>
      </c>
    </row>
    <row r="17" spans="1:27">
      <c r="B17" s="20" t="s">
        <v>35</v>
      </c>
      <c r="C17" s="41" t="s">
        <v>36</v>
      </c>
      <c r="D17" s="29">
        <f>SUMIFS(D$33:D$70,$B$33:$B$70,$B17)</f>
        <v>25.575035561877666</v>
      </c>
      <c r="E17" s="29">
        <f t="shared" si="16"/>
        <v>314.48340809632003</v>
      </c>
      <c r="F17" s="29">
        <f>SUMIFS(F$33:F$70,$B$33:$B$70,$B17)</f>
        <v>21.721917747128039</v>
      </c>
      <c r="G17" s="42">
        <v>9.9000000000000008E-3</v>
      </c>
      <c r="H17" s="42">
        <f>ROUND(R$31*E17/E$24/U17,5)+G17</f>
        <v>3.014E-2</v>
      </c>
      <c r="I17" s="5">
        <f t="shared" si="17"/>
        <v>3.1133857401535687</v>
      </c>
      <c r="J17" s="5">
        <f t="shared" si="17"/>
        <v>9.4785299200230853</v>
      </c>
      <c r="K17" s="43">
        <f>J17-I17</f>
        <v>6.3651441798695165</v>
      </c>
      <c r="L17" s="44">
        <f>K17/$F17*100</f>
        <v>29.302864756087587</v>
      </c>
      <c r="M17" s="42">
        <v>2.2000000000000001E-4</v>
      </c>
      <c r="N17" s="42">
        <f>ROUND(S$31*V17/U17/100,5)+M17</f>
        <v>4.2000000000000002E-4</v>
      </c>
      <c r="O17" s="5">
        <f t="shared" si="18"/>
        <v>6.9186349781190412E-2</v>
      </c>
      <c r="P17" s="5">
        <f t="shared" si="18"/>
        <v>0.13208303140045441</v>
      </c>
      <c r="Q17" s="43">
        <f>P17-O17</f>
        <v>6.2896681619263997E-2</v>
      </c>
      <c r="R17" s="44">
        <f>Q17/$F17*100</f>
        <v>0.28955399956608285</v>
      </c>
      <c r="S17" s="43">
        <f t="shared" si="11"/>
        <v>6.428040861488781</v>
      </c>
      <c r="T17" s="44">
        <f>S17/$F17*100</f>
        <v>29.592418755653672</v>
      </c>
      <c r="U17" s="59">
        <f t="shared" si="12"/>
        <v>314.48340809632003</v>
      </c>
      <c r="V17" s="133">
        <f>E17/E$18*0.112214242739157</f>
        <v>5.0754956912125769E-3</v>
      </c>
      <c r="W17" s="37">
        <v>1300</v>
      </c>
      <c r="X17" s="124">
        <f t="shared" si="14"/>
        <v>152.71799999999999</v>
      </c>
      <c r="Y17" s="26">
        <f t="shared" si="15"/>
        <v>179.47199999999998</v>
      </c>
      <c r="Z17" s="122">
        <f t="shared" si="0"/>
        <v>26.753999999999991</v>
      </c>
      <c r="AA17" s="38">
        <f t="shared" si="1"/>
        <v>17.518563627077352</v>
      </c>
    </row>
    <row r="18" spans="1:27">
      <c r="B18" s="52" t="s">
        <v>37</v>
      </c>
      <c r="C18" s="53" t="s">
        <v>38</v>
      </c>
      <c r="D18" s="54">
        <f>SUM(D14:D17)</f>
        <v>2692.491702228544</v>
      </c>
      <c r="E18" s="54">
        <f t="shared" ref="E18:F18" si="19">SUM(E14:E17)</f>
        <v>6952.9203925157663</v>
      </c>
      <c r="F18" s="54">
        <f t="shared" si="19"/>
        <v>908.47951281800545</v>
      </c>
      <c r="G18" s="54"/>
      <c r="H18" s="54"/>
      <c r="I18" s="54">
        <f>SUM(I14:I17)</f>
        <v>106.73868722303585</v>
      </c>
      <c r="J18" s="54">
        <f>SUM(J14:J17)</f>
        <v>247.49781563045471</v>
      </c>
      <c r="K18" s="54">
        <f>SUM(K14:K17)</f>
        <v>140.75912840741887</v>
      </c>
      <c r="L18" s="55">
        <f>K18/$F18*100</f>
        <v>15.493924345173093</v>
      </c>
      <c r="M18" s="54"/>
      <c r="N18" s="54"/>
      <c r="O18" s="54">
        <f>SUM(O14:O17)</f>
        <v>2.4311830978983844</v>
      </c>
      <c r="P18" s="54">
        <f>SUM(P14:P17)</f>
        <v>3.8290969770927394</v>
      </c>
      <c r="Q18" s="54">
        <f>SUM(Q14:Q17)</f>
        <v>1.3979138791943548</v>
      </c>
      <c r="R18" s="55">
        <f>Q18/$F18*100</f>
        <v>0.15387401250889818</v>
      </c>
      <c r="S18" s="54">
        <f>SUM(S14:S17)</f>
        <v>142.15704228661323</v>
      </c>
      <c r="T18" s="55">
        <f>S18/$F18*100</f>
        <v>15.647798357681994</v>
      </c>
      <c r="U18" s="29"/>
      <c r="V18" s="129"/>
      <c r="W18" s="37">
        <v>1400</v>
      </c>
      <c r="X18" s="124">
        <f t="shared" si="14"/>
        <v>164.48599999999999</v>
      </c>
      <c r="Y18" s="26">
        <f t="shared" si="15"/>
        <v>193.298</v>
      </c>
      <c r="Z18" s="122">
        <f t="shared" si="0"/>
        <v>28.812000000000012</v>
      </c>
      <c r="AA18" s="38">
        <f t="shared" si="1"/>
        <v>17.516384373138148</v>
      </c>
    </row>
    <row r="19" spans="1:27">
      <c r="B19" s="14"/>
      <c r="C19" s="56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29"/>
      <c r="W19" s="37">
        <v>1500</v>
      </c>
      <c r="X19" s="124">
        <f t="shared" si="14"/>
        <v>176.25399999999999</v>
      </c>
      <c r="Y19" s="26">
        <f t="shared" si="15"/>
        <v>207.124</v>
      </c>
      <c r="Z19" s="122">
        <f t="shared" si="0"/>
        <v>30.870000000000005</v>
      </c>
      <c r="AA19" s="38">
        <f t="shared" si="1"/>
        <v>17.514496124910643</v>
      </c>
    </row>
    <row r="20" spans="1:27">
      <c r="B20" s="20" t="s">
        <v>39</v>
      </c>
      <c r="C20" s="31" t="s">
        <v>40</v>
      </c>
      <c r="D20" s="29"/>
      <c r="E20" s="29"/>
      <c r="F20" s="29">
        <f>SUMIFS(F$33:F$70,$B$33:$B$70,$B20)</f>
        <v>-294.83800000000002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W20" s="37">
        <v>1600</v>
      </c>
      <c r="X20" s="124">
        <f t="shared" si="14"/>
        <v>188.02199999999999</v>
      </c>
      <c r="Y20" s="26">
        <f t="shared" si="15"/>
        <v>220.95</v>
      </c>
      <c r="Z20" s="122">
        <f t="shared" si="0"/>
        <v>32.927999999999997</v>
      </c>
      <c r="AA20" s="38">
        <f t="shared" si="1"/>
        <v>17.512844241631299</v>
      </c>
    </row>
    <row r="21" spans="1:27">
      <c r="B21" s="20" t="s">
        <v>41</v>
      </c>
      <c r="C21" s="31" t="s">
        <v>40</v>
      </c>
      <c r="D21" s="29"/>
      <c r="E21" s="29"/>
      <c r="F21" s="29">
        <f>SUMIFS(F$33:F$70,$B$33:$B$70,$B21)</f>
        <v>-267.67099999999999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W21" s="37">
        <v>2000</v>
      </c>
      <c r="X21" s="124">
        <f t="shared" si="14"/>
        <v>235.09399999999999</v>
      </c>
      <c r="Y21" s="26">
        <f t="shared" si="15"/>
        <v>276.25400000000002</v>
      </c>
      <c r="Z21" s="122">
        <f t="shared" si="0"/>
        <v>41.160000000000025</v>
      </c>
      <c r="AA21" s="38">
        <f t="shared" si="1"/>
        <v>17.507890460836954</v>
      </c>
    </row>
    <row r="22" spans="1:27">
      <c r="B22" s="20" t="s">
        <v>42</v>
      </c>
      <c r="C22" s="31" t="s">
        <v>40</v>
      </c>
      <c r="D22" s="29"/>
      <c r="E22" s="29"/>
      <c r="F22" s="29">
        <f>SUMIFS(F$33:F$70,$B$33:$B$70,$B22)</f>
        <v>626.23389999999995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W22" s="37">
        <v>2600</v>
      </c>
      <c r="X22" s="125">
        <f t="shared" si="14"/>
        <v>305.702</v>
      </c>
      <c r="Y22" s="47">
        <f t="shared" si="15"/>
        <v>359.21</v>
      </c>
      <c r="Z22" s="122">
        <f t="shared" si="0"/>
        <v>53.507999999999981</v>
      </c>
      <c r="AA22" s="38">
        <f t="shared" si="1"/>
        <v>17.503320226887617</v>
      </c>
    </row>
    <row r="23" spans="1:27">
      <c r="B23" s="57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29"/>
      <c r="W23" s="61" t="s">
        <v>43</v>
      </c>
      <c r="X23" s="62"/>
      <c r="Y23" s="62"/>
      <c r="Z23" s="92"/>
      <c r="AA23" s="76"/>
    </row>
    <row r="24" spans="1:27">
      <c r="B24" s="31" t="s">
        <v>0</v>
      </c>
      <c r="C24" s="29" t="s">
        <v>0</v>
      </c>
      <c r="D24" s="31">
        <f>SUM(D7:D17)</f>
        <v>140527.93088372092</v>
      </c>
      <c r="E24" s="31">
        <f>SUM(E7:E17)</f>
        <v>4194177.3789378256</v>
      </c>
      <c r="F24" s="31">
        <f>SUM(F7:F17,F20:F22)</f>
        <v>412209.50031507685</v>
      </c>
      <c r="G24" s="31"/>
      <c r="H24" s="31"/>
      <c r="I24" s="31">
        <f>SUM(I7:I17)</f>
        <v>41778.028529986164</v>
      </c>
      <c r="J24" s="31">
        <f>SUM(J7:J17)</f>
        <v>126668.21069935066</v>
      </c>
      <c r="K24" s="31">
        <f>SUM(K7:K17)</f>
        <v>84890.182169364474</v>
      </c>
      <c r="L24" s="93">
        <f>K24/$F24*100</f>
        <v>20.593941213018557</v>
      </c>
      <c r="M24" s="31"/>
      <c r="N24" s="31"/>
      <c r="O24" s="31">
        <f>SUM(O7:O17)</f>
        <v>1794.2742432343664</v>
      </c>
      <c r="P24" s="31">
        <f>SUM(P7:P17)</f>
        <v>3057.5948285963086</v>
      </c>
      <c r="Q24" s="31">
        <f>SUM(Q7:Q17)</f>
        <v>1263.3205853619427</v>
      </c>
      <c r="R24" s="93">
        <f>Q24/$F24*100</f>
        <v>0.30647536856775737</v>
      </c>
      <c r="S24" s="31">
        <f>SUM(S7:S17)</f>
        <v>86153.502754726447</v>
      </c>
      <c r="T24" s="93">
        <f>S24/$F24*100</f>
        <v>20.900416581586324</v>
      </c>
      <c r="U24" s="29"/>
      <c r="W24" s="63" t="s">
        <v>44</v>
      </c>
      <c r="X24" s="62"/>
      <c r="Y24" s="62"/>
      <c r="Z24" s="62"/>
      <c r="AA24" s="45"/>
    </row>
    <row r="25" spans="1:27">
      <c r="B25" s="15" t="s">
        <v>45</v>
      </c>
      <c r="C25" s="95"/>
      <c r="D25" s="96"/>
      <c r="E25" s="96"/>
      <c r="F25" s="96"/>
      <c r="G25" s="96"/>
      <c r="H25" s="96"/>
      <c r="I25" s="92"/>
      <c r="J25" s="113"/>
      <c r="K25" s="92"/>
      <c r="L25" s="92"/>
      <c r="M25" s="92"/>
      <c r="N25" s="92"/>
      <c r="O25" s="92"/>
      <c r="P25" s="92"/>
      <c r="Q25" s="92"/>
      <c r="R25" s="92"/>
      <c r="S25" s="92"/>
      <c r="T25" s="76"/>
      <c r="U25" s="29"/>
      <c r="W25" s="37" t="s">
        <v>70</v>
      </c>
      <c r="X25" s="134"/>
      <c r="Y25" s="134"/>
      <c r="Z25" s="134"/>
      <c r="AA25" s="45"/>
    </row>
    <row r="26" spans="1:27">
      <c r="B26" s="65" t="s">
        <v>46</v>
      </c>
      <c r="C26" s="87"/>
      <c r="D26" s="64"/>
      <c r="E26" s="64"/>
      <c r="F26" s="64"/>
      <c r="G26" s="64"/>
      <c r="H26" s="64"/>
      <c r="I26" s="101"/>
      <c r="J26" s="101"/>
      <c r="K26" s="101"/>
      <c r="L26" s="62"/>
      <c r="M26" s="62"/>
      <c r="N26" s="62"/>
      <c r="O26" s="62"/>
      <c r="P26" s="62"/>
      <c r="Q26" s="62"/>
      <c r="R26" s="62"/>
      <c r="S26" s="62"/>
      <c r="T26" s="45"/>
      <c r="U26" s="29"/>
      <c r="W26" s="66" t="s">
        <v>47</v>
      </c>
      <c r="X26" s="134"/>
      <c r="Y26" s="134"/>
      <c r="Z26" s="134"/>
      <c r="AA26" s="45"/>
    </row>
    <row r="27" spans="1:27">
      <c r="B27" s="114" t="s">
        <v>48</v>
      </c>
      <c r="C27" s="89"/>
      <c r="D27" s="68"/>
      <c r="E27" s="68"/>
      <c r="F27" s="68"/>
      <c r="G27" s="68"/>
      <c r="H27" s="68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51"/>
      <c r="U27" s="29"/>
      <c r="W27" s="69" t="s">
        <v>49</v>
      </c>
      <c r="X27" s="70"/>
      <c r="Y27" s="70"/>
      <c r="Z27" s="70"/>
      <c r="AA27" s="51"/>
    </row>
    <row r="28" spans="1:27" s="72" customFormat="1" ht="15.75" customHeight="1">
      <c r="A28" s="71" t="s">
        <v>58</v>
      </c>
      <c r="B28" s="7"/>
      <c r="C28" s="7"/>
      <c r="D28" s="7"/>
      <c r="E28" s="7"/>
      <c r="F28" s="6"/>
      <c r="G28" s="6"/>
      <c r="H28" s="6"/>
      <c r="I28" s="6"/>
      <c r="J28" s="7"/>
      <c r="K28" s="7"/>
      <c r="L28" s="7"/>
      <c r="M28" s="7"/>
      <c r="N28" s="7"/>
      <c r="O28" s="7"/>
      <c r="P28" s="109"/>
      <c r="U28" s="31"/>
    </row>
    <row r="29" spans="1:27" s="73" customFormat="1" ht="15.75" customHeight="1">
      <c r="A29" s="74"/>
      <c r="B29" s="74"/>
      <c r="C29" s="75"/>
      <c r="D29" s="74"/>
      <c r="E29" s="74"/>
      <c r="F29" s="127"/>
      <c r="G29" s="104" t="s">
        <v>60</v>
      </c>
      <c r="H29" s="105"/>
      <c r="I29" s="105"/>
      <c r="J29" s="103"/>
      <c r="K29" s="104" t="s">
        <v>61</v>
      </c>
      <c r="L29" s="105"/>
      <c r="M29" s="105"/>
      <c r="N29" s="103"/>
      <c r="O29" s="106" t="s">
        <v>62</v>
      </c>
      <c r="P29" s="107"/>
      <c r="R29" s="71" t="s">
        <v>67</v>
      </c>
      <c r="S29" s="118"/>
      <c r="U29" s="36"/>
    </row>
    <row r="30" spans="1:27" s="73" customFormat="1" ht="15.75" customHeight="1">
      <c r="A30" s="74"/>
      <c r="B30" s="74"/>
      <c r="C30" s="75"/>
      <c r="D30" s="74" t="s">
        <v>12</v>
      </c>
      <c r="E30" s="74" t="s">
        <v>13</v>
      </c>
      <c r="F30" s="31" t="s">
        <v>71</v>
      </c>
      <c r="G30" s="76"/>
      <c r="H30" s="32"/>
      <c r="I30" s="32"/>
      <c r="J30" s="33" t="s">
        <v>11</v>
      </c>
      <c r="K30" s="76"/>
      <c r="L30" s="32"/>
      <c r="M30" s="32"/>
      <c r="N30" s="33" t="s">
        <v>11</v>
      </c>
      <c r="O30" s="32"/>
      <c r="P30" s="33" t="s">
        <v>11</v>
      </c>
      <c r="R30" s="119" t="s">
        <v>68</v>
      </c>
      <c r="S30" s="119" t="s">
        <v>69</v>
      </c>
      <c r="U30" s="31"/>
    </row>
    <row r="31" spans="1:27" s="82" customFormat="1" ht="15.75" customHeight="1">
      <c r="A31" s="77" t="s">
        <v>50</v>
      </c>
      <c r="B31" s="77" t="s">
        <v>19</v>
      </c>
      <c r="C31" s="78" t="s">
        <v>1</v>
      </c>
      <c r="D31" s="79" t="s">
        <v>20</v>
      </c>
      <c r="E31" s="79" t="s">
        <v>10</v>
      </c>
      <c r="F31" s="128" t="s">
        <v>9</v>
      </c>
      <c r="G31" s="80" t="s">
        <v>16</v>
      </c>
      <c r="H31" s="81" t="s">
        <v>17</v>
      </c>
      <c r="I31" s="81" t="s">
        <v>18</v>
      </c>
      <c r="J31" s="81" t="s">
        <v>18</v>
      </c>
      <c r="K31" s="80" t="s">
        <v>16</v>
      </c>
      <c r="L31" s="81" t="s">
        <v>17</v>
      </c>
      <c r="M31" s="81" t="s">
        <v>18</v>
      </c>
      <c r="N31" s="81" t="s">
        <v>18</v>
      </c>
      <c r="O31" s="81" t="s">
        <v>18</v>
      </c>
      <c r="P31" s="81" t="s">
        <v>18</v>
      </c>
      <c r="R31" s="120">
        <v>84910.746690850501</v>
      </c>
      <c r="S31" s="120">
        <v>1253.1829377844499</v>
      </c>
      <c r="U31" s="31"/>
    </row>
    <row r="32" spans="1:27" ht="15.75" customHeight="1">
      <c r="A32" s="32"/>
      <c r="B32" s="32"/>
      <c r="C32" s="14"/>
      <c r="D32" s="39"/>
      <c r="E32" s="39"/>
      <c r="F32" s="32"/>
      <c r="G32" s="32"/>
      <c r="H32" s="32"/>
      <c r="I32" s="83"/>
      <c r="J32" s="32"/>
      <c r="K32" s="32"/>
      <c r="L32" s="32"/>
      <c r="M32" s="83"/>
      <c r="N32" s="32"/>
      <c r="O32" s="83"/>
      <c r="P32" s="32"/>
      <c r="U32" s="29"/>
    </row>
    <row r="33" spans="1:21" ht="15.75" customHeight="1">
      <c r="A33" s="29" t="s">
        <v>21</v>
      </c>
      <c r="B33" s="31" t="s">
        <v>21</v>
      </c>
      <c r="C33" s="84" t="s">
        <v>2</v>
      </c>
      <c r="D33" s="31">
        <v>110741.69655913977</v>
      </c>
      <c r="E33" s="29">
        <v>1631466.9598382837</v>
      </c>
      <c r="F33" s="29">
        <v>179171.91317847537</v>
      </c>
      <c r="G33" s="29">
        <f t="shared" ref="G33:H36" si="20">SUMIFS(G$7:G$17,$B$7:$B$17,$B33)*$U33</f>
        <v>16510.445633563431</v>
      </c>
      <c r="H33" s="29">
        <f t="shared" si="20"/>
        <v>49531.336900690294</v>
      </c>
      <c r="I33" s="43">
        <f>H33-G33</f>
        <v>33020.891267126863</v>
      </c>
      <c r="J33" s="115">
        <f>I33/$F33*100</f>
        <v>18.429725218279241</v>
      </c>
      <c r="K33" s="29">
        <f t="shared" ref="K33:L36" si="21">SUMIFS(M$7:M$17,$B$7:$B$17,$B33)*$U33</f>
        <v>783.1041407223762</v>
      </c>
      <c r="L33" s="29">
        <f t="shared" si="21"/>
        <v>1337.8029070673927</v>
      </c>
      <c r="M33" s="43">
        <f>L33-K33</f>
        <v>554.69876634501645</v>
      </c>
      <c r="N33" s="115">
        <f>M33/$F33*100</f>
        <v>0.30959024576160782</v>
      </c>
      <c r="O33" s="43">
        <f>I33+M33</f>
        <v>33575.590033471883</v>
      </c>
      <c r="P33" s="115">
        <f>O33/$F33*100</f>
        <v>18.73931546404085</v>
      </c>
      <c r="U33" s="29">
        <f>E33</f>
        <v>1631466.9598382837</v>
      </c>
    </row>
    <row r="34" spans="1:21" ht="15.75" customHeight="1">
      <c r="A34" s="29" t="s">
        <v>21</v>
      </c>
      <c r="B34" s="31" t="s">
        <v>22</v>
      </c>
      <c r="C34" s="84" t="s">
        <v>3</v>
      </c>
      <c r="D34" s="31">
        <v>3498.2472222222223</v>
      </c>
      <c r="E34" s="29">
        <v>21789.340397497937</v>
      </c>
      <c r="F34" s="29">
        <v>2935.2371087415509</v>
      </c>
      <c r="G34" s="29">
        <f t="shared" si="20"/>
        <v>215.7144699352296</v>
      </c>
      <c r="H34" s="29">
        <f t="shared" si="20"/>
        <v>656.73071958058779</v>
      </c>
      <c r="I34" s="43">
        <f t="shared" ref="I34:I36" si="22">H34-G34</f>
        <v>441.01624964535819</v>
      </c>
      <c r="J34" s="115">
        <f t="shared" ref="J34:J73" si="23">I34/$F34*100</f>
        <v>15.024893502877484</v>
      </c>
      <c r="K34" s="29">
        <f t="shared" si="21"/>
        <v>9.151522966949134</v>
      </c>
      <c r="L34" s="29">
        <f t="shared" si="21"/>
        <v>15.470431682223536</v>
      </c>
      <c r="M34" s="43">
        <f t="shared" ref="M34:M36" si="24">L34-K34</f>
        <v>6.3189087152744019</v>
      </c>
      <c r="N34" s="115">
        <f>M34/$F34*100</f>
        <v>0.21527762430012209</v>
      </c>
      <c r="O34" s="43">
        <f>I34+M34</f>
        <v>447.33515836063259</v>
      </c>
      <c r="P34" s="115">
        <f>O34/$F34*100</f>
        <v>15.240171127177607</v>
      </c>
      <c r="U34" s="29">
        <f>E34</f>
        <v>21789.340397497937</v>
      </c>
    </row>
    <row r="35" spans="1:21" ht="15.75" customHeight="1">
      <c r="A35" s="29" t="s">
        <v>21</v>
      </c>
      <c r="B35" s="31" t="s">
        <v>23</v>
      </c>
      <c r="C35" s="84" t="s">
        <v>24</v>
      </c>
      <c r="D35" s="31">
        <v>3.8333333333333335</v>
      </c>
      <c r="E35" s="29">
        <v>2310.7143548278609</v>
      </c>
      <c r="F35" s="29">
        <v>213.40719026555209</v>
      </c>
      <c r="G35" s="29">
        <f t="shared" si="20"/>
        <v>22.852964969247545</v>
      </c>
      <c r="H35" s="29">
        <f t="shared" si="20"/>
        <v>69.621823510963452</v>
      </c>
      <c r="I35" s="43">
        <f t="shared" si="22"/>
        <v>46.768858541715908</v>
      </c>
      <c r="J35" s="115">
        <f t="shared" si="23"/>
        <v>21.915315263520093</v>
      </c>
      <c r="K35" s="29">
        <f t="shared" si="21"/>
        <v>0.94739288547942291</v>
      </c>
      <c r="L35" s="29">
        <f t="shared" si="21"/>
        <v>1.594392904831224</v>
      </c>
      <c r="M35" s="43">
        <f t="shared" si="24"/>
        <v>0.64700001935180107</v>
      </c>
      <c r="N35" s="115">
        <f>M35/$F35*100</f>
        <v>0.30317629811193803</v>
      </c>
      <c r="O35" s="43">
        <f>I35+M35</f>
        <v>47.415858561067708</v>
      </c>
      <c r="P35" s="115">
        <f>O35/$F35*100</f>
        <v>22.218491561632035</v>
      </c>
      <c r="U35" s="29">
        <f>E35</f>
        <v>2310.7143548278609</v>
      </c>
    </row>
    <row r="36" spans="1:21" ht="15.75" customHeight="1">
      <c r="A36" s="29" t="s">
        <v>21</v>
      </c>
      <c r="B36" s="31" t="s">
        <v>33</v>
      </c>
      <c r="C36" s="84" t="s">
        <v>34</v>
      </c>
      <c r="D36" s="31">
        <v>967.33333333333337</v>
      </c>
      <c r="E36" s="29">
        <v>884.81882939996137</v>
      </c>
      <c r="F36" s="29">
        <v>110.31088102529313</v>
      </c>
      <c r="G36" s="29">
        <f t="shared" si="20"/>
        <v>7.825928875386718</v>
      </c>
      <c r="H36" s="29">
        <f t="shared" si="20"/>
        <v>26.59264266697944</v>
      </c>
      <c r="I36" s="43">
        <f t="shared" si="22"/>
        <v>18.766713791592721</v>
      </c>
      <c r="J36" s="115">
        <f t="shared" si="23"/>
        <v>17.012568132140753</v>
      </c>
      <c r="K36" s="29">
        <f t="shared" si="21"/>
        <v>0.17866344083189867</v>
      </c>
      <c r="L36" s="29">
        <f t="shared" si="21"/>
        <v>0.36673022065494992</v>
      </c>
      <c r="M36" s="43">
        <f t="shared" si="24"/>
        <v>0.18806677982305126</v>
      </c>
      <c r="N36" s="115">
        <f>M36/$F36*100</f>
        <v>0.17048796825394724</v>
      </c>
      <c r="O36" s="43">
        <f>I36+M36</f>
        <v>18.954780571415771</v>
      </c>
      <c r="P36" s="115">
        <f>O36/$F36*100</f>
        <v>17.183056100394701</v>
      </c>
      <c r="U36" s="111">
        <v>235.08347477881401</v>
      </c>
    </row>
    <row r="37" spans="1:21" ht="15.75" customHeight="1">
      <c r="A37" s="29" t="s">
        <v>21</v>
      </c>
      <c r="B37" s="31" t="s">
        <v>39</v>
      </c>
      <c r="C37" s="20" t="s">
        <v>40</v>
      </c>
      <c r="D37" s="31"/>
      <c r="E37" s="29"/>
      <c r="F37" s="29">
        <v>-256.07100000000003</v>
      </c>
      <c r="G37" s="29"/>
      <c r="H37" s="29"/>
      <c r="I37" s="43"/>
      <c r="J37" s="115"/>
      <c r="K37" s="29"/>
      <c r="L37" s="29"/>
      <c r="M37" s="43"/>
      <c r="N37" s="115"/>
      <c r="O37" s="43"/>
      <c r="P37" s="115"/>
      <c r="U37" s="111"/>
    </row>
    <row r="38" spans="1:21" ht="15.75" customHeight="1">
      <c r="A38" s="29" t="s">
        <v>21</v>
      </c>
      <c r="B38" s="31" t="s">
        <v>41</v>
      </c>
      <c r="C38" s="20" t="s">
        <v>40</v>
      </c>
      <c r="D38" s="31"/>
      <c r="E38" s="29"/>
      <c r="F38" s="29">
        <v>-231.7765</v>
      </c>
      <c r="G38" s="29"/>
      <c r="H38" s="29"/>
      <c r="I38" s="43"/>
      <c r="J38" s="115"/>
      <c r="K38" s="29"/>
      <c r="L38" s="29"/>
      <c r="M38" s="43"/>
      <c r="N38" s="115"/>
      <c r="O38" s="43"/>
      <c r="P38" s="115"/>
      <c r="U38" s="29"/>
    </row>
    <row r="39" spans="1:21" ht="15.75" customHeight="1">
      <c r="A39" s="29" t="s">
        <v>21</v>
      </c>
      <c r="B39" s="31" t="s">
        <v>42</v>
      </c>
      <c r="C39" s="20" t="s">
        <v>40</v>
      </c>
      <c r="D39" s="31"/>
      <c r="E39" s="29"/>
      <c r="F39" s="29">
        <v>1.15594</v>
      </c>
      <c r="G39" s="29"/>
      <c r="H39" s="29"/>
      <c r="I39" s="43"/>
      <c r="J39" s="115"/>
      <c r="K39" s="29"/>
      <c r="L39" s="29"/>
      <c r="M39" s="43"/>
      <c r="N39" s="115"/>
      <c r="O39" s="43"/>
      <c r="P39" s="115"/>
      <c r="U39" s="29"/>
    </row>
    <row r="40" spans="1:21" ht="15.75" customHeight="1">
      <c r="A40" s="54" t="s">
        <v>21</v>
      </c>
      <c r="B40" s="85" t="s">
        <v>0</v>
      </c>
      <c r="C40" s="86" t="s">
        <v>0</v>
      </c>
      <c r="D40" s="85">
        <f>SUM(D33:D39)</f>
        <v>115211.11044802866</v>
      </c>
      <c r="E40" s="85">
        <f t="shared" ref="E40:I40" si="25">SUM(E33:E39)</f>
        <v>1656451.8334200094</v>
      </c>
      <c r="F40" s="85">
        <f t="shared" si="25"/>
        <v>181944.17679850775</v>
      </c>
      <c r="G40" s="85">
        <f t="shared" si="25"/>
        <v>16756.838997343293</v>
      </c>
      <c r="H40" s="85">
        <f t="shared" si="25"/>
        <v>50284.282086448824</v>
      </c>
      <c r="I40" s="85">
        <f t="shared" si="25"/>
        <v>33527.443089105524</v>
      </c>
      <c r="J40" s="116">
        <f t="shared" si="23"/>
        <v>18.427324072171409</v>
      </c>
      <c r="K40" s="85">
        <f t="shared" ref="K40:M40" si="26">SUM(K33:K39)</f>
        <v>793.38172001563669</v>
      </c>
      <c r="L40" s="85">
        <f t="shared" si="26"/>
        <v>1355.2344618751024</v>
      </c>
      <c r="M40" s="85">
        <f t="shared" si="26"/>
        <v>561.85274185946571</v>
      </c>
      <c r="N40" s="116">
        <f>M40/$F40*100</f>
        <v>0.30880501467309057</v>
      </c>
      <c r="O40" s="85">
        <f t="shared" ref="O40" si="27">SUM(O33:O39)</f>
        <v>34089.295830965006</v>
      </c>
      <c r="P40" s="116">
        <f>O40/$F40*100</f>
        <v>18.736129086844507</v>
      </c>
      <c r="U40" s="29"/>
    </row>
    <row r="41" spans="1:21" ht="15.75" customHeight="1">
      <c r="A41" s="29"/>
      <c r="B41" s="31"/>
      <c r="C41" s="20"/>
      <c r="D41" s="31"/>
      <c r="E41" s="29"/>
      <c r="F41" s="29"/>
      <c r="G41" s="29"/>
      <c r="H41" s="29"/>
      <c r="I41" s="43"/>
      <c r="J41" s="115"/>
      <c r="K41" s="29"/>
      <c r="L41" s="29"/>
      <c r="M41" s="43"/>
      <c r="N41" s="115"/>
      <c r="O41" s="43"/>
      <c r="P41" s="115"/>
      <c r="U41" s="29"/>
    </row>
    <row r="42" spans="1:21" ht="15.75" customHeight="1">
      <c r="A42" s="29" t="s">
        <v>51</v>
      </c>
      <c r="B42" s="31" t="s">
        <v>22</v>
      </c>
      <c r="C42" s="84" t="s">
        <v>3</v>
      </c>
      <c r="D42" s="31">
        <v>16907.901369863011</v>
      </c>
      <c r="E42" s="29">
        <v>510763.11130107107</v>
      </c>
      <c r="F42" s="29">
        <v>54504.90896526281</v>
      </c>
      <c r="G42" s="29">
        <f t="shared" ref="G42:H46" si="28">SUMIFS(G$7:G$17,$B$7:$B$17,$B42)*$U42</f>
        <v>5056.5548018806039</v>
      </c>
      <c r="H42" s="29">
        <f t="shared" si="28"/>
        <v>15394.400174614282</v>
      </c>
      <c r="I42" s="43">
        <f>H42-G42</f>
        <v>10337.845372733678</v>
      </c>
      <c r="J42" s="115">
        <f t="shared" si="23"/>
        <v>18.966815226353678</v>
      </c>
      <c r="K42" s="29">
        <f t="shared" ref="K42:L46" si="29">SUMIFS(M$7:M$17,$B$7:$B$17,$B42)*$U42</f>
        <v>214.52050674644985</v>
      </c>
      <c r="L42" s="29">
        <f t="shared" si="29"/>
        <v>362.64180902376046</v>
      </c>
      <c r="M42" s="43">
        <f t="shared" ref="M42:M46" si="30">L42-K42</f>
        <v>148.1213022773106</v>
      </c>
      <c r="N42" s="115">
        <f>M42/$F42*100</f>
        <v>0.27175772804558135</v>
      </c>
      <c r="O42" s="43">
        <f t="shared" ref="O42:O69" si="31">I42+M42</f>
        <v>10485.966675010988</v>
      </c>
      <c r="P42" s="115">
        <f>O42/$F42*100</f>
        <v>19.23857295439926</v>
      </c>
      <c r="U42" s="29">
        <f>E42</f>
        <v>510763.11130107107</v>
      </c>
    </row>
    <row r="43" spans="1:21" ht="15.75" customHeight="1">
      <c r="A43" s="29" t="s">
        <v>51</v>
      </c>
      <c r="B43" s="31" t="s">
        <v>23</v>
      </c>
      <c r="C43" s="84" t="s">
        <v>24</v>
      </c>
      <c r="D43" s="31">
        <v>971.03888888888889</v>
      </c>
      <c r="E43" s="29">
        <v>842220.37803557958</v>
      </c>
      <c r="F43" s="29">
        <v>77506.344715204221</v>
      </c>
      <c r="G43" s="29">
        <f t="shared" si="28"/>
        <v>8329.5595387718822</v>
      </c>
      <c r="H43" s="29">
        <f t="shared" si="28"/>
        <v>25376.099990212013</v>
      </c>
      <c r="I43" s="43">
        <f t="shared" ref="I43:I46" si="32">H43-G43</f>
        <v>17046.540451440131</v>
      </c>
      <c r="J43" s="115">
        <f t="shared" si="23"/>
        <v>21.993735498787046</v>
      </c>
      <c r="K43" s="29">
        <f t="shared" si="29"/>
        <v>345.31035499458761</v>
      </c>
      <c r="L43" s="29">
        <f t="shared" si="29"/>
        <v>581.13206084454987</v>
      </c>
      <c r="M43" s="43">
        <f t="shared" si="30"/>
        <v>235.82170584996226</v>
      </c>
      <c r="N43" s="115">
        <f>M43/$F43*100</f>
        <v>0.30426116302669831</v>
      </c>
      <c r="O43" s="43">
        <f t="shared" si="31"/>
        <v>17282.362157290092</v>
      </c>
      <c r="P43" s="115">
        <f>O43/$F43*100</f>
        <v>22.297996661813745</v>
      </c>
      <c r="U43" s="29">
        <f>E43</f>
        <v>842220.37803557958</v>
      </c>
    </row>
    <row r="44" spans="1:21" ht="15.75" customHeight="1">
      <c r="A44" s="29" t="s">
        <v>51</v>
      </c>
      <c r="B44" s="31" t="s">
        <v>25</v>
      </c>
      <c r="C44" s="84" t="s">
        <v>55</v>
      </c>
      <c r="D44" s="31">
        <v>37.444444444444443</v>
      </c>
      <c r="E44" s="29">
        <v>176021.17293894291</v>
      </c>
      <c r="F44" s="29">
        <v>15298.553997814361</v>
      </c>
      <c r="G44" s="29">
        <f t="shared" si="28"/>
        <v>1730.2881299898088</v>
      </c>
      <c r="H44" s="29">
        <f t="shared" si="28"/>
        <v>5292.956670274013</v>
      </c>
      <c r="I44" s="43">
        <f t="shared" si="32"/>
        <v>3562.668540284204</v>
      </c>
      <c r="J44" s="115">
        <f t="shared" si="23"/>
        <v>23.287616207343433</v>
      </c>
      <c r="K44" s="29">
        <f t="shared" si="29"/>
        <v>63.367622258019452</v>
      </c>
      <c r="L44" s="29">
        <f t="shared" si="29"/>
        <v>109.13312722214461</v>
      </c>
      <c r="M44" s="43">
        <f t="shared" si="30"/>
        <v>45.765504964125157</v>
      </c>
      <c r="N44" s="115">
        <f>M44/$F44*100</f>
        <v>0.29914922005480699</v>
      </c>
      <c r="O44" s="43">
        <f t="shared" si="31"/>
        <v>3608.4340452483293</v>
      </c>
      <c r="P44" s="115">
        <f>O44/$F44*100</f>
        <v>23.586765427398245</v>
      </c>
      <c r="U44" s="29">
        <f>E44</f>
        <v>176021.17293894291</v>
      </c>
    </row>
    <row r="45" spans="1:21" ht="15.75" customHeight="1">
      <c r="A45" s="29" t="s">
        <v>51</v>
      </c>
      <c r="B45" s="31" t="s">
        <v>33</v>
      </c>
      <c r="C45" s="84" t="s">
        <v>34</v>
      </c>
      <c r="D45" s="31">
        <v>1190.9166666666667</v>
      </c>
      <c r="E45" s="29">
        <v>1849.1404231953695</v>
      </c>
      <c r="F45" s="29">
        <v>181.23580263116466</v>
      </c>
      <c r="G45" s="29">
        <f t="shared" si="28"/>
        <v>15.385323491921614</v>
      </c>
      <c r="H45" s="29">
        <f t="shared" si="28"/>
        <v>52.279597278647429</v>
      </c>
      <c r="I45" s="43">
        <f t="shared" si="32"/>
        <v>36.894273786725819</v>
      </c>
      <c r="J45" s="115">
        <f t="shared" si="23"/>
        <v>20.35705597409461</v>
      </c>
      <c r="K45" s="29">
        <f t="shared" si="29"/>
        <v>0.35124199020307684</v>
      </c>
      <c r="L45" s="29">
        <f t="shared" si="29"/>
        <v>0.72097040094315767</v>
      </c>
      <c r="M45" s="43">
        <f t="shared" si="30"/>
        <v>0.36972841074008084</v>
      </c>
      <c r="N45" s="115">
        <f>M45/$F45*100</f>
        <v>0.20400406838626692</v>
      </c>
      <c r="O45" s="43">
        <f t="shared" si="31"/>
        <v>37.264002197465899</v>
      </c>
      <c r="P45" s="115">
        <f>O45/$F45*100</f>
        <v>20.561060042480875</v>
      </c>
      <c r="U45" s="111">
        <v>462.16051342510104</v>
      </c>
    </row>
    <row r="46" spans="1:21" ht="15.75" customHeight="1">
      <c r="A46" s="29" t="s">
        <v>51</v>
      </c>
      <c r="B46" s="31" t="s">
        <v>35</v>
      </c>
      <c r="C46" s="84" t="s">
        <v>36</v>
      </c>
      <c r="D46" s="31">
        <v>25.575035561877666</v>
      </c>
      <c r="E46" s="29">
        <v>314.48340809632003</v>
      </c>
      <c r="F46" s="29">
        <v>21.721917747128039</v>
      </c>
      <c r="G46" s="29">
        <f t="shared" si="28"/>
        <v>3.1133857401535687</v>
      </c>
      <c r="H46" s="29">
        <f t="shared" si="28"/>
        <v>9.4785299200230853</v>
      </c>
      <c r="I46" s="43">
        <f t="shared" si="32"/>
        <v>6.3651441798695165</v>
      </c>
      <c r="J46" s="115">
        <f t="shared" si="23"/>
        <v>29.302864756087587</v>
      </c>
      <c r="K46" s="29">
        <f t="shared" si="29"/>
        <v>6.9186349781190412E-2</v>
      </c>
      <c r="L46" s="29">
        <f t="shared" si="29"/>
        <v>0.13208303140045441</v>
      </c>
      <c r="M46" s="43">
        <f t="shared" si="30"/>
        <v>6.2896681619263997E-2</v>
      </c>
      <c r="N46" s="115">
        <f>M46/$F46*100</f>
        <v>0.28955399956608285</v>
      </c>
      <c r="O46" s="43">
        <f t="shared" si="31"/>
        <v>6.428040861488781</v>
      </c>
      <c r="P46" s="115">
        <f>O46/$F46*100</f>
        <v>29.592418755653672</v>
      </c>
      <c r="U46" s="29">
        <f>E46</f>
        <v>314.48340809632003</v>
      </c>
    </row>
    <row r="47" spans="1:21" ht="15.75" customHeight="1">
      <c r="A47" s="29" t="s">
        <v>51</v>
      </c>
      <c r="B47" s="31" t="s">
        <v>39</v>
      </c>
      <c r="C47" s="20" t="s">
        <v>40</v>
      </c>
      <c r="D47" s="31"/>
      <c r="E47" s="29"/>
      <c r="F47" s="29">
        <v>-31.087</v>
      </c>
      <c r="G47" s="29"/>
      <c r="H47" s="29"/>
      <c r="I47" s="43"/>
      <c r="J47" s="115"/>
      <c r="K47" s="29"/>
      <c r="L47" s="29"/>
      <c r="M47" s="43"/>
      <c r="N47" s="115"/>
      <c r="O47" s="43"/>
      <c r="P47" s="115"/>
      <c r="U47" s="29"/>
    </row>
    <row r="48" spans="1:21" ht="15.75" customHeight="1">
      <c r="A48" s="29" t="s">
        <v>51</v>
      </c>
      <c r="B48" s="31" t="s">
        <v>41</v>
      </c>
      <c r="C48" s="20" t="s">
        <v>40</v>
      </c>
      <c r="D48" s="31"/>
      <c r="E48" s="29"/>
      <c r="F48" s="29">
        <v>-28.762</v>
      </c>
      <c r="G48" s="29"/>
      <c r="H48" s="29"/>
      <c r="I48" s="43"/>
      <c r="J48" s="115"/>
      <c r="K48" s="29"/>
      <c r="L48" s="29"/>
      <c r="M48" s="43"/>
      <c r="N48" s="115"/>
      <c r="O48" s="43"/>
      <c r="P48" s="115"/>
      <c r="U48" s="29"/>
    </row>
    <row r="49" spans="1:21" ht="15.75" customHeight="1">
      <c r="A49" s="29" t="s">
        <v>51</v>
      </c>
      <c r="B49" s="31" t="s">
        <v>42</v>
      </c>
      <c r="C49" s="20" t="s">
        <v>40</v>
      </c>
      <c r="D49" s="31"/>
      <c r="E49" s="29"/>
      <c r="F49" s="29">
        <v>473.08967000000007</v>
      </c>
      <c r="G49" s="29"/>
      <c r="H49" s="29"/>
      <c r="I49" s="43"/>
      <c r="J49" s="115"/>
      <c r="K49" s="29"/>
      <c r="L49" s="29"/>
      <c r="M49" s="43"/>
      <c r="N49" s="115"/>
      <c r="O49" s="43"/>
      <c r="P49" s="115"/>
      <c r="U49" s="29"/>
    </row>
    <row r="50" spans="1:21">
      <c r="A50" s="54" t="s">
        <v>51</v>
      </c>
      <c r="B50" s="85" t="s">
        <v>0</v>
      </c>
      <c r="C50" s="86" t="s">
        <v>0</v>
      </c>
      <c r="D50" s="85">
        <f>SUM(D42:D49)</f>
        <v>19132.87640542489</v>
      </c>
      <c r="E50" s="85">
        <f t="shared" ref="E50:I50" si="33">SUM(E42:E49)</f>
        <v>1531168.2861068852</v>
      </c>
      <c r="F50" s="85">
        <f t="shared" si="33"/>
        <v>147926.00606865968</v>
      </c>
      <c r="G50" s="85">
        <f t="shared" si="33"/>
        <v>15134.90117987437</v>
      </c>
      <c r="H50" s="85">
        <f t="shared" si="33"/>
        <v>46125.214962298982</v>
      </c>
      <c r="I50" s="85">
        <f t="shared" si="33"/>
        <v>30990.313782424608</v>
      </c>
      <c r="J50" s="116">
        <f t="shared" si="23"/>
        <v>20.949875282944156</v>
      </c>
      <c r="K50" s="85">
        <f t="shared" ref="K50:O50" si="34">SUM(K42:K49)</f>
        <v>623.61891233904112</v>
      </c>
      <c r="L50" s="85">
        <f t="shared" si="34"/>
        <v>1053.7600505227986</v>
      </c>
      <c r="M50" s="85">
        <f t="shared" si="34"/>
        <v>430.14113818375733</v>
      </c>
      <c r="N50" s="116">
        <f>M50/$F50*100</f>
        <v>0.29078128289633387</v>
      </c>
      <c r="O50" s="85">
        <f t="shared" si="34"/>
        <v>31420.454920608365</v>
      </c>
      <c r="P50" s="116">
        <f>O50/$F50*100</f>
        <v>21.240656565840492</v>
      </c>
      <c r="U50" s="29"/>
    </row>
    <row r="51" spans="1:21">
      <c r="A51" s="29"/>
      <c r="B51" s="31"/>
      <c r="C51" s="20"/>
      <c r="D51" s="31"/>
      <c r="E51" s="29"/>
      <c r="F51" s="29"/>
      <c r="G51" s="29"/>
      <c r="H51" s="29"/>
      <c r="I51" s="43"/>
      <c r="J51" s="115"/>
      <c r="K51" s="29"/>
      <c r="L51" s="29"/>
      <c r="M51" s="43"/>
      <c r="N51" s="115"/>
      <c r="O51" s="43"/>
      <c r="P51" s="115"/>
      <c r="U51" s="29"/>
    </row>
    <row r="52" spans="1:21">
      <c r="A52" s="29" t="s">
        <v>52</v>
      </c>
      <c r="B52" s="31" t="s">
        <v>22</v>
      </c>
      <c r="C52" s="84" t="s">
        <v>3</v>
      </c>
      <c r="D52" s="31">
        <v>407.7166666666667</v>
      </c>
      <c r="E52" s="29">
        <v>15212.35759661524</v>
      </c>
      <c r="F52" s="29">
        <v>1663.152455713406</v>
      </c>
      <c r="G52" s="29">
        <f t="shared" ref="G52:H56" si="35">SUMIFS(G$7:G$17,$B$7:$B$17,$B52)*$U52</f>
        <v>150.60234020649088</v>
      </c>
      <c r="H52" s="29">
        <f t="shared" si="35"/>
        <v>458.50045796198333</v>
      </c>
      <c r="I52" s="43">
        <f>H52-G52</f>
        <v>307.89811775549242</v>
      </c>
      <c r="J52" s="115">
        <f t="shared" si="23"/>
        <v>18.512922053403706</v>
      </c>
      <c r="K52" s="29">
        <f t="shared" ref="K52:L56" si="36">SUMIFS(M$7:M$17,$B$7:$B$17,$B52)*$U52</f>
        <v>6.3891901905784012</v>
      </c>
      <c r="L52" s="29">
        <f t="shared" si="36"/>
        <v>10.800773893596821</v>
      </c>
      <c r="M52" s="43">
        <f t="shared" ref="M52:M56" si="37">L52-K52</f>
        <v>4.4115837030184197</v>
      </c>
      <c r="N52" s="115">
        <f>M52/$F52*100</f>
        <v>0.26525431795884757</v>
      </c>
      <c r="O52" s="43">
        <f t="shared" si="31"/>
        <v>312.30970145851086</v>
      </c>
      <c r="P52" s="115">
        <f>O52/$F52*100</f>
        <v>18.778176371362555</v>
      </c>
      <c r="U52" s="29">
        <f>E52</f>
        <v>15212.35759661524</v>
      </c>
    </row>
    <row r="53" spans="1:21">
      <c r="A53" s="29" t="s">
        <v>52</v>
      </c>
      <c r="B53" s="31" t="s">
        <v>23</v>
      </c>
      <c r="C53" s="84" t="s">
        <v>24</v>
      </c>
      <c r="D53" s="31">
        <v>95.697222222222237</v>
      </c>
      <c r="E53" s="29">
        <v>88065.749447729948</v>
      </c>
      <c r="F53" s="29">
        <v>8570.0610882752735</v>
      </c>
      <c r="G53" s="29">
        <f t="shared" si="35"/>
        <v>870.9702620380491</v>
      </c>
      <c r="H53" s="29">
        <f t="shared" si="35"/>
        <v>2653.4210308601032</v>
      </c>
      <c r="I53" s="43">
        <f t="shared" ref="I53:I56" si="38">H53-G53</f>
        <v>1782.4507688220542</v>
      </c>
      <c r="J53" s="115">
        <f t="shared" si="23"/>
        <v>20.79857716837784</v>
      </c>
      <c r="K53" s="29">
        <f t="shared" si="36"/>
        <v>36.106957273569279</v>
      </c>
      <c r="L53" s="29">
        <f t="shared" si="36"/>
        <v>60.765367118933661</v>
      </c>
      <c r="M53" s="43">
        <f t="shared" si="37"/>
        <v>24.658409845364382</v>
      </c>
      <c r="N53" s="115">
        <f>M53/$F53*100</f>
        <v>0.28772735213170914</v>
      </c>
      <c r="O53" s="43">
        <f t="shared" si="31"/>
        <v>1807.1091786674185</v>
      </c>
      <c r="P53" s="115">
        <f>O53/$F53*100</f>
        <v>21.086304520509543</v>
      </c>
      <c r="U53" s="29">
        <f>E53</f>
        <v>88065.749447729948</v>
      </c>
    </row>
    <row r="54" spans="1:21">
      <c r="A54" s="29" t="s">
        <v>52</v>
      </c>
      <c r="B54" s="31" t="s">
        <v>25</v>
      </c>
      <c r="C54" s="84" t="s">
        <v>55</v>
      </c>
      <c r="D54" s="31">
        <v>30</v>
      </c>
      <c r="E54" s="29">
        <v>202364.62218044893</v>
      </c>
      <c r="F54" s="29">
        <v>17361.103681156543</v>
      </c>
      <c r="G54" s="29">
        <f t="shared" si="35"/>
        <v>1989.244236033813</v>
      </c>
      <c r="H54" s="29">
        <f t="shared" si="35"/>
        <v>6085.1041889660992</v>
      </c>
      <c r="I54" s="43">
        <f t="shared" si="38"/>
        <v>4095.8599529322864</v>
      </c>
      <c r="J54" s="115">
        <f t="shared" si="23"/>
        <v>23.592163425519232</v>
      </c>
      <c r="K54" s="29">
        <f t="shared" si="36"/>
        <v>72.851263984961619</v>
      </c>
      <c r="L54" s="29">
        <f t="shared" si="36"/>
        <v>125.46606575187833</v>
      </c>
      <c r="M54" s="43">
        <f t="shared" si="37"/>
        <v>52.614801766916713</v>
      </c>
      <c r="N54" s="115">
        <f>M54/$F54*100</f>
        <v>0.30306138787722325</v>
      </c>
      <c r="O54" s="43">
        <f t="shared" si="31"/>
        <v>4148.474754699203</v>
      </c>
      <c r="P54" s="115">
        <f>O54/$F54*100</f>
        <v>23.89522481339645</v>
      </c>
      <c r="U54" s="29">
        <f>E54</f>
        <v>202364.62218044893</v>
      </c>
    </row>
    <row r="55" spans="1:21">
      <c r="A55" s="29" t="s">
        <v>52</v>
      </c>
      <c r="B55" s="31" t="s">
        <v>26</v>
      </c>
      <c r="C55" s="84" t="s">
        <v>27</v>
      </c>
      <c r="D55" s="31">
        <v>1</v>
      </c>
      <c r="E55" s="29">
        <v>544168.56528857455</v>
      </c>
      <c r="F55" s="29">
        <v>39291.381198894938</v>
      </c>
      <c r="G55" s="29">
        <f t="shared" si="35"/>
        <v>5349.1769967866876</v>
      </c>
      <c r="H55" s="29">
        <f t="shared" si="35"/>
        <v>16363.148758227437</v>
      </c>
      <c r="I55" s="43">
        <f t="shared" si="38"/>
        <v>11013.971761440749</v>
      </c>
      <c r="J55" s="115">
        <f t="shared" si="23"/>
        <v>28.031520973231949</v>
      </c>
      <c r="K55" s="29">
        <f t="shared" si="36"/>
        <v>195.90068350388685</v>
      </c>
      <c r="L55" s="29">
        <f t="shared" si="36"/>
        <v>337.38451047891624</v>
      </c>
      <c r="M55" s="43">
        <f t="shared" si="37"/>
        <v>141.48382697502939</v>
      </c>
      <c r="N55" s="115">
        <f>M55/$F55*100</f>
        <v>0.36008870815416533</v>
      </c>
      <c r="O55" s="43">
        <f t="shared" si="31"/>
        <v>11155.455588415778</v>
      </c>
      <c r="P55" s="115">
        <f>O55/$F55*100</f>
        <v>28.391609681386111</v>
      </c>
      <c r="U55" s="29">
        <f>E55</f>
        <v>544168.56528857455</v>
      </c>
    </row>
    <row r="56" spans="1:21">
      <c r="A56" s="29" t="s">
        <v>52</v>
      </c>
      <c r="B56" s="31" t="s">
        <v>33</v>
      </c>
      <c r="C56" s="84" t="s">
        <v>34</v>
      </c>
      <c r="D56" s="31">
        <v>50.166666666666664</v>
      </c>
      <c r="E56" s="29">
        <v>122.7874500167689</v>
      </c>
      <c r="F56" s="29">
        <v>10.130800865248059</v>
      </c>
      <c r="G56" s="29">
        <f t="shared" si="35"/>
        <v>0.90754586121083958</v>
      </c>
      <c r="H56" s="29">
        <f t="shared" si="35"/>
        <v>3.0838566482478273</v>
      </c>
      <c r="I56" s="43">
        <f t="shared" si="38"/>
        <v>2.1763107870369875</v>
      </c>
      <c r="J56" s="115">
        <f t="shared" si="23"/>
        <v>21.482119883556702</v>
      </c>
      <c r="K56" s="29">
        <f t="shared" si="36"/>
        <v>2.0718980310010158E-2</v>
      </c>
      <c r="L56" s="29">
        <f t="shared" si="36"/>
        <v>4.252843326791559E-2</v>
      </c>
      <c r="M56" s="43">
        <f t="shared" si="37"/>
        <v>2.1809452957905432E-2</v>
      </c>
      <c r="N56" s="115">
        <f>M56/$F56*100</f>
        <v>0.21527866600081882</v>
      </c>
      <c r="O56" s="43">
        <f t="shared" si="31"/>
        <v>2.1981202399948931</v>
      </c>
      <c r="P56" s="115">
        <f>O56/$F56*100</f>
        <v>21.697398549557523</v>
      </c>
      <c r="U56" s="111">
        <v>27.261816197381783</v>
      </c>
    </row>
    <row r="57" spans="1:21">
      <c r="A57" s="29" t="s">
        <v>52</v>
      </c>
      <c r="B57" s="31" t="s">
        <v>39</v>
      </c>
      <c r="C57" s="20" t="s">
        <v>40</v>
      </c>
      <c r="D57" s="31"/>
      <c r="E57" s="29"/>
      <c r="F57" s="29">
        <v>-0.42599999999999999</v>
      </c>
      <c r="G57" s="29"/>
      <c r="H57" s="29"/>
      <c r="I57" s="43"/>
      <c r="J57" s="115"/>
      <c r="K57" s="29"/>
      <c r="L57" s="29"/>
      <c r="M57" s="43"/>
      <c r="N57" s="115"/>
      <c r="O57" s="43"/>
      <c r="P57" s="115"/>
      <c r="U57" s="29"/>
    </row>
    <row r="58" spans="1:21">
      <c r="A58" s="29" t="s">
        <v>52</v>
      </c>
      <c r="B58" s="31" t="s">
        <v>41</v>
      </c>
      <c r="C58" s="20" t="s">
        <v>40</v>
      </c>
      <c r="D58" s="31"/>
      <c r="E58" s="29"/>
      <c r="F58" s="29">
        <v>-0.748</v>
      </c>
      <c r="G58" s="29"/>
      <c r="H58" s="29"/>
      <c r="I58" s="43"/>
      <c r="J58" s="115"/>
      <c r="K58" s="29"/>
      <c r="L58" s="29"/>
      <c r="M58" s="43"/>
      <c r="N58" s="115"/>
      <c r="O58" s="43"/>
      <c r="P58" s="115"/>
      <c r="U58" s="29"/>
    </row>
    <row r="59" spans="1:21">
      <c r="A59" s="29" t="s">
        <v>52</v>
      </c>
      <c r="B59" s="31" t="s">
        <v>42</v>
      </c>
      <c r="C59" s="20" t="s">
        <v>40</v>
      </c>
      <c r="D59" s="31"/>
      <c r="E59" s="29"/>
      <c r="F59" s="29">
        <v>11.579079999999999</v>
      </c>
      <c r="G59" s="29"/>
      <c r="H59" s="29"/>
      <c r="I59" s="43"/>
      <c r="J59" s="115"/>
      <c r="K59" s="29"/>
      <c r="L59" s="29"/>
      <c r="M59" s="43"/>
      <c r="N59" s="115"/>
      <c r="O59" s="43"/>
      <c r="P59" s="115"/>
      <c r="U59" s="29"/>
    </row>
    <row r="60" spans="1:21">
      <c r="A60" s="54" t="s">
        <v>52</v>
      </c>
      <c r="B60" s="85" t="s">
        <v>0</v>
      </c>
      <c r="C60" s="86" t="s">
        <v>0</v>
      </c>
      <c r="D60" s="85">
        <f>SUM(D52:D59)</f>
        <v>584.58055555555563</v>
      </c>
      <c r="E60" s="85">
        <f t="shared" ref="E60:O60" si="39">SUM(E52:E59)</f>
        <v>849934.08196338557</v>
      </c>
      <c r="F60" s="85">
        <f t="shared" si="39"/>
        <v>66906.234304905389</v>
      </c>
      <c r="G60" s="85">
        <f t="shared" si="39"/>
        <v>8360.9013809262524</v>
      </c>
      <c r="H60" s="85">
        <f t="shared" si="39"/>
        <v>25563.258292663872</v>
      </c>
      <c r="I60" s="85">
        <f t="shared" si="39"/>
        <v>17202.356911737617</v>
      </c>
      <c r="J60" s="116">
        <f t="shared" si="23"/>
        <v>25.711142004111249</v>
      </c>
      <c r="K60" s="85">
        <f t="shared" si="39"/>
        <v>311.26881393330615</v>
      </c>
      <c r="L60" s="85">
        <f t="shared" si="39"/>
        <v>534.4592456765929</v>
      </c>
      <c r="M60" s="85">
        <f t="shared" si="39"/>
        <v>223.19043174328681</v>
      </c>
      <c r="N60" s="116">
        <f>M60/$F60*100</f>
        <v>0.33358689823456866</v>
      </c>
      <c r="O60" s="85">
        <f t="shared" si="39"/>
        <v>17425.547343480906</v>
      </c>
      <c r="P60" s="116">
        <f>O60/$F60*100</f>
        <v>26.04472890234582</v>
      </c>
      <c r="U60" s="29"/>
    </row>
    <row r="61" spans="1:21">
      <c r="A61" s="29"/>
      <c r="B61" s="31"/>
      <c r="C61" s="20"/>
      <c r="D61" s="31"/>
      <c r="E61" s="29"/>
      <c r="F61" s="29"/>
      <c r="G61" s="29"/>
      <c r="H61" s="29"/>
      <c r="I61" s="43"/>
      <c r="J61" s="115"/>
      <c r="K61" s="29"/>
      <c r="L61" s="29"/>
      <c r="M61" s="43"/>
      <c r="N61" s="115"/>
      <c r="O61" s="43"/>
      <c r="P61" s="115"/>
      <c r="U61" s="29"/>
    </row>
    <row r="62" spans="1:21">
      <c r="A62" s="29" t="s">
        <v>53</v>
      </c>
      <c r="B62" s="31" t="s">
        <v>28</v>
      </c>
      <c r="C62" s="84" t="s">
        <v>4</v>
      </c>
      <c r="D62" s="31">
        <v>5140.8634747118504</v>
      </c>
      <c r="E62" s="29">
        <v>152841.48716573825</v>
      </c>
      <c r="F62" s="29">
        <v>14721.232322454847</v>
      </c>
      <c r="G62" s="29">
        <f>SUMIFS(G$7:G$17,$B$7:$B$17,$B62)*$U62</f>
        <v>1445.8804685878838</v>
      </c>
      <c r="H62" s="29">
        <f>SUMIFS(H$7:H$17,$B$7:$B$17,$B62)*$U62</f>
        <v>4539.3921688224264</v>
      </c>
      <c r="I62" s="43">
        <f>H62-G62</f>
        <v>3093.5117002345423</v>
      </c>
      <c r="J62" s="115">
        <f t="shared" si="23"/>
        <v>21.013945249107259</v>
      </c>
      <c r="K62" s="29">
        <f>SUMIFS(M$7:M$17,$B$7:$B$17,$B62)*$U62</f>
        <v>64.193424609610062</v>
      </c>
      <c r="L62" s="29">
        <f>SUMIFS(N$7:N$17,$B$7:$B$17,$B62)*$U62</f>
        <v>111.57428563098891</v>
      </c>
      <c r="M62" s="43">
        <f t="shared" ref="M62" si="40">L62-K62</f>
        <v>47.380861021378848</v>
      </c>
      <c r="N62" s="115">
        <f>M62/$F62*100</f>
        <v>0.32185390450707746</v>
      </c>
      <c r="O62" s="43">
        <f t="shared" si="31"/>
        <v>3140.892561255921</v>
      </c>
      <c r="P62" s="115">
        <f>O62/$F62*100</f>
        <v>21.335799153614335</v>
      </c>
      <c r="U62" s="29">
        <f>E62</f>
        <v>152841.48716573825</v>
      </c>
    </row>
    <row r="63" spans="1:21">
      <c r="A63" s="29" t="s">
        <v>53</v>
      </c>
      <c r="B63" s="31" t="s">
        <v>39</v>
      </c>
      <c r="C63" s="20" t="s">
        <v>40</v>
      </c>
      <c r="D63" s="31"/>
      <c r="E63" s="29"/>
      <c r="F63" s="29">
        <v>-7.2539999999999996</v>
      </c>
      <c r="G63" s="29"/>
      <c r="H63" s="29"/>
      <c r="I63" s="43"/>
      <c r="J63" s="115"/>
      <c r="K63" s="29"/>
      <c r="L63" s="29"/>
      <c r="M63" s="43"/>
      <c r="N63" s="115"/>
      <c r="O63" s="43"/>
      <c r="P63" s="115"/>
      <c r="U63" s="29"/>
    </row>
    <row r="64" spans="1:21">
      <c r="A64" s="29" t="s">
        <v>53</v>
      </c>
      <c r="B64" s="31" t="s">
        <v>41</v>
      </c>
      <c r="C64" s="20" t="s">
        <v>40</v>
      </c>
      <c r="D64" s="31"/>
      <c r="E64" s="29"/>
      <c r="F64" s="29">
        <v>-6.3845000000000001</v>
      </c>
      <c r="G64" s="29"/>
      <c r="H64" s="29"/>
      <c r="I64" s="43"/>
      <c r="J64" s="115"/>
      <c r="K64" s="29"/>
      <c r="L64" s="29"/>
      <c r="M64" s="43"/>
      <c r="N64" s="115"/>
      <c r="O64" s="43"/>
      <c r="P64" s="115"/>
      <c r="U64" s="29"/>
    </row>
    <row r="65" spans="1:21">
      <c r="A65" s="29" t="s">
        <v>53</v>
      </c>
      <c r="B65" s="31" t="s">
        <v>42</v>
      </c>
      <c r="C65" s="20" t="s">
        <v>40</v>
      </c>
      <c r="D65" s="31"/>
      <c r="E65" s="29"/>
      <c r="F65" s="29">
        <v>140.31836999999999</v>
      </c>
      <c r="G65" s="29"/>
      <c r="H65" s="29"/>
      <c r="I65" s="43"/>
      <c r="J65" s="115"/>
      <c r="K65" s="29"/>
      <c r="L65" s="29"/>
      <c r="M65" s="43"/>
      <c r="N65" s="115"/>
      <c r="O65" s="43"/>
      <c r="P65" s="115"/>
      <c r="U65" s="29"/>
    </row>
    <row r="66" spans="1:21">
      <c r="A66" s="54" t="s">
        <v>53</v>
      </c>
      <c r="B66" s="85" t="s">
        <v>0</v>
      </c>
      <c r="C66" s="86" t="s">
        <v>0</v>
      </c>
      <c r="D66" s="85">
        <f>SUM(D62:D65)</f>
        <v>5140.8634747118504</v>
      </c>
      <c r="E66" s="85">
        <f t="shared" ref="E66:O66" si="41">SUM(E62:E65)</f>
        <v>152841.48716573825</v>
      </c>
      <c r="F66" s="85">
        <f t="shared" si="41"/>
        <v>14847.912192454847</v>
      </c>
      <c r="G66" s="85">
        <f t="shared" si="41"/>
        <v>1445.8804685878838</v>
      </c>
      <c r="H66" s="85">
        <f t="shared" si="41"/>
        <v>4539.3921688224264</v>
      </c>
      <c r="I66" s="85">
        <f t="shared" si="41"/>
        <v>3093.5117002345423</v>
      </c>
      <c r="J66" s="116">
        <f t="shared" si="23"/>
        <v>20.83465783025407</v>
      </c>
      <c r="K66" s="85">
        <f t="shared" si="41"/>
        <v>64.193424609610062</v>
      </c>
      <c r="L66" s="85">
        <f t="shared" si="41"/>
        <v>111.57428563098891</v>
      </c>
      <c r="M66" s="85">
        <f t="shared" si="41"/>
        <v>47.380861021378848</v>
      </c>
      <c r="N66" s="116">
        <f>M66/$F66*100</f>
        <v>0.31910790155033397</v>
      </c>
      <c r="O66" s="85">
        <f t="shared" si="41"/>
        <v>3140.892561255921</v>
      </c>
      <c r="P66" s="116">
        <f>O66/$F66*100</f>
        <v>21.153765731804402</v>
      </c>
      <c r="U66" s="29"/>
    </row>
    <row r="67" spans="1:21">
      <c r="A67" s="29"/>
      <c r="B67" s="31"/>
      <c r="C67" s="20"/>
      <c r="D67" s="31"/>
      <c r="E67" s="29"/>
      <c r="F67" s="29"/>
      <c r="G67" s="29"/>
      <c r="H67" s="29"/>
      <c r="I67" s="43"/>
      <c r="J67" s="115"/>
      <c r="K67" s="29"/>
      <c r="L67" s="29"/>
      <c r="M67" s="43"/>
      <c r="N67" s="115"/>
      <c r="O67" s="43"/>
      <c r="P67" s="115"/>
      <c r="U67" s="29"/>
    </row>
    <row r="68" spans="1:21">
      <c r="A68" s="29" t="s">
        <v>54</v>
      </c>
      <c r="B68" s="20" t="s">
        <v>29</v>
      </c>
      <c r="C68" s="84" t="s">
        <v>30</v>
      </c>
      <c r="D68" s="31">
        <v>225.91666666666666</v>
      </c>
      <c r="E68" s="29">
        <v>1820.2173769310609</v>
      </c>
      <c r="F68" s="29">
        <v>474.93427289223689</v>
      </c>
      <c r="G68" s="29">
        <f>SUMIFS(G$7:G$17,$B$7:$B$17,$B68)*$U68</f>
        <v>60.44098661896561</v>
      </c>
      <c r="H68" s="29">
        <f>SUMIFS(H$7:H$17,$B$7:$B$17,$B68)*$U68</f>
        <v>97.297460886463412</v>
      </c>
      <c r="I68" s="43">
        <f>H68-G68</f>
        <v>36.856474267497802</v>
      </c>
      <c r="J68" s="115">
        <f t="shared" si="23"/>
        <v>7.7603315597862901</v>
      </c>
      <c r="K68" s="29">
        <f>SUMIFS(M$7:M$17,$B$7:$B$17,$B68)*$U68</f>
        <v>1.3798482976994253</v>
      </c>
      <c r="L68" s="29">
        <f>SUMIFS(N$7:N$17,$B$7:$B$17,$B68)*$U68</f>
        <v>1.7429662707782214</v>
      </c>
      <c r="M68" s="43">
        <f t="shared" ref="M68:M69" si="42">L68-K68</f>
        <v>0.36311797307879612</v>
      </c>
      <c r="N68" s="115">
        <f>M68/$F68*100</f>
        <v>7.6456468569323061E-2</v>
      </c>
      <c r="O68" s="43">
        <f t="shared" si="31"/>
        <v>37.219592240576596</v>
      </c>
      <c r="P68" s="115">
        <f>O68/$F68*100</f>
        <v>7.8367880283556124</v>
      </c>
      <c r="U68" s="111">
        <v>1815.5898653939805</v>
      </c>
    </row>
    <row r="69" spans="1:21">
      <c r="A69" s="29" t="s">
        <v>54</v>
      </c>
      <c r="B69" s="20" t="s">
        <v>31</v>
      </c>
      <c r="C69" s="84" t="s">
        <v>32</v>
      </c>
      <c r="D69" s="31">
        <v>232.58333333333334</v>
      </c>
      <c r="E69" s="29">
        <v>1961.4729048762861</v>
      </c>
      <c r="F69" s="29">
        <v>110.14583765693475</v>
      </c>
      <c r="G69" s="29">
        <f>SUMIFS(G$7:G$17,$B$7:$B$17,$B69)*$U69</f>
        <v>19.065516635397501</v>
      </c>
      <c r="H69" s="29">
        <f>SUMIFS(H$7:H$17,$B$7:$B$17,$B69)*$U69</f>
        <v>58.765728230093529</v>
      </c>
      <c r="I69" s="43">
        <f>H69-G69</f>
        <v>39.700211594696029</v>
      </c>
      <c r="J69" s="115">
        <f t="shared" si="23"/>
        <v>36.043315334663959</v>
      </c>
      <c r="K69" s="29">
        <f>SUMIFS(M$7:M$17,$B$7:$B$17,$B69)*$U69</f>
        <v>0.43152403907278297</v>
      </c>
      <c r="L69" s="29">
        <f>SUMIFS(N$7:N$17,$B$7:$B$17,$B69)*$U69</f>
        <v>0.82381862004804018</v>
      </c>
      <c r="M69" s="43">
        <f t="shared" si="42"/>
        <v>0.39229458097525721</v>
      </c>
      <c r="N69" s="115">
        <f>M69/$F69*100</f>
        <v>0.35615924243739089</v>
      </c>
      <c r="O69" s="43">
        <f t="shared" si="31"/>
        <v>40.092506175671289</v>
      </c>
      <c r="P69" s="115">
        <f>O69/$F69*100</f>
        <v>36.399474577101351</v>
      </c>
      <c r="U69" s="59">
        <f>E69</f>
        <v>1961.4729048762861</v>
      </c>
    </row>
    <row r="70" spans="1:21">
      <c r="A70" s="29" t="s">
        <v>54</v>
      </c>
      <c r="B70" s="31" t="s">
        <v>42</v>
      </c>
      <c r="C70" s="20" t="s">
        <v>40</v>
      </c>
      <c r="D70" s="31"/>
      <c r="E70" s="29"/>
      <c r="F70" s="29">
        <v>9.0840000000000004E-2</v>
      </c>
      <c r="G70" s="29"/>
      <c r="H70" s="29"/>
      <c r="I70" s="43"/>
      <c r="J70" s="115"/>
      <c r="K70" s="29"/>
      <c r="L70" s="29"/>
      <c r="M70" s="43"/>
      <c r="N70" s="115"/>
      <c r="O70" s="43"/>
      <c r="P70" s="115"/>
    </row>
    <row r="71" spans="1:21">
      <c r="A71" s="54" t="s">
        <v>54</v>
      </c>
      <c r="B71" s="85" t="s">
        <v>0</v>
      </c>
      <c r="C71" s="86" t="s">
        <v>0</v>
      </c>
      <c r="D71" s="85">
        <f>SUM(D68:D70)</f>
        <v>458.5</v>
      </c>
      <c r="E71" s="85">
        <f t="shared" ref="E71:O71" si="43">SUM(E68:E70)</f>
        <v>3781.6902818073468</v>
      </c>
      <c r="F71" s="85">
        <f t="shared" si="43"/>
        <v>585.17095054917161</v>
      </c>
      <c r="G71" s="85">
        <f t="shared" si="43"/>
        <v>79.50650325436311</v>
      </c>
      <c r="H71" s="85">
        <f t="shared" si="43"/>
        <v>156.06318911655694</v>
      </c>
      <c r="I71" s="85">
        <f t="shared" si="43"/>
        <v>76.556685862193831</v>
      </c>
      <c r="J71" s="116">
        <f t="shared" si="23"/>
        <v>13.082789873685094</v>
      </c>
      <c r="K71" s="85">
        <f t="shared" si="43"/>
        <v>1.8113723367722083</v>
      </c>
      <c r="L71" s="85">
        <f t="shared" si="43"/>
        <v>2.5667848908262618</v>
      </c>
      <c r="M71" s="85">
        <f t="shared" si="43"/>
        <v>0.75541255405405328</v>
      </c>
      <c r="N71" s="116">
        <f>M71/$F71*100</f>
        <v>0.12909262726475285</v>
      </c>
      <c r="O71" s="85">
        <f t="shared" si="43"/>
        <v>77.312098416247892</v>
      </c>
      <c r="P71" s="116">
        <f>O71/$F71*100</f>
        <v>13.211882500949848</v>
      </c>
    </row>
    <row r="72" spans="1:21">
      <c r="A72" s="29"/>
      <c r="B72" s="31"/>
      <c r="C72" s="20"/>
      <c r="D72" s="31"/>
      <c r="E72" s="29"/>
      <c r="F72" s="29"/>
      <c r="G72" s="29"/>
      <c r="H72" s="29"/>
      <c r="I72" s="43"/>
      <c r="J72" s="115"/>
      <c r="K72" s="29"/>
      <c r="L72" s="29"/>
      <c r="M72" s="43"/>
      <c r="N72" s="115"/>
      <c r="O72" s="43"/>
      <c r="P72" s="115"/>
    </row>
    <row r="73" spans="1:21">
      <c r="A73" s="32" t="s">
        <v>0</v>
      </c>
      <c r="B73" s="39" t="s">
        <v>0</v>
      </c>
      <c r="C73" s="14" t="s">
        <v>0</v>
      </c>
      <c r="D73" s="39">
        <f>D40+D50+D60+D66+D71</f>
        <v>140527.93088372098</v>
      </c>
      <c r="E73" s="39">
        <f t="shared" ref="E73:I73" si="44">E40+E50+E60+E66+E71</f>
        <v>4194177.378937826</v>
      </c>
      <c r="F73" s="39">
        <f t="shared" si="44"/>
        <v>412209.50031507685</v>
      </c>
      <c r="G73" s="39">
        <f t="shared" si="44"/>
        <v>41778.028529986164</v>
      </c>
      <c r="H73" s="39">
        <f t="shared" si="44"/>
        <v>126668.21069935066</v>
      </c>
      <c r="I73" s="39">
        <f t="shared" si="44"/>
        <v>84890.182169364474</v>
      </c>
      <c r="J73" s="117">
        <f t="shared" si="23"/>
        <v>20.593941213018557</v>
      </c>
      <c r="K73" s="39">
        <f t="shared" ref="K73:M73" si="45">K40+K50+K60+K66+K71</f>
        <v>1794.2742432343659</v>
      </c>
      <c r="L73" s="39">
        <f t="shared" si="45"/>
        <v>3057.5948285963086</v>
      </c>
      <c r="M73" s="39">
        <f t="shared" si="45"/>
        <v>1263.3205853619429</v>
      </c>
      <c r="N73" s="117">
        <f>M73/$F73*100</f>
        <v>0.30647536856775742</v>
      </c>
      <c r="O73" s="39">
        <f>O40+O50+O60+O66+O71</f>
        <v>86153.502754726462</v>
      </c>
      <c r="P73" s="117">
        <f>O73/$F73*100</f>
        <v>20.900416581586327</v>
      </c>
    </row>
    <row r="74" spans="1:21">
      <c r="A74" s="94" t="str">
        <f>B25</f>
        <v>Average Customers and Megawatt Hours per Normalized Results for the 12 Months Ended June 2022</v>
      </c>
      <c r="B74" s="92"/>
      <c r="C74" s="95"/>
      <c r="D74" s="96"/>
      <c r="E74" s="96"/>
      <c r="F74" s="92"/>
      <c r="G74" s="92"/>
      <c r="H74" s="92"/>
      <c r="I74" s="97"/>
      <c r="J74" s="92"/>
      <c r="K74" s="92"/>
      <c r="L74" s="92"/>
      <c r="M74" s="92"/>
      <c r="N74" s="92"/>
      <c r="O74" s="92"/>
      <c r="P74" s="76"/>
    </row>
    <row r="75" spans="1:21">
      <c r="A75" s="30" t="str">
        <f>B26</f>
        <v>Base $000 effective April 3rd, 2024 per Docket UE-230172</v>
      </c>
      <c r="B75" s="62"/>
      <c r="C75" s="87"/>
      <c r="D75" s="64"/>
      <c r="E75" s="64"/>
      <c r="F75" s="62"/>
      <c r="G75" s="62"/>
      <c r="H75" s="62"/>
      <c r="I75" s="88"/>
      <c r="J75" s="62"/>
      <c r="K75" s="62"/>
      <c r="L75" s="62"/>
      <c r="M75" s="62"/>
      <c r="N75" s="62"/>
      <c r="O75" s="62"/>
      <c r="P75" s="45"/>
    </row>
    <row r="76" spans="1:21">
      <c r="A76" s="60" t="str">
        <f>B27</f>
        <v>Percent Change is Change as a percentage of Base</v>
      </c>
      <c r="B76" s="67"/>
      <c r="C76" s="89"/>
      <c r="D76" s="68"/>
      <c r="E76" s="68"/>
      <c r="F76" s="67"/>
      <c r="G76" s="67"/>
      <c r="H76" s="67"/>
      <c r="I76" s="90"/>
      <c r="J76" s="67"/>
      <c r="K76" s="67"/>
      <c r="L76" s="67"/>
      <c r="M76" s="67"/>
      <c r="N76" s="67"/>
      <c r="O76" s="67"/>
      <c r="P76" s="51"/>
    </row>
    <row r="78" spans="1:21">
      <c r="H78" s="112"/>
    </row>
  </sheetData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2025-01-29T08:00:00+00:00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2101C9-4E7F-4A90-ADD9-27FC3585A5AC}"/>
</file>

<file path=customXml/itemProps2.xml><?xml version="1.0" encoding="utf-8"?>
<ds:datastoreItem xmlns:ds="http://schemas.openxmlformats.org/officeDocument/2006/customXml" ds:itemID="{7649C32D-BB69-4840-955F-B01F52981A19}"/>
</file>

<file path=customXml/itemProps3.xml><?xml version="1.0" encoding="utf-8"?>
<ds:datastoreItem xmlns:ds="http://schemas.openxmlformats.org/officeDocument/2006/customXml" ds:itemID="{FC43EC1C-9D86-44A6-9ED9-D736DCB356CF}"/>
</file>

<file path=customXml/itemProps4.xml><?xml version="1.0" encoding="utf-8"?>
<ds:datastoreItem xmlns:ds="http://schemas.openxmlformats.org/officeDocument/2006/customXml" ds:itemID="{FC4E4264-86CB-4D99-9A7E-2765385A3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Effects</vt:lpstr>
      <vt:lpstr>'Revenue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cp:lastPrinted>2024-05-31T22:24:47Z</cp:lastPrinted>
  <dcterms:created xsi:type="dcterms:W3CDTF">2021-02-04T17:45:20Z</dcterms:created>
  <dcterms:modified xsi:type="dcterms:W3CDTF">2025-01-29T19:39:40Z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