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ac.myhrum\Desktop\"/>
    </mc:Choice>
  </mc:AlternateContent>
  <xr:revisionPtr revIDLastSave="0" documentId="13_ncr:1_{190072E0-A5D2-4437-A7D0-7982AA555BA3}" xr6:coauthVersionLast="46" xr6:coauthVersionMax="46" xr10:uidLastSave="{00000000-0000-0000-0000-000000000000}"/>
  <bookViews>
    <workbookView xWindow="1560" yWindow="2535" windowWidth="21600" windowHeight="11265" activeTab="2" xr2:uid="{07E9587E-0AFD-492C-B308-84D213B10A3C}"/>
  </bookViews>
  <sheets>
    <sheet name="WA Rates" sheetId="4" r:id="rId1"/>
    <sheet name="Core Cost Incurred" sheetId="6" r:id="rId2"/>
    <sheet name="DEFERRALS" sheetId="7" r:id="rId3"/>
  </sheets>
  <externalReferences>
    <externalReference r:id="rId4"/>
    <externalReference r:id="rId5"/>
    <externalReference r:id="rId6"/>
  </externalReferences>
  <definedNames>
    <definedName name="FERCINT13">'[3]FERC Interest Rates'!$A$10:$C$21</definedName>
    <definedName name="FERCINT14">'[3]FERC Interest Rates'!$A$22:$C$33</definedName>
    <definedName name="FERCINT15">'[3]FERC Interest Rates'!$A$34:$C$45</definedName>
    <definedName name="FERCINT16">'[3]FERC Interest Rates'!$A$46:$C$57</definedName>
    <definedName name="FERCINT17">'[3]FERC Interest Rates'!$A$58:$C$69</definedName>
    <definedName name="FERCINT18">'[3]FERC Interest Rates'!$A$70:$C$81</definedName>
    <definedName name="FERCINT19">'[3]FERC Interest Rates'!$A$82:$C$93</definedName>
    <definedName name="FERCINT20">'[3]FERC Interest Rates'!$A$94:$C$105</definedName>
    <definedName name="FERCINT21">'[3]FERC Interest Rates'!$A$106:$C$117</definedName>
    <definedName name="_xlnm.Print_Area" localSheetId="1">'Core Cost Incurred'!$A$1:$Z$52</definedName>
    <definedName name="_xlnm.Print_Area" localSheetId="2">DEFERRALS!$B$1:$H$24</definedName>
    <definedName name="_xlnm.Print_Area" localSheetId="0">'WA Rates'!$B$1:$N$43</definedName>
    <definedName name="_xlnm.Print_Titles" localSheetId="1">'Core Cost Incurred'!$B:$F</definedName>
    <definedName name="_xlnm.Print_Titles" localSheetId="0">'WA Rates'!$1:$8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7" l="1"/>
  <c r="G7" i="7"/>
  <c r="D8" i="7"/>
  <c r="E8" i="7"/>
  <c r="F8" i="7"/>
  <c r="G8" i="7"/>
  <c r="G9" i="7" s="1"/>
  <c r="G11" i="7" s="1"/>
  <c r="G14" i="7" s="1"/>
  <c r="D9" i="7"/>
  <c r="D11" i="7" s="1"/>
  <c r="E9" i="7"/>
  <c r="E11" i="7" s="1"/>
  <c r="F9" i="7"/>
  <c r="F14" i="7" s="1"/>
  <c r="F20" i="7" s="1"/>
  <c r="D10" i="7"/>
  <c r="E10" i="7"/>
  <c r="G10" i="7"/>
  <c r="G12" i="7"/>
  <c r="E13" i="7"/>
  <c r="G13" i="7"/>
  <c r="V76" i="6"/>
  <c r="S76" i="6"/>
  <c r="T66" i="6"/>
  <c r="S66" i="6"/>
  <c r="Q66" i="6"/>
  <c r="P66" i="6"/>
  <c r="Q65" i="6"/>
  <c r="P65" i="6"/>
  <c r="T64" i="6"/>
  <c r="T67" i="6" s="1"/>
  <c r="S64" i="6"/>
  <c r="Q64" i="6"/>
  <c r="Q67" i="6" s="1"/>
  <c r="P64" i="6"/>
  <c r="M51" i="6"/>
  <c r="AE46" i="6"/>
  <c r="Q45" i="6"/>
  <c r="Q47" i="6" s="1"/>
  <c r="AC44" i="6"/>
  <c r="AB44" i="6"/>
  <c r="Z44" i="6"/>
  <c r="W44" i="6"/>
  <c r="Q44" i="6"/>
  <c r="AC43" i="6"/>
  <c r="AC45" i="6" s="1"/>
  <c r="AB43" i="6"/>
  <c r="AB45" i="6" s="1"/>
  <c r="Z43" i="6"/>
  <c r="Z45" i="6" s="1"/>
  <c r="W43" i="6"/>
  <c r="W45" i="6" s="1"/>
  <c r="Q48" i="6" s="1"/>
  <c r="Q43" i="6"/>
  <c r="AC39" i="6"/>
  <c r="AC41" i="6" s="1"/>
  <c r="AB39" i="6"/>
  <c r="AB41" i="6" s="1"/>
  <c r="Z39" i="6"/>
  <c r="Z41" i="6" s="1"/>
  <c r="W39" i="6"/>
  <c r="W41" i="6" s="1"/>
  <c r="T39" i="6"/>
  <c r="Q39" i="6"/>
  <c r="N38" i="6"/>
  <c r="K38" i="6"/>
  <c r="H38" i="6"/>
  <c r="N37" i="6"/>
  <c r="K37" i="6"/>
  <c r="H37" i="6" s="1"/>
  <c r="N36" i="6"/>
  <c r="H36" i="6" s="1"/>
  <c r="K36" i="6"/>
  <c r="N35" i="6"/>
  <c r="K35" i="6"/>
  <c r="H35" i="6" s="1"/>
  <c r="N34" i="6"/>
  <c r="H34" i="6" s="1"/>
  <c r="K34" i="6"/>
  <c r="N33" i="6"/>
  <c r="K33" i="6"/>
  <c r="H33" i="6" s="1"/>
  <c r="N32" i="6"/>
  <c r="K32" i="6"/>
  <c r="H32" i="6"/>
  <c r="N31" i="6"/>
  <c r="K31" i="6"/>
  <c r="H31" i="6" s="1"/>
  <c r="N30" i="6"/>
  <c r="K30" i="6"/>
  <c r="H30" i="6"/>
  <c r="N29" i="6"/>
  <c r="K29" i="6"/>
  <c r="H29" i="6" s="1"/>
  <c r="N28" i="6"/>
  <c r="H28" i="6" s="1"/>
  <c r="K28" i="6"/>
  <c r="N27" i="6"/>
  <c r="K27" i="6"/>
  <c r="H27" i="6" s="1"/>
  <c r="N26" i="6"/>
  <c r="H26" i="6" s="1"/>
  <c r="K26" i="6"/>
  <c r="N25" i="6"/>
  <c r="K25" i="6"/>
  <c r="K39" i="6" s="1"/>
  <c r="N24" i="6"/>
  <c r="N39" i="6" s="1"/>
  <c r="K24" i="6"/>
  <c r="H24" i="6"/>
  <c r="AC22" i="6"/>
  <c r="AB22" i="6"/>
  <c r="Z22" i="6"/>
  <c r="W22" i="6"/>
  <c r="Q22" i="6"/>
  <c r="K22" i="6"/>
  <c r="N21" i="6"/>
  <c r="H21" i="6" s="1"/>
  <c r="K21" i="6"/>
  <c r="N20" i="6"/>
  <c r="K20" i="6"/>
  <c r="H20" i="6" s="1"/>
  <c r="N19" i="6"/>
  <c r="H19" i="6" s="1"/>
  <c r="K19" i="6"/>
  <c r="N18" i="6"/>
  <c r="K18" i="6"/>
  <c r="H18" i="6" s="1"/>
  <c r="T17" i="6"/>
  <c r="T22" i="6" s="1"/>
  <c r="T41" i="6" s="1"/>
  <c r="Q17" i="6"/>
  <c r="N17" i="6"/>
  <c r="H17" i="6" s="1"/>
  <c r="K17" i="6"/>
  <c r="AC15" i="6"/>
  <c r="AB15" i="6"/>
  <c r="Z15" i="6"/>
  <c r="Y15" i="6"/>
  <c r="Y41" i="6" s="1"/>
  <c r="W15" i="6"/>
  <c r="V15" i="6"/>
  <c r="V41" i="6" s="1"/>
  <c r="N14" i="6"/>
  <c r="M14" i="6"/>
  <c r="K14" i="6"/>
  <c r="H14" i="6" s="1"/>
  <c r="J14" i="6"/>
  <c r="G14" i="6"/>
  <c r="N13" i="6"/>
  <c r="M13" i="6"/>
  <c r="K13" i="6"/>
  <c r="J13" i="6"/>
  <c r="H13" i="6"/>
  <c r="G13" i="6"/>
  <c r="N12" i="6"/>
  <c r="M12" i="6"/>
  <c r="K12" i="6"/>
  <c r="J12" i="6"/>
  <c r="G12" i="6" s="1"/>
  <c r="H12" i="6"/>
  <c r="N11" i="6"/>
  <c r="H11" i="6" s="1"/>
  <c r="M11" i="6"/>
  <c r="K11" i="6"/>
  <c r="J11" i="6"/>
  <c r="G11" i="6" s="1"/>
  <c r="T10" i="6"/>
  <c r="T15" i="6" s="1"/>
  <c r="S10" i="6"/>
  <c r="S15" i="6" s="1"/>
  <c r="S41" i="6" s="1"/>
  <c r="Q10" i="6"/>
  <c r="K10" i="6" s="1"/>
  <c r="P10" i="6"/>
  <c r="J10" i="6" s="1"/>
  <c r="M10" i="6"/>
  <c r="M15" i="6" s="1"/>
  <c r="M41" i="6" s="1"/>
  <c r="N9" i="6"/>
  <c r="K9" i="6"/>
  <c r="H9" i="6" s="1"/>
  <c r="N8" i="6"/>
  <c r="M8" i="6"/>
  <c r="K8" i="6"/>
  <c r="J8" i="6"/>
  <c r="G8" i="6"/>
  <c r="N7" i="6"/>
  <c r="K7" i="6"/>
  <c r="H7" i="6"/>
  <c r="N6" i="6"/>
  <c r="N44" i="6" s="1"/>
  <c r="K6" i="6"/>
  <c r="K44" i="6" s="1"/>
  <c r="V3" i="6"/>
  <c r="V1" i="6"/>
  <c r="L37" i="4"/>
  <c r="I37" i="4"/>
  <c r="H37" i="4"/>
  <c r="K37" i="4" s="1"/>
  <c r="G37" i="4"/>
  <c r="L36" i="4"/>
  <c r="J36" i="4"/>
  <c r="M36" i="4" s="1"/>
  <c r="I36" i="4"/>
  <c r="H36" i="4"/>
  <c r="K36" i="4" s="1"/>
  <c r="N36" i="4" s="1"/>
  <c r="I35" i="4"/>
  <c r="L35" i="4" s="1"/>
  <c r="H35" i="4"/>
  <c r="K35" i="4" s="1"/>
  <c r="G35" i="4"/>
  <c r="K33" i="4"/>
  <c r="I33" i="4"/>
  <c r="L33" i="4" s="1"/>
  <c r="H33" i="4"/>
  <c r="K32" i="4"/>
  <c r="I32" i="4"/>
  <c r="L32" i="4" s="1"/>
  <c r="H32" i="4"/>
  <c r="L31" i="4"/>
  <c r="H31" i="4"/>
  <c r="K31" i="4" s="1"/>
  <c r="I29" i="4"/>
  <c r="H29" i="4"/>
  <c r="K29" i="4" s="1"/>
  <c r="G29" i="4"/>
  <c r="I28" i="4"/>
  <c r="L28" i="4" s="1"/>
  <c r="H28" i="4"/>
  <c r="K28" i="4" s="1"/>
  <c r="I27" i="4"/>
  <c r="H27" i="4"/>
  <c r="G27" i="4"/>
  <c r="I25" i="4"/>
  <c r="H25" i="4"/>
  <c r="K25" i="4" s="1"/>
  <c r="G25" i="4"/>
  <c r="L25" i="4" s="1"/>
  <c r="I24" i="4"/>
  <c r="H24" i="4"/>
  <c r="G24" i="4"/>
  <c r="L24" i="4" s="1"/>
  <c r="I22" i="4"/>
  <c r="H22" i="4"/>
  <c r="K22" i="4" s="1"/>
  <c r="G22" i="4"/>
  <c r="L22" i="4" s="1"/>
  <c r="I21" i="4"/>
  <c r="L21" i="4" s="1"/>
  <c r="H21" i="4"/>
  <c r="K21" i="4" s="1"/>
  <c r="L20" i="4"/>
  <c r="I20" i="4"/>
  <c r="H20" i="4"/>
  <c r="K20" i="4" s="1"/>
  <c r="G20" i="4"/>
  <c r="L19" i="4"/>
  <c r="I19" i="4"/>
  <c r="H19" i="4"/>
  <c r="K19" i="4" s="1"/>
  <c r="G19" i="4"/>
  <c r="U18" i="4"/>
  <c r="H18" i="4"/>
  <c r="G18" i="4"/>
  <c r="L18" i="4" s="1"/>
  <c r="I16" i="4"/>
  <c r="H16" i="4"/>
  <c r="K16" i="4" s="1"/>
  <c r="G16" i="4"/>
  <c r="L16" i="4" s="1"/>
  <c r="U15" i="4"/>
  <c r="R15" i="4"/>
  <c r="L15" i="4"/>
  <c r="I15" i="4"/>
  <c r="H15" i="4"/>
  <c r="K15" i="4" s="1"/>
  <c r="K14" i="4"/>
  <c r="H14" i="4"/>
  <c r="G14" i="4"/>
  <c r="L14" i="4" s="1"/>
  <c r="J12" i="4"/>
  <c r="I12" i="4"/>
  <c r="H12" i="4"/>
  <c r="K12" i="4" s="1"/>
  <c r="G12" i="4"/>
  <c r="J11" i="4"/>
  <c r="I11" i="4"/>
  <c r="L11" i="4" s="1"/>
  <c r="H11" i="4"/>
  <c r="K11" i="4" s="1"/>
  <c r="N11" i="4" s="1"/>
  <c r="J10" i="4"/>
  <c r="J16" i="4" s="1"/>
  <c r="G10" i="4"/>
  <c r="M10" i="4" s="1"/>
  <c r="U9" i="4"/>
  <c r="T9" i="4"/>
  <c r="R9" i="4"/>
  <c r="Q9" i="4"/>
  <c r="M9" i="4"/>
  <c r="L9" i="4"/>
  <c r="K9" i="4"/>
  <c r="I8" i="4"/>
  <c r="J8" i="4" s="1"/>
  <c r="R7" i="4"/>
  <c r="F3" i="4"/>
  <c r="E20" i="7" l="1"/>
  <c r="E14" i="7"/>
  <c r="F11" i="7"/>
  <c r="D14" i="7"/>
  <c r="D20" i="7" s="1"/>
  <c r="Q49" i="6"/>
  <c r="K43" i="6"/>
  <c r="N16" i="4"/>
  <c r="AE45" i="6"/>
  <c r="AE47" i="6" s="1"/>
  <c r="T48" i="6"/>
  <c r="H22" i="6"/>
  <c r="G10" i="6"/>
  <c r="G15" i="6" s="1"/>
  <c r="G41" i="6" s="1"/>
  <c r="J15" i="6"/>
  <c r="J41" i="6" s="1"/>
  <c r="H39" i="6"/>
  <c r="K18" i="4"/>
  <c r="K24" i="4"/>
  <c r="N24" i="4" s="1"/>
  <c r="N10" i="6"/>
  <c r="H10" i="6" s="1"/>
  <c r="K15" i="6"/>
  <c r="K41" i="6" s="1"/>
  <c r="N22" i="6"/>
  <c r="T43" i="6"/>
  <c r="T44" i="6"/>
  <c r="J32" i="4"/>
  <c r="M32" i="4" s="1"/>
  <c r="H25" i="6"/>
  <c r="J35" i="4"/>
  <c r="M35" i="4" s="1"/>
  <c r="N35" i="4" s="1"/>
  <c r="H8" i="6"/>
  <c r="P15" i="6"/>
  <c r="P41" i="6" s="1"/>
  <c r="H6" i="6"/>
  <c r="Q15" i="6"/>
  <c r="Q41" i="6" s="1"/>
  <c r="N15" i="4"/>
  <c r="L27" i="4"/>
  <c r="N31" i="4"/>
  <c r="J37" i="4"/>
  <c r="M37" i="4" s="1"/>
  <c r="L12" i="4"/>
  <c r="N12" i="4" s="1"/>
  <c r="K27" i="4"/>
  <c r="J31" i="4"/>
  <c r="M31" i="4" s="1"/>
  <c r="J33" i="4"/>
  <c r="M33" i="4" s="1"/>
  <c r="N33" i="4" s="1"/>
  <c r="N32" i="4"/>
  <c r="O32" i="4" s="1"/>
  <c r="N22" i="4"/>
  <c r="N37" i="4"/>
  <c r="K10" i="4"/>
  <c r="J28" i="4"/>
  <c r="M28" i="4" s="1"/>
  <c r="N28" i="4" s="1"/>
  <c r="J29" i="4"/>
  <c r="M29" i="4" s="1"/>
  <c r="N29" i="4" s="1"/>
  <c r="N9" i="4"/>
  <c r="L10" i="4"/>
  <c r="L39" i="4" s="1"/>
  <c r="J18" i="4"/>
  <c r="M18" i="4" s="1"/>
  <c r="N18" i="4" s="1"/>
  <c r="J21" i="4"/>
  <c r="M21" i="4" s="1"/>
  <c r="N21" i="4" s="1"/>
  <c r="J22" i="4"/>
  <c r="M22" i="4" s="1"/>
  <c r="J24" i="4"/>
  <c r="M24" i="4" s="1"/>
  <c r="J25" i="4"/>
  <c r="M25" i="4" s="1"/>
  <c r="N25" i="4" s="1"/>
  <c r="J27" i="4"/>
  <c r="M27" i="4" s="1"/>
  <c r="G39" i="4"/>
  <c r="G41" i="4" s="1"/>
  <c r="J15" i="4"/>
  <c r="J19" i="4"/>
  <c r="M19" i="4" s="1"/>
  <c r="N19" i="4" s="1"/>
  <c r="J20" i="4"/>
  <c r="M20" i="4" s="1"/>
  <c r="N20" i="4" s="1"/>
  <c r="L29" i="4"/>
  <c r="J14" i="4"/>
  <c r="M14" i="4" s="1"/>
  <c r="N14" i="4" s="1"/>
  <c r="G20" i="7" l="1"/>
  <c r="L41" i="4"/>
  <c r="H41" i="6"/>
  <c r="N27" i="4"/>
  <c r="N43" i="6"/>
  <c r="N15" i="6"/>
  <c r="N41" i="6" s="1"/>
  <c r="K45" i="6"/>
  <c r="T45" i="6"/>
  <c r="T47" i="6" s="1"/>
  <c r="T49" i="6" s="1"/>
  <c r="H15" i="6"/>
  <c r="M39" i="4"/>
  <c r="N10" i="4"/>
  <c r="K39" i="4"/>
  <c r="K41" i="4" l="1"/>
  <c r="N45" i="6"/>
  <c r="N39" i="4"/>
  <c r="N41" i="4" s="1"/>
  <c r="M41" i="4"/>
  <c r="M47" i="6"/>
  <c r="M52" i="6" s="1"/>
  <c r="Q4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Cascade Natural Gas</author>
    <author>Brian Hoyle</author>
    <author>Jim Haug</author>
    <author>sarah.volk</author>
  </authors>
  <commentList>
    <comment ref="G9" authorId="0" shapeId="0" xr:uid="{9281A594-3825-4602-82AE-E11EE899467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H9" authorId="1" shapeId="0" xr:uid="{FF7A0EF4-6219-4273-AB03-689D672F8ED0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WA PGA - Demand 
Rate Schedule 504</t>
        </r>
      </text>
    </comment>
    <comment ref="I9" authorId="1" shapeId="0" xr:uid="{9B837159-530D-4E6C-AD99-B5BC79CB810F}">
      <text>
        <r>
          <rPr>
            <sz val="9"/>
            <color indexed="81"/>
            <rFont val="Tahoma"/>
            <family val="2"/>
          </rPr>
          <t xml:space="preserve">WA PGA - Demand 
Rate Schedule 504
</t>
        </r>
      </text>
    </comment>
    <comment ref="J9" authorId="1" shapeId="0" xr:uid="{0FFB98A0-84C2-4325-B035-7A0C13A5467D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Sch 595 will change in Nov/2019 - $.0074
Sch 590 - 3 years starting 4/2019</t>
        </r>
      </text>
    </comment>
    <comment ref="G10" authorId="0" shapeId="0" xr:uid="{B3760FF9-DBAC-4C5B-B031-5C5C12E6C97D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I10" authorId="0" shapeId="0" xr:uid="{7AA63AD1-C1E1-4B31-B4F4-842741A0916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503
</t>
        </r>
      </text>
    </comment>
    <comment ref="J10" authorId="1" shapeId="0" xr:uid="{86BAF3F6-D55E-41EF-9B9C-756A010A9F25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Sch 595 will change in Nov/2019 - $.0074
Sch 590 - 3 years starting 4/2019</t>
        </r>
      </text>
    </comment>
    <comment ref="G11" authorId="0" shapeId="0" xr:uid="{0094A02F-1853-4AEE-B208-B727C366CD8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2" authorId="0" shapeId="0" xr:uid="{1B24B85D-13F5-4A9A-BD28-D64E3AEFBDF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4" authorId="0" shapeId="0" xr:uid="{9A6CD393-8B72-4A8A-8456-C76E14F85EA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I14" authorId="1" shapeId="0" xr:uid="{6D45CBDA-8D70-4F7F-A375-0D3E9A305429}">
      <text>
        <r>
          <rPr>
            <sz val="9"/>
            <color indexed="81"/>
            <rFont val="Tahoma"/>
            <family val="2"/>
          </rPr>
          <t xml:space="preserve">WA PGA - Demand 
Rate Schedule 504
</t>
        </r>
      </text>
    </comment>
    <comment ref="G15" authorId="0" shapeId="0" xr:uid="{58964765-9793-443C-AA2C-1BF7931857E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6" authorId="0" shapeId="0" xr:uid="{B834453F-9A7A-46C8-9D6B-7B81BD7606A7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8" authorId="0" shapeId="0" xr:uid="{4AACA056-2D8D-42BD-9F3A-3EC2C91A070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I18" authorId="0" shapeId="0" xr:uid="{E8B4B1E7-C2E4-4B7B-927D-9DEC7BA7089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 RS 511
</t>
        </r>
      </text>
    </comment>
    <comment ref="G19" authorId="0" shapeId="0" xr:uid="{02B94E46-C06F-4FDE-9D5F-B6EDE0AC458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G20" authorId="0" shapeId="0" xr:uid="{37FD8AB8-387C-4F3D-9CD5-12679A4032E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G21" authorId="0" shapeId="0" xr:uid="{DEF53A5D-BF4F-4E98-80E2-8AE60FC95332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2" authorId="0" shapeId="0" xr:uid="{DCAD621A-5CCD-4CE2-B6B4-AB9D69DFDAC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4" authorId="0" shapeId="0" xr:uid="{F106ACA1-5873-4F4D-B17D-D30F12139F1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25" authorId="0" shapeId="0" xr:uid="{F073BF22-522C-493C-81E0-A65EC774AAA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27" authorId="0" shapeId="0" xr:uid="{3B510E94-2DE5-45FD-B10B-D0EA01F577E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</t>
        </r>
      </text>
    </comment>
    <comment ref="G28" authorId="0" shapeId="0" xr:uid="{8C0A1D48-78B4-4DD7-85E2-BB143150644B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29" authorId="0" shapeId="0" xr:uid="{8E46F5BD-1246-494F-807D-1F849A22E7E7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0" authorId="0" shapeId="0" xr:uid="{0DB2AFB0-1144-40C8-8365-A5427A8FA19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1501 - Page12
</t>
        </r>
      </text>
    </comment>
    <comment ref="I31" authorId="0" shapeId="0" xr:uid="{9F0B8E72-7318-4957-8F2C-7F94E92A85F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570
</t>
        </r>
      </text>
    </comment>
    <comment ref="G32" authorId="0" shapeId="0" xr:uid="{34A492A5-F075-4554-A2F1-C380A4EC76BD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3" authorId="0" shapeId="0" xr:uid="{A7C62CF5-E0FC-45C5-84C2-4034DB18E63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5" authorId="0" shapeId="0" xr:uid="{D9E6FBAC-517C-4F94-94A7-1DC87897B44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12/13
</t>
        </r>
      </text>
    </comment>
    <comment ref="G36" authorId="0" shapeId="0" xr:uid="{0EA9C2E1-B561-4019-9B9A-5A29005A71A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37" authorId="0" shapeId="0" xr:uid="{DE1EA017-3EB7-4260-ADE2-EB5BCC1E9E6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N39" authorId="2" shapeId="0" xr:uid="{1C8FDCC9-87CC-46DE-AD78-FDAFAD35838A}">
      <text>
        <r>
          <rPr>
            <b/>
            <sz val="8"/>
            <color indexed="81"/>
            <rFont val="Tahoma"/>
            <family val="2"/>
          </rPr>
          <t>Jim Haug:</t>
        </r>
        <r>
          <rPr>
            <sz val="8"/>
            <color indexed="81"/>
            <rFont val="Tahoma"/>
            <family val="2"/>
          </rPr>
          <t xml:space="preserve">
Sum of Debits to 670001 (assigned gas cost).</t>
        </r>
      </text>
    </comment>
    <comment ref="M41" authorId="3" shapeId="0" xr:uid="{FBB3968F-0079-40A3-9481-D25F282A3D38}">
      <text>
        <r>
          <rPr>
            <b/>
            <sz val="9"/>
            <color indexed="81"/>
            <rFont val="Tahoma"/>
            <family val="2"/>
          </rPr>
          <t>sarah.volk:</t>
        </r>
        <r>
          <rPr>
            <sz val="9"/>
            <color indexed="81"/>
            <rFont val="Tahoma"/>
            <family val="2"/>
          </rPr>
          <t xml:space="preserve">
Used as a comparison to the AMORTWA spreadsheet as a cross check.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F</author>
    <author>jfresco</author>
    <author>Jennifer</author>
    <author>sarah.volk</author>
  </authors>
  <commentList>
    <comment ref="K7" authorId="0" shapeId="0" xr:uid="{E85E36A7-7665-4FBF-908C-4499214DEB0F}">
      <text>
        <r>
          <rPr>
            <b/>
            <sz val="7"/>
            <color indexed="81"/>
            <rFont val="Tahoma"/>
            <family val="2"/>
          </rPr>
          <t>John F:</t>
        </r>
        <r>
          <rPr>
            <sz val="7"/>
            <color indexed="81"/>
            <rFont val="Tahoma"/>
            <family val="2"/>
          </rPr>
          <t xml:space="preserve">
Beginning Sep-06 is being switch as part of the demand gas cost in calc PGA demand deferrals to conform with the PGA filing.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1" shapeId="0" xr:uid="{3F45679A-F66E-44C9-900C-585EABCF114E}">
      <text>
        <r>
          <rPr>
            <b/>
            <sz val="8"/>
            <color indexed="81"/>
            <rFont val="Tahoma"/>
            <family val="2"/>
          </rPr>
          <t>jfresco:</t>
        </r>
        <r>
          <rPr>
            <sz val="8"/>
            <color indexed="81"/>
            <rFont val="Tahoma"/>
            <family val="2"/>
          </rPr>
          <t xml:space="preserve">
Beg Oct-08, this account includes Collateral calls interest/income.
</t>
        </r>
      </text>
    </comment>
    <comment ref="K45" authorId="2" shapeId="0" xr:uid="{E8F9C957-69A1-4A90-A044-6467B4CD544C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N45" authorId="2" shapeId="0" xr:uid="{85A91BE8-9F5B-4840-B61E-931B334B7388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Q45" authorId="2" shapeId="0" xr:uid="{8B7CAD34-F353-4193-9F16-F94992594E7C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T45" authorId="2" shapeId="0" xr:uid="{7BC6C31E-8980-4B38-B8A5-B0191CB4417E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AE45" authorId="3" shapeId="0" xr:uid="{F2FE79FB-97AD-4732-861A-E6CB611107D4}">
      <text>
        <r>
          <rPr>
            <b/>
            <sz val="8"/>
            <color indexed="81"/>
            <rFont val="Tahoma"/>
            <family val="2"/>
          </rPr>
          <t>sarah.volk:</t>
        </r>
        <r>
          <rPr>
            <sz val="8"/>
            <color indexed="81"/>
            <rFont val="Tahoma"/>
            <family val="2"/>
          </rPr>
          <t xml:space="preserve">
This number should match the total true up from the True-up column on the Suppler Invoice tab of the Gas Supply Analysis plus any storage true-up for the month.
</t>
        </r>
        <r>
          <rPr>
            <b/>
            <sz val="10"/>
            <color indexed="81"/>
            <rFont val="Tahoma"/>
            <family val="2"/>
          </rPr>
          <t>Q65 -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Tahoma"/>
            <family val="2"/>
          </rPr>
          <t>Prior Month File</t>
        </r>
      </text>
    </comment>
  </commentList>
</comments>
</file>

<file path=xl/sharedStrings.xml><?xml version="1.0" encoding="utf-8"?>
<sst xmlns="http://schemas.openxmlformats.org/spreadsheetml/2006/main" count="443" uniqueCount="203">
  <si>
    <t>Amount</t>
  </si>
  <si>
    <t>State</t>
  </si>
  <si>
    <t>Washington</t>
  </si>
  <si>
    <t>Commodity</t>
  </si>
  <si>
    <t>47WA.6011.28051</t>
  </si>
  <si>
    <t>47WA.2530.01253</t>
  </si>
  <si>
    <t>Demand</t>
  </si>
  <si>
    <t>47WA.2530.01254</t>
  </si>
  <si>
    <t>Oregon</t>
  </si>
  <si>
    <t xml:space="preserve"> Washington Deferrals</t>
  </si>
  <si>
    <t xml:space="preserve"> Month of</t>
  </si>
  <si>
    <t>Amortization</t>
  </si>
  <si>
    <t>Total</t>
  </si>
  <si>
    <t>Gas Cost Recognized</t>
  </si>
  <si>
    <t>Under the Rates - Effective 11/1/2019</t>
  </si>
  <si>
    <t>Under the Rates - Effective 11/1/2020</t>
  </si>
  <si>
    <t>Total Gas Cost Recognized</t>
  </si>
  <si>
    <t>4</t>
  </si>
  <si>
    <t>Actual Gas Cost Incurred</t>
  </si>
  <si>
    <t>Deferred Gas Cost Journalized</t>
  </si>
  <si>
    <t>47WA.2530.01253 - Gas Loss</t>
  </si>
  <si>
    <t>Gas Storage Mitigation</t>
  </si>
  <si>
    <t>Deferral Amount</t>
  </si>
  <si>
    <t>( ____ )  = credit to gas cost</t>
  </si>
  <si>
    <t>JDE Gas Cost Account Code</t>
  </si>
  <si>
    <t>JDE Deferred Gas Account Code</t>
  </si>
  <si>
    <t>5</t>
  </si>
  <si>
    <t xml:space="preserve"> Assignment of Core Gas Cost To</t>
  </si>
  <si>
    <t>WASHINGTON</t>
  </si>
  <si>
    <t xml:space="preserve"> Class &amp; Rate Schedule</t>
  </si>
  <si>
    <t>Red Cells = Actual Billed Therms 1501</t>
  </si>
  <si>
    <t xml:space="preserve"> Core Gas Cost</t>
  </si>
  <si>
    <t xml:space="preserve"> Blue - 1501A</t>
  </si>
  <si>
    <t xml:space="preserve"> Revenue &amp; Cost by Rate Schedule - WA</t>
  </si>
  <si>
    <t>Green Cells = Unbilled Therms Incl. LV</t>
  </si>
  <si>
    <t>Sales</t>
  </si>
  <si>
    <t>Gas Cost</t>
  </si>
  <si>
    <t>CC&amp;B</t>
  </si>
  <si>
    <t>Therms</t>
  </si>
  <si>
    <t>WACOG at</t>
  </si>
  <si>
    <t>Cost</t>
  </si>
  <si>
    <t>CL</t>
  </si>
  <si>
    <t>RS</t>
  </si>
  <si>
    <t>Billed</t>
  </si>
  <si>
    <t>Nov 1 2020</t>
  </si>
  <si>
    <t>Recongnized</t>
  </si>
  <si>
    <t>47WA.4002.4800</t>
  </si>
  <si>
    <t>Firm Res - air con</t>
  </si>
  <si>
    <t>541</t>
  </si>
  <si>
    <t>CNGWA 541</t>
  </si>
  <si>
    <t>Firm Residentials</t>
  </si>
  <si>
    <t>503</t>
  </si>
  <si>
    <t>CNGWA 503</t>
  </si>
  <si>
    <t>47WA.4009.4800</t>
  </si>
  <si>
    <t>PM Unbilled - Res</t>
  </si>
  <si>
    <t>CM Unbilled - Res</t>
  </si>
  <si>
    <t>04LV</t>
  </si>
  <si>
    <t>47WA.4002.4810</t>
  </si>
  <si>
    <t>Firm Commercial</t>
  </si>
  <si>
    <t>504</t>
  </si>
  <si>
    <t>CNGWA 504</t>
  </si>
  <si>
    <t>Regular cycle</t>
  </si>
  <si>
    <t>11LV</t>
  </si>
  <si>
    <t>47WA.4009.4810</t>
  </si>
  <si>
    <t>PM Unbilled - Com'l</t>
  </si>
  <si>
    <t>Reg. accrual</t>
  </si>
  <si>
    <t>CM Unbilled - Com'l</t>
  </si>
  <si>
    <t>05LV</t>
  </si>
  <si>
    <t>Firm Com - Lg Vol</t>
  </si>
  <si>
    <t>511</t>
  </si>
  <si>
    <t>CNGWA 511</t>
  </si>
  <si>
    <t>CNGWA 04LV</t>
  </si>
  <si>
    <t>CNGWA 11LV</t>
  </si>
  <si>
    <t>Unbilled</t>
  </si>
  <si>
    <t xml:space="preserve">PM Unbilled </t>
  </si>
  <si>
    <t xml:space="preserve">CM 1501A (Unbilled) </t>
  </si>
  <si>
    <t>47WA.4002.4809</t>
  </si>
  <si>
    <t>Firm Ind'l</t>
  </si>
  <si>
    <t>505</t>
  </si>
  <si>
    <t>CNGWA 505</t>
  </si>
  <si>
    <t>511  04LV</t>
  </si>
  <si>
    <t>1501A</t>
  </si>
  <si>
    <t>Firm Industrial</t>
  </si>
  <si>
    <t>505  05LV</t>
  </si>
  <si>
    <t>4813  570</t>
  </si>
  <si>
    <t>47WA.4002.4811</t>
  </si>
  <si>
    <t>Firm Ind'l - Lg Vol CNGW05LV</t>
  </si>
  <si>
    <t>CNGWA 05LV</t>
  </si>
  <si>
    <t>47WA.4009.4811</t>
  </si>
  <si>
    <t>Interr Small Commercial</t>
  </si>
  <si>
    <t>570</t>
  </si>
  <si>
    <t>CNGWA 570</t>
  </si>
  <si>
    <t xml:space="preserve">CM Unbilled </t>
  </si>
  <si>
    <t>47WA.4009.4813</t>
  </si>
  <si>
    <t>Interr Industrial</t>
  </si>
  <si>
    <t>New Rates</t>
  </si>
  <si>
    <t xml:space="preserve">Total Gas Cost Recognized </t>
  </si>
  <si>
    <t>Old Rates</t>
  </si>
  <si>
    <t>Pg 2</t>
  </si>
  <si>
    <t>Total WA</t>
  </si>
  <si>
    <t>Pg 8</t>
  </si>
  <si>
    <t>A</t>
  </si>
  <si>
    <t xml:space="preserve"> </t>
  </si>
  <si>
    <t>Account Number</t>
  </si>
  <si>
    <t>Subledger</t>
  </si>
  <si>
    <t>Subledger Type</t>
  </si>
  <si>
    <t>Units</t>
  </si>
  <si>
    <t>Unit of Measure</t>
  </si>
  <si>
    <t>Posted Code</t>
  </si>
  <si>
    <t>Remark</t>
  </si>
  <si>
    <t>47WA.6011.28040</t>
  </si>
  <si>
    <t>GC RECOGNIZED RS 15410</t>
  </si>
  <si>
    <t>GC RECOGNIZED RS 15030</t>
  </si>
  <si>
    <t>GC RECOGNIZED RS 25040</t>
  </si>
  <si>
    <t>GC RECOGNIZED RS 25110</t>
  </si>
  <si>
    <t>GC RECOGNIZED RS 25120</t>
  </si>
  <si>
    <t>GC RECOGNIZED RS 25410</t>
  </si>
  <si>
    <t>GC RECOGNIZED RS 35050</t>
  </si>
  <si>
    <t>GC RECOGNIZED RS 35110</t>
  </si>
  <si>
    <t>GC RECOGNIZED RS 35120</t>
  </si>
  <si>
    <t>GC RECOGNIZED RS 55700</t>
  </si>
  <si>
    <t>GC RECOGNIZED RS 45700</t>
  </si>
  <si>
    <t>GC RECOGNIZED RS 55770</t>
  </si>
  <si>
    <t>GC RECOGNIZED RS 65700</t>
  </si>
  <si>
    <t>S003000804009990670001</t>
  </si>
  <si>
    <t>GC RECOGNIZED CORE TOTAL</t>
  </si>
  <si>
    <t>Pg 3</t>
  </si>
  <si>
    <t>Summary of Gas Cost Accruals by Reg Jurisdiction</t>
  </si>
  <si>
    <t>Current Month &amp; True-ups</t>
  </si>
  <si>
    <t>Current Month Accruals</t>
  </si>
  <si>
    <t xml:space="preserve">True-ups booked in </t>
  </si>
  <si>
    <t xml:space="preserve">xxx-08 True-Ups Booked in </t>
  </si>
  <si>
    <t>Washington Amount</t>
  </si>
  <si>
    <t>Oregon Amount</t>
  </si>
  <si>
    <t>JDE Acct Code</t>
  </si>
  <si>
    <t>$</t>
  </si>
  <si>
    <t>TH</t>
  </si>
  <si>
    <t>47</t>
  </si>
  <si>
    <t>Contract Demand Charges</t>
  </si>
  <si>
    <t>NA</t>
  </si>
  <si>
    <t>D</t>
  </si>
  <si>
    <t>Canadian Toll Charges</t>
  </si>
  <si>
    <t>Commodity Charges</t>
  </si>
  <si>
    <t>C</t>
  </si>
  <si>
    <t>Financial Hedges Settlement</t>
  </si>
  <si>
    <t xml:space="preserve">Core Pipeline Imbalance </t>
  </si>
  <si>
    <t>Gas Withdrawn from Storage</t>
  </si>
  <si>
    <t>Gas Injected to Storage (credit)</t>
  </si>
  <si>
    <t>Gas Used in Operations (credit)</t>
  </si>
  <si>
    <t>Off system sales</t>
  </si>
  <si>
    <t>Total Supply</t>
  </si>
  <si>
    <t>Capacity Reservation</t>
  </si>
  <si>
    <t>Firm Commodity</t>
  </si>
  <si>
    <t>Interruptible Commodity</t>
  </si>
  <si>
    <t>Other Firm Pipeline capacity</t>
  </si>
  <si>
    <t>Capacity Releases</t>
  </si>
  <si>
    <t>Total Pipeline Cap &amp; Transport</t>
  </si>
  <si>
    <t>LS Demand</t>
  </si>
  <si>
    <t>LS Capacity</t>
  </si>
  <si>
    <t>LS Commodity</t>
  </si>
  <si>
    <t>LS Liquefaction</t>
  </si>
  <si>
    <t>LS Inventory</t>
  </si>
  <si>
    <t>LS Vaporization</t>
  </si>
  <si>
    <t>TF Reservation from LS</t>
  </si>
  <si>
    <t>TF Commodity from LS</t>
  </si>
  <si>
    <t>SGS Demand</t>
  </si>
  <si>
    <t>SGS Capacity</t>
  </si>
  <si>
    <t>SGS Commodity</t>
  </si>
  <si>
    <t>SGS Inventory</t>
  </si>
  <si>
    <t>TF Reservation from SGS</t>
  </si>
  <si>
    <t>Mist Reservation Charge</t>
  </si>
  <si>
    <t>Mist Capacity Charge</t>
  </si>
  <si>
    <t>Total Peaking Services</t>
  </si>
  <si>
    <t>Total Core Gas Costs</t>
  </si>
  <si>
    <t>Total Commodity  (Col K, Rows , 10, 11, 12, 13, 14, 16, 20, 28, 29, 30, 31, 33, 36, 37 &amp; 39)</t>
  </si>
  <si>
    <t>Total Demand  (Col. K, Rows 8, 9, 19, 26, 27, 32, 34, 35, &amp; 38)</t>
  </si>
  <si>
    <t xml:space="preserve">WA &amp; OR </t>
  </si>
  <si>
    <t>Previous Month Gas Supply Analysis</t>
  </si>
  <si>
    <t>Worksheet Amount</t>
  </si>
  <si>
    <t>JDE Export</t>
  </si>
  <si>
    <t>Total 6011</t>
  </si>
  <si>
    <t>True-up</t>
  </si>
  <si>
    <t xml:space="preserve">    </t>
  </si>
  <si>
    <t>G/L Amount</t>
  </si>
  <si>
    <t>AU</t>
  </si>
  <si>
    <t>Ledger Type</t>
  </si>
  <si>
    <t>AA</t>
  </si>
  <si>
    <t>Year</t>
  </si>
  <si>
    <t>2021</t>
  </si>
  <si>
    <t>Format</t>
  </si>
  <si>
    <t>per</t>
  </si>
  <si>
    <t>Period</t>
  </si>
  <si>
    <t>9</t>
  </si>
  <si>
    <t>Currency</t>
  </si>
  <si>
    <t>***</t>
  </si>
  <si>
    <t>Company</t>
  </si>
  <si>
    <t>00047</t>
  </si>
  <si>
    <t>Business Unit</t>
  </si>
  <si>
    <t>*</t>
  </si>
  <si>
    <t>CNGC</t>
  </si>
  <si>
    <t>47WA</t>
  </si>
  <si>
    <t>47OR</t>
  </si>
  <si>
    <t>28081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</si>
</sst>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mmmm\-yy"/>
    <numFmt numFmtId="168" formatCode="_(&quot;$&quot;* #,##0.0_);_(&quot;$&quot;* \(#,##0.0\);_(&quot;$&quot;* &quot;-&quot;??_);_(@_)"/>
    <numFmt numFmtId="171" formatCode="_(* #,##0.0000_);_(* \(#,##0.0000\);_(* &quot;-&quot;??_);_(@_)"/>
  </numFmts>
  <fonts count="51" x14ac:knownFonts="1">
    <font>
      <sz val="10"/>
      <name val="Arial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name val="Arial"/>
      <family val="2"/>
    </font>
    <font>
      <b/>
      <sz val="11"/>
      <color indexed="10"/>
      <name val="Arial"/>
      <family val="2"/>
    </font>
    <font>
      <b/>
      <sz val="11"/>
      <color rgb="FF0070C0"/>
      <name val="Arial"/>
      <family val="2"/>
    </font>
    <font>
      <b/>
      <sz val="11"/>
      <color rgb="FF00B050"/>
      <name val="Arial"/>
      <family val="2"/>
    </font>
    <font>
      <sz val="10"/>
      <color rgb="FF00B050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  <font>
      <b/>
      <sz val="12"/>
      <color rgb="FF0070C0"/>
      <name val="Arial"/>
      <family val="2"/>
    </font>
    <font>
      <sz val="12"/>
      <color rgb="FF00B050"/>
      <name val="Arial"/>
      <family val="2"/>
    </font>
    <font>
      <b/>
      <sz val="10"/>
      <color indexed="12"/>
      <name val="Arial"/>
      <family val="2"/>
    </font>
    <font>
      <sz val="12"/>
      <color rgb="FF0070C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u/>
      <sz val="10"/>
      <color rgb="FF00B050"/>
      <name val="Arial"/>
      <family val="2"/>
    </font>
    <font>
      <i/>
      <sz val="8"/>
      <color indexed="10"/>
      <name val="Arial"/>
      <family val="2"/>
    </font>
    <font>
      <b/>
      <sz val="8"/>
      <name val="Arial"/>
      <family val="2"/>
    </font>
    <font>
      <b/>
      <sz val="12"/>
      <color theme="4" tint="-0.249977111117893"/>
      <name val="Arial"/>
      <family val="2"/>
    </font>
    <font>
      <sz val="14"/>
      <name val="Arial"/>
      <family val="2"/>
    </font>
    <font>
      <b/>
      <sz val="8"/>
      <color indexed="12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8"/>
      <color indexed="12"/>
      <name val="Arial"/>
      <family val="2"/>
    </font>
    <font>
      <b/>
      <sz val="8"/>
      <color indexed="10"/>
      <name val="Arial"/>
      <family val="2"/>
    </font>
    <font>
      <b/>
      <sz val="11"/>
      <color rgb="FFFF0000"/>
      <name val="Arial"/>
      <family val="2"/>
    </font>
    <font>
      <sz val="10.5"/>
      <name val="Arial"/>
      <family val="2"/>
    </font>
    <font>
      <b/>
      <i/>
      <sz val="8"/>
      <name val="Arial"/>
      <family val="2"/>
    </font>
    <font>
      <b/>
      <sz val="10.5"/>
      <name val="Arial"/>
      <family val="2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DDB7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D2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44" fontId="0" fillId="0" borderId="0" xfId="0" applyNumberFormat="1"/>
    <xf numFmtId="43" fontId="1" fillId="0" borderId="1" xfId="1" applyFont="1" applyBorder="1"/>
    <xf numFmtId="0" fontId="5" fillId="0" borderId="0" xfId="0" applyFont="1"/>
    <xf numFmtId="0" fontId="6" fillId="0" borderId="0" xfId="0" applyFont="1"/>
    <xf numFmtId="44" fontId="1" fillId="0" borderId="0" xfId="0" applyNumberFormat="1" applyFont="1"/>
    <xf numFmtId="49" fontId="3" fillId="0" borderId="0" xfId="0" applyNumberFormat="1" applyFont="1" applyAlignment="1">
      <alignment horizontal="center"/>
    </xf>
    <xf numFmtId="165" fontId="3" fillId="0" borderId="0" xfId="1" applyNumberFormat="1" applyFont="1"/>
    <xf numFmtId="0" fontId="1" fillId="0" borderId="0" xfId="0" applyFont="1" applyAlignment="1">
      <alignment horizontal="right"/>
    </xf>
    <xf numFmtId="165" fontId="5" fillId="0" borderId="0" xfId="1" applyNumberFormat="1" applyFont="1"/>
    <xf numFmtId="49" fontId="1" fillId="0" borderId="0" xfId="0" applyNumberFormat="1" applyFont="1" applyAlignment="1">
      <alignment horizontal="center"/>
    </xf>
    <xf numFmtId="43" fontId="1" fillId="0" borderId="0" xfId="1" applyFont="1"/>
    <xf numFmtId="44" fontId="1" fillId="0" borderId="0" xfId="2" applyFont="1" applyBorder="1"/>
    <xf numFmtId="44" fontId="1" fillId="0" borderId="1" xfId="2" applyFont="1" applyBorder="1"/>
    <xf numFmtId="0" fontId="0" fillId="0" borderId="0" xfId="0" applyAlignment="1">
      <alignment horizontal="left"/>
    </xf>
    <xf numFmtId="49" fontId="1" fillId="0" borderId="0" xfId="1" applyNumberFormat="1" applyFont="1" applyAlignment="1"/>
    <xf numFmtId="49" fontId="3" fillId="0" borderId="0" xfId="0" applyNumberFormat="1" applyFont="1"/>
    <xf numFmtId="49" fontId="14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165" fontId="15" fillId="0" borderId="0" xfId="1" applyNumberFormat="1" applyFont="1" applyAlignment="1">
      <alignment horizontal="left"/>
    </xf>
    <xf numFmtId="49" fontId="1" fillId="0" borderId="0" xfId="0" applyNumberFormat="1" applyFont="1"/>
    <xf numFmtId="49" fontId="14" fillId="0" borderId="0" xfId="0" applyNumberFormat="1" applyFont="1" applyAlignment="1">
      <alignment vertical="top"/>
    </xf>
    <xf numFmtId="164" fontId="14" fillId="0" borderId="0" xfId="0" applyNumberFormat="1" applyFont="1" applyAlignment="1">
      <alignment horizontal="center" vertical="center" wrapText="1"/>
    </xf>
    <xf numFmtId="49" fontId="16" fillId="0" borderId="0" xfId="0" applyNumberFormat="1" applyFont="1" applyAlignment="1">
      <alignment horizontal="left"/>
    </xf>
    <xf numFmtId="165" fontId="17" fillId="0" borderId="0" xfId="1" applyNumberFormat="1" applyFont="1" applyAlignment="1">
      <alignment horizontal="left"/>
    </xf>
    <xf numFmtId="49" fontId="3" fillId="0" borderId="0" xfId="1" applyNumberFormat="1" applyFont="1"/>
    <xf numFmtId="0" fontId="3" fillId="5" borderId="0" xfId="0" applyFont="1" applyFill="1"/>
    <xf numFmtId="49" fontId="3" fillId="5" borderId="0" xfId="1" applyNumberFormat="1" applyFont="1" applyFill="1" applyBorder="1"/>
    <xf numFmtId="49" fontId="3" fillId="5" borderId="0" xfId="0" applyNumberFormat="1" applyFont="1" applyFill="1"/>
    <xf numFmtId="165" fontId="3" fillId="5" borderId="0" xfId="1" applyNumberFormat="1" applyFont="1" applyFill="1" applyBorder="1" applyAlignment="1">
      <alignment horizontal="center"/>
    </xf>
    <xf numFmtId="166" fontId="3" fillId="5" borderId="0" xfId="2" applyNumberFormat="1" applyFont="1" applyFill="1" applyBorder="1" applyAlignment="1">
      <alignment horizontal="center"/>
    </xf>
    <xf numFmtId="166" fontId="3" fillId="0" borderId="0" xfId="2" applyNumberFormat="1" applyFont="1" applyFill="1" applyBorder="1" applyAlignment="1">
      <alignment horizontal="center"/>
    </xf>
    <xf numFmtId="39" fontId="0" fillId="0" borderId="0" xfId="0" applyNumberFormat="1"/>
    <xf numFmtId="39" fontId="15" fillId="0" borderId="0" xfId="0" applyNumberFormat="1" applyFont="1"/>
    <xf numFmtId="39" fontId="0" fillId="0" borderId="0" xfId="0" applyNumberFormat="1" applyAlignment="1">
      <alignment horizontal="left"/>
    </xf>
    <xf numFmtId="39" fontId="6" fillId="0" borderId="0" xfId="0" applyNumberFormat="1" applyFont="1"/>
    <xf numFmtId="0" fontId="18" fillId="0" borderId="0" xfId="0" applyFont="1" applyAlignment="1">
      <alignment horizontal="center"/>
    </xf>
    <xf numFmtId="49" fontId="4" fillId="5" borderId="0" xfId="0" applyNumberFormat="1" applyFont="1" applyFill="1" applyAlignment="1">
      <alignment horizontal="center"/>
    </xf>
    <xf numFmtId="49" fontId="4" fillId="5" borderId="0" xfId="1" applyNumberFormat="1" applyFont="1" applyFill="1" applyBorder="1"/>
    <xf numFmtId="49" fontId="4" fillId="5" borderId="0" xfId="0" applyNumberFormat="1" applyFont="1" applyFill="1"/>
    <xf numFmtId="49" fontId="3" fillId="5" borderId="0" xfId="0" applyNumberFormat="1" applyFont="1" applyFill="1" applyAlignment="1">
      <alignment horizontal="center"/>
    </xf>
    <xf numFmtId="17" fontId="18" fillId="0" borderId="0" xfId="0" applyNumberFormat="1" applyFont="1" applyAlignment="1">
      <alignment horizontal="center"/>
    </xf>
    <xf numFmtId="49" fontId="4" fillId="5" borderId="1" xfId="0" applyNumberFormat="1" applyFont="1" applyFill="1" applyBorder="1" applyAlignment="1">
      <alignment horizontal="center"/>
    </xf>
    <xf numFmtId="49" fontId="4" fillId="5" borderId="1" xfId="1" applyNumberFormat="1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/>
    </xf>
    <xf numFmtId="165" fontId="3" fillId="5" borderId="1" xfId="1" applyNumberFormat="1" applyFont="1" applyFill="1" applyBorder="1" applyAlignment="1">
      <alignment horizontal="center"/>
    </xf>
    <xf numFmtId="167" fontId="19" fillId="5" borderId="1" xfId="2" applyNumberFormat="1" applyFont="1" applyFill="1" applyBorder="1" applyAlignment="1">
      <alignment horizontal="center"/>
    </xf>
    <xf numFmtId="166" fontId="3" fillId="5" borderId="1" xfId="2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6" fillId="5" borderId="0" xfId="1" applyNumberFormat="1" applyFont="1" applyFill="1" applyAlignment="1">
      <alignment horizontal="center" vertical="center"/>
    </xf>
    <xf numFmtId="0" fontId="3" fillId="0" borderId="0" xfId="0" applyFont="1" applyAlignment="1">
      <alignment horizontal="left" indent="1"/>
    </xf>
    <xf numFmtId="165" fontId="21" fillId="0" borderId="0" xfId="1" applyNumberFormat="1" applyFont="1" applyFill="1"/>
    <xf numFmtId="166" fontId="19" fillId="10" borderId="0" xfId="2" applyNumberFormat="1" applyFont="1" applyFill="1"/>
    <xf numFmtId="44" fontId="3" fillId="0" borderId="0" xfId="2"/>
    <xf numFmtId="44" fontId="3" fillId="0" borderId="12" xfId="2" applyBorder="1"/>
    <xf numFmtId="44" fontId="3" fillId="0" borderId="0" xfId="2" applyFill="1"/>
    <xf numFmtId="44" fontId="15" fillId="0" borderId="0" xfId="0" applyNumberFormat="1" applyFont="1"/>
    <xf numFmtId="44" fontId="3" fillId="0" borderId="0" xfId="0" applyNumberFormat="1" applyFont="1"/>
    <xf numFmtId="44" fontId="4" fillId="0" borderId="0" xfId="0" applyNumberFormat="1" applyFont="1"/>
    <xf numFmtId="165" fontId="6" fillId="0" borderId="0" xfId="1" applyNumberFormat="1" applyFont="1"/>
    <xf numFmtId="165" fontId="22" fillId="0" borderId="0" xfId="1" applyNumberFormat="1" applyFont="1" applyFill="1"/>
    <xf numFmtId="166" fontId="19" fillId="3" borderId="0" xfId="2" applyNumberFormat="1" applyFont="1" applyFill="1"/>
    <xf numFmtId="44" fontId="3" fillId="0" borderId="0" xfId="2" applyBorder="1"/>
    <xf numFmtId="44" fontId="3" fillId="0" borderId="0" xfId="2" applyFont="1" applyFill="1"/>
    <xf numFmtId="0" fontId="1" fillId="0" borderId="0" xfId="2" applyNumberFormat="1" applyFont="1"/>
    <xf numFmtId="37" fontId="1" fillId="0" borderId="0" xfId="2" applyNumberFormat="1" applyFont="1" applyAlignment="1">
      <alignment horizontal="left"/>
    </xf>
    <xf numFmtId="165" fontId="23" fillId="0" borderId="6" xfId="1" applyNumberFormat="1" applyFont="1" applyBorder="1"/>
    <xf numFmtId="165" fontId="24" fillId="11" borderId="0" xfId="1" applyNumberFormat="1" applyFont="1" applyFill="1"/>
    <xf numFmtId="166" fontId="19" fillId="12" borderId="0" xfId="2" applyNumberFormat="1" applyFont="1" applyFill="1"/>
    <xf numFmtId="165" fontId="23" fillId="0" borderId="0" xfId="1" applyNumberFormat="1" applyFont="1"/>
    <xf numFmtId="44" fontId="25" fillId="0" borderId="0" xfId="2" applyFont="1" applyFill="1"/>
    <xf numFmtId="49" fontId="3" fillId="0" borderId="0" xfId="1" applyNumberFormat="1" applyFont="1" applyFill="1"/>
    <xf numFmtId="165" fontId="26" fillId="11" borderId="0" xfId="1" applyNumberFormat="1" applyFont="1" applyFill="1"/>
    <xf numFmtId="165" fontId="24" fillId="11" borderId="0" xfId="1" applyNumberFormat="1" applyFont="1" applyFill="1" applyAlignment="1">
      <alignment horizontal="left"/>
    </xf>
    <xf numFmtId="165" fontId="27" fillId="0" borderId="0" xfId="1" applyNumberFormat="1" applyFont="1" applyFill="1"/>
    <xf numFmtId="166" fontId="28" fillId="12" borderId="0" xfId="2" applyNumberFormat="1" applyFont="1" applyFill="1"/>
    <xf numFmtId="44" fontId="1" fillId="0" borderId="0" xfId="0" applyNumberFormat="1" applyFont="1" applyAlignment="1">
      <alignment horizontal="left"/>
    </xf>
    <xf numFmtId="44" fontId="3" fillId="0" borderId="0" xfId="0" applyNumberFormat="1" applyFont="1" applyAlignment="1">
      <alignment horizontal="left"/>
    </xf>
    <xf numFmtId="44" fontId="0" fillId="0" borderId="0" xfId="0" applyNumberFormat="1" applyAlignment="1">
      <alignment horizontal="left"/>
    </xf>
    <xf numFmtId="165" fontId="29" fillId="11" borderId="0" xfId="1" applyNumberFormat="1" applyFont="1" applyFill="1"/>
    <xf numFmtId="44" fontId="6" fillId="0" borderId="0" xfId="0" applyNumberFormat="1" applyFont="1"/>
    <xf numFmtId="165" fontId="30" fillId="0" borderId="0" xfId="1" applyNumberFormat="1" applyFont="1"/>
    <xf numFmtId="166" fontId="3" fillId="0" borderId="0" xfId="2" applyNumberFormat="1"/>
    <xf numFmtId="166" fontId="3" fillId="0" borderId="0" xfId="2" applyNumberFormat="1" applyFont="1" applyFill="1"/>
    <xf numFmtId="165" fontId="9" fillId="0" borderId="0" xfId="1" applyNumberFormat="1" applyFont="1" applyFill="1"/>
    <xf numFmtId="166" fontId="31" fillId="0" borderId="0" xfId="2" applyNumberFormat="1" applyFont="1"/>
    <xf numFmtId="0" fontId="4" fillId="0" borderId="0" xfId="0" applyFont="1" applyAlignment="1">
      <alignment horizontal="left" indent="1"/>
    </xf>
    <xf numFmtId="49" fontId="3" fillId="0" borderId="0" xfId="0" applyNumberFormat="1" applyFont="1" applyAlignment="1">
      <alignment horizontal="right"/>
    </xf>
    <xf numFmtId="49" fontId="4" fillId="0" borderId="0" xfId="0" applyNumberFormat="1" applyFont="1"/>
    <xf numFmtId="165" fontId="1" fillId="0" borderId="0" xfId="1" applyNumberFormat="1" applyFont="1"/>
    <xf numFmtId="165" fontId="8" fillId="0" borderId="0" xfId="1" applyNumberFormat="1" applyFont="1"/>
    <xf numFmtId="44" fontId="4" fillId="6" borderId="0" xfId="0" applyNumberFormat="1" applyFont="1" applyFill="1" applyAlignment="1">
      <alignment horizontal="center"/>
    </xf>
    <xf numFmtId="44" fontId="4" fillId="8" borderId="0" xfId="0" applyNumberFormat="1" applyFont="1" applyFill="1" applyAlignment="1">
      <alignment horizontal="center"/>
    </xf>
    <xf numFmtId="44" fontId="4" fillId="13" borderId="0" xfId="2" applyFont="1" applyFill="1" applyBorder="1"/>
    <xf numFmtId="44" fontId="4" fillId="0" borderId="0" xfId="2" applyFont="1"/>
    <xf numFmtId="44" fontId="4" fillId="3" borderId="0" xfId="2" applyFont="1" applyFill="1"/>
    <xf numFmtId="44" fontId="4" fillId="0" borderId="0" xfId="2" applyFont="1" applyAlignment="1">
      <alignment horizontal="left"/>
    </xf>
    <xf numFmtId="44" fontId="2" fillId="0" borderId="0" xfId="2" applyFont="1"/>
    <xf numFmtId="44" fontId="4" fillId="0" borderId="0" xfId="2" applyFont="1" applyBorder="1"/>
    <xf numFmtId="49" fontId="1" fillId="0" borderId="0" xfId="0" applyNumberFormat="1" applyFont="1"/>
    <xf numFmtId="165" fontId="8" fillId="11" borderId="0" xfId="1" applyNumberFormat="1" applyFont="1" applyFill="1"/>
    <xf numFmtId="165" fontId="3" fillId="0" borderId="0" xfId="1" applyNumberFormat="1"/>
    <xf numFmtId="44" fontId="30" fillId="0" borderId="0" xfId="2" applyFont="1"/>
    <xf numFmtId="44" fontId="30" fillId="0" borderId="0" xfId="2" applyFont="1" applyAlignment="1">
      <alignment horizontal="left"/>
    </xf>
    <xf numFmtId="44" fontId="21" fillId="0" borderId="0" xfId="2" applyFont="1"/>
    <xf numFmtId="165" fontId="6" fillId="0" borderId="0" xfId="1" applyNumberFormat="1" applyFont="1" applyAlignment="1">
      <alignment horizontal="center"/>
    </xf>
    <xf numFmtId="44" fontId="3" fillId="0" borderId="0" xfId="2" applyFont="1"/>
    <xf numFmtId="165" fontId="2" fillId="0" borderId="0" xfId="1" applyNumberFormat="1" applyFont="1" applyAlignment="1">
      <alignment horizontal="center" vertical="center"/>
    </xf>
    <xf numFmtId="166" fontId="3" fillId="0" borderId="0" xfId="2" applyNumberFormat="1" applyFont="1" applyAlignment="1">
      <alignment horizontal="left"/>
    </xf>
    <xf numFmtId="43" fontId="3" fillId="0" borderId="0" xfId="1" applyFont="1" applyAlignment="1">
      <alignment horizontal="left"/>
    </xf>
    <xf numFmtId="168" fontId="3" fillId="0" borderId="0" xfId="2" applyNumberFormat="1"/>
    <xf numFmtId="44" fontId="30" fillId="0" borderId="0" xfId="2" applyFont="1" applyFill="1"/>
    <xf numFmtId="14" fontId="3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3" fontId="4" fillId="0" borderId="0" xfId="1" applyFont="1" applyAlignment="1">
      <alignment horizontal="left"/>
    </xf>
    <xf numFmtId="44" fontId="19" fillId="0" borderId="0" xfId="2" applyFont="1" applyFill="1"/>
    <xf numFmtId="43" fontId="3" fillId="0" borderId="0" xfId="1"/>
    <xf numFmtId="165" fontId="30" fillId="0" borderId="0" xfId="1" applyNumberFormat="1" applyFont="1" applyFill="1"/>
    <xf numFmtId="165" fontId="18" fillId="0" borderId="0" xfId="1" applyNumberFormat="1" applyFont="1" applyFill="1"/>
    <xf numFmtId="166" fontId="6" fillId="0" borderId="0" xfId="2" applyNumberFormat="1" applyFont="1" applyAlignment="1">
      <alignment horizontal="left"/>
    </xf>
    <xf numFmtId="44" fontId="3" fillId="0" borderId="0" xfId="2" applyFont="1" applyBorder="1"/>
    <xf numFmtId="0" fontId="3" fillId="0" borderId="0" xfId="3"/>
    <xf numFmtId="49" fontId="6" fillId="0" borderId="0" xfId="1" applyNumberFormat="1" applyFont="1" applyAlignment="1"/>
    <xf numFmtId="49" fontId="5" fillId="0" borderId="0" xfId="1" applyNumberFormat="1" applyFont="1"/>
    <xf numFmtId="49" fontId="2" fillId="0" borderId="0" xfId="1" applyNumberFormat="1" applyFont="1" applyAlignment="1">
      <alignment horizontal="left"/>
    </xf>
    <xf numFmtId="43" fontId="5" fillId="0" borderId="0" xfId="1" applyFont="1"/>
    <xf numFmtId="165" fontId="5" fillId="14" borderId="0" xfId="1" applyNumberFormat="1" applyFont="1" applyFill="1"/>
    <xf numFmtId="43" fontId="33" fillId="0" borderId="0" xfId="1" applyFont="1"/>
    <xf numFmtId="165" fontId="34" fillId="0" borderId="0" xfId="1" applyNumberFormat="1" applyFont="1" applyFill="1"/>
    <xf numFmtId="43" fontId="34" fillId="0" borderId="0" xfId="1" applyFont="1" applyFill="1"/>
    <xf numFmtId="164" fontId="21" fillId="0" borderId="0" xfId="1" applyNumberFormat="1" applyFont="1" applyBorder="1" applyAlignment="1">
      <alignment horizontal="center"/>
    </xf>
    <xf numFmtId="164" fontId="35" fillId="0" borderId="0" xfId="1" applyNumberFormat="1" applyFont="1" applyBorder="1" applyAlignment="1">
      <alignment horizontal="left"/>
    </xf>
    <xf numFmtId="165" fontId="36" fillId="0" borderId="0" xfId="1" applyNumberFormat="1" applyFont="1" applyAlignment="1">
      <alignment horizontal="center"/>
    </xf>
    <xf numFmtId="165" fontId="22" fillId="0" borderId="0" xfId="1" applyNumberFormat="1" applyFont="1" applyBorder="1" applyAlignment="1">
      <alignment horizontal="center"/>
    </xf>
    <xf numFmtId="165" fontId="21" fillId="0" borderId="0" xfId="1" applyNumberFormat="1" applyFont="1" applyBorder="1" applyAlignment="1">
      <alignment horizontal="center"/>
    </xf>
    <xf numFmtId="49" fontId="8" fillId="0" borderId="0" xfId="1" applyNumberFormat="1" applyFont="1" applyBorder="1"/>
    <xf numFmtId="165" fontId="34" fillId="0" borderId="0" xfId="1" applyNumberFormat="1" applyFont="1"/>
    <xf numFmtId="165" fontId="3" fillId="14" borderId="0" xfId="1" applyNumberFormat="1" applyFont="1" applyFill="1"/>
    <xf numFmtId="165" fontId="37" fillId="0" borderId="0" xfId="1" applyNumberFormat="1" applyFont="1" applyAlignment="1">
      <alignment horizontal="center"/>
    </xf>
    <xf numFmtId="165" fontId="37" fillId="0" borderId="0" xfId="1" applyNumberFormat="1" applyFont="1" applyAlignment="1">
      <alignment horizontal="center"/>
    </xf>
    <xf numFmtId="49" fontId="5" fillId="0" borderId="1" xfId="1" applyNumberFormat="1" applyFont="1" applyBorder="1"/>
    <xf numFmtId="49" fontId="8" fillId="0" borderId="1" xfId="1" applyNumberFormat="1" applyFont="1" applyBorder="1"/>
    <xf numFmtId="165" fontId="1" fillId="0" borderId="1" xfId="1" applyNumberFormat="1" applyFont="1" applyBorder="1" applyAlignment="1">
      <alignment horizontal="center"/>
    </xf>
    <xf numFmtId="165" fontId="6" fillId="0" borderId="0" xfId="1" applyNumberFormat="1" applyFont="1" applyBorder="1" applyAlignment="1">
      <alignment horizontal="center"/>
    </xf>
    <xf numFmtId="165" fontId="1" fillId="0" borderId="1" xfId="1" applyNumberFormat="1" applyFont="1" applyBorder="1" applyAlignment="1">
      <alignment horizontal="center" vertical="center"/>
    </xf>
    <xf numFmtId="165" fontId="1" fillId="0" borderId="0" xfId="1" applyNumberFormat="1" applyFont="1" applyAlignment="1">
      <alignment vertical="center"/>
    </xf>
    <xf numFmtId="165" fontId="1" fillId="14" borderId="0" xfId="1" applyNumberFormat="1" applyFont="1" applyFill="1"/>
    <xf numFmtId="165" fontId="8" fillId="0" borderId="1" xfId="1" applyNumberFormat="1" applyFont="1" applyBorder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165" fontId="34" fillId="0" borderId="0" xfId="1" applyNumberFormat="1" applyFont="1" applyAlignment="1">
      <alignment horizontal="center"/>
    </xf>
    <xf numFmtId="49" fontId="8" fillId="5" borderId="1" xfId="1" applyNumberFormat="1" applyFont="1" applyFill="1" applyBorder="1" applyAlignment="1">
      <alignment horizontal="left"/>
    </xf>
    <xf numFmtId="165" fontId="3" fillId="5" borderId="1" xfId="1" applyNumberFormat="1" applyFont="1" applyFill="1" applyBorder="1"/>
    <xf numFmtId="165" fontId="7" fillId="5" borderId="2" xfId="1" applyNumberFormat="1" applyFont="1" applyFill="1" applyBorder="1" applyAlignment="1">
      <alignment horizontal="center"/>
    </xf>
    <xf numFmtId="43" fontId="7" fillId="5" borderId="2" xfId="1" applyFont="1" applyFill="1" applyBorder="1" applyAlignment="1">
      <alignment horizontal="center"/>
    </xf>
    <xf numFmtId="165" fontId="7" fillId="5" borderId="1" xfId="1" applyNumberFormat="1" applyFont="1" applyFill="1" applyBorder="1" applyAlignment="1">
      <alignment horizontal="center"/>
    </xf>
    <xf numFmtId="43" fontId="7" fillId="5" borderId="1" xfId="1" applyFont="1" applyFill="1" applyBorder="1" applyAlignment="1">
      <alignment horizontal="center"/>
    </xf>
    <xf numFmtId="165" fontId="38" fillId="5" borderId="1" xfId="1" applyNumberFormat="1" applyFont="1" applyFill="1" applyBorder="1" applyAlignment="1">
      <alignment horizontal="center"/>
    </xf>
    <xf numFmtId="165" fontId="38" fillId="5" borderId="2" xfId="1" applyNumberFormat="1" applyFont="1" applyFill="1" applyBorder="1" applyAlignment="1">
      <alignment horizontal="center"/>
    </xf>
    <xf numFmtId="43" fontId="38" fillId="5" borderId="2" xfId="1" applyFont="1" applyFill="1" applyBorder="1" applyAlignment="1">
      <alignment horizontal="center"/>
    </xf>
    <xf numFmtId="43" fontId="38" fillId="5" borderId="1" xfId="1" applyFont="1" applyFill="1" applyBorder="1" applyAlignment="1">
      <alignment horizontal="center"/>
    </xf>
    <xf numFmtId="43" fontId="20" fillId="0" borderId="0" xfId="1" applyFont="1" applyAlignment="1">
      <alignment horizontal="center"/>
    </xf>
    <xf numFmtId="49" fontId="3" fillId="15" borderId="0" xfId="1" applyNumberFormat="1" applyFont="1" applyFill="1" applyAlignment="1">
      <alignment horizontal="right"/>
    </xf>
    <xf numFmtId="0" fontId="3" fillId="15" borderId="0" xfId="1" applyNumberFormat="1" applyFont="1" applyFill="1" applyAlignment="1">
      <alignment horizontal="center"/>
    </xf>
    <xf numFmtId="0" fontId="8" fillId="0" borderId="0" xfId="1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  <xf numFmtId="165" fontId="3" fillId="0" borderId="0" xfId="1" applyNumberFormat="1" applyFont="1" applyAlignment="1">
      <alignment horizontal="left" indent="3"/>
    </xf>
    <xf numFmtId="44" fontId="3" fillId="16" borderId="0" xfId="2" applyFont="1" applyFill="1"/>
    <xf numFmtId="165" fontId="3" fillId="0" borderId="0" xfId="1" applyNumberFormat="1" applyFont="1" applyFill="1" applyAlignment="1">
      <alignment horizontal="left"/>
    </xf>
    <xf numFmtId="165" fontId="31" fillId="14" borderId="0" xfId="1" applyNumberFormat="1" applyFont="1" applyFill="1"/>
    <xf numFmtId="165" fontId="4" fillId="0" borderId="0" xfId="1" applyNumberFormat="1" applyFont="1" applyAlignment="1">
      <alignment horizontal="left" indent="3"/>
    </xf>
    <xf numFmtId="44" fontId="15" fillId="16" borderId="0" xfId="2" applyFont="1" applyFill="1"/>
    <xf numFmtId="165" fontId="4" fillId="0" borderId="0" xfId="1" applyNumberFormat="1" applyFont="1"/>
    <xf numFmtId="165" fontId="34" fillId="14" borderId="0" xfId="1" applyNumberFormat="1" applyFont="1" applyFill="1"/>
    <xf numFmtId="165" fontId="31" fillId="0" borderId="0" xfId="1" applyNumberFormat="1" applyFont="1" applyAlignment="1">
      <alignment horizontal="left"/>
    </xf>
    <xf numFmtId="44" fontId="9" fillId="16" borderId="0" xfId="2" applyFont="1" applyFill="1"/>
    <xf numFmtId="165" fontId="5" fillId="0" borderId="0" xfId="1" applyNumberFormat="1" applyFont="1" applyAlignment="1">
      <alignment horizontal="left"/>
    </xf>
    <xf numFmtId="0" fontId="8" fillId="16" borderId="0" xfId="2" applyNumberFormat="1" applyFont="1" applyFill="1" applyAlignment="1">
      <alignment horizontal="center"/>
    </xf>
    <xf numFmtId="165" fontId="39" fillId="0" borderId="0" xfId="1" applyNumberFormat="1" applyFont="1" applyAlignment="1">
      <alignment horizontal="left"/>
    </xf>
    <xf numFmtId="165" fontId="34" fillId="0" borderId="0" xfId="1" applyNumberFormat="1" applyFont="1" applyAlignment="1">
      <alignment horizontal="left"/>
    </xf>
    <xf numFmtId="165" fontId="3" fillId="0" borderId="0" xfId="1" applyNumberFormat="1" applyFont="1" applyFill="1"/>
    <xf numFmtId="44" fontId="3" fillId="17" borderId="0" xfId="2" applyFont="1" applyFill="1"/>
    <xf numFmtId="165" fontId="15" fillId="0" borderId="0" xfId="1" applyNumberFormat="1" applyFont="1"/>
    <xf numFmtId="44" fontId="15" fillId="17" borderId="0" xfId="2" applyFont="1" applyFill="1"/>
    <xf numFmtId="165" fontId="40" fillId="0" borderId="0" xfId="1" applyNumberFormat="1" applyFont="1" applyAlignment="1">
      <alignment horizontal="left"/>
    </xf>
    <xf numFmtId="165" fontId="40" fillId="0" borderId="0" xfId="1" applyNumberFormat="1" applyFont="1" applyAlignment="1">
      <alignment horizontal="left" indent="1"/>
    </xf>
    <xf numFmtId="44" fontId="41" fillId="18" borderId="0" xfId="2" applyFont="1" applyFill="1"/>
    <xf numFmtId="0" fontId="8" fillId="17" borderId="0" xfId="1" applyNumberFormat="1" applyFont="1" applyFill="1" applyAlignment="1">
      <alignment horizontal="center"/>
    </xf>
    <xf numFmtId="165" fontId="3" fillId="0" borderId="0" xfId="1" applyNumberFormat="1" applyFont="1" applyFill="1" applyAlignment="1">
      <alignment horizontal="left" indent="3"/>
    </xf>
    <xf numFmtId="165" fontId="3" fillId="0" borderId="0" xfId="1" applyNumberFormat="1" applyFont="1" applyAlignment="1">
      <alignment horizontal="left" indent="4"/>
    </xf>
    <xf numFmtId="165" fontId="40" fillId="0" borderId="0" xfId="1" applyNumberFormat="1" applyFont="1" applyAlignment="1">
      <alignment horizontal="left" indent="4"/>
    </xf>
    <xf numFmtId="165" fontId="42" fillId="0" borderId="0" xfId="1" applyNumberFormat="1" applyFont="1" applyAlignment="1">
      <alignment horizontal="left"/>
    </xf>
    <xf numFmtId="43" fontId="31" fillId="14" borderId="0" xfId="1" applyFont="1" applyFill="1"/>
    <xf numFmtId="49" fontId="3" fillId="2" borderId="0" xfId="1" applyNumberFormat="1" applyFont="1" applyFill="1" applyAlignment="1">
      <alignment horizontal="right"/>
    </xf>
    <xf numFmtId="0" fontId="3" fillId="2" borderId="0" xfId="1" applyNumberFormat="1" applyFont="1" applyFill="1" applyAlignment="1">
      <alignment horizontal="center"/>
    </xf>
    <xf numFmtId="0" fontId="8" fillId="19" borderId="0" xfId="1" applyNumberFormat="1" applyFont="1" applyFill="1" applyAlignment="1">
      <alignment horizontal="center"/>
    </xf>
    <xf numFmtId="165" fontId="1" fillId="19" borderId="0" xfId="1" applyNumberFormat="1" applyFont="1" applyFill="1"/>
    <xf numFmtId="44" fontId="15" fillId="19" borderId="0" xfId="2" applyFont="1" applyFill="1"/>
    <xf numFmtId="165" fontId="39" fillId="0" borderId="0" xfId="1" applyNumberFormat="1" applyFont="1"/>
    <xf numFmtId="165" fontId="31" fillId="14" borderId="0" xfId="1" applyNumberFormat="1" applyFont="1" applyFill="1" applyAlignment="1">
      <alignment horizontal="left" vertical="top"/>
    </xf>
    <xf numFmtId="43" fontId="43" fillId="0" borderId="0" xfId="1" applyFont="1"/>
    <xf numFmtId="165" fontId="43" fillId="0" borderId="0" xfId="1" applyNumberFormat="1" applyFont="1"/>
    <xf numFmtId="165" fontId="3" fillId="0" borderId="1" xfId="1" applyNumberFormat="1" applyFont="1" applyBorder="1"/>
    <xf numFmtId="44" fontId="3" fillId="17" borderId="1" xfId="2" applyFont="1" applyFill="1" applyBorder="1"/>
    <xf numFmtId="165" fontId="30" fillId="0" borderId="1" xfId="1" applyNumberFormat="1" applyFont="1" applyBorder="1"/>
    <xf numFmtId="44" fontId="30" fillId="17" borderId="0" xfId="2" applyFont="1" applyFill="1"/>
    <xf numFmtId="44" fontId="9" fillId="17" borderId="0" xfId="2" applyFont="1" applyFill="1"/>
    <xf numFmtId="44" fontId="15" fillId="17" borderId="1" xfId="2" applyFont="1" applyFill="1" applyBorder="1"/>
    <xf numFmtId="49" fontId="3" fillId="15" borderId="0" xfId="1" applyNumberFormat="1" applyFont="1" applyFill="1" applyAlignment="1">
      <alignment horizontal="center"/>
    </xf>
    <xf numFmtId="49" fontId="8" fillId="0" borderId="0" xfId="1" applyNumberFormat="1" applyFont="1" applyAlignment="1">
      <alignment horizontal="center"/>
    </xf>
    <xf numFmtId="43" fontId="1" fillId="0" borderId="2" xfId="1" applyFont="1" applyBorder="1"/>
    <xf numFmtId="165" fontId="3" fillId="0" borderId="6" xfId="1" applyNumberFormat="1" applyFont="1" applyBorder="1"/>
    <xf numFmtId="44" fontId="3" fillId="0" borderId="6" xfId="2" applyFont="1" applyBorder="1"/>
    <xf numFmtId="44" fontId="3" fillId="0" borderId="2" xfId="2" applyFont="1" applyBorder="1"/>
    <xf numFmtId="44" fontId="1" fillId="0" borderId="2" xfId="2" applyFont="1" applyBorder="1"/>
    <xf numFmtId="165" fontId="34" fillId="0" borderId="2" xfId="1" applyNumberFormat="1" applyFont="1" applyBorder="1" applyAlignment="1">
      <alignment horizontal="left"/>
    </xf>
    <xf numFmtId="44" fontId="8" fillId="0" borderId="2" xfId="2" applyFont="1" applyBorder="1"/>
    <xf numFmtId="44" fontId="34" fillId="0" borderId="0" xfId="2" applyFont="1"/>
    <xf numFmtId="43" fontId="3" fillId="0" borderId="6" xfId="1" applyFont="1" applyBorder="1"/>
    <xf numFmtId="165" fontId="31" fillId="0" borderId="0" xfId="1" applyNumberFormat="1" applyFont="1" applyAlignment="1">
      <alignment horizontal="left" indent="3"/>
    </xf>
    <xf numFmtId="43" fontId="31" fillId="0" borderId="6" xfId="1" applyFont="1" applyBorder="1"/>
    <xf numFmtId="165" fontId="5" fillId="0" borderId="0" xfId="1" applyNumberFormat="1" applyFont="1" applyFill="1" applyAlignment="1">
      <alignment horizontal="left"/>
    </xf>
    <xf numFmtId="165" fontId="31" fillId="0" borderId="6" xfId="1" applyNumberFormat="1" applyFont="1" applyBorder="1"/>
    <xf numFmtId="43" fontId="31" fillId="0" borderId="0" xfId="1" applyFont="1"/>
    <xf numFmtId="165" fontId="39" fillId="0" borderId="0" xfId="1" applyNumberFormat="1" applyFont="1" applyAlignment="1">
      <alignment horizontal="left" indent="4"/>
    </xf>
    <xf numFmtId="165" fontId="39" fillId="0" borderId="0" xfId="1" applyNumberFormat="1" applyFont="1" applyAlignment="1"/>
    <xf numFmtId="44" fontId="15" fillId="16" borderId="0" xfId="2" applyFont="1" applyFill="1" applyAlignment="1"/>
    <xf numFmtId="44" fontId="5" fillId="0" borderId="0" xfId="2" applyFont="1"/>
    <xf numFmtId="165" fontId="31" fillId="0" borderId="0" xfId="1" applyNumberFormat="1" applyFont="1" applyAlignment="1"/>
    <xf numFmtId="165" fontId="31" fillId="0" borderId="1" xfId="1" applyNumberFormat="1" applyFont="1" applyBorder="1" applyAlignment="1">
      <alignment horizontal="left" indent="3"/>
    </xf>
    <xf numFmtId="44" fontId="3" fillId="16" borderId="1" xfId="2" applyFont="1" applyFill="1" applyBorder="1"/>
    <xf numFmtId="165" fontId="3" fillId="0" borderId="1" xfId="1" applyNumberFormat="1" applyFont="1" applyBorder="1" applyAlignment="1">
      <alignment horizontal="left" indent="3"/>
    </xf>
    <xf numFmtId="44" fontId="9" fillId="16" borderId="1" xfId="2" applyFont="1" applyFill="1" applyBorder="1"/>
    <xf numFmtId="165" fontId="1" fillId="0" borderId="6" xfId="1" applyNumberFormat="1" applyFont="1" applyBorder="1"/>
    <xf numFmtId="165" fontId="3" fillId="0" borderId="2" xfId="1" applyNumberFormat="1" applyFont="1" applyBorder="1"/>
    <xf numFmtId="165" fontId="31" fillId="0" borderId="2" xfId="1" applyNumberFormat="1" applyFont="1" applyBorder="1" applyAlignment="1">
      <alignment horizontal="left" indent="3"/>
    </xf>
    <xf numFmtId="165" fontId="3" fillId="0" borderId="6" xfId="1" applyNumberFormat="1" applyFont="1" applyBorder="1" applyAlignment="1">
      <alignment horizontal="left" indent="3"/>
    </xf>
    <xf numFmtId="165" fontId="31" fillId="0" borderId="6" xfId="1" applyNumberFormat="1" applyFont="1" applyBorder="1" applyAlignment="1"/>
    <xf numFmtId="44" fontId="1" fillId="0" borderId="6" xfId="2" applyFont="1" applyBorder="1"/>
    <xf numFmtId="165" fontId="31" fillId="0" borderId="6" xfId="1" applyNumberFormat="1" applyFont="1" applyBorder="1" applyAlignment="1">
      <alignment horizontal="left"/>
    </xf>
    <xf numFmtId="165" fontId="31" fillId="0" borderId="6" xfId="1" applyNumberFormat="1" applyFont="1" applyBorder="1" applyAlignment="1">
      <alignment horizontal="left" indent="3"/>
    </xf>
    <xf numFmtId="165" fontId="5" fillId="0" borderId="6" xfId="1" applyNumberFormat="1" applyFont="1" applyBorder="1"/>
    <xf numFmtId="165" fontId="1" fillId="0" borderId="0" xfId="1" applyNumberFormat="1" applyFont="1" applyAlignment="1">
      <alignment horizontal="left"/>
    </xf>
    <xf numFmtId="165" fontId="1" fillId="0" borderId="0" xfId="1" applyNumberFormat="1" applyFont="1" applyBorder="1"/>
    <xf numFmtId="165" fontId="3" fillId="0" borderId="0" xfId="1" applyNumberFormat="1" applyFont="1" applyBorder="1" applyAlignment="1">
      <alignment horizontal="left" indent="3"/>
    </xf>
    <xf numFmtId="44" fontId="9" fillId="17" borderId="0" xfId="2" applyFont="1" applyFill="1" applyBorder="1"/>
    <xf numFmtId="165" fontId="31" fillId="0" borderId="0" xfId="1" applyNumberFormat="1" applyFont="1" applyBorder="1" applyAlignment="1"/>
    <xf numFmtId="165" fontId="1" fillId="0" borderId="1" xfId="1" applyNumberFormat="1" applyFont="1" applyBorder="1"/>
    <xf numFmtId="165" fontId="3" fillId="0" borderId="1" xfId="1" applyNumberFormat="1" applyFont="1" applyBorder="1" applyAlignment="1">
      <alignment horizontal="center"/>
    </xf>
    <xf numFmtId="44" fontId="3" fillId="0" borderId="1" xfId="2" applyFont="1" applyBorder="1"/>
    <xf numFmtId="165" fontId="5" fillId="14" borderId="0" xfId="1" applyNumberFormat="1" applyFont="1" applyFill="1" applyBorder="1"/>
    <xf numFmtId="165" fontId="3" fillId="0" borderId="0" xfId="1" applyNumberFormat="1" applyFont="1" applyFill="1" applyBorder="1" applyAlignment="1">
      <alignment horizontal="left"/>
    </xf>
    <xf numFmtId="165" fontId="31" fillId="14" borderId="0" xfId="1" applyNumberFormat="1" applyFont="1" applyFill="1" applyBorder="1"/>
    <xf numFmtId="44" fontId="9" fillId="17" borderId="1" xfId="2" applyFont="1" applyFill="1" applyBorder="1"/>
    <xf numFmtId="165" fontId="3" fillId="0" borderId="0" xfId="1" applyNumberFormat="1" applyFont="1" applyBorder="1"/>
    <xf numFmtId="49" fontId="8" fillId="0" borderId="0" xfId="1" applyNumberFormat="1" applyFont="1"/>
    <xf numFmtId="165" fontId="31" fillId="0" borderId="1" xfId="1" applyNumberFormat="1" applyFont="1" applyBorder="1"/>
    <xf numFmtId="165" fontId="5" fillId="0" borderId="0" xfId="1" applyNumberFormat="1" applyFont="1" applyAlignment="1">
      <alignment horizontal="left" indent="1"/>
    </xf>
    <xf numFmtId="43" fontId="3" fillId="0" borderId="2" xfId="1" applyFont="1" applyBorder="1"/>
    <xf numFmtId="165" fontId="31" fillId="0" borderId="2" xfId="1" applyNumberFormat="1" applyFont="1" applyBorder="1"/>
    <xf numFmtId="43" fontId="31" fillId="0" borderId="2" xfId="1" applyFont="1" applyBorder="1"/>
    <xf numFmtId="165" fontId="31" fillId="0" borderId="0" xfId="1" applyNumberFormat="1" applyFont="1" applyFill="1" applyAlignment="1">
      <alignment horizontal="left"/>
    </xf>
    <xf numFmtId="165" fontId="4" fillId="0" borderId="2" xfId="1" applyNumberFormat="1" applyFont="1" applyBorder="1"/>
    <xf numFmtId="44" fontId="4" fillId="0" borderId="2" xfId="2" applyFont="1" applyBorder="1"/>
    <xf numFmtId="165" fontId="5" fillId="0" borderId="2" xfId="1" applyNumberFormat="1" applyFont="1" applyBorder="1"/>
    <xf numFmtId="43" fontId="3" fillId="0" borderId="0" xfId="1" applyFont="1"/>
    <xf numFmtId="165" fontId="1" fillId="0" borderId="2" xfId="1" applyNumberFormat="1" applyFont="1" applyBorder="1"/>
    <xf numFmtId="165" fontId="1" fillId="0" borderId="0" xfId="1" applyNumberFormat="1" applyFont="1" applyFill="1" applyAlignment="1">
      <alignment horizontal="left"/>
    </xf>
    <xf numFmtId="165" fontId="8" fillId="0" borderId="2" xfId="1" applyNumberFormat="1" applyFont="1" applyBorder="1"/>
    <xf numFmtId="43" fontId="5" fillId="0" borderId="6" xfId="1" applyFont="1" applyBorder="1"/>
    <xf numFmtId="165" fontId="31" fillId="0" borderId="0" xfId="1" applyNumberFormat="1" applyFont="1"/>
    <xf numFmtId="165" fontId="4" fillId="0" borderId="0" xfId="1" applyNumberFormat="1" applyFont="1" applyAlignment="1">
      <alignment horizontal="center"/>
    </xf>
    <xf numFmtId="44" fontId="1" fillId="4" borderId="0" xfId="2" applyFont="1" applyFill="1"/>
    <xf numFmtId="44" fontId="1" fillId="9" borderId="0" xfId="2" applyFont="1" applyFill="1"/>
    <xf numFmtId="44" fontId="1" fillId="17" borderId="0" xfId="2" applyFont="1" applyFill="1"/>
    <xf numFmtId="44" fontId="5" fillId="18" borderId="0" xfId="2" applyFont="1" applyFill="1"/>
    <xf numFmtId="44" fontId="1" fillId="16" borderId="0" xfId="2" applyFont="1" applyFill="1"/>
    <xf numFmtId="44" fontId="5" fillId="16" borderId="0" xfId="2" applyFont="1" applyFill="1"/>
    <xf numFmtId="165" fontId="31" fillId="0" borderId="0" xfId="1" applyNumberFormat="1" applyFont="1" applyFill="1"/>
    <xf numFmtId="44" fontId="34" fillId="0" borderId="2" xfId="2" applyFont="1" applyBorder="1"/>
    <xf numFmtId="44" fontId="34" fillId="0" borderId="0" xfId="2" applyFont="1" applyBorder="1"/>
    <xf numFmtId="0" fontId="1" fillId="0" borderId="0" xfId="1" applyNumberFormat="1" applyFont="1" applyAlignment="1">
      <alignment horizontal="left" indent="2"/>
    </xf>
    <xf numFmtId="43" fontId="8" fillId="0" borderId="2" xfId="1" applyFont="1" applyFill="1" applyBorder="1"/>
    <xf numFmtId="165" fontId="44" fillId="0" borderId="0" xfId="1" applyNumberFormat="1" applyFont="1" applyFill="1"/>
    <xf numFmtId="43" fontId="1" fillId="0" borderId="0" xfId="1" applyFont="1" applyFill="1" applyAlignment="1">
      <alignment horizontal="left"/>
    </xf>
    <xf numFmtId="43" fontId="4" fillId="0" borderId="6" xfId="1" applyFont="1" applyBorder="1"/>
    <xf numFmtId="165" fontId="45" fillId="0" borderId="0" xfId="1" applyNumberFormat="1" applyFont="1" applyAlignment="1">
      <alignment horizontal="left" wrapText="1"/>
    </xf>
    <xf numFmtId="43" fontId="1" fillId="9" borderId="0" xfId="1" applyFont="1" applyFill="1"/>
    <xf numFmtId="165" fontId="44" fillId="0" borderId="0" xfId="1" applyNumberFormat="1" applyFont="1"/>
    <xf numFmtId="43" fontId="1" fillId="0" borderId="0" xfId="1" applyFont="1" applyAlignment="1">
      <alignment horizontal="left"/>
    </xf>
    <xf numFmtId="165" fontId="44" fillId="0" borderId="1" xfId="1" applyNumberFormat="1" applyFont="1" applyBorder="1"/>
    <xf numFmtId="165" fontId="5" fillId="0" borderId="0" xfId="1" applyNumberFormat="1" applyFont="1" applyBorder="1"/>
    <xf numFmtId="0" fontId="46" fillId="0" borderId="2" xfId="1" applyNumberFormat="1" applyFont="1" applyBorder="1" applyAlignment="1">
      <alignment horizontal="left" indent="1"/>
    </xf>
    <xf numFmtId="43" fontId="8" fillId="3" borderId="2" xfId="1" applyFont="1" applyFill="1" applyBorder="1" applyAlignment="1">
      <alignment horizontal="left"/>
    </xf>
    <xf numFmtId="165" fontId="34" fillId="0" borderId="0" xfId="1" applyNumberFormat="1" applyFont="1" applyBorder="1"/>
    <xf numFmtId="43" fontId="1" fillId="0" borderId="0" xfId="1" applyFont="1" applyBorder="1" applyAlignment="1">
      <alignment horizontal="left"/>
    </xf>
    <xf numFmtId="43" fontId="4" fillId="0" borderId="0" xfId="1" applyFont="1"/>
    <xf numFmtId="165" fontId="34" fillId="0" borderId="0" xfId="1" applyNumberFormat="1" applyFont="1" applyFill="1" applyBorder="1"/>
    <xf numFmtId="43" fontId="1" fillId="0" borderId="6" xfId="1" applyFont="1" applyFill="1" applyBorder="1" applyAlignment="1">
      <alignment horizontal="left"/>
    </xf>
    <xf numFmtId="49" fontId="1" fillId="14" borderId="0" xfId="0" applyNumberFormat="1" applyFont="1" applyFill="1" applyAlignment="1">
      <alignment horizontal="right"/>
    </xf>
    <xf numFmtId="49" fontId="3" fillId="14" borderId="0" xfId="0" applyNumberFormat="1" applyFont="1" applyFill="1" applyAlignment="1">
      <alignment horizontal="right"/>
    </xf>
    <xf numFmtId="43" fontId="4" fillId="0" borderId="0" xfId="1" applyFont="1" applyBorder="1"/>
    <xf numFmtId="0" fontId="5" fillId="0" borderId="0" xfId="1" applyNumberFormat="1" applyFont="1"/>
    <xf numFmtId="15" fontId="5" fillId="0" borderId="0" xfId="1" applyNumberFormat="1" applyFont="1"/>
    <xf numFmtId="49" fontId="1" fillId="7" borderId="0" xfId="0" applyNumberFormat="1" applyFont="1" applyFill="1" applyAlignment="1">
      <alignment horizontal="center"/>
    </xf>
    <xf numFmtId="165" fontId="5" fillId="0" borderId="0" xfId="1" applyNumberFormat="1" applyFont="1" applyFill="1"/>
    <xf numFmtId="49" fontId="1" fillId="0" borderId="0" xfId="0" applyNumberFormat="1" applyFont="1" applyAlignment="1">
      <alignment horizontal="right"/>
    </xf>
    <xf numFmtId="165" fontId="4" fillId="0" borderId="3" xfId="1" applyNumberFormat="1" applyFont="1" applyBorder="1" applyAlignment="1">
      <alignment horizontal="center" vertical="top"/>
    </xf>
    <xf numFmtId="165" fontId="34" fillId="0" borderId="3" xfId="1" applyNumberFormat="1" applyFont="1" applyBorder="1"/>
    <xf numFmtId="43" fontId="8" fillId="0" borderId="0" xfId="1" applyFont="1"/>
    <xf numFmtId="165" fontId="31" fillId="0" borderId="0" xfId="1" applyNumberFormat="1" applyFont="1" applyAlignment="1">
      <alignment horizontal="right"/>
    </xf>
    <xf numFmtId="43" fontId="8" fillId="0" borderId="0" xfId="1" applyFont="1" applyFill="1"/>
    <xf numFmtId="43" fontId="8" fillId="0" borderId="6" xfId="1" applyFont="1" applyBorder="1" applyAlignment="1">
      <alignment vertical="center"/>
    </xf>
    <xf numFmtId="165" fontId="8" fillId="0" borderId="0" xfId="1" applyNumberFormat="1" applyFont="1" applyBorder="1"/>
    <xf numFmtId="43" fontId="8" fillId="0" borderId="0" xfId="1" applyFont="1" applyBorder="1"/>
    <xf numFmtId="171" fontId="34" fillId="0" borderId="0" xfId="1" applyNumberFormat="1" applyFont="1"/>
    <xf numFmtId="171" fontId="5" fillId="0" borderId="0" xfId="1" applyNumberFormat="1" applyFont="1"/>
    <xf numFmtId="165" fontId="5" fillId="0" borderId="0" xfId="4" applyNumberFormat="1" applyFont="1" applyFill="1"/>
    <xf numFmtId="0" fontId="3" fillId="0" borderId="0" xfId="3" applyAlignment="1">
      <alignment horizontal="center"/>
    </xf>
    <xf numFmtId="44" fontId="3" fillId="0" borderId="0" xfId="3" applyNumberFormat="1"/>
    <xf numFmtId="0" fontId="9" fillId="0" borderId="0" xfId="3" applyFont="1" applyAlignment="1">
      <alignment horizontal="center"/>
    </xf>
    <xf numFmtId="0" fontId="9" fillId="0" borderId="11" xfId="3" applyFont="1" applyBorder="1" applyAlignment="1">
      <alignment horizontal="center"/>
    </xf>
    <xf numFmtId="0" fontId="1" fillId="0" borderId="0" xfId="3" applyFont="1" applyAlignment="1">
      <alignment horizontal="right"/>
    </xf>
    <xf numFmtId="44" fontId="1" fillId="0" borderId="0" xfId="3" applyNumberFormat="1" applyFont="1" applyAlignment="1">
      <alignment horizontal="right"/>
    </xf>
    <xf numFmtId="165" fontId="3" fillId="0" borderId="0" xfId="4" applyNumberFormat="1" applyFont="1" applyFill="1"/>
    <xf numFmtId="44" fontId="1" fillId="0" borderId="0" xfId="3" applyNumberFormat="1" applyFont="1"/>
    <xf numFmtId="44" fontId="1" fillId="0" borderId="4" xfId="3" applyNumberFormat="1" applyFont="1" applyBorder="1"/>
    <xf numFmtId="0" fontId="1" fillId="0" borderId="0" xfId="3" applyFont="1"/>
    <xf numFmtId="49" fontId="7" fillId="0" borderId="4" xfId="3" applyNumberFormat="1" applyFont="1" applyBorder="1" applyAlignment="1">
      <alignment horizontal="center"/>
    </xf>
    <xf numFmtId="49" fontId="7" fillId="0" borderId="0" xfId="3" applyNumberFormat="1" applyFont="1" applyAlignment="1">
      <alignment horizontal="center"/>
    </xf>
    <xf numFmtId="44" fontId="9" fillId="0" borderId="4" xfId="3" applyNumberFormat="1" applyFont="1" applyBorder="1" applyAlignment="1">
      <alignment horizontal="center"/>
    </xf>
    <xf numFmtId="44" fontId="1" fillId="0" borderId="9" xfId="3" applyNumberFormat="1" applyFont="1" applyBorder="1" applyAlignment="1">
      <alignment horizontal="left"/>
    </xf>
    <xf numFmtId="44" fontId="1" fillId="0" borderId="0" xfId="3" applyNumberFormat="1" applyFont="1" applyAlignment="1">
      <alignment horizontal="center"/>
    </xf>
    <xf numFmtId="0" fontId="1" fillId="0" borderId="4" xfId="3" applyFont="1" applyBorder="1"/>
    <xf numFmtId="0" fontId="1" fillId="0" borderId="9" xfId="3" applyFont="1" applyBorder="1"/>
    <xf numFmtId="44" fontId="8" fillId="0" borderId="2" xfId="3" applyNumberFormat="1" applyFont="1" applyBorder="1"/>
    <xf numFmtId="44" fontId="8" fillId="0" borderId="10" xfId="3" applyNumberFormat="1" applyFont="1" applyBorder="1"/>
    <xf numFmtId="0" fontId="4" fillId="0" borderId="2" xfId="3" applyFont="1" applyBorder="1"/>
    <xf numFmtId="0" fontId="1" fillId="0" borderId="2" xfId="3" applyFont="1" applyBorder="1"/>
    <xf numFmtId="44" fontId="1" fillId="0" borderId="4" xfId="5" applyFont="1" applyFill="1" applyBorder="1"/>
    <xf numFmtId="44" fontId="1" fillId="0" borderId="0" xfId="5" applyFont="1" applyFill="1"/>
    <xf numFmtId="0" fontId="1" fillId="0" borderId="1" xfId="3" applyFont="1" applyBorder="1"/>
    <xf numFmtId="44" fontId="3" fillId="0" borderId="0" xfId="3" applyNumberFormat="1" applyAlignment="1">
      <alignment horizontal="left"/>
    </xf>
    <xf numFmtId="0" fontId="1" fillId="0" borderId="9" xfId="5" applyNumberFormat="1" applyFont="1" applyFill="1" applyBorder="1" applyAlignment="1">
      <alignment horizontal="left"/>
    </xf>
    <xf numFmtId="44" fontId="1" fillId="0" borderId="9" xfId="5" applyFont="1" applyFill="1" applyBorder="1"/>
    <xf numFmtId="44" fontId="1" fillId="0" borderId="0" xfId="5" applyFont="1" applyFill="1" applyBorder="1"/>
    <xf numFmtId="44" fontId="1" fillId="0" borderId="8" xfId="5" applyFont="1" applyFill="1" applyBorder="1"/>
    <xf numFmtId="44" fontId="1" fillId="0" borderId="1" xfId="3" applyNumberFormat="1" applyFont="1" applyBorder="1"/>
    <xf numFmtId="44" fontId="1" fillId="0" borderId="5" xfId="5" applyFont="1" applyFill="1" applyBorder="1"/>
    <xf numFmtId="44" fontId="1" fillId="0" borderId="1" xfId="5" applyFont="1" applyFill="1" applyBorder="1"/>
    <xf numFmtId="44" fontId="1" fillId="0" borderId="7" xfId="3" applyNumberFormat="1" applyFont="1" applyBorder="1" applyAlignment="1">
      <alignment horizontal="center"/>
    </xf>
    <xf numFmtId="44" fontId="1" fillId="0" borderId="4" xfId="3" applyNumberFormat="1" applyFont="1" applyBorder="1" applyAlignment="1">
      <alignment horizontal="center"/>
    </xf>
    <xf numFmtId="44" fontId="1" fillId="0" borderId="5" xfId="3" applyNumberFormat="1" applyFont="1" applyBorder="1" applyAlignment="1">
      <alignment horizontal="center"/>
    </xf>
    <xf numFmtId="44" fontId="1" fillId="0" borderId="1" xfId="3" applyNumberFormat="1" applyFont="1" applyBorder="1" applyAlignment="1">
      <alignment horizontal="center"/>
    </xf>
    <xf numFmtId="0" fontId="1" fillId="0" borderId="0" xfId="3" applyFont="1" applyAlignment="1">
      <alignment horizontal="left"/>
    </xf>
    <xf numFmtId="0" fontId="1" fillId="0" borderId="6" xfId="3" applyFont="1" applyBorder="1"/>
    <xf numFmtId="0" fontId="1" fillId="0" borderId="1" xfId="3" applyFont="1" applyBorder="1" applyAlignment="1">
      <alignment horizontal="center"/>
    </xf>
    <xf numFmtId="0" fontId="1" fillId="0" borderId="5" xfId="3" applyFont="1" applyBorder="1" applyAlignment="1">
      <alignment horizontal="center"/>
    </xf>
    <xf numFmtId="0" fontId="8" fillId="0" borderId="1" xfId="3" applyFont="1" applyBorder="1"/>
    <xf numFmtId="0" fontId="7" fillId="0" borderId="0" xfId="3" applyFont="1" applyAlignment="1">
      <alignment horizontal="center"/>
    </xf>
    <xf numFmtId="0" fontId="7" fillId="0" borderId="4" xfId="3" applyFont="1" applyBorder="1" applyAlignment="1">
      <alignment horizontal="center"/>
    </xf>
    <xf numFmtId="0" fontId="4" fillId="0" borderId="0" xfId="3" applyFont="1"/>
    <xf numFmtId="0" fontId="3" fillId="0" borderId="1" xfId="3" applyBorder="1" applyAlignment="1">
      <alignment horizontal="center"/>
    </xf>
    <xf numFmtId="0" fontId="3" fillId="0" borderId="3" xfId="3" applyBorder="1" applyAlignment="1">
      <alignment horizontal="center"/>
    </xf>
    <xf numFmtId="0" fontId="3" fillId="0" borderId="1" xfId="3" applyBorder="1" applyAlignment="1">
      <alignment horizontal="center"/>
    </xf>
    <xf numFmtId="164" fontId="6" fillId="0" borderId="0" xfId="3" applyNumberFormat="1" applyFont="1"/>
    <xf numFmtId="164" fontId="6" fillId="0" borderId="0" xfId="3" applyNumberFormat="1" applyFont="1" applyAlignment="1">
      <alignment horizontal="left"/>
    </xf>
    <xf numFmtId="0" fontId="6" fillId="0" borderId="0" xfId="3" applyFont="1"/>
    <xf numFmtId="0" fontId="4" fillId="0" borderId="0" xfId="3" applyFont="1" applyAlignment="1">
      <alignment horizontal="center" vertical="center"/>
    </xf>
    <xf numFmtId="0" fontId="6" fillId="0" borderId="0" xfId="3" applyFont="1" applyAlignment="1">
      <alignment horizontal="right"/>
    </xf>
  </cellXfs>
  <cellStyles count="6">
    <cellStyle name="Comma" xfId="1" builtinId="3"/>
    <cellStyle name="Comma 3" xfId="4" xr:uid="{852EFBDE-B3FC-40B7-85E9-2987057D421B}"/>
    <cellStyle name="Currency" xfId="2" builtinId="4"/>
    <cellStyle name="Currency 3" xfId="5" xr:uid="{5971F2EC-5EF6-45FE-89A1-C505431B2FE5}"/>
    <cellStyle name="Normal" xfId="0" builtinId="0"/>
    <cellStyle name="Normal 3" xfId="3" xr:uid="{D368477E-BB5E-442D-AF32-44FB796167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\Deferrals%202021\09-2021\PGA%20Allocations%2009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Accounting\GA\GASCOST\Gas%20Cost%20CY2021\Gas%20Supply%20Analysis\8-2021%20Gas%20Supply%20Analysi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UG-200807%20CNGC%20Monthly%20PGA%20Rpt%20September%202021,%2010.22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WA Deferrals"/>
      <sheetName val="OR Deferrals"/>
      <sheetName val="WA Rates"/>
      <sheetName val="OR Rates"/>
      <sheetName val="Core Cost Incurred"/>
    </sheetNames>
    <sheetDataSet>
      <sheetData sheetId="0" refreshError="1"/>
      <sheetData sheetId="1"/>
      <sheetData sheetId="2"/>
      <sheetData sheetId="3">
        <row r="39">
          <cell r="K39">
            <v>2262781.44</v>
          </cell>
          <cell r="L39">
            <v>1478738.05</v>
          </cell>
          <cell r="M39">
            <v>1019730.0899999999</v>
          </cell>
        </row>
      </sheetData>
      <sheetData sheetId="4"/>
      <sheetData sheetId="5">
        <row r="2">
          <cell r="B2">
            <v>44464</v>
          </cell>
        </row>
        <row r="43">
          <cell r="K43">
            <v>3719902.4900000007</v>
          </cell>
        </row>
        <row r="44">
          <cell r="K44">
            <v>3990370.7400000007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Accrual"/>
      <sheetName val="C Actual"/>
      <sheetName val="NWP JE"/>
      <sheetName val="Demand JE"/>
      <sheetName val="GTN JE"/>
      <sheetName val="Tenaska JE"/>
      <sheetName val="Demand backup"/>
      <sheetName val="Invoices"/>
      <sheetName val="True-Up"/>
      <sheetName val="Imbala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8">
          <cell r="N68">
            <v>-712.90000000003954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 2530.01253"/>
      <sheetName val="DG 2530.01254"/>
      <sheetName val="DG 2530.01288"/>
      <sheetName val="DG 2530.01289"/>
      <sheetName val="RA 1860.20479"/>
      <sheetName val="RA 1823.47020430"/>
      <sheetName val="RA 1823.47020431"/>
      <sheetName val="RA 1823.47020444"/>
      <sheetName val="RA 1823.47020449"/>
      <sheetName val="RA 1862.20477"/>
      <sheetName val="RA 1860.20460-exp only"/>
      <sheetName val="RA 1823.47020478"/>
      <sheetName val="RA 1862.20480"/>
      <sheetName val="RA 1860.20481"/>
      <sheetName val="FERC Interest Rates"/>
      <sheetName val="Therm 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3">
          <cell r="H13">
            <v>-195037.47</v>
          </cell>
        </row>
      </sheetData>
      <sheetData sheetId="13" refreshError="1"/>
      <sheetData sheetId="14">
        <row r="10">
          <cell r="A10">
            <v>41305</v>
          </cell>
          <cell r="B10">
            <v>3.2500000000000001E-2</v>
          </cell>
          <cell r="C10">
            <v>31</v>
          </cell>
        </row>
        <row r="11">
          <cell r="A11">
            <v>41333</v>
          </cell>
          <cell r="B11">
            <v>3.2500000000000001E-2</v>
          </cell>
          <cell r="C11">
            <v>28</v>
          </cell>
        </row>
        <row r="12">
          <cell r="A12">
            <v>41364</v>
          </cell>
          <cell r="B12">
            <v>3.2500000000000001E-2</v>
          </cell>
          <cell r="C12">
            <v>31</v>
          </cell>
        </row>
        <row r="13">
          <cell r="A13">
            <v>41394</v>
          </cell>
          <cell r="B13">
            <v>3.2500000000000001E-2</v>
          </cell>
          <cell r="C13">
            <v>30</v>
          </cell>
        </row>
        <row r="14">
          <cell r="A14">
            <v>41425</v>
          </cell>
          <cell r="B14">
            <v>3.2500000000000001E-2</v>
          </cell>
          <cell r="C14">
            <v>31</v>
          </cell>
        </row>
        <row r="15">
          <cell r="A15">
            <v>41455</v>
          </cell>
          <cell r="B15">
            <v>3.2500000000000001E-2</v>
          </cell>
          <cell r="C15">
            <v>30</v>
          </cell>
        </row>
        <row r="16">
          <cell r="A16">
            <v>41486</v>
          </cell>
          <cell r="B16">
            <v>3.2500000000000001E-2</v>
          </cell>
          <cell r="C16">
            <v>31</v>
          </cell>
        </row>
        <row r="17">
          <cell r="A17">
            <v>41517</v>
          </cell>
          <cell r="B17">
            <v>3.2500000000000001E-2</v>
          </cell>
          <cell r="C17">
            <v>31</v>
          </cell>
        </row>
        <row r="18">
          <cell r="A18">
            <v>41547</v>
          </cell>
          <cell r="B18">
            <v>3.2500000000000001E-2</v>
          </cell>
          <cell r="C18">
            <v>30</v>
          </cell>
        </row>
        <row r="19">
          <cell r="A19">
            <v>41578</v>
          </cell>
          <cell r="B19">
            <v>3.2500000000000001E-2</v>
          </cell>
          <cell r="C19">
            <v>31</v>
          </cell>
        </row>
        <row r="20">
          <cell r="A20">
            <v>41608</v>
          </cell>
          <cell r="B20">
            <v>3.2500000000000001E-2</v>
          </cell>
          <cell r="C20">
            <v>30</v>
          </cell>
        </row>
        <row r="21">
          <cell r="A21">
            <v>41639</v>
          </cell>
          <cell r="B21">
            <v>3.2500000000000001E-2</v>
          </cell>
          <cell r="C21">
            <v>31</v>
          </cell>
        </row>
        <row r="22">
          <cell r="A22">
            <v>41670</v>
          </cell>
          <cell r="B22">
            <v>3.2500000000000001E-2</v>
          </cell>
          <cell r="C22">
            <v>31</v>
          </cell>
        </row>
        <row r="23">
          <cell r="A23">
            <v>41698</v>
          </cell>
          <cell r="B23">
            <v>3.2500000000000001E-2</v>
          </cell>
          <cell r="C23">
            <v>28</v>
          </cell>
        </row>
        <row r="24">
          <cell r="A24">
            <v>41729</v>
          </cell>
          <cell r="B24">
            <v>3.2500000000000001E-2</v>
          </cell>
          <cell r="C24">
            <v>31</v>
          </cell>
        </row>
        <row r="25">
          <cell r="A25">
            <v>41759</v>
          </cell>
          <cell r="B25">
            <v>3.2500000000000001E-2</v>
          </cell>
          <cell r="C25">
            <v>30</v>
          </cell>
        </row>
        <row r="26">
          <cell r="A26">
            <v>41790</v>
          </cell>
          <cell r="B26">
            <v>3.2500000000000001E-2</v>
          </cell>
          <cell r="C26">
            <v>31</v>
          </cell>
        </row>
        <row r="27">
          <cell r="A27">
            <v>41820</v>
          </cell>
          <cell r="B27">
            <v>3.2500000000000001E-2</v>
          </cell>
          <cell r="C27">
            <v>30</v>
          </cell>
        </row>
        <row r="28">
          <cell r="A28">
            <v>41851</v>
          </cell>
          <cell r="B28">
            <v>3.2500000000000001E-2</v>
          </cell>
          <cell r="C28">
            <v>31</v>
          </cell>
        </row>
        <row r="29">
          <cell r="A29">
            <v>41882</v>
          </cell>
          <cell r="B29">
            <v>3.2500000000000001E-2</v>
          </cell>
          <cell r="C29">
            <v>31</v>
          </cell>
        </row>
        <row r="30">
          <cell r="A30">
            <v>41912</v>
          </cell>
          <cell r="B30">
            <v>3.2500000000000001E-2</v>
          </cell>
          <cell r="C30">
            <v>30</v>
          </cell>
        </row>
        <row r="31">
          <cell r="A31">
            <v>41943</v>
          </cell>
          <cell r="B31">
            <v>3.2500000000000001E-2</v>
          </cell>
          <cell r="C31">
            <v>31</v>
          </cell>
        </row>
        <row r="32">
          <cell r="A32">
            <v>41973</v>
          </cell>
          <cell r="B32">
            <v>3.2500000000000001E-2</v>
          </cell>
          <cell r="C32">
            <v>30</v>
          </cell>
        </row>
        <row r="33">
          <cell r="A33">
            <v>42004</v>
          </cell>
          <cell r="B33">
            <v>3.2500000000000001E-2</v>
          </cell>
          <cell r="C33">
            <v>31</v>
          </cell>
        </row>
        <row r="34">
          <cell r="A34">
            <v>42035</v>
          </cell>
          <cell r="B34">
            <v>3.2500000000000001E-2</v>
          </cell>
          <cell r="C34">
            <v>31</v>
          </cell>
        </row>
        <row r="35">
          <cell r="A35">
            <v>42063</v>
          </cell>
          <cell r="B35">
            <v>3.2500000000000001E-2</v>
          </cell>
          <cell r="C35">
            <v>28</v>
          </cell>
        </row>
        <row r="36">
          <cell r="A36">
            <v>42094</v>
          </cell>
          <cell r="B36">
            <v>3.2500000000000001E-2</v>
          </cell>
          <cell r="C36">
            <v>31</v>
          </cell>
        </row>
        <row r="37">
          <cell r="A37">
            <v>42124</v>
          </cell>
          <cell r="B37">
            <v>3.2500000000000001E-2</v>
          </cell>
          <cell r="C37">
            <v>30</v>
          </cell>
        </row>
        <row r="38">
          <cell r="A38">
            <v>42155</v>
          </cell>
          <cell r="B38">
            <v>3.2500000000000001E-2</v>
          </cell>
          <cell r="C38">
            <v>31</v>
          </cell>
        </row>
        <row r="39">
          <cell r="A39">
            <v>42185</v>
          </cell>
          <cell r="B39">
            <v>3.2500000000000001E-2</v>
          </cell>
          <cell r="C39">
            <v>30</v>
          </cell>
        </row>
        <row r="40">
          <cell r="A40">
            <v>42216</v>
          </cell>
          <cell r="B40">
            <v>3.2500000000000001E-2</v>
          </cell>
          <cell r="C40">
            <v>31</v>
          </cell>
        </row>
        <row r="41">
          <cell r="A41">
            <v>42247</v>
          </cell>
          <cell r="B41">
            <v>3.2500000000000001E-2</v>
          </cell>
          <cell r="C41">
            <v>31</v>
          </cell>
        </row>
        <row r="42">
          <cell r="A42">
            <v>42277</v>
          </cell>
          <cell r="B42">
            <v>3.2500000000000001E-2</v>
          </cell>
          <cell r="C42">
            <v>30</v>
          </cell>
        </row>
        <row r="43">
          <cell r="A43">
            <v>42308</v>
          </cell>
          <cell r="B43">
            <v>3.2500000000000001E-2</v>
          </cell>
          <cell r="C43">
            <v>31</v>
          </cell>
        </row>
        <row r="44">
          <cell r="A44">
            <v>42338</v>
          </cell>
          <cell r="B44">
            <v>3.2500000000000001E-2</v>
          </cell>
          <cell r="C44">
            <v>30</v>
          </cell>
        </row>
        <row r="45">
          <cell r="A45">
            <v>42369</v>
          </cell>
          <cell r="B45">
            <v>3.2500000000000001E-2</v>
          </cell>
          <cell r="C45">
            <v>31</v>
          </cell>
        </row>
        <row r="46">
          <cell r="A46">
            <v>42400</v>
          </cell>
          <cell r="B46">
            <v>3.2500000000000001E-2</v>
          </cell>
          <cell r="C46">
            <v>31</v>
          </cell>
        </row>
        <row r="47">
          <cell r="A47">
            <v>42429</v>
          </cell>
          <cell r="B47">
            <v>3.2500000000000001E-2</v>
          </cell>
          <cell r="C47">
            <v>29</v>
          </cell>
        </row>
        <row r="48">
          <cell r="A48">
            <v>42460</v>
          </cell>
          <cell r="B48">
            <v>3.2500000000000001E-2</v>
          </cell>
          <cell r="C48">
            <v>31</v>
          </cell>
        </row>
        <row r="49">
          <cell r="A49">
            <v>42490</v>
          </cell>
          <cell r="B49">
            <v>3.4599999999999999E-2</v>
          </cell>
          <cell r="C49">
            <v>30</v>
          </cell>
        </row>
        <row r="50">
          <cell r="A50">
            <v>42521</v>
          </cell>
          <cell r="B50">
            <v>3.4599999999999999E-2</v>
          </cell>
          <cell r="C50">
            <v>31</v>
          </cell>
        </row>
        <row r="51">
          <cell r="A51">
            <v>42551</v>
          </cell>
          <cell r="B51">
            <v>3.4599999999999999E-2</v>
          </cell>
          <cell r="C51">
            <v>30</v>
          </cell>
        </row>
        <row r="52">
          <cell r="A52">
            <v>42582</v>
          </cell>
          <cell r="B52">
            <v>3.5000000000000003E-2</v>
          </cell>
          <cell r="C52">
            <v>31</v>
          </cell>
        </row>
        <row r="53">
          <cell r="A53">
            <v>42613</v>
          </cell>
          <cell r="B53">
            <v>3.5000000000000003E-2</v>
          </cell>
          <cell r="C53">
            <v>31</v>
          </cell>
        </row>
        <row r="54">
          <cell r="A54">
            <v>42643</v>
          </cell>
          <cell r="B54">
            <v>3.5000000000000003E-2</v>
          </cell>
          <cell r="C54">
            <v>30</v>
          </cell>
        </row>
        <row r="55">
          <cell r="A55">
            <v>42674</v>
          </cell>
          <cell r="B55">
            <v>3.5000000000000003E-2</v>
          </cell>
          <cell r="C55">
            <v>31</v>
          </cell>
        </row>
        <row r="56">
          <cell r="A56">
            <v>42704</v>
          </cell>
          <cell r="B56">
            <v>3.5000000000000003E-2</v>
          </cell>
          <cell r="C56">
            <v>30</v>
          </cell>
        </row>
        <row r="57">
          <cell r="A57">
            <v>42735</v>
          </cell>
          <cell r="B57">
            <v>3.5000000000000003E-2</v>
          </cell>
          <cell r="C57">
            <v>31</v>
          </cell>
        </row>
        <row r="58">
          <cell r="A58">
            <v>42766</v>
          </cell>
          <cell r="B58">
            <v>3.5000000000000003E-2</v>
          </cell>
          <cell r="C58">
            <v>31</v>
          </cell>
        </row>
        <row r="59">
          <cell r="A59">
            <v>42794</v>
          </cell>
          <cell r="B59">
            <v>3.5000000000000003E-2</v>
          </cell>
          <cell r="C59">
            <v>28</v>
          </cell>
        </row>
        <row r="60">
          <cell r="A60">
            <v>42825</v>
          </cell>
          <cell r="B60">
            <v>3.5000000000000003E-2</v>
          </cell>
          <cell r="C60">
            <v>31</v>
          </cell>
        </row>
        <row r="61">
          <cell r="A61">
            <v>42855</v>
          </cell>
          <cell r="B61">
            <v>3.7100000000000001E-2</v>
          </cell>
          <cell r="C61">
            <v>30</v>
          </cell>
        </row>
        <row r="62">
          <cell r="A62">
            <v>42886</v>
          </cell>
          <cell r="B62">
            <v>3.7100000000000001E-2</v>
          </cell>
          <cell r="C62">
            <v>31</v>
          </cell>
        </row>
        <row r="63">
          <cell r="A63">
            <v>42916</v>
          </cell>
          <cell r="B63">
            <v>3.7100000000000001E-2</v>
          </cell>
          <cell r="C63">
            <v>30</v>
          </cell>
        </row>
        <row r="64">
          <cell r="A64">
            <v>42947</v>
          </cell>
          <cell r="B64">
            <v>3.9600000000000003E-2</v>
          </cell>
          <cell r="C64">
            <v>31</v>
          </cell>
        </row>
        <row r="65">
          <cell r="A65">
            <v>42978</v>
          </cell>
          <cell r="B65">
            <v>3.9600000000000003E-2</v>
          </cell>
          <cell r="C65">
            <v>31</v>
          </cell>
        </row>
        <row r="66">
          <cell r="A66">
            <v>43008</v>
          </cell>
          <cell r="B66">
            <v>3.9600000000000003E-2</v>
          </cell>
          <cell r="C66">
            <v>30</v>
          </cell>
        </row>
        <row r="67">
          <cell r="A67">
            <v>43039</v>
          </cell>
          <cell r="B67">
            <v>4.2099999999999999E-2</v>
          </cell>
          <cell r="C67">
            <v>31</v>
          </cell>
        </row>
        <row r="68">
          <cell r="A68">
            <v>43069</v>
          </cell>
          <cell r="B68">
            <v>4.2099999999999999E-2</v>
          </cell>
          <cell r="C68">
            <v>30</v>
          </cell>
        </row>
        <row r="69">
          <cell r="A69">
            <v>43100</v>
          </cell>
          <cell r="B69">
            <v>4.2099999999999999E-2</v>
          </cell>
          <cell r="C69">
            <v>31</v>
          </cell>
        </row>
        <row r="70">
          <cell r="A70">
            <v>43131</v>
          </cell>
          <cell r="B70">
            <v>4.2500000000000003E-2</v>
          </cell>
          <cell r="C70">
            <v>31</v>
          </cell>
        </row>
        <row r="71">
          <cell r="A71">
            <v>43159</v>
          </cell>
          <cell r="B71">
            <v>4.2500000000000003E-2</v>
          </cell>
          <cell r="C71">
            <v>28</v>
          </cell>
        </row>
        <row r="72">
          <cell r="A72">
            <v>43190</v>
          </cell>
          <cell r="B72">
            <v>4.2500000000000003E-2</v>
          </cell>
          <cell r="C72">
            <v>31</v>
          </cell>
        </row>
        <row r="73">
          <cell r="A73">
            <v>43220</v>
          </cell>
          <cell r="B73">
            <v>4.4699999999999997E-2</v>
          </cell>
          <cell r="C73">
            <v>30</v>
          </cell>
        </row>
        <row r="74">
          <cell r="A74">
            <v>43251</v>
          </cell>
          <cell r="B74">
            <v>4.4699999999999997E-2</v>
          </cell>
          <cell r="C74">
            <v>31</v>
          </cell>
        </row>
        <row r="75">
          <cell r="A75">
            <v>43281</v>
          </cell>
          <cell r="B75">
            <v>4.4699999999999997E-2</v>
          </cell>
          <cell r="C75">
            <v>30</v>
          </cell>
        </row>
        <row r="76">
          <cell r="A76">
            <v>43312</v>
          </cell>
          <cell r="B76">
            <v>4.6899999999999997E-2</v>
          </cell>
          <cell r="C76">
            <v>31</v>
          </cell>
        </row>
        <row r="77">
          <cell r="A77">
            <v>43343</v>
          </cell>
          <cell r="B77">
            <v>4.6899999999999997E-2</v>
          </cell>
          <cell r="C77">
            <v>31</v>
          </cell>
        </row>
        <row r="78">
          <cell r="A78">
            <v>43373</v>
          </cell>
          <cell r="B78">
            <v>4.6899999999999997E-2</v>
          </cell>
          <cell r="C78">
            <v>30</v>
          </cell>
        </row>
        <row r="79">
          <cell r="A79">
            <v>43404</v>
          </cell>
          <cell r="B79">
            <v>4.9599999999999998E-2</v>
          </cell>
          <cell r="C79">
            <v>31</v>
          </cell>
        </row>
        <row r="80">
          <cell r="A80">
            <v>43434</v>
          </cell>
          <cell r="B80">
            <v>4.9599999999999998E-2</v>
          </cell>
          <cell r="C80">
            <v>30</v>
          </cell>
        </row>
        <row r="81">
          <cell r="A81">
            <v>43465</v>
          </cell>
          <cell r="B81">
            <v>4.9599999999999998E-2</v>
          </cell>
          <cell r="C81">
            <v>31</v>
          </cell>
        </row>
        <row r="82">
          <cell r="A82">
            <v>43496</v>
          </cell>
          <cell r="B82">
            <v>5.1799999999999999E-2</v>
          </cell>
          <cell r="C82">
            <v>31</v>
          </cell>
        </row>
        <row r="83">
          <cell r="A83">
            <v>43524</v>
          </cell>
          <cell r="B83">
            <v>5.1799999999999999E-2</v>
          </cell>
          <cell r="C83">
            <v>28</v>
          </cell>
        </row>
        <row r="84">
          <cell r="A84">
            <v>43555</v>
          </cell>
          <cell r="B84">
            <v>5.1799999999999999E-2</v>
          </cell>
          <cell r="C84">
            <v>31</v>
          </cell>
        </row>
        <row r="85">
          <cell r="A85">
            <v>43585</v>
          </cell>
          <cell r="B85">
            <v>5.45E-2</v>
          </cell>
          <cell r="C85">
            <v>30</v>
          </cell>
        </row>
        <row r="86">
          <cell r="A86">
            <v>43616</v>
          </cell>
          <cell r="B86">
            <v>5.45E-2</v>
          </cell>
          <cell r="C86">
            <v>31</v>
          </cell>
        </row>
        <row r="87">
          <cell r="A87">
            <v>43646</v>
          </cell>
          <cell r="B87">
            <v>5.45E-2</v>
          </cell>
          <cell r="C87">
            <v>30</v>
          </cell>
        </row>
        <row r="88">
          <cell r="A88">
            <v>43677</v>
          </cell>
          <cell r="B88">
            <v>5.5E-2</v>
          </cell>
          <cell r="C88">
            <v>31</v>
          </cell>
        </row>
        <row r="89">
          <cell r="A89">
            <v>43708</v>
          </cell>
          <cell r="B89">
            <v>5.5E-2</v>
          </cell>
          <cell r="C89">
            <v>31</v>
          </cell>
        </row>
        <row r="90">
          <cell r="A90">
            <v>43738</v>
          </cell>
          <cell r="B90">
            <v>5.5E-2</v>
          </cell>
          <cell r="C90">
            <v>30</v>
          </cell>
        </row>
        <row r="91">
          <cell r="A91">
            <v>43769</v>
          </cell>
          <cell r="B91">
            <v>5.4199999999999998E-2</v>
          </cell>
          <cell r="C91">
            <v>31</v>
          </cell>
        </row>
        <row r="92">
          <cell r="A92">
            <v>43799</v>
          </cell>
          <cell r="B92">
            <v>5.4199999999999998E-2</v>
          </cell>
          <cell r="C92">
            <v>30</v>
          </cell>
        </row>
        <row r="93">
          <cell r="A93">
            <v>43830</v>
          </cell>
          <cell r="B93">
            <v>5.4199999999999998E-2</v>
          </cell>
          <cell r="C93">
            <v>31</v>
          </cell>
        </row>
        <row r="94">
          <cell r="A94">
            <v>43861</v>
          </cell>
          <cell r="B94">
            <v>4.9599999999999998E-2</v>
          </cell>
          <cell r="C94">
            <v>31</v>
          </cell>
        </row>
        <row r="95">
          <cell r="A95">
            <v>43890</v>
          </cell>
          <cell r="B95">
            <v>4.9599999999999998E-2</v>
          </cell>
          <cell r="C95">
            <v>29</v>
          </cell>
        </row>
        <row r="96">
          <cell r="A96">
            <v>43921</v>
          </cell>
          <cell r="B96">
            <v>4.9599999999999998E-2</v>
          </cell>
          <cell r="C96">
            <v>31</v>
          </cell>
        </row>
        <row r="97">
          <cell r="A97">
            <v>43951</v>
          </cell>
          <cell r="B97">
            <v>4.7500000000000001E-2</v>
          </cell>
          <cell r="C97">
            <v>30</v>
          </cell>
        </row>
        <row r="98">
          <cell r="A98">
            <v>43982</v>
          </cell>
          <cell r="B98">
            <v>4.7500000000000001E-2</v>
          </cell>
          <cell r="C98">
            <v>31</v>
          </cell>
        </row>
        <row r="99">
          <cell r="A99">
            <v>44012</v>
          </cell>
          <cell r="B99">
            <v>4.7500000000000001E-2</v>
          </cell>
          <cell r="C99">
            <v>30</v>
          </cell>
        </row>
        <row r="100">
          <cell r="A100">
            <v>44043</v>
          </cell>
          <cell r="B100">
            <v>3.4299999999999997E-2</v>
          </cell>
          <cell r="C100">
            <v>31</v>
          </cell>
        </row>
        <row r="101">
          <cell r="A101">
            <v>44074</v>
          </cell>
          <cell r="B101">
            <v>3.4299999999999997E-2</v>
          </cell>
          <cell r="C101">
            <v>31</v>
          </cell>
        </row>
        <row r="102">
          <cell r="A102">
            <v>44104</v>
          </cell>
          <cell r="B102">
            <v>3.4299999999999997E-2</v>
          </cell>
          <cell r="C102">
            <v>30</v>
          </cell>
        </row>
        <row r="103">
          <cell r="A103">
            <v>44135</v>
          </cell>
          <cell r="B103">
            <v>3.2500000000000001E-2</v>
          </cell>
          <cell r="C103">
            <v>31</v>
          </cell>
        </row>
        <row r="104">
          <cell r="A104">
            <v>44165</v>
          </cell>
          <cell r="B104">
            <v>3.2500000000000001E-2</v>
          </cell>
          <cell r="C104">
            <v>30</v>
          </cell>
        </row>
        <row r="105">
          <cell r="A105">
            <v>44196</v>
          </cell>
          <cell r="B105">
            <v>3.2500000000000001E-2</v>
          </cell>
          <cell r="C105">
            <v>31</v>
          </cell>
        </row>
        <row r="106">
          <cell r="A106">
            <v>44227</v>
          </cell>
          <cell r="B106">
            <v>3.2500000000000001E-2</v>
          </cell>
          <cell r="C106">
            <v>31</v>
          </cell>
        </row>
        <row r="107">
          <cell r="A107">
            <v>44255</v>
          </cell>
          <cell r="B107">
            <v>3.2500000000000001E-2</v>
          </cell>
          <cell r="C107">
            <v>28</v>
          </cell>
        </row>
        <row r="108">
          <cell r="A108">
            <v>44286</v>
          </cell>
          <cell r="B108">
            <v>3.2500000000000001E-2</v>
          </cell>
          <cell r="C108">
            <v>31</v>
          </cell>
        </row>
        <row r="109">
          <cell r="A109">
            <v>44316</v>
          </cell>
          <cell r="B109">
            <v>3.2500000000000001E-2</v>
          </cell>
          <cell r="C109">
            <v>30</v>
          </cell>
        </row>
        <row r="110">
          <cell r="A110">
            <v>44347</v>
          </cell>
          <cell r="B110">
            <v>3.2500000000000001E-2</v>
          </cell>
          <cell r="C110">
            <v>31</v>
          </cell>
        </row>
        <row r="111">
          <cell r="A111">
            <v>44377</v>
          </cell>
          <cell r="B111">
            <v>3.2500000000000001E-2</v>
          </cell>
          <cell r="C111">
            <v>30</v>
          </cell>
        </row>
        <row r="112">
          <cell r="A112">
            <v>44408</v>
          </cell>
          <cell r="B112">
            <v>3.2500000000000001E-2</v>
          </cell>
          <cell r="C112">
            <v>31</v>
          </cell>
        </row>
        <row r="113">
          <cell r="A113">
            <v>44439</v>
          </cell>
          <cell r="B113">
            <v>3.2500000000000001E-2</v>
          </cell>
          <cell r="C113">
            <v>31</v>
          </cell>
        </row>
        <row r="114">
          <cell r="A114">
            <v>44469</v>
          </cell>
          <cell r="B114">
            <v>3.2500000000000001E-2</v>
          </cell>
          <cell r="C114">
            <v>30</v>
          </cell>
        </row>
        <row r="115">
          <cell r="A115">
            <v>44500</v>
          </cell>
          <cell r="B115">
            <v>3.2500000000000001E-2</v>
          </cell>
          <cell r="C115">
            <v>31</v>
          </cell>
        </row>
        <row r="116">
          <cell r="A116">
            <v>44530</v>
          </cell>
          <cell r="B116">
            <v>3.2500000000000001E-2</v>
          </cell>
          <cell r="C116">
            <v>30</v>
          </cell>
        </row>
        <row r="117">
          <cell r="A117">
            <v>44561</v>
          </cell>
          <cell r="B117">
            <v>3.2500000000000001E-2</v>
          </cell>
          <cell r="C117">
            <v>31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8E0F1-3A07-498F-B060-75EB066A469C}">
  <dimension ref="B1:AL103"/>
  <sheetViews>
    <sheetView showGridLines="0" zoomScaleNormal="100" workbookViewId="0">
      <selection activeCell="B23" sqref="B23"/>
    </sheetView>
  </sheetViews>
  <sheetFormatPr defaultRowHeight="15" x14ac:dyDescent="0.2"/>
  <cols>
    <col min="1" max="1" width="1.7109375" customWidth="1"/>
    <col min="2" max="2" width="21.7109375" style="4" customWidth="1"/>
    <col min="3" max="3" width="26.140625" style="32" customWidth="1"/>
    <col min="4" max="4" width="3.5703125" style="20" hidden="1" customWidth="1"/>
    <col min="5" max="5" width="4" style="20" bestFit="1" customWidth="1"/>
    <col min="6" max="6" width="13.7109375" style="20" customWidth="1"/>
    <col min="7" max="7" width="15" style="89" bestFit="1" customWidth="1"/>
    <col min="8" max="8" width="12.5703125" style="90" customWidth="1"/>
    <col min="9" max="9" width="15" style="90" bestFit="1" customWidth="1"/>
    <col min="10" max="10" width="14" style="90" bestFit="1" customWidth="1"/>
    <col min="11" max="12" width="16.140625" style="90" bestFit="1" customWidth="1"/>
    <col min="13" max="13" width="14.5703125" style="90" bestFit="1" customWidth="1"/>
    <col min="14" max="14" width="16.85546875" style="90" bestFit="1" customWidth="1"/>
    <col min="15" max="15" width="8.28515625" style="90" hidden="1" customWidth="1"/>
    <col min="16" max="16" width="1.7109375" customWidth="1"/>
    <col min="17" max="17" width="16.42578125" hidden="1" customWidth="1"/>
    <col min="18" max="18" width="14.7109375" hidden="1" customWidth="1"/>
    <col min="19" max="19" width="9.7109375" hidden="1" customWidth="1"/>
    <col min="20" max="20" width="13.85546875" hidden="1" customWidth="1"/>
    <col min="21" max="21" width="12.85546875" hidden="1" customWidth="1"/>
    <col min="22" max="22" width="5.5703125" customWidth="1"/>
    <col min="23" max="23" width="6.28515625" customWidth="1"/>
    <col min="24" max="24" width="5.28515625" style="18" bestFit="1" customWidth="1"/>
    <col min="25" max="25" width="14.7109375" style="8" bestFit="1" customWidth="1"/>
    <col min="26" max="29" width="9.7109375" customWidth="1"/>
    <col min="30" max="30" width="25.28515625" customWidth="1"/>
    <col min="31" max="31" width="19.28515625" bestFit="1" customWidth="1"/>
    <col min="32" max="32" width="11.42578125" bestFit="1" customWidth="1"/>
    <col min="33" max="33" width="17" bestFit="1" customWidth="1"/>
    <col min="34" max="34" width="14.7109375" customWidth="1"/>
    <col min="36" max="36" width="17" bestFit="1" customWidth="1"/>
    <col min="37" max="37" width="13.85546875" bestFit="1" customWidth="1"/>
    <col min="38" max="38" width="31.7109375" customWidth="1"/>
  </cols>
  <sheetData>
    <row r="1" spans="2:31" ht="14.25" customHeight="1" x14ac:dyDescent="0.2">
      <c r="B1" s="1" t="s">
        <v>27</v>
      </c>
      <c r="C1" s="19"/>
      <c r="E1" s="21" t="s">
        <v>28</v>
      </c>
      <c r="F1" s="21"/>
      <c r="G1" s="21"/>
      <c r="H1" s="21"/>
      <c r="I1" s="21"/>
      <c r="J1" s="21"/>
      <c r="K1" s="21"/>
      <c r="L1" s="22"/>
      <c r="M1" s="22"/>
      <c r="N1" s="22"/>
      <c r="O1" s="22"/>
      <c r="P1" s="22"/>
      <c r="Q1" s="23"/>
      <c r="R1" s="23"/>
      <c r="S1" s="23"/>
      <c r="T1" s="23"/>
      <c r="U1" s="23"/>
      <c r="V1" s="23"/>
      <c r="W1" s="23"/>
      <c r="X1" s="24"/>
      <c r="Y1" s="25"/>
      <c r="Z1" s="23"/>
      <c r="AA1" s="23"/>
      <c r="AB1" s="23"/>
      <c r="AC1" s="23"/>
    </row>
    <row r="2" spans="2:31" ht="14.25" customHeight="1" x14ac:dyDescent="0.25">
      <c r="B2" s="1" t="s">
        <v>29</v>
      </c>
      <c r="C2" s="19"/>
      <c r="D2" s="23"/>
      <c r="E2" s="21"/>
      <c r="F2" s="21"/>
      <c r="G2" s="21"/>
      <c r="H2" s="21"/>
      <c r="I2" s="21"/>
      <c r="J2" s="21"/>
      <c r="K2" s="21"/>
      <c r="L2" s="26" t="s">
        <v>30</v>
      </c>
      <c r="M2" s="26"/>
      <c r="N2" s="26"/>
      <c r="O2" s="26"/>
      <c r="P2" s="26"/>
    </row>
    <row r="3" spans="2:31" ht="14.25" customHeight="1" x14ac:dyDescent="0.25">
      <c r="B3" s="27" t="s">
        <v>31</v>
      </c>
      <c r="C3" s="27"/>
      <c r="D3" s="23"/>
      <c r="E3" s="28"/>
      <c r="F3" s="29">
        <f>'Core Cost Incurred'!B2</f>
        <v>44464</v>
      </c>
      <c r="G3" s="29"/>
      <c r="H3" s="29"/>
      <c r="I3" s="29"/>
      <c r="J3" s="29"/>
      <c r="K3" s="29"/>
      <c r="L3" s="30" t="s">
        <v>32</v>
      </c>
      <c r="M3" s="30"/>
      <c r="N3" s="30"/>
      <c r="O3" s="30"/>
      <c r="P3" s="30"/>
    </row>
    <row r="4" spans="2:31" ht="14.25" customHeight="1" x14ac:dyDescent="0.25">
      <c r="B4" s="27" t="s">
        <v>33</v>
      </c>
      <c r="C4" s="27"/>
      <c r="D4" s="23"/>
      <c r="E4" s="28"/>
      <c r="F4" s="29"/>
      <c r="G4" s="29"/>
      <c r="H4" s="29"/>
      <c r="I4" s="29"/>
      <c r="J4" s="29"/>
      <c r="K4" s="29"/>
      <c r="L4" s="31" t="s">
        <v>34</v>
      </c>
      <c r="M4" s="31"/>
      <c r="N4" s="31"/>
      <c r="O4" s="31"/>
      <c r="P4" s="31"/>
    </row>
    <row r="5" spans="2:31" ht="14.25" customHeight="1" x14ac:dyDescent="0.2">
      <c r="D5" s="23"/>
      <c r="E5" s="28"/>
      <c r="F5" s="28"/>
      <c r="G5" s="28"/>
      <c r="H5" s="28"/>
      <c r="I5" s="28"/>
      <c r="J5" s="28"/>
      <c r="K5" s="28"/>
      <c r="L5" s="22"/>
      <c r="M5" s="22"/>
      <c r="N5" s="22"/>
      <c r="O5" s="22"/>
      <c r="P5" s="22"/>
      <c r="Q5" s="23"/>
      <c r="R5" s="23"/>
      <c r="S5" s="23"/>
      <c r="T5" s="23"/>
      <c r="U5" s="23"/>
      <c r="V5" s="23"/>
      <c r="W5" s="23"/>
      <c r="X5" s="24"/>
      <c r="Y5" s="25"/>
      <c r="Z5" s="23"/>
      <c r="AA5" s="23"/>
      <c r="AB5" s="23"/>
      <c r="AC5" s="23"/>
    </row>
    <row r="6" spans="2:31" ht="15.75" x14ac:dyDescent="0.25">
      <c r="B6" s="33"/>
      <c r="C6" s="34"/>
      <c r="D6" s="35"/>
      <c r="E6" s="35"/>
      <c r="F6" s="35"/>
      <c r="G6" s="36" t="s">
        <v>35</v>
      </c>
      <c r="H6" s="37" t="s">
        <v>3</v>
      </c>
      <c r="I6" s="37" t="s">
        <v>6</v>
      </c>
      <c r="J6" s="37" t="s">
        <v>36</v>
      </c>
      <c r="K6" s="37" t="s">
        <v>3</v>
      </c>
      <c r="L6" s="37" t="s">
        <v>6</v>
      </c>
      <c r="M6" s="37"/>
      <c r="N6" s="37" t="s">
        <v>12</v>
      </c>
      <c r="O6" s="38"/>
      <c r="Q6" s="39"/>
      <c r="R6" s="40">
        <v>200294.94</v>
      </c>
      <c r="S6" s="39"/>
      <c r="T6" s="39"/>
      <c r="U6" s="40">
        <v>140046.39000000001</v>
      </c>
      <c r="V6" s="39"/>
      <c r="W6" s="39"/>
      <c r="X6" s="41"/>
      <c r="Y6" s="42"/>
      <c r="Z6" s="39"/>
      <c r="AA6" s="39"/>
      <c r="AB6" s="39"/>
      <c r="AC6" s="39"/>
      <c r="AD6" s="43"/>
    </row>
    <row r="7" spans="2:31" ht="15.75" x14ac:dyDescent="0.25">
      <c r="B7" s="44"/>
      <c r="C7" s="45"/>
      <c r="D7" s="46"/>
      <c r="E7" s="46"/>
      <c r="F7" s="47" t="s">
        <v>37</v>
      </c>
      <c r="G7" s="36" t="s">
        <v>38</v>
      </c>
      <c r="H7" s="37" t="s">
        <v>39</v>
      </c>
      <c r="I7" s="37" t="s">
        <v>39</v>
      </c>
      <c r="J7" s="37" t="s">
        <v>11</v>
      </c>
      <c r="K7" s="37" t="s">
        <v>40</v>
      </c>
      <c r="L7" s="37" t="s">
        <v>40</v>
      </c>
      <c r="M7" s="37" t="s">
        <v>36</v>
      </c>
      <c r="N7" s="37" t="s">
        <v>36</v>
      </c>
      <c r="O7" s="38"/>
      <c r="Q7" s="40">
        <v>11214374</v>
      </c>
      <c r="R7" s="40">
        <f>2345597.06+78799.97+56688.77</f>
        <v>2481085.8000000003</v>
      </c>
      <c r="S7" s="39"/>
      <c r="T7" s="40">
        <v>2845776</v>
      </c>
      <c r="U7" s="40">
        <v>459339.89</v>
      </c>
      <c r="V7" s="39"/>
      <c r="W7" s="39"/>
      <c r="X7" s="41"/>
      <c r="Y7" s="42"/>
      <c r="Z7" s="39"/>
      <c r="AA7" s="39"/>
      <c r="AB7" s="39"/>
      <c r="AC7" s="39"/>
      <c r="AD7" s="48"/>
      <c r="AE7" s="3"/>
    </row>
    <row r="8" spans="2:31" s="55" customFormat="1" x14ac:dyDescent="0.2">
      <c r="B8" s="49"/>
      <c r="C8" s="50"/>
      <c r="D8" s="49" t="s">
        <v>41</v>
      </c>
      <c r="E8" s="51" t="s">
        <v>42</v>
      </c>
      <c r="F8" s="51" t="s">
        <v>42</v>
      </c>
      <c r="G8" s="52" t="s">
        <v>43</v>
      </c>
      <c r="H8" s="53" t="s">
        <v>44</v>
      </c>
      <c r="I8" s="53" t="str">
        <f>+H8</f>
        <v>Nov 1 2020</v>
      </c>
      <c r="J8" s="53" t="str">
        <f>I8</f>
        <v>Nov 1 2020</v>
      </c>
      <c r="K8" s="54" t="s">
        <v>45</v>
      </c>
      <c r="L8" s="54" t="s">
        <v>45</v>
      </c>
      <c r="M8" s="54" t="s">
        <v>11</v>
      </c>
      <c r="N8" s="54" t="s">
        <v>45</v>
      </c>
      <c r="O8" s="38"/>
      <c r="P8"/>
      <c r="V8" s="39"/>
      <c r="X8" s="56"/>
      <c r="Y8" s="57">
        <v>1501</v>
      </c>
      <c r="Z8" s="39"/>
      <c r="AA8" s="39"/>
      <c r="AB8" s="39"/>
      <c r="AC8" s="39"/>
    </row>
    <row r="9" spans="2:31" ht="15.75" hidden="1" x14ac:dyDescent="0.25">
      <c r="B9" s="58" t="s">
        <v>46</v>
      </c>
      <c r="C9" s="32" t="s">
        <v>47</v>
      </c>
      <c r="D9" s="10">
        <v>1</v>
      </c>
      <c r="E9" s="20" t="s">
        <v>48</v>
      </c>
      <c r="F9" s="20" t="s">
        <v>49</v>
      </c>
      <c r="G9" s="59">
        <v>0</v>
      </c>
      <c r="H9" s="60"/>
      <c r="I9" s="60"/>
      <c r="J9" s="60"/>
      <c r="K9" s="61">
        <f>ROUND(H9*G9,2)</f>
        <v>0</v>
      </c>
      <c r="L9" s="61">
        <f>ROUND(G9*I9,2)</f>
        <v>0</v>
      </c>
      <c r="M9" s="62">
        <f>ROUND(G9*J9,2)</f>
        <v>0</v>
      </c>
      <c r="N9" s="61">
        <f>SUM(K9:M9)</f>
        <v>0</v>
      </c>
      <c r="O9" s="63"/>
      <c r="Q9" s="64">
        <f>+-1529533-194708</f>
        <v>-1724241</v>
      </c>
      <c r="R9" s="64">
        <f>+-304369.99-70364.48</f>
        <v>-374734.47</v>
      </c>
      <c r="S9" s="65"/>
      <c r="T9" s="66">
        <f>+-505447-64182</f>
        <v>-569629</v>
      </c>
      <c r="U9" s="66">
        <f>+-100581.61-23194.4</f>
        <v>-123776.01000000001</v>
      </c>
      <c r="V9" s="65"/>
      <c r="Y9" s="67"/>
      <c r="Z9" s="65"/>
      <c r="AA9" s="65"/>
      <c r="AB9" s="65"/>
      <c r="AC9" s="65"/>
    </row>
    <row r="10" spans="2:31" ht="15.75" x14ac:dyDescent="0.25">
      <c r="B10" s="58" t="s">
        <v>46</v>
      </c>
      <c r="C10" s="32" t="s">
        <v>50</v>
      </c>
      <c r="D10" s="10">
        <v>1</v>
      </c>
      <c r="E10" s="20" t="s">
        <v>51</v>
      </c>
      <c r="F10" s="20" t="s">
        <v>52</v>
      </c>
      <c r="G10" s="68">
        <f>+Y10</f>
        <v>3024586</v>
      </c>
      <c r="H10" s="69">
        <v>0.25052999999999997</v>
      </c>
      <c r="I10" s="69">
        <v>0.16711999999999999</v>
      </c>
      <c r="J10" s="69">
        <f>0.07006+0.07276</f>
        <v>0.14282</v>
      </c>
      <c r="K10" s="61">
        <f>ROUND(H10*G10,2)</f>
        <v>757749.53</v>
      </c>
      <c r="L10" s="61">
        <f>ROUND(G10*I10,2)</f>
        <v>505468.81</v>
      </c>
      <c r="M10" s="70">
        <f>ROUND(G10*J10,2)</f>
        <v>431971.37</v>
      </c>
      <c r="N10" s="71">
        <f>SUM(K10:M10)</f>
        <v>1695189.71</v>
      </c>
      <c r="O10" s="63"/>
      <c r="Q10" s="66"/>
      <c r="R10" s="66"/>
      <c r="S10" s="66"/>
      <c r="T10" s="66"/>
      <c r="U10" s="66"/>
      <c r="V10" s="65"/>
      <c r="W10" s="72">
        <v>4800</v>
      </c>
      <c r="X10" s="73">
        <v>503</v>
      </c>
      <c r="Y10" s="74">
        <v>3024586</v>
      </c>
      <c r="Z10" s="65"/>
      <c r="AA10" s="65"/>
      <c r="AB10" s="65"/>
      <c r="AC10" s="65"/>
    </row>
    <row r="11" spans="2:31" ht="15.75" x14ac:dyDescent="0.25">
      <c r="B11" s="58" t="s">
        <v>53</v>
      </c>
      <c r="C11" s="32" t="s">
        <v>54</v>
      </c>
      <c r="D11" s="10">
        <v>1</v>
      </c>
      <c r="E11" s="20" t="s">
        <v>51</v>
      </c>
      <c r="F11" s="20" t="s">
        <v>52</v>
      </c>
      <c r="G11" s="75">
        <v>-1319541</v>
      </c>
      <c r="H11" s="76">
        <f>$H$10</f>
        <v>0.25052999999999997</v>
      </c>
      <c r="I11" s="76">
        <f>$I$10</f>
        <v>0.16711999999999999</v>
      </c>
      <c r="J11" s="76">
        <f>+$J$10</f>
        <v>0.14282</v>
      </c>
      <c r="K11" s="61">
        <f>ROUND(H11*G11,2)</f>
        <v>-330584.61</v>
      </c>
      <c r="L11" s="61">
        <f>ROUND(G11*I11,2)</f>
        <v>-220521.69</v>
      </c>
      <c r="M11" s="70"/>
      <c r="N11" s="71">
        <f>SUM(K11:M11)</f>
        <v>-551106.30000000005</v>
      </c>
      <c r="O11" s="63"/>
      <c r="Q11" s="66"/>
      <c r="R11" s="66"/>
      <c r="S11" s="66"/>
      <c r="T11" s="66"/>
      <c r="U11" s="66"/>
      <c r="V11" s="65"/>
      <c r="W11" s="72">
        <v>4809</v>
      </c>
      <c r="X11" s="73">
        <v>505</v>
      </c>
      <c r="Y11" s="77">
        <v>585259</v>
      </c>
      <c r="Z11" s="65"/>
      <c r="AA11" s="65"/>
      <c r="AB11" s="65"/>
      <c r="AC11" s="65"/>
    </row>
    <row r="12" spans="2:31" ht="15.75" x14ac:dyDescent="0.25">
      <c r="B12" s="58" t="s">
        <v>53</v>
      </c>
      <c r="C12" s="32" t="s">
        <v>55</v>
      </c>
      <c r="D12" s="10">
        <v>1</v>
      </c>
      <c r="E12" s="20" t="s">
        <v>51</v>
      </c>
      <c r="F12" s="20" t="s">
        <v>52</v>
      </c>
      <c r="G12" s="75">
        <f>+Y21</f>
        <v>2292851</v>
      </c>
      <c r="H12" s="76">
        <f>$H$10</f>
        <v>0.25052999999999997</v>
      </c>
      <c r="I12" s="76">
        <f>$I$10</f>
        <v>0.16711999999999999</v>
      </c>
      <c r="J12" s="76">
        <f>+$J$10</f>
        <v>0.14282</v>
      </c>
      <c r="K12" s="61">
        <f>ROUND(H12*G12,2)</f>
        <v>574427.96</v>
      </c>
      <c r="L12" s="61">
        <f>ROUND(G12*I12,2)</f>
        <v>383181.26</v>
      </c>
      <c r="M12" s="70"/>
      <c r="N12" s="71">
        <f>SUM(K12:M12)</f>
        <v>957609.22</v>
      </c>
      <c r="O12" s="63"/>
      <c r="Q12" s="66"/>
      <c r="R12" s="66"/>
      <c r="S12" s="66"/>
      <c r="T12" s="66"/>
      <c r="U12" s="66"/>
      <c r="V12" s="65"/>
      <c r="W12" s="72">
        <v>4809</v>
      </c>
      <c r="X12" s="73">
        <v>511</v>
      </c>
      <c r="Y12" s="77">
        <v>292711</v>
      </c>
      <c r="AA12" s="65"/>
      <c r="AB12" s="65"/>
      <c r="AC12" s="65"/>
    </row>
    <row r="13" spans="2:31" ht="15" customHeight="1" x14ac:dyDescent="0.25">
      <c r="B13" s="58"/>
      <c r="D13" s="10"/>
      <c r="G13" s="59"/>
      <c r="H13" s="76"/>
      <c r="I13" s="76"/>
      <c r="J13" s="76"/>
      <c r="K13" s="61"/>
      <c r="L13" s="61"/>
      <c r="M13" s="70"/>
      <c r="N13" s="71"/>
      <c r="O13" s="63"/>
      <c r="Q13" s="65"/>
      <c r="R13" s="65"/>
      <c r="S13" s="65"/>
      <c r="T13" s="65"/>
      <c r="U13" s="65"/>
      <c r="V13" s="65"/>
      <c r="W13" s="72">
        <v>4810</v>
      </c>
      <c r="X13" s="73" t="s">
        <v>56</v>
      </c>
      <c r="Y13" s="77">
        <v>1834</v>
      </c>
      <c r="Z13" s="65"/>
      <c r="AA13" s="65"/>
      <c r="AB13" s="65"/>
      <c r="AC13" s="65"/>
    </row>
    <row r="14" spans="2:31" ht="15.75" x14ac:dyDescent="0.25">
      <c r="B14" s="58" t="s">
        <v>57</v>
      </c>
      <c r="C14" s="32" t="s">
        <v>58</v>
      </c>
      <c r="D14" s="10">
        <v>2</v>
      </c>
      <c r="E14" s="20" t="s">
        <v>59</v>
      </c>
      <c r="F14" s="20" t="s">
        <v>60</v>
      </c>
      <c r="G14" s="68">
        <f>+Y15</f>
        <v>2784423</v>
      </c>
      <c r="H14" s="76">
        <f t="shared" ref="H14:H16" si="0">$H$10</f>
        <v>0.25052999999999997</v>
      </c>
      <c r="I14" s="69">
        <v>0.16461000000000001</v>
      </c>
      <c r="J14" s="76">
        <f t="shared" ref="J14:J16" si="1">+$J$10</f>
        <v>0.14282</v>
      </c>
      <c r="K14" s="61">
        <f>ROUND(H14*G14,2)</f>
        <v>697581.49</v>
      </c>
      <c r="L14" s="61">
        <f>ROUND(G14*I14,2)</f>
        <v>458343.87</v>
      </c>
      <c r="M14" s="70">
        <f>ROUND(G14*J14,2)</f>
        <v>397671.29</v>
      </c>
      <c r="N14" s="71">
        <f>SUM(K14:M14)</f>
        <v>1553596.65</v>
      </c>
      <c r="O14" s="78">
        <v>-0.02</v>
      </c>
      <c r="Q14" s="65" t="s">
        <v>61</v>
      </c>
      <c r="R14" s="65"/>
      <c r="S14" s="65"/>
      <c r="T14" s="65"/>
      <c r="U14" s="65"/>
      <c r="V14" s="65"/>
      <c r="W14" s="72">
        <v>4810</v>
      </c>
      <c r="X14" s="73" t="s">
        <v>62</v>
      </c>
      <c r="Y14" s="77">
        <v>3577</v>
      </c>
      <c r="Z14" s="65"/>
      <c r="AB14" s="65"/>
      <c r="AC14" s="65"/>
    </row>
    <row r="15" spans="2:31" ht="15.75" x14ac:dyDescent="0.25">
      <c r="B15" s="58" t="s">
        <v>63</v>
      </c>
      <c r="C15" s="32" t="s">
        <v>64</v>
      </c>
      <c r="D15" s="10">
        <v>2</v>
      </c>
      <c r="E15" s="20" t="s">
        <v>59</v>
      </c>
      <c r="F15" s="20" t="s">
        <v>60</v>
      </c>
      <c r="G15" s="75">
        <v>-1411426</v>
      </c>
      <c r="H15" s="76">
        <f t="shared" si="0"/>
        <v>0.25052999999999997</v>
      </c>
      <c r="I15" s="76">
        <f>+$I$14</f>
        <v>0.16461000000000001</v>
      </c>
      <c r="J15" s="76">
        <f t="shared" si="1"/>
        <v>0.14282</v>
      </c>
      <c r="K15" s="61">
        <f>ROUND(H15*G15,2)</f>
        <v>-353604.56</v>
      </c>
      <c r="L15" s="61">
        <f>ROUND(G15*I15,2)</f>
        <v>-232334.83</v>
      </c>
      <c r="M15" s="70"/>
      <c r="N15" s="71">
        <f>SUM(K15:M15)</f>
        <v>-585939.39</v>
      </c>
      <c r="O15" s="78"/>
      <c r="Q15" s="65" t="s">
        <v>65</v>
      </c>
      <c r="R15" s="65">
        <f>101807.82+3135667.8</f>
        <v>3237475.6199999996</v>
      </c>
      <c r="S15" s="65"/>
      <c r="T15" s="65"/>
      <c r="U15" s="66">
        <f>242253.38+412186.68</f>
        <v>654440.06000000006</v>
      </c>
      <c r="V15" s="65"/>
      <c r="W15" s="72">
        <v>4810</v>
      </c>
      <c r="X15" s="73">
        <v>504</v>
      </c>
      <c r="Y15" s="77">
        <v>2784423</v>
      </c>
      <c r="Z15" s="65"/>
      <c r="AB15" s="65"/>
      <c r="AC15" s="65"/>
    </row>
    <row r="16" spans="2:31" ht="15.75" x14ac:dyDescent="0.25">
      <c r="B16" s="58" t="s">
        <v>63</v>
      </c>
      <c r="C16" s="32" t="s">
        <v>66</v>
      </c>
      <c r="D16" s="10">
        <v>2</v>
      </c>
      <c r="E16" s="20" t="s">
        <v>59</v>
      </c>
      <c r="F16" s="20" t="s">
        <v>60</v>
      </c>
      <c r="G16" s="75">
        <f>+Y22</f>
        <v>2330127</v>
      </c>
      <c r="H16" s="76">
        <f t="shared" si="0"/>
        <v>0.25052999999999997</v>
      </c>
      <c r="I16" s="76">
        <f>+$I$14</f>
        <v>0.16461000000000001</v>
      </c>
      <c r="J16" s="76">
        <f t="shared" si="1"/>
        <v>0.14282</v>
      </c>
      <c r="K16" s="61">
        <f>ROUND(H16*G16,2)</f>
        <v>583766.72</v>
      </c>
      <c r="L16" s="61">
        <f>ROUND(G16*I16,2)</f>
        <v>383562.21</v>
      </c>
      <c r="M16" s="70"/>
      <c r="N16" s="71">
        <f>SUM(K16:M16)</f>
        <v>967328.92999999993</v>
      </c>
      <c r="O16" s="63"/>
      <c r="Q16" s="65" t="s">
        <v>65</v>
      </c>
      <c r="R16" s="65">
        <v>55387.57</v>
      </c>
      <c r="S16" s="65"/>
      <c r="T16" s="65"/>
      <c r="U16" s="66">
        <v>7182.43</v>
      </c>
      <c r="V16" s="65"/>
      <c r="W16" s="72">
        <v>4810</v>
      </c>
      <c r="X16" s="73">
        <v>511</v>
      </c>
      <c r="Y16" s="77">
        <v>319073</v>
      </c>
      <c r="Z16" s="65"/>
      <c r="AA16" s="65"/>
      <c r="AB16" s="65"/>
      <c r="AC16" s="65"/>
    </row>
    <row r="17" spans="2:29" ht="15" customHeight="1" x14ac:dyDescent="0.25">
      <c r="B17" s="58"/>
      <c r="D17" s="10"/>
      <c r="G17" s="59"/>
      <c r="H17" s="76"/>
      <c r="I17" s="76"/>
      <c r="J17" s="76"/>
      <c r="K17" s="61"/>
      <c r="L17" s="61"/>
      <c r="M17" s="70"/>
      <c r="N17" s="71"/>
      <c r="O17" s="63"/>
      <c r="Q17" s="5"/>
      <c r="R17" s="5"/>
      <c r="S17" s="5"/>
      <c r="T17" s="5"/>
      <c r="U17" s="66"/>
      <c r="V17" s="5"/>
      <c r="W17" s="72">
        <v>4811</v>
      </c>
      <c r="X17" s="73" t="s">
        <v>67</v>
      </c>
      <c r="Y17" s="77">
        <v>0</v>
      </c>
      <c r="Z17" s="65"/>
      <c r="AA17" s="5"/>
      <c r="AB17" s="5"/>
      <c r="AC17" s="5"/>
    </row>
    <row r="18" spans="2:29" ht="15.75" x14ac:dyDescent="0.25">
      <c r="B18" s="58" t="s">
        <v>57</v>
      </c>
      <c r="C18" s="32" t="s">
        <v>68</v>
      </c>
      <c r="D18" s="10">
        <v>2</v>
      </c>
      <c r="E18" s="20" t="s">
        <v>69</v>
      </c>
      <c r="F18" s="20" t="s">
        <v>70</v>
      </c>
      <c r="G18" s="68">
        <f>+Y16</f>
        <v>319073</v>
      </c>
      <c r="H18" s="76">
        <f t="shared" ref="H18:H22" si="2">$H$10</f>
        <v>0.25052999999999997</v>
      </c>
      <c r="I18" s="69">
        <v>0.15223</v>
      </c>
      <c r="J18" s="76">
        <f t="shared" ref="J18:J22" si="3">+$J$10</f>
        <v>0.14282</v>
      </c>
      <c r="K18" s="61">
        <f t="shared" ref="K18:K22" si="4">ROUND(H18*G18,2)</f>
        <v>79937.36</v>
      </c>
      <c r="L18" s="61">
        <f t="shared" ref="L18:L22" si="5">ROUND(G18*I18,2)</f>
        <v>48572.480000000003</v>
      </c>
      <c r="M18" s="70">
        <f t="shared" ref="M18:M22" si="6">ROUND(G18*J18,2)</f>
        <v>45570.01</v>
      </c>
      <c r="N18" s="71">
        <f t="shared" ref="N18:N22" si="7">SUM(K18:M18)</f>
        <v>174079.85</v>
      </c>
      <c r="O18" s="78">
        <v>2.0699999999999998</v>
      </c>
      <c r="Q18" s="65" t="s">
        <v>61</v>
      </c>
      <c r="R18" s="65">
        <v>625208.07999999996</v>
      </c>
      <c r="S18" s="65"/>
      <c r="T18" s="65"/>
      <c r="U18" s="66">
        <f>44136.69+5300</f>
        <v>49436.69</v>
      </c>
      <c r="V18" s="65"/>
      <c r="W18" s="72">
        <v>4813</v>
      </c>
      <c r="X18" s="73">
        <v>570</v>
      </c>
      <c r="Y18" s="77">
        <v>103033</v>
      </c>
      <c r="AA18" s="65"/>
      <c r="AB18" s="65"/>
      <c r="AC18" s="65"/>
    </row>
    <row r="19" spans="2:29" ht="15.75" x14ac:dyDescent="0.25">
      <c r="B19" s="58" t="s">
        <v>57</v>
      </c>
      <c r="C19" s="32" t="s">
        <v>68</v>
      </c>
      <c r="D19" s="10">
        <v>2</v>
      </c>
      <c r="E19" s="20" t="s">
        <v>69</v>
      </c>
      <c r="F19" s="20" t="s">
        <v>71</v>
      </c>
      <c r="G19" s="68">
        <f>+Y13</f>
        <v>1834</v>
      </c>
      <c r="H19" s="76">
        <f t="shared" si="2"/>
        <v>0.25052999999999997</v>
      </c>
      <c r="I19" s="76">
        <f>+$I$18</f>
        <v>0.15223</v>
      </c>
      <c r="J19" s="76">
        <f t="shared" si="3"/>
        <v>0.14282</v>
      </c>
      <c r="K19" s="61">
        <f t="shared" si="4"/>
        <v>459.47</v>
      </c>
      <c r="L19" s="61">
        <f t="shared" si="5"/>
        <v>279.19</v>
      </c>
      <c r="M19" s="70">
        <f t="shared" si="6"/>
        <v>261.93</v>
      </c>
      <c r="N19" s="71">
        <f t="shared" si="7"/>
        <v>1000.5900000000001</v>
      </c>
      <c r="O19" s="78"/>
      <c r="Q19" s="65" t="s">
        <v>61</v>
      </c>
      <c r="R19" s="65"/>
      <c r="S19" s="65"/>
      <c r="T19" s="65"/>
      <c r="U19" s="65"/>
      <c r="V19" s="65"/>
      <c r="W19" s="72"/>
      <c r="X19" s="73"/>
      <c r="Z19" s="65"/>
      <c r="AA19" s="65"/>
      <c r="AB19" s="65"/>
      <c r="AC19" s="65"/>
    </row>
    <row r="20" spans="2:29" ht="15.75" x14ac:dyDescent="0.25">
      <c r="B20" s="58" t="s">
        <v>57</v>
      </c>
      <c r="C20" s="79" t="s">
        <v>68</v>
      </c>
      <c r="D20" s="10">
        <v>2</v>
      </c>
      <c r="E20" s="20" t="s">
        <v>69</v>
      </c>
      <c r="F20" s="20" t="s">
        <v>72</v>
      </c>
      <c r="G20" s="68">
        <f>+Y14</f>
        <v>3577</v>
      </c>
      <c r="H20" s="76">
        <f t="shared" si="2"/>
        <v>0.25052999999999997</v>
      </c>
      <c r="I20" s="76">
        <f>+I18</f>
        <v>0.15223</v>
      </c>
      <c r="J20" s="76">
        <f t="shared" si="3"/>
        <v>0.14282</v>
      </c>
      <c r="K20" s="61">
        <f t="shared" si="4"/>
        <v>896.15</v>
      </c>
      <c r="L20" s="61">
        <f t="shared" si="5"/>
        <v>544.53</v>
      </c>
      <c r="M20" s="70">
        <f t="shared" si="6"/>
        <v>510.87</v>
      </c>
      <c r="N20" s="71">
        <f t="shared" si="7"/>
        <v>1951.5499999999997</v>
      </c>
      <c r="O20" s="78"/>
      <c r="Q20" s="65"/>
      <c r="R20" s="65"/>
      <c r="S20" s="65"/>
      <c r="T20" s="65"/>
      <c r="U20" s="65"/>
      <c r="V20" s="65"/>
      <c r="W20" s="72"/>
      <c r="X20" s="73"/>
      <c r="Y20" s="57" t="s">
        <v>73</v>
      </c>
      <c r="Z20" s="65"/>
      <c r="AB20" s="65"/>
      <c r="AC20" s="65"/>
    </row>
    <row r="21" spans="2:29" ht="15.75" x14ac:dyDescent="0.25">
      <c r="B21" s="58" t="s">
        <v>63</v>
      </c>
      <c r="C21" s="32" t="s">
        <v>74</v>
      </c>
      <c r="D21" s="10">
        <v>2</v>
      </c>
      <c r="E21" s="20" t="s">
        <v>69</v>
      </c>
      <c r="F21" s="20" t="s">
        <v>71</v>
      </c>
      <c r="G21" s="80">
        <v>-5411</v>
      </c>
      <c r="H21" s="76">
        <f t="shared" si="2"/>
        <v>0.25052999999999997</v>
      </c>
      <c r="I21" s="76">
        <f>+I18</f>
        <v>0.15223</v>
      </c>
      <c r="J21" s="76">
        <f t="shared" si="3"/>
        <v>0.14282</v>
      </c>
      <c r="K21" s="61">
        <f t="shared" si="4"/>
        <v>-1355.62</v>
      </c>
      <c r="L21" s="61">
        <f t="shared" si="5"/>
        <v>-823.72</v>
      </c>
      <c r="M21" s="70">
        <f t="shared" si="6"/>
        <v>-772.8</v>
      </c>
      <c r="N21" s="71">
        <f t="shared" si="7"/>
        <v>-2952.1400000000003</v>
      </c>
      <c r="O21" s="78"/>
      <c r="Q21" s="5"/>
      <c r="R21" s="5">
        <v>57899.56</v>
      </c>
      <c r="S21" s="5"/>
      <c r="T21" s="5"/>
      <c r="U21" s="66">
        <v>8091.98</v>
      </c>
      <c r="V21" s="65"/>
      <c r="W21" s="72"/>
      <c r="X21" s="73"/>
      <c r="Y21" s="81">
        <v>2292851</v>
      </c>
      <c r="Z21" s="5"/>
      <c r="AA21" s="5"/>
      <c r="AB21" s="5"/>
      <c r="AC21" s="5"/>
    </row>
    <row r="22" spans="2:29" ht="15.75" x14ac:dyDescent="0.25">
      <c r="B22" s="58" t="s">
        <v>63</v>
      </c>
      <c r="C22" s="32" t="s">
        <v>75</v>
      </c>
      <c r="D22" s="10">
        <v>2</v>
      </c>
      <c r="E22" s="20" t="s">
        <v>69</v>
      </c>
      <c r="F22" s="20" t="s">
        <v>71</v>
      </c>
      <c r="G22" s="80">
        <f>+Y25</f>
        <v>6417</v>
      </c>
      <c r="H22" s="76">
        <f t="shared" si="2"/>
        <v>0.25052999999999997</v>
      </c>
      <c r="I22" s="76">
        <f>+I18</f>
        <v>0.15223</v>
      </c>
      <c r="J22" s="76">
        <f t="shared" si="3"/>
        <v>0.14282</v>
      </c>
      <c r="K22" s="61">
        <f t="shared" si="4"/>
        <v>1607.65</v>
      </c>
      <c r="L22" s="61">
        <f t="shared" si="5"/>
        <v>976.86</v>
      </c>
      <c r="M22" s="70">
        <f t="shared" si="6"/>
        <v>916.48</v>
      </c>
      <c r="N22" s="71">
        <f t="shared" si="7"/>
        <v>3500.9900000000002</v>
      </c>
      <c r="O22" s="63"/>
      <c r="Q22" s="5"/>
      <c r="R22" s="5">
        <v>61282.61</v>
      </c>
      <c r="S22" s="5"/>
      <c r="T22" s="5"/>
      <c r="U22" s="66">
        <v>6665.73</v>
      </c>
      <c r="V22" s="65"/>
      <c r="W22" s="72"/>
      <c r="X22" s="73"/>
      <c r="Y22" s="75">
        <v>2330127</v>
      </c>
      <c r="AA22" s="5"/>
      <c r="AB22" s="5"/>
      <c r="AC22" s="5"/>
    </row>
    <row r="23" spans="2:29" x14ac:dyDescent="0.2">
      <c r="B23" s="58"/>
      <c r="D23" s="10"/>
      <c r="G23" s="82"/>
      <c r="H23" s="83"/>
      <c r="I23" s="76"/>
      <c r="J23" s="76"/>
      <c r="K23" s="61"/>
      <c r="L23" s="61"/>
      <c r="M23" s="70"/>
      <c r="N23" s="71"/>
      <c r="O23" s="63"/>
      <c r="Q23" s="5"/>
      <c r="R23" s="5"/>
      <c r="S23" s="5"/>
      <c r="T23" s="5"/>
      <c r="U23" s="66"/>
      <c r="V23" s="65"/>
      <c r="W23" s="9"/>
      <c r="X23" s="84"/>
      <c r="AA23" s="5"/>
      <c r="AB23" s="5"/>
      <c r="AC23" s="5"/>
    </row>
    <row r="24" spans="2:29" ht="15.75" x14ac:dyDescent="0.25">
      <c r="B24" s="58" t="s">
        <v>76</v>
      </c>
      <c r="C24" s="32" t="s">
        <v>77</v>
      </c>
      <c r="D24" s="10">
        <v>3</v>
      </c>
      <c r="E24" s="20" t="s">
        <v>78</v>
      </c>
      <c r="F24" s="20" t="s">
        <v>79</v>
      </c>
      <c r="G24" s="68">
        <f>+Y11</f>
        <v>585259</v>
      </c>
      <c r="H24" s="76">
        <f t="shared" ref="H24:H25" si="8">$H$10</f>
        <v>0.25052999999999997</v>
      </c>
      <c r="I24" s="76">
        <f>$I$18</f>
        <v>0.15223</v>
      </c>
      <c r="J24" s="76">
        <f t="shared" ref="J24:J25" si="9">+$J$10</f>
        <v>0.14282</v>
      </c>
      <c r="K24" s="61">
        <f>ROUND(H24*G24,2)</f>
        <v>146624.94</v>
      </c>
      <c r="L24" s="61">
        <f>ROUND(G24*I24,2)</f>
        <v>89093.98</v>
      </c>
      <c r="M24" s="70">
        <f>ROUND(G24*J24,2)</f>
        <v>83586.69</v>
      </c>
      <c r="N24" s="71">
        <f>SUM(K24:M24)</f>
        <v>319305.61</v>
      </c>
      <c r="O24" s="63">
        <v>-0.01</v>
      </c>
      <c r="Q24" s="65" t="s">
        <v>61</v>
      </c>
      <c r="R24" s="65">
        <v>49965.85</v>
      </c>
      <c r="S24" s="65"/>
      <c r="T24" s="65"/>
      <c r="U24" s="66">
        <v>5434.8</v>
      </c>
      <c r="V24" s="65"/>
      <c r="W24" s="12" t="s">
        <v>80</v>
      </c>
      <c r="X24" s="12"/>
      <c r="Y24" s="57" t="s">
        <v>81</v>
      </c>
      <c r="Z24" s="65"/>
      <c r="AA24" s="65"/>
      <c r="AB24" s="65"/>
      <c r="AC24" s="65"/>
    </row>
    <row r="25" spans="2:29" ht="15.75" x14ac:dyDescent="0.25">
      <c r="B25" s="58" t="s">
        <v>76</v>
      </c>
      <c r="C25" s="32" t="s">
        <v>82</v>
      </c>
      <c r="D25" s="10">
        <v>3</v>
      </c>
      <c r="E25" s="20" t="s">
        <v>69</v>
      </c>
      <c r="F25" s="20" t="s">
        <v>70</v>
      </c>
      <c r="G25" s="68">
        <f>+'WA Rates'!Y12</f>
        <v>292711</v>
      </c>
      <c r="H25" s="76">
        <f t="shared" si="8"/>
        <v>0.25052999999999997</v>
      </c>
      <c r="I25" s="76">
        <f>$I$18</f>
        <v>0.15223</v>
      </c>
      <c r="J25" s="76">
        <f t="shared" si="9"/>
        <v>0.14282</v>
      </c>
      <c r="K25" s="61">
        <f>ROUND(H25*G25,2)</f>
        <v>73332.89</v>
      </c>
      <c r="L25" s="61">
        <f>ROUND(G25*I25,2)</f>
        <v>44559.4</v>
      </c>
      <c r="M25" s="70">
        <f>ROUND(G25*J25,2)</f>
        <v>41804.99</v>
      </c>
      <c r="N25" s="71">
        <f>SUM(K25:M25)</f>
        <v>159697.28</v>
      </c>
      <c r="O25" s="63"/>
      <c r="Q25" s="65" t="s">
        <v>61</v>
      </c>
      <c r="R25" s="65"/>
      <c r="S25" s="65"/>
      <c r="T25" s="65"/>
      <c r="U25" s="66"/>
      <c r="V25" s="65"/>
      <c r="W25" s="12" t="s">
        <v>83</v>
      </c>
      <c r="X25" s="12"/>
      <c r="Y25" s="80">
        <v>6417</v>
      </c>
      <c r="Z25" s="65"/>
      <c r="AA25" s="65"/>
      <c r="AB25" s="65"/>
      <c r="AC25" s="65"/>
    </row>
    <row r="26" spans="2:29" ht="15.75" x14ac:dyDescent="0.25">
      <c r="B26" s="58"/>
      <c r="D26" s="10"/>
      <c r="G26" s="59"/>
      <c r="H26" s="76"/>
      <c r="I26" s="76"/>
      <c r="J26" s="76"/>
      <c r="K26" s="61"/>
      <c r="L26" s="61"/>
      <c r="M26" s="70"/>
      <c r="N26" s="71"/>
      <c r="O26" s="63"/>
      <c r="Q26" s="5"/>
      <c r="R26" s="5">
        <v>17029.240000000002</v>
      </c>
      <c r="S26" s="5"/>
      <c r="T26" s="5"/>
      <c r="U26" s="66">
        <v>1729.72</v>
      </c>
      <c r="V26" s="5"/>
      <c r="W26" s="12" t="s">
        <v>84</v>
      </c>
      <c r="X26" s="12"/>
      <c r="Y26" s="80">
        <v>0</v>
      </c>
      <c r="Z26" s="5"/>
      <c r="AA26" s="5"/>
      <c r="AB26" s="5"/>
      <c r="AC26" s="5"/>
    </row>
    <row r="27" spans="2:29" ht="15.75" x14ac:dyDescent="0.25">
      <c r="B27" s="58" t="s">
        <v>85</v>
      </c>
      <c r="C27" s="32" t="s">
        <v>86</v>
      </c>
      <c r="D27" s="10">
        <v>3</v>
      </c>
      <c r="E27" s="20" t="s">
        <v>78</v>
      </c>
      <c r="F27" s="20" t="s">
        <v>87</v>
      </c>
      <c r="G27" s="59">
        <f>+Y17</f>
        <v>0</v>
      </c>
      <c r="H27" s="76">
        <f t="shared" ref="H27:H29" si="10">$H$10</f>
        <v>0.25052999999999997</v>
      </c>
      <c r="I27" s="76">
        <f>$I$18</f>
        <v>0.15223</v>
      </c>
      <c r="J27" s="76">
        <f t="shared" ref="J27:J29" si="11">+$J$10</f>
        <v>0.14282</v>
      </c>
      <c r="K27" s="61">
        <f t="shared" ref="K27:K29" si="12">ROUND(H27*G27,2)</f>
        <v>0</v>
      </c>
      <c r="L27" s="61">
        <f t="shared" ref="L27:L29" si="13">ROUND(G27*I27,2)</f>
        <v>0</v>
      </c>
      <c r="M27" s="70">
        <f t="shared" ref="M27:M29" si="14">ROUND(G27*J27,2)</f>
        <v>0</v>
      </c>
      <c r="N27" s="71">
        <f t="shared" ref="N27:N29" si="15">SUM(K27:M27)</f>
        <v>0</v>
      </c>
      <c r="O27" s="63"/>
      <c r="Q27" s="65" t="s">
        <v>61</v>
      </c>
      <c r="R27" s="65"/>
      <c r="S27" s="65"/>
      <c r="T27" s="65"/>
      <c r="U27" s="66"/>
      <c r="V27" s="65"/>
      <c r="W27" s="65"/>
      <c r="X27" s="85"/>
      <c r="Y27" s="80">
        <v>127498</v>
      </c>
      <c r="Z27" s="65"/>
      <c r="AA27" s="65"/>
      <c r="AB27" s="65"/>
      <c r="AC27" s="65"/>
    </row>
    <row r="28" spans="2:29" ht="15.75" x14ac:dyDescent="0.25">
      <c r="B28" s="58" t="s">
        <v>88</v>
      </c>
      <c r="C28" s="32" t="s">
        <v>74</v>
      </c>
      <c r="D28" s="10">
        <v>3</v>
      </c>
      <c r="E28" s="20" t="s">
        <v>78</v>
      </c>
      <c r="F28" s="20" t="s">
        <v>87</v>
      </c>
      <c r="G28" s="80">
        <v>0</v>
      </c>
      <c r="H28" s="76">
        <f t="shared" si="10"/>
        <v>0.25052999999999997</v>
      </c>
      <c r="I28" s="76">
        <f>$I$18</f>
        <v>0.15223</v>
      </c>
      <c r="J28" s="76">
        <f t="shared" si="11"/>
        <v>0.14282</v>
      </c>
      <c r="K28" s="61">
        <f t="shared" si="12"/>
        <v>0</v>
      </c>
      <c r="L28" s="61">
        <f t="shared" si="13"/>
        <v>0</v>
      </c>
      <c r="M28" s="70">
        <f t="shared" si="14"/>
        <v>0</v>
      </c>
      <c r="N28" s="71">
        <f t="shared" si="15"/>
        <v>0</v>
      </c>
      <c r="O28" s="63"/>
      <c r="Q28" s="5"/>
      <c r="R28" s="5">
        <v>128505.68</v>
      </c>
      <c r="S28" s="5"/>
      <c r="T28" s="5"/>
      <c r="U28" s="66">
        <v>17959.87</v>
      </c>
      <c r="V28" s="5"/>
      <c r="W28" s="5"/>
      <c r="X28" s="86"/>
      <c r="Z28" s="5"/>
      <c r="AA28" s="5"/>
      <c r="AB28" s="5"/>
      <c r="AC28" s="5"/>
    </row>
    <row r="29" spans="2:29" x14ac:dyDescent="0.2">
      <c r="B29" s="58" t="s">
        <v>88</v>
      </c>
      <c r="C29" s="32" t="s">
        <v>75</v>
      </c>
      <c r="D29" s="10">
        <v>3</v>
      </c>
      <c r="E29" s="20" t="s">
        <v>78</v>
      </c>
      <c r="F29" s="20" t="s">
        <v>87</v>
      </c>
      <c r="G29" s="87">
        <f>+Y26</f>
        <v>0</v>
      </c>
      <c r="H29" s="76">
        <f t="shared" si="10"/>
        <v>0.25052999999999997</v>
      </c>
      <c r="I29" s="76">
        <f>$I$18</f>
        <v>0.15223</v>
      </c>
      <c r="J29" s="76">
        <f t="shared" si="11"/>
        <v>0.14282</v>
      </c>
      <c r="K29" s="61">
        <f t="shared" si="12"/>
        <v>0</v>
      </c>
      <c r="L29" s="61">
        <f t="shared" si="13"/>
        <v>0</v>
      </c>
      <c r="M29" s="70">
        <f t="shared" si="14"/>
        <v>0</v>
      </c>
      <c r="N29" s="71">
        <f t="shared" si="15"/>
        <v>0</v>
      </c>
      <c r="O29" s="61"/>
      <c r="Q29" s="5"/>
      <c r="R29" s="5">
        <v>97.86</v>
      </c>
      <c r="S29" s="5"/>
      <c r="T29" s="5"/>
      <c r="U29" s="66">
        <v>10.64</v>
      </c>
      <c r="V29" s="5"/>
      <c r="W29" s="5"/>
      <c r="X29" s="86"/>
      <c r="Y29" s="88"/>
      <c r="Z29" s="5"/>
      <c r="AA29" s="5"/>
      <c r="AB29" s="5"/>
      <c r="AC29" s="5"/>
    </row>
    <row r="30" spans="2:29" ht="12.2" customHeight="1" x14ac:dyDescent="0.2">
      <c r="B30" s="58"/>
      <c r="D30" s="10"/>
      <c r="G30" s="59">
        <v>0</v>
      </c>
      <c r="H30" s="76"/>
      <c r="I30" s="76"/>
      <c r="J30" s="76"/>
      <c r="K30" s="61"/>
      <c r="L30" s="61"/>
      <c r="M30" s="70"/>
      <c r="N30" s="71"/>
      <c r="O30" s="61"/>
      <c r="Q30" s="5"/>
      <c r="R30" s="5"/>
      <c r="S30" s="5"/>
      <c r="T30" s="5"/>
      <c r="U30" s="66"/>
      <c r="V30" s="5"/>
      <c r="W30" s="5"/>
      <c r="X30" s="86"/>
      <c r="Y30" s="88"/>
      <c r="Z30" s="5"/>
      <c r="AA30" s="5"/>
      <c r="AB30" s="5"/>
      <c r="AC30" s="5"/>
    </row>
    <row r="31" spans="2:29" x14ac:dyDescent="0.2">
      <c r="B31" s="58" t="s">
        <v>85</v>
      </c>
      <c r="C31" s="32" t="s">
        <v>89</v>
      </c>
      <c r="D31" s="10" t="s">
        <v>17</v>
      </c>
      <c r="E31" s="20" t="s">
        <v>90</v>
      </c>
      <c r="F31" s="20" t="s">
        <v>91</v>
      </c>
      <c r="H31" s="76">
        <f t="shared" ref="H31:H33" si="16">$H$10</f>
        <v>0.25052999999999997</v>
      </c>
      <c r="I31" s="69">
        <v>0.13988999999999999</v>
      </c>
      <c r="J31" s="76">
        <f t="shared" ref="J31:J33" si="17">+$J$10</f>
        <v>0.14282</v>
      </c>
      <c r="K31" s="61">
        <f>ROUND(H31*G30,2)</f>
        <v>0</v>
      </c>
      <c r="L31" s="61">
        <f>ROUND(G30*I31,2)</f>
        <v>0</v>
      </c>
      <c r="M31" s="70">
        <f>ROUND(G30*J31,2)</f>
        <v>0</v>
      </c>
      <c r="N31" s="71">
        <f>SUM(K31:M31)</f>
        <v>0</v>
      </c>
      <c r="Q31" s="5"/>
      <c r="R31" s="5"/>
      <c r="S31" s="5"/>
      <c r="T31" s="5"/>
      <c r="U31" s="66"/>
      <c r="V31" s="5"/>
      <c r="W31" s="5"/>
      <c r="X31" s="86"/>
      <c r="Y31" s="88"/>
      <c r="Z31" s="5"/>
      <c r="AA31" s="5"/>
      <c r="AB31" s="5"/>
      <c r="AC31" s="5"/>
    </row>
    <row r="32" spans="2:29" x14ac:dyDescent="0.2">
      <c r="B32" s="58" t="s">
        <v>88</v>
      </c>
      <c r="C32" s="32" t="s">
        <v>74</v>
      </c>
      <c r="D32" s="10">
        <v>4</v>
      </c>
      <c r="E32" s="20" t="s">
        <v>90</v>
      </c>
      <c r="F32" s="20" t="s">
        <v>91</v>
      </c>
      <c r="G32" s="87">
        <v>0</v>
      </c>
      <c r="H32" s="76">
        <f t="shared" si="16"/>
        <v>0.25052999999999997</v>
      </c>
      <c r="I32" s="76">
        <f>$I$31</f>
        <v>0.13988999999999999</v>
      </c>
      <c r="J32" s="76">
        <f t="shared" si="17"/>
        <v>0.14282</v>
      </c>
      <c r="K32" s="61">
        <f>ROUND(H32*G32,2)</f>
        <v>0</v>
      </c>
      <c r="L32" s="61">
        <f>ROUND(G32*I32,2)</f>
        <v>0</v>
      </c>
      <c r="M32" s="70">
        <f>ROUND(G32*J32,2)</f>
        <v>0</v>
      </c>
      <c r="N32" s="71">
        <f>SUM(K32:M32)</f>
        <v>0</v>
      </c>
      <c r="O32" s="61">
        <f>-N32-80.06</f>
        <v>-80.06</v>
      </c>
      <c r="Q32" s="5"/>
      <c r="R32" s="5">
        <v>18307.25</v>
      </c>
      <c r="S32" s="5"/>
      <c r="T32" s="5"/>
      <c r="U32" s="66">
        <v>1859.59</v>
      </c>
      <c r="V32" s="5"/>
      <c r="W32" s="5"/>
      <c r="X32" s="86"/>
      <c r="Y32" s="88"/>
      <c r="Z32" s="5"/>
      <c r="AA32" s="5"/>
      <c r="AB32" s="5"/>
      <c r="AC32" s="5"/>
    </row>
    <row r="33" spans="2:38" x14ac:dyDescent="0.2">
      <c r="B33" s="58" t="s">
        <v>88</v>
      </c>
      <c r="C33" s="32" t="s">
        <v>92</v>
      </c>
      <c r="D33" s="10">
        <v>4</v>
      </c>
      <c r="E33" s="20" t="s">
        <v>90</v>
      </c>
      <c r="F33" s="20" t="s">
        <v>91</v>
      </c>
      <c r="G33" s="87">
        <v>0</v>
      </c>
      <c r="H33" s="76">
        <f t="shared" si="16"/>
        <v>0.25052999999999997</v>
      </c>
      <c r="I33" s="76">
        <f>$I$31</f>
        <v>0.13988999999999999</v>
      </c>
      <c r="J33" s="76">
        <f t="shared" si="17"/>
        <v>0.14282</v>
      </c>
      <c r="K33" s="61">
        <f>ROUND(H33*G33,2)</f>
        <v>0</v>
      </c>
      <c r="L33" s="61">
        <f>ROUND(G33*I33,2)</f>
        <v>0</v>
      </c>
      <c r="M33" s="70">
        <f>ROUND(G33*J33,2)</f>
        <v>0</v>
      </c>
      <c r="N33" s="71">
        <f>SUM(K33:M33)</f>
        <v>0</v>
      </c>
      <c r="O33" s="61"/>
      <c r="Q33" s="5"/>
      <c r="R33" s="5"/>
      <c r="S33" s="5"/>
      <c r="T33" s="5"/>
      <c r="U33" s="66"/>
      <c r="V33" s="5"/>
      <c r="W33" s="5"/>
      <c r="X33" s="86"/>
      <c r="Y33" s="88"/>
      <c r="Z33" s="5"/>
      <c r="AA33" s="5"/>
      <c r="AB33" s="5"/>
      <c r="AC33" s="5"/>
    </row>
    <row r="34" spans="2:38" ht="12.2" customHeight="1" x14ac:dyDescent="0.2">
      <c r="B34" s="58"/>
      <c r="D34" s="10"/>
      <c r="G34" s="59"/>
      <c r="H34" s="76"/>
      <c r="I34" s="76"/>
      <c r="J34" s="76"/>
      <c r="M34" s="70"/>
      <c r="N34" s="91"/>
      <c r="Q34" s="5"/>
      <c r="R34" s="5"/>
      <c r="S34" s="5"/>
      <c r="T34" s="5"/>
      <c r="U34" s="5"/>
      <c r="V34" s="5"/>
      <c r="W34" s="5"/>
      <c r="X34" s="86"/>
      <c r="Y34" s="88"/>
      <c r="Z34" s="5"/>
      <c r="AA34" s="5"/>
      <c r="AB34" s="5"/>
      <c r="AC34" s="5"/>
    </row>
    <row r="35" spans="2:38" ht="15.75" x14ac:dyDescent="0.25">
      <c r="B35" s="58" t="s">
        <v>93</v>
      </c>
      <c r="C35" s="32" t="s">
        <v>94</v>
      </c>
      <c r="D35" s="10" t="s">
        <v>26</v>
      </c>
      <c r="E35" s="20" t="s">
        <v>90</v>
      </c>
      <c r="F35" s="20" t="s">
        <v>91</v>
      </c>
      <c r="G35" s="68">
        <f>+Y18</f>
        <v>103033</v>
      </c>
      <c r="H35" s="76">
        <f t="shared" ref="H35:H37" si="18">$H$10</f>
        <v>0.25052999999999997</v>
      </c>
      <c r="I35" s="76">
        <f t="shared" ref="I35:I37" si="19">$I$31</f>
        <v>0.13988999999999999</v>
      </c>
      <c r="J35" s="76">
        <f t="shared" ref="J35:J37" si="20">+$J$10</f>
        <v>0.14282</v>
      </c>
      <c r="K35" s="61">
        <f t="shared" ref="K35:K37" si="21">ROUND(H35*G35,2)</f>
        <v>25812.86</v>
      </c>
      <c r="L35" s="61">
        <f t="shared" ref="L35:L37" si="22">ROUND(G35*I35,2)</f>
        <v>14413.29</v>
      </c>
      <c r="M35" s="70">
        <f t="shared" ref="M35:M37" si="23">ROUND(G35*J35,2)</f>
        <v>14715.17</v>
      </c>
      <c r="N35" s="71">
        <f>SUM(K35:M35)</f>
        <v>54941.32</v>
      </c>
      <c r="O35" s="61">
        <v>0.01</v>
      </c>
      <c r="Q35" s="5"/>
      <c r="R35" s="5"/>
      <c r="S35" s="5"/>
      <c r="T35" s="5"/>
      <c r="U35" s="5"/>
      <c r="V35" s="5"/>
      <c r="W35" s="5"/>
      <c r="X35" s="86"/>
      <c r="Y35" s="88"/>
      <c r="Z35" s="5"/>
      <c r="AA35" s="5"/>
      <c r="AB35" s="5"/>
      <c r="AC35" s="5"/>
    </row>
    <row r="36" spans="2:38" ht="15.75" x14ac:dyDescent="0.25">
      <c r="B36" s="58" t="s">
        <v>93</v>
      </c>
      <c r="C36" s="32" t="s">
        <v>74</v>
      </c>
      <c r="D36" s="10">
        <v>5</v>
      </c>
      <c r="E36" s="20" t="s">
        <v>90</v>
      </c>
      <c r="F36" s="20" t="s">
        <v>91</v>
      </c>
      <c r="G36" s="80">
        <v>-103033</v>
      </c>
      <c r="H36" s="76">
        <f t="shared" si="18"/>
        <v>0.25052999999999997</v>
      </c>
      <c r="I36" s="76">
        <f t="shared" si="19"/>
        <v>0.13988999999999999</v>
      </c>
      <c r="J36" s="76">
        <f t="shared" si="20"/>
        <v>0.14282</v>
      </c>
      <c r="K36" s="61">
        <f t="shared" si="21"/>
        <v>-25812.86</v>
      </c>
      <c r="L36" s="61">
        <f t="shared" si="22"/>
        <v>-14413.29</v>
      </c>
      <c r="M36" s="70">
        <f t="shared" si="23"/>
        <v>-14715.17</v>
      </c>
      <c r="N36" s="71">
        <f t="shared" ref="N36:N37" si="24">SUM(K36:M36)</f>
        <v>-54941.32</v>
      </c>
      <c r="O36" s="61"/>
      <c r="Q36" s="5"/>
      <c r="R36" s="5"/>
      <c r="S36" s="5"/>
      <c r="T36" s="5"/>
      <c r="U36" s="5"/>
      <c r="V36" s="5"/>
      <c r="W36" s="5"/>
      <c r="X36" s="86"/>
      <c r="Y36" s="88"/>
      <c r="Z36" s="5"/>
      <c r="AA36" s="5"/>
      <c r="AB36" s="5"/>
      <c r="AC36" s="5"/>
    </row>
    <row r="37" spans="2:38" ht="15.75" x14ac:dyDescent="0.25">
      <c r="B37" s="58" t="s">
        <v>93</v>
      </c>
      <c r="C37" s="32" t="s">
        <v>75</v>
      </c>
      <c r="D37" s="10">
        <v>5</v>
      </c>
      <c r="E37" s="20" t="s">
        <v>90</v>
      </c>
      <c r="F37" s="20" t="s">
        <v>91</v>
      </c>
      <c r="G37" s="80">
        <f>+Y27</f>
        <v>127498</v>
      </c>
      <c r="H37" s="76">
        <f t="shared" si="18"/>
        <v>0.25052999999999997</v>
      </c>
      <c r="I37" s="76">
        <f t="shared" si="19"/>
        <v>0.13988999999999999</v>
      </c>
      <c r="J37" s="76">
        <f t="shared" si="20"/>
        <v>0.14282</v>
      </c>
      <c r="K37" s="61">
        <f t="shared" si="21"/>
        <v>31942.07</v>
      </c>
      <c r="L37" s="61">
        <f t="shared" si="22"/>
        <v>17835.7</v>
      </c>
      <c r="M37" s="70">
        <f t="shared" si="23"/>
        <v>18209.259999999998</v>
      </c>
      <c r="N37" s="71">
        <f t="shared" si="24"/>
        <v>67987.03</v>
      </c>
      <c r="O37" s="61"/>
      <c r="Q37" s="5"/>
      <c r="R37" s="5"/>
      <c r="S37" s="5"/>
      <c r="T37" s="5"/>
      <c r="U37" s="5"/>
      <c r="V37" s="5"/>
      <c r="W37" s="5"/>
      <c r="X37" s="86"/>
      <c r="Y37" s="88"/>
      <c r="Z37" s="5"/>
      <c r="AA37" s="5"/>
      <c r="AB37" s="5"/>
      <c r="AC37" s="5"/>
    </row>
    <row r="38" spans="2:38" ht="12.2" customHeight="1" x14ac:dyDescent="0.2">
      <c r="B38" s="58"/>
      <c r="D38" s="10"/>
      <c r="G38" s="92"/>
      <c r="J38" s="93"/>
      <c r="K38" s="61"/>
      <c r="L38" s="61"/>
      <c r="M38" s="70"/>
      <c r="N38" s="61"/>
      <c r="O38" s="61"/>
    </row>
    <row r="39" spans="2:38" ht="15.75" x14ac:dyDescent="0.25">
      <c r="B39" s="94"/>
      <c r="D39" s="95"/>
      <c r="E39" s="96"/>
      <c r="F39" s="20" t="s">
        <v>95</v>
      </c>
      <c r="G39" s="97">
        <f>SUM(G9:G38)</f>
        <v>9031978</v>
      </c>
      <c r="H39" s="98" t="s">
        <v>96</v>
      </c>
      <c r="K39" s="99">
        <f>SUM(K9:K38)</f>
        <v>2262781.44</v>
      </c>
      <c r="L39" s="100">
        <f>SUM(L9:L38)</f>
        <v>1478738.05</v>
      </c>
      <c r="M39" s="101">
        <f>SUM(M9:M38)</f>
        <v>1019730.0899999999</v>
      </c>
      <c r="N39" s="102">
        <f>SUM(N9:N38)</f>
        <v>4761249.58</v>
      </c>
      <c r="O39" s="103">
        <v>0.03</v>
      </c>
      <c r="Q39" s="102"/>
      <c r="R39" s="102"/>
      <c r="S39" s="102"/>
      <c r="T39" s="102"/>
      <c r="U39" s="102"/>
      <c r="V39" s="102"/>
      <c r="W39" s="102"/>
      <c r="X39" s="104"/>
      <c r="Y39" s="105"/>
      <c r="Z39" s="102"/>
      <c r="AA39" s="102"/>
      <c r="AB39" s="102"/>
      <c r="AC39" s="102"/>
    </row>
    <row r="40" spans="2:38" ht="15.75" x14ac:dyDescent="0.25">
      <c r="C40" s="4"/>
      <c r="D40" s="95"/>
      <c r="F40" s="20" t="s">
        <v>97</v>
      </c>
      <c r="G40" s="97"/>
      <c r="K40" s="102" t="s">
        <v>98</v>
      </c>
      <c r="L40" s="102" t="s">
        <v>98</v>
      </c>
      <c r="M40" s="106"/>
      <c r="N40" s="102"/>
      <c r="O40" s="102"/>
      <c r="Q40" s="102">
        <f>-N39</f>
        <v>-4761249.58</v>
      </c>
      <c r="R40" s="102"/>
      <c r="S40" s="102"/>
      <c r="T40" s="102"/>
      <c r="U40" s="102"/>
      <c r="V40" s="102"/>
      <c r="W40" s="102"/>
      <c r="X40" s="104"/>
      <c r="Y40" s="105"/>
      <c r="Z40" s="102"/>
      <c r="AA40" s="102"/>
      <c r="AB40" s="102"/>
      <c r="AC40" s="102"/>
    </row>
    <row r="41" spans="2:38" ht="15.75" x14ac:dyDescent="0.25">
      <c r="F41" s="107" t="s">
        <v>99</v>
      </c>
      <c r="G41" s="108">
        <f>+G39+G40</f>
        <v>9031978</v>
      </c>
      <c r="H41" s="109"/>
      <c r="I41" s="109"/>
      <c r="K41" s="102">
        <f>SUM(K39:K40)</f>
        <v>2262781.44</v>
      </c>
      <c r="L41" s="102">
        <f>SUM(L39:L40)</f>
        <v>1478738.05</v>
      </c>
      <c r="M41" s="102">
        <f>SUM(M39:M40)</f>
        <v>1019730.0899999999</v>
      </c>
      <c r="N41" s="102">
        <f>SUM(N39:N40)</f>
        <v>4761249.58</v>
      </c>
      <c r="O41" s="102"/>
      <c r="P41" s="61"/>
      <c r="Q41" s="110"/>
      <c r="R41" s="110"/>
      <c r="S41" s="110"/>
      <c r="T41" s="110"/>
      <c r="U41" s="110"/>
      <c r="V41" s="110"/>
      <c r="W41" s="110"/>
      <c r="X41" s="111"/>
      <c r="Y41" s="112"/>
      <c r="Z41" s="110"/>
      <c r="AA41" s="110"/>
      <c r="AB41" s="110"/>
      <c r="AC41" s="110"/>
    </row>
    <row r="42" spans="2:38" ht="21.75" customHeight="1" x14ac:dyDescent="0.2">
      <c r="G42" s="113" t="s">
        <v>100</v>
      </c>
      <c r="K42" s="102"/>
      <c r="L42" s="114"/>
      <c r="M42" s="102"/>
      <c r="N42" s="102"/>
      <c r="O42" s="102"/>
    </row>
    <row r="43" spans="2:38" ht="21.75" customHeight="1" x14ac:dyDescent="0.2">
      <c r="G43" s="115" t="s">
        <v>101</v>
      </c>
      <c r="H43" s="109"/>
      <c r="L43" s="104"/>
      <c r="M43" s="61"/>
      <c r="N43" s="61"/>
      <c r="O43" s="61"/>
    </row>
    <row r="44" spans="2:38" x14ac:dyDescent="0.2">
      <c r="H44" s="109"/>
      <c r="L44" s="116"/>
      <c r="N44" s="114"/>
      <c r="O44" s="114"/>
    </row>
    <row r="45" spans="2:38" x14ac:dyDescent="0.2">
      <c r="F45" s="20" t="s">
        <v>102</v>
      </c>
      <c r="L45" s="117"/>
      <c r="N45" s="118"/>
      <c r="O45" s="118"/>
    </row>
    <row r="46" spans="2:38" x14ac:dyDescent="0.2">
      <c r="L46" s="117"/>
      <c r="M46" s="119"/>
      <c r="AD46" s="120"/>
      <c r="AE46" s="3" t="s">
        <v>103</v>
      </c>
      <c r="AF46" s="3" t="s">
        <v>104</v>
      </c>
      <c r="AG46" s="3" t="s">
        <v>105</v>
      </c>
      <c r="AH46" s="121" t="s">
        <v>0</v>
      </c>
      <c r="AI46" s="3" t="s">
        <v>106</v>
      </c>
      <c r="AJ46" s="3" t="s">
        <v>107</v>
      </c>
      <c r="AK46" s="3" t="s">
        <v>108</v>
      </c>
      <c r="AL46" s="3" t="s">
        <v>109</v>
      </c>
    </row>
    <row r="47" spans="2:38" x14ac:dyDescent="0.2">
      <c r="L47" s="117"/>
      <c r="M47" s="119"/>
      <c r="N47" s="114"/>
      <c r="O47" s="114"/>
      <c r="AD47" s="39"/>
      <c r="AE47" t="s">
        <v>110</v>
      </c>
      <c r="AH47" s="39">
        <v>0</v>
      </c>
      <c r="AL47" t="s">
        <v>111</v>
      </c>
    </row>
    <row r="48" spans="2:38" x14ac:dyDescent="0.2">
      <c r="L48" s="117"/>
      <c r="M48" s="119"/>
      <c r="N48" s="61"/>
      <c r="O48" s="61"/>
      <c r="AD48" s="39"/>
      <c r="AE48" t="s">
        <v>110</v>
      </c>
      <c r="AH48" s="39">
        <v>0</v>
      </c>
      <c r="AL48" t="s">
        <v>112</v>
      </c>
    </row>
    <row r="49" spans="2:38" x14ac:dyDescent="0.2">
      <c r="L49" s="117"/>
      <c r="M49" s="119"/>
      <c r="N49" s="61"/>
      <c r="O49" s="61"/>
      <c r="AD49" s="39"/>
      <c r="AE49" t="s">
        <v>110</v>
      </c>
      <c r="AH49" s="39">
        <v>0</v>
      </c>
      <c r="AL49" t="s">
        <v>112</v>
      </c>
    </row>
    <row r="50" spans="2:38" x14ac:dyDescent="0.2">
      <c r="L50" s="117"/>
      <c r="M50" s="61"/>
      <c r="N50" s="119"/>
      <c r="O50" s="119"/>
      <c r="AD50" s="39"/>
      <c r="AE50" t="s">
        <v>110</v>
      </c>
      <c r="AH50" s="39">
        <v>0</v>
      </c>
      <c r="AL50" t="s">
        <v>112</v>
      </c>
    </row>
    <row r="51" spans="2:38" x14ac:dyDescent="0.2">
      <c r="L51" s="122"/>
      <c r="N51" s="123"/>
      <c r="O51" s="123"/>
      <c r="AD51" s="39"/>
      <c r="AH51" s="39"/>
    </row>
    <row r="52" spans="2:38" x14ac:dyDescent="0.2">
      <c r="L52" s="116"/>
      <c r="N52" s="124"/>
      <c r="O52" s="124"/>
      <c r="AD52" s="39"/>
      <c r="AE52" t="s">
        <v>110</v>
      </c>
      <c r="AH52" s="39">
        <v>0</v>
      </c>
      <c r="AL52" t="s">
        <v>113</v>
      </c>
    </row>
    <row r="53" spans="2:38" x14ac:dyDescent="0.2">
      <c r="AD53" s="39"/>
      <c r="AE53" t="s">
        <v>110</v>
      </c>
      <c r="AH53" s="39">
        <v>0</v>
      </c>
      <c r="AL53" t="s">
        <v>113</v>
      </c>
    </row>
    <row r="54" spans="2:38" x14ac:dyDescent="0.2">
      <c r="AD54" s="39"/>
      <c r="AE54" t="s">
        <v>110</v>
      </c>
      <c r="AH54" s="39">
        <v>0</v>
      </c>
      <c r="AL54" t="s">
        <v>113</v>
      </c>
    </row>
    <row r="55" spans="2:38" x14ac:dyDescent="0.2">
      <c r="AD55" s="39"/>
      <c r="AH55" s="39"/>
    </row>
    <row r="56" spans="2:38" x14ac:dyDescent="0.2">
      <c r="AD56" s="39"/>
      <c r="AE56" t="s">
        <v>110</v>
      </c>
      <c r="AH56" s="39">
        <v>0</v>
      </c>
      <c r="AL56" t="s">
        <v>114</v>
      </c>
    </row>
    <row r="57" spans="2:38" x14ac:dyDescent="0.2">
      <c r="AD57" s="125"/>
      <c r="AE57" t="s">
        <v>110</v>
      </c>
      <c r="AH57" s="39">
        <v>0</v>
      </c>
      <c r="AL57" t="s">
        <v>115</v>
      </c>
    </row>
    <row r="58" spans="2:38" x14ac:dyDescent="0.2">
      <c r="AD58" s="125"/>
      <c r="AE58" t="s">
        <v>110</v>
      </c>
      <c r="AH58" s="39">
        <v>0</v>
      </c>
      <c r="AL58" t="s">
        <v>116</v>
      </c>
    </row>
    <row r="59" spans="2:38" x14ac:dyDescent="0.2">
      <c r="AD59" s="39"/>
      <c r="AE59" t="s">
        <v>110</v>
      </c>
      <c r="AH59" s="39">
        <v>0</v>
      </c>
      <c r="AL59" t="s">
        <v>114</v>
      </c>
    </row>
    <row r="60" spans="2:38" x14ac:dyDescent="0.2">
      <c r="AD60" s="39"/>
      <c r="AH60" s="39"/>
    </row>
    <row r="61" spans="2:38" x14ac:dyDescent="0.2">
      <c r="AD61" s="126"/>
      <c r="AE61" t="s">
        <v>110</v>
      </c>
      <c r="AH61" s="39">
        <v>0</v>
      </c>
      <c r="AL61" t="s">
        <v>114</v>
      </c>
    </row>
    <row r="62" spans="2:38" x14ac:dyDescent="0.2">
      <c r="AD62" s="126"/>
      <c r="AE62" t="s">
        <v>110</v>
      </c>
      <c r="AH62" s="39">
        <v>0</v>
      </c>
      <c r="AL62" t="s">
        <v>114</v>
      </c>
    </row>
    <row r="63" spans="2:38" x14ac:dyDescent="0.2">
      <c r="AD63" s="126"/>
      <c r="AH63" s="39"/>
    </row>
    <row r="64" spans="2:38" s="90" customFormat="1" x14ac:dyDescent="0.2">
      <c r="B64" s="4"/>
      <c r="C64" s="32"/>
      <c r="D64" s="20"/>
      <c r="E64" s="20"/>
      <c r="F64" s="20"/>
      <c r="G64" s="89"/>
      <c r="P64"/>
      <c r="Q64"/>
      <c r="R64"/>
      <c r="S64"/>
      <c r="T64"/>
      <c r="U64"/>
      <c r="V64"/>
      <c r="W64"/>
      <c r="X64" s="18"/>
      <c r="Y64" s="8"/>
      <c r="Z64"/>
      <c r="AA64"/>
      <c r="AB64"/>
      <c r="AC64"/>
      <c r="AD64" s="125"/>
      <c r="AE64" t="s">
        <v>110</v>
      </c>
      <c r="AF64"/>
      <c r="AG64"/>
      <c r="AH64" s="39">
        <v>0</v>
      </c>
      <c r="AI64"/>
      <c r="AJ64"/>
      <c r="AK64"/>
      <c r="AL64" t="s">
        <v>117</v>
      </c>
    </row>
    <row r="65" spans="30:38" ht="12.75" x14ac:dyDescent="0.2">
      <c r="AD65" s="125"/>
      <c r="AE65" t="s">
        <v>110</v>
      </c>
      <c r="AH65" s="39">
        <v>0</v>
      </c>
      <c r="AL65" t="s">
        <v>118</v>
      </c>
    </row>
    <row r="66" spans="30:38" ht="12.75" x14ac:dyDescent="0.2">
      <c r="AD66" s="39"/>
      <c r="AE66" t="s">
        <v>110</v>
      </c>
      <c r="AH66" s="39">
        <v>0</v>
      </c>
      <c r="AL66" t="s">
        <v>119</v>
      </c>
    </row>
    <row r="67" spans="30:38" ht="12.75" x14ac:dyDescent="0.2">
      <c r="AD67" s="39"/>
      <c r="AH67" s="39"/>
    </row>
    <row r="68" spans="30:38" ht="12.75" x14ac:dyDescent="0.2">
      <c r="AD68" s="125"/>
      <c r="AE68" t="s">
        <v>110</v>
      </c>
      <c r="AH68" s="39">
        <v>0</v>
      </c>
      <c r="AL68" t="s">
        <v>117</v>
      </c>
    </row>
    <row r="69" spans="30:38" ht="12.75" x14ac:dyDescent="0.2">
      <c r="AD69" s="126"/>
      <c r="AE69" t="s">
        <v>110</v>
      </c>
      <c r="AH69" s="39">
        <v>0</v>
      </c>
      <c r="AL69" t="s">
        <v>117</v>
      </c>
    </row>
    <row r="70" spans="30:38" ht="12.75" x14ac:dyDescent="0.2">
      <c r="AD70" s="126"/>
      <c r="AE70" t="s">
        <v>110</v>
      </c>
      <c r="AH70" s="39">
        <v>0</v>
      </c>
      <c r="AL70" t="s">
        <v>117</v>
      </c>
    </row>
    <row r="71" spans="30:38" ht="12.75" x14ac:dyDescent="0.2">
      <c r="AD71" s="125"/>
      <c r="AH71" s="39"/>
    </row>
    <row r="72" spans="30:38" ht="12.75" x14ac:dyDescent="0.2">
      <c r="AD72" s="39"/>
      <c r="AE72" t="s">
        <v>110</v>
      </c>
      <c r="AH72" s="39">
        <v>0</v>
      </c>
      <c r="AL72" t="s">
        <v>120</v>
      </c>
    </row>
    <row r="73" spans="30:38" ht="12.75" x14ac:dyDescent="0.2">
      <c r="AD73" s="126"/>
      <c r="AE73" t="s">
        <v>110</v>
      </c>
      <c r="AH73" s="39">
        <v>0</v>
      </c>
      <c r="AL73" t="s">
        <v>121</v>
      </c>
    </row>
    <row r="74" spans="30:38" ht="12.75" x14ac:dyDescent="0.2">
      <c r="AD74" s="126"/>
      <c r="AE74" t="s">
        <v>110</v>
      </c>
      <c r="AH74" s="39">
        <v>0</v>
      </c>
      <c r="AL74" t="s">
        <v>121</v>
      </c>
    </row>
    <row r="75" spans="30:38" ht="12.75" x14ac:dyDescent="0.2">
      <c r="AD75" s="39"/>
      <c r="AH75" s="39"/>
    </row>
    <row r="76" spans="30:38" ht="12.75" x14ac:dyDescent="0.2">
      <c r="AD76" s="39"/>
      <c r="AE76" t="s">
        <v>110</v>
      </c>
      <c r="AH76" s="39">
        <v>0</v>
      </c>
      <c r="AL76" t="s">
        <v>121</v>
      </c>
    </row>
    <row r="77" spans="30:38" ht="12.75" x14ac:dyDescent="0.2">
      <c r="AD77" s="126"/>
      <c r="AE77" t="s">
        <v>110</v>
      </c>
      <c r="AH77" s="39">
        <v>0</v>
      </c>
      <c r="AL77" t="s">
        <v>120</v>
      </c>
    </row>
    <row r="78" spans="30:38" ht="12.75" x14ac:dyDescent="0.2">
      <c r="AD78" s="126"/>
      <c r="AE78" t="s">
        <v>110</v>
      </c>
      <c r="AH78" s="39">
        <v>0</v>
      </c>
      <c r="AL78" t="s">
        <v>120</v>
      </c>
    </row>
    <row r="79" spans="30:38" ht="12.75" x14ac:dyDescent="0.2">
      <c r="AD79" s="39"/>
      <c r="AE79" t="s">
        <v>110</v>
      </c>
      <c r="AH79" s="39">
        <v>0</v>
      </c>
      <c r="AL79" t="s">
        <v>122</v>
      </c>
    </row>
    <row r="80" spans="30:38" ht="12.75" x14ac:dyDescent="0.2">
      <c r="AD80" s="126"/>
      <c r="AE80" t="s">
        <v>110</v>
      </c>
      <c r="AH80" s="39">
        <v>0</v>
      </c>
      <c r="AL80" t="s">
        <v>120</v>
      </c>
    </row>
    <row r="81" spans="30:38" ht="12.75" x14ac:dyDescent="0.2">
      <c r="AD81" s="126"/>
      <c r="AE81" t="s">
        <v>110</v>
      </c>
      <c r="AH81" s="39">
        <v>0</v>
      </c>
      <c r="AL81" t="s">
        <v>120</v>
      </c>
    </row>
    <row r="82" spans="30:38" ht="12.75" x14ac:dyDescent="0.2">
      <c r="AD82" s="126"/>
      <c r="AH82" s="39"/>
    </row>
    <row r="83" spans="30:38" ht="12.75" x14ac:dyDescent="0.2">
      <c r="AD83" s="39"/>
      <c r="AE83" t="s">
        <v>110</v>
      </c>
      <c r="AH83" s="39">
        <v>0</v>
      </c>
      <c r="AL83" t="s">
        <v>123</v>
      </c>
    </row>
    <row r="84" spans="30:38" ht="12.75" x14ac:dyDescent="0.2">
      <c r="AD84" s="39"/>
      <c r="AH84" s="39"/>
    </row>
    <row r="85" spans="30:38" ht="12.75" x14ac:dyDescent="0.2">
      <c r="AD85" s="39"/>
      <c r="AH85" s="39"/>
    </row>
    <row r="86" spans="30:38" ht="12.75" x14ac:dyDescent="0.2">
      <c r="AD86" s="4" t="s">
        <v>124</v>
      </c>
      <c r="AE86" t="s">
        <v>110</v>
      </c>
      <c r="AH86" s="39">
        <v>0</v>
      </c>
      <c r="AL86" t="s">
        <v>125</v>
      </c>
    </row>
    <row r="99" spans="2:29" x14ac:dyDescent="0.2">
      <c r="B99" s="11"/>
      <c r="D99" s="95"/>
    </row>
    <row r="100" spans="2:29" x14ac:dyDescent="0.2">
      <c r="B100" s="11"/>
      <c r="D100" s="95"/>
      <c r="Q100" s="116"/>
      <c r="R100" s="116"/>
      <c r="S100" s="116"/>
      <c r="T100" s="116"/>
      <c r="U100" s="116"/>
      <c r="V100" s="116"/>
      <c r="W100" s="116"/>
      <c r="X100" s="116"/>
      <c r="Y100" s="127"/>
      <c r="Z100" s="116"/>
      <c r="AA100" s="116"/>
      <c r="AB100" s="116"/>
      <c r="AC100" s="116"/>
    </row>
    <row r="101" spans="2:29" x14ac:dyDescent="0.2">
      <c r="Q101" s="116"/>
      <c r="R101" s="116"/>
      <c r="S101" s="116"/>
      <c r="T101" s="116"/>
      <c r="U101" s="116"/>
      <c r="V101" s="116"/>
      <c r="W101" s="116"/>
      <c r="X101" s="116"/>
      <c r="Y101" s="127"/>
      <c r="Z101" s="116"/>
      <c r="AA101" s="116"/>
      <c r="AB101" s="116"/>
      <c r="AC101" s="116"/>
    </row>
    <row r="102" spans="2:29" x14ac:dyDescent="0.2">
      <c r="D102" s="95"/>
    </row>
    <row r="103" spans="2:29" x14ac:dyDescent="0.2">
      <c r="D103" s="95"/>
    </row>
  </sheetData>
  <mergeCells count="9">
    <mergeCell ref="L5:P5"/>
    <mergeCell ref="E1:K2"/>
    <mergeCell ref="L1:P1"/>
    <mergeCell ref="L2:P2"/>
    <mergeCell ref="B3:C3"/>
    <mergeCell ref="F3:K4"/>
    <mergeCell ref="L3:P3"/>
    <mergeCell ref="B4:C4"/>
    <mergeCell ref="L4:P4"/>
  </mergeCells>
  <printOptions horizontalCentered="1" gridLines="1"/>
  <pageMargins left="0" right="0" top="0.45" bottom="0" header="0.15" footer="0.35"/>
  <pageSetup scale="74" orientation="landscape" cellComments="asDisplayed" r:id="rId1"/>
  <headerFooter alignWithMargins="0">
    <oddHeader>&amp;R&amp;16Page 4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54915-10D8-41A1-A0E5-10EC6C2A72BF}">
  <dimension ref="B1:AG76"/>
  <sheetViews>
    <sheetView showGridLines="0" topLeftCell="C1" zoomScaleNormal="100" zoomScaleSheetLayoutView="100" workbookViewId="0">
      <selection activeCell="K35" sqref="K35"/>
    </sheetView>
  </sheetViews>
  <sheetFormatPr defaultColWidth="9.140625" defaultRowHeight="14.1" customHeight="1" x14ac:dyDescent="0.25"/>
  <cols>
    <col min="1" max="1" width="1.7109375" style="13" customWidth="1"/>
    <col min="2" max="2" width="3.42578125" style="131" customWidth="1"/>
    <col min="3" max="3" width="5.5703125" style="131" customWidth="1"/>
    <col min="4" max="4" width="6.42578125" style="131" customWidth="1"/>
    <col min="5" max="5" width="8.85546875" style="262" customWidth="1"/>
    <col min="6" max="6" width="29.42578125" style="13" customWidth="1"/>
    <col min="7" max="7" width="12.140625" style="13" bestFit="1" customWidth="1"/>
    <col min="8" max="8" width="15.5703125" style="133" bestFit="1" customWidth="1"/>
    <col min="9" max="9" width="2.7109375" style="13" customWidth="1"/>
    <col min="10" max="10" width="13.42578125" style="13" bestFit="1" customWidth="1"/>
    <col min="11" max="11" width="19" style="133" customWidth="1"/>
    <col min="12" max="12" width="2.7109375" style="13" customWidth="1"/>
    <col min="13" max="13" width="16.85546875" style="13" bestFit="1" customWidth="1"/>
    <col min="14" max="14" width="16.5703125" style="133" bestFit="1" customWidth="1"/>
    <col min="15" max="15" width="3" style="13" customWidth="1"/>
    <col min="16" max="16" width="13.5703125" style="144" bestFit="1" customWidth="1"/>
    <col min="17" max="17" width="17.42578125" style="144" customWidth="1"/>
    <col min="18" max="18" width="3.7109375" style="144" customWidth="1"/>
    <col min="19" max="19" width="15.28515625" style="144" customWidth="1"/>
    <col min="20" max="20" width="16.85546875" style="144" customWidth="1"/>
    <col min="21" max="21" width="3.5703125" style="13" customWidth="1"/>
    <col min="22" max="22" width="7.5703125" style="13" customWidth="1"/>
    <col min="23" max="23" width="16" style="13" bestFit="1" customWidth="1"/>
    <col min="24" max="24" width="1.7109375" style="13" hidden="1" customWidth="1"/>
    <col min="25" max="25" width="7.85546875" style="13" customWidth="1"/>
    <col min="26" max="26" width="14.7109375" style="13" bestFit="1" customWidth="1"/>
    <col min="27" max="27" width="1.7109375" style="13" hidden="1" customWidth="1"/>
    <col min="28" max="29" width="15.7109375" style="13" hidden="1" customWidth="1"/>
    <col min="30" max="30" width="2.140625" style="13" customWidth="1"/>
    <col min="31" max="31" width="14.42578125" style="13" customWidth="1"/>
    <col min="32" max="32" width="10.7109375" style="13" bestFit="1" customWidth="1"/>
    <col min="33" max="33" width="13.7109375" style="13" bestFit="1" customWidth="1"/>
    <col min="34" max="16384" width="9.140625" style="13"/>
  </cols>
  <sheetData>
    <row r="1" spans="2:33" ht="17.45" customHeight="1" x14ac:dyDescent="0.25">
      <c r="B1" s="130" t="s">
        <v>127</v>
      </c>
      <c r="D1" s="132"/>
      <c r="E1" s="132"/>
      <c r="F1" s="132"/>
      <c r="I1" s="134"/>
      <c r="K1" s="135"/>
      <c r="O1" s="134"/>
      <c r="P1" s="136"/>
      <c r="Q1" s="137"/>
      <c r="R1" s="136"/>
      <c r="S1" s="136"/>
      <c r="T1" s="136"/>
      <c r="U1" s="134"/>
      <c r="V1" s="138">
        <f>B2-31</f>
        <v>44433</v>
      </c>
      <c r="W1" s="138"/>
      <c r="X1" s="138"/>
      <c r="Y1" s="138"/>
      <c r="Z1" s="138"/>
    </row>
    <row r="2" spans="2:33" ht="15" customHeight="1" x14ac:dyDescent="0.25">
      <c r="B2" s="139">
        <v>44464</v>
      </c>
      <c r="C2" s="139"/>
      <c r="D2" s="139"/>
      <c r="E2" s="139"/>
      <c r="I2" s="134"/>
      <c r="J2" s="140" t="s">
        <v>128</v>
      </c>
      <c r="K2" s="140"/>
      <c r="L2" s="140"/>
      <c r="M2" s="140"/>
      <c r="N2" s="140"/>
      <c r="O2" s="134"/>
      <c r="P2" s="141" t="s">
        <v>129</v>
      </c>
      <c r="Q2" s="141"/>
      <c r="R2" s="141"/>
      <c r="S2" s="141"/>
      <c r="T2" s="141"/>
      <c r="U2" s="134"/>
      <c r="V2" s="142" t="s">
        <v>130</v>
      </c>
      <c r="W2" s="142"/>
      <c r="X2" s="142"/>
      <c r="Y2" s="142"/>
      <c r="Z2" s="142"/>
    </row>
    <row r="3" spans="2:33" ht="15.75" x14ac:dyDescent="0.25">
      <c r="E3" s="143"/>
      <c r="F3" s="13" t="s">
        <v>102</v>
      </c>
      <c r="I3" s="134"/>
      <c r="K3" s="135"/>
      <c r="O3" s="134"/>
      <c r="U3" s="145"/>
      <c r="V3" s="138">
        <f>B2</f>
        <v>44464</v>
      </c>
      <c r="W3" s="138"/>
      <c r="X3" s="138"/>
      <c r="Y3" s="138"/>
      <c r="Z3" s="138"/>
      <c r="AB3" s="146" t="s">
        <v>131</v>
      </c>
      <c r="AC3" s="146"/>
      <c r="AD3" s="147"/>
    </row>
    <row r="4" spans="2:33" ht="16.5" customHeight="1" x14ac:dyDescent="0.25">
      <c r="B4" s="148"/>
      <c r="C4" s="148"/>
      <c r="D4" s="148"/>
      <c r="E4" s="149"/>
      <c r="F4" s="150"/>
      <c r="G4" s="151" t="s">
        <v>12</v>
      </c>
      <c r="H4" s="151"/>
      <c r="I4" s="134"/>
      <c r="J4" s="152" t="s">
        <v>132</v>
      </c>
      <c r="K4" s="152"/>
      <c r="L4" s="153"/>
      <c r="M4" s="152" t="s">
        <v>133</v>
      </c>
      <c r="N4" s="152"/>
      <c r="O4" s="154"/>
      <c r="P4" s="155" t="s">
        <v>132</v>
      </c>
      <c r="Q4" s="155"/>
      <c r="R4" s="156"/>
      <c r="S4" s="155" t="s">
        <v>133</v>
      </c>
      <c r="T4" s="155"/>
      <c r="U4" s="154"/>
      <c r="V4" s="152" t="s">
        <v>132</v>
      </c>
      <c r="W4" s="152"/>
      <c r="X4" s="153"/>
      <c r="Y4" s="152" t="s">
        <v>133</v>
      </c>
      <c r="Z4" s="152"/>
      <c r="AB4" s="157" t="s">
        <v>2</v>
      </c>
      <c r="AC4" s="157" t="s">
        <v>8</v>
      </c>
      <c r="AD4" s="157"/>
    </row>
    <row r="5" spans="2:33" s="11" customFormat="1" ht="17.25" customHeight="1" x14ac:dyDescent="0.25">
      <c r="B5" s="158" t="s">
        <v>134</v>
      </c>
      <c r="C5" s="158"/>
      <c r="D5" s="158"/>
      <c r="E5" s="158"/>
      <c r="F5" s="159"/>
      <c r="G5" s="160" t="s">
        <v>38</v>
      </c>
      <c r="H5" s="161" t="s">
        <v>135</v>
      </c>
      <c r="I5" s="154"/>
      <c r="J5" s="162" t="s">
        <v>38</v>
      </c>
      <c r="K5" s="163" t="s">
        <v>135</v>
      </c>
      <c r="L5" s="164"/>
      <c r="M5" s="162" t="s">
        <v>38</v>
      </c>
      <c r="N5" s="163" t="s">
        <v>135</v>
      </c>
      <c r="O5" s="154"/>
      <c r="P5" s="165" t="s">
        <v>38</v>
      </c>
      <c r="Q5" s="166" t="s">
        <v>135</v>
      </c>
      <c r="R5" s="164"/>
      <c r="S5" s="164" t="s">
        <v>38</v>
      </c>
      <c r="T5" s="167" t="s">
        <v>135</v>
      </c>
      <c r="U5" s="154"/>
      <c r="V5" s="162" t="s">
        <v>136</v>
      </c>
      <c r="W5" s="167" t="s">
        <v>135</v>
      </c>
      <c r="X5" s="164"/>
      <c r="Y5" s="164" t="s">
        <v>136</v>
      </c>
      <c r="Z5" s="167" t="s">
        <v>135</v>
      </c>
      <c r="AB5" s="168" t="s">
        <v>135</v>
      </c>
      <c r="AC5" s="168" t="s">
        <v>135</v>
      </c>
      <c r="AD5" s="168"/>
    </row>
    <row r="6" spans="2:33" ht="14.25" customHeight="1" x14ac:dyDescent="0.25">
      <c r="B6" s="169" t="s">
        <v>137</v>
      </c>
      <c r="C6" s="170">
        <v>6011</v>
      </c>
      <c r="D6" s="170">
        <v>28040</v>
      </c>
      <c r="E6" s="171">
        <v>671010</v>
      </c>
      <c r="F6" s="97" t="s">
        <v>138</v>
      </c>
      <c r="G6" s="172" t="s">
        <v>139</v>
      </c>
      <c r="H6" s="114">
        <f>K6+N6</f>
        <v>0</v>
      </c>
      <c r="I6" s="134"/>
      <c r="J6" s="173"/>
      <c r="K6" s="174">
        <f>+Q6+W6</f>
        <v>0</v>
      </c>
      <c r="L6" s="175" t="s">
        <v>140</v>
      </c>
      <c r="M6" s="173"/>
      <c r="N6" s="174">
        <f>+T6+Z6</f>
        <v>0</v>
      </c>
      <c r="O6" s="176" t="s">
        <v>140</v>
      </c>
      <c r="P6" s="177"/>
      <c r="Q6" s="178"/>
      <c r="R6" s="179"/>
      <c r="S6" s="177"/>
      <c r="T6" s="178"/>
      <c r="U6" s="180"/>
      <c r="V6" s="181"/>
      <c r="W6" s="182"/>
      <c r="Y6" s="183"/>
      <c r="Z6" s="182"/>
      <c r="AE6" s="184">
        <v>671010</v>
      </c>
    </row>
    <row r="7" spans="2:33" ht="14.25" customHeight="1" x14ac:dyDescent="0.25">
      <c r="B7" s="169" t="s">
        <v>137</v>
      </c>
      <c r="C7" s="170">
        <v>6011</v>
      </c>
      <c r="D7" s="170">
        <v>28040</v>
      </c>
      <c r="E7" s="171">
        <v>671030</v>
      </c>
      <c r="F7" s="97" t="s">
        <v>141</v>
      </c>
      <c r="G7" s="172" t="s">
        <v>139</v>
      </c>
      <c r="H7" s="114">
        <f t="shared" ref="H7:H13" si="0">+K7+N7</f>
        <v>412248.64</v>
      </c>
      <c r="I7" s="134"/>
      <c r="J7" s="173"/>
      <c r="K7" s="174">
        <f>+Q7+W7</f>
        <v>260437.72</v>
      </c>
      <c r="L7" s="175" t="s">
        <v>140</v>
      </c>
      <c r="M7" s="173"/>
      <c r="N7" s="174">
        <f>+T7+Z7</f>
        <v>151810.92000000001</v>
      </c>
      <c r="O7" s="176" t="s">
        <v>140</v>
      </c>
      <c r="P7" s="173"/>
      <c r="Q7" s="178">
        <v>261083.91</v>
      </c>
      <c r="R7" s="11"/>
      <c r="S7" s="173"/>
      <c r="T7" s="178">
        <v>151775.94</v>
      </c>
      <c r="U7" s="134"/>
      <c r="V7" s="185"/>
      <c r="W7" s="178">
        <v>-646.19000000000005</v>
      </c>
      <c r="X7" s="144"/>
      <c r="Y7" s="186"/>
      <c r="Z7" s="178">
        <v>34.979999999999997</v>
      </c>
      <c r="AE7" s="184">
        <v>671030</v>
      </c>
    </row>
    <row r="8" spans="2:33" ht="14.25" customHeight="1" x14ac:dyDescent="0.25">
      <c r="B8" s="169" t="s">
        <v>137</v>
      </c>
      <c r="C8" s="170">
        <v>6011</v>
      </c>
      <c r="D8" s="170">
        <v>28040</v>
      </c>
      <c r="E8" s="171">
        <v>671050</v>
      </c>
      <c r="F8" s="97" t="s">
        <v>142</v>
      </c>
      <c r="G8" s="11">
        <f t="shared" ref="G8:G14" si="1">+J8+M8</f>
        <v>19388010</v>
      </c>
      <c r="H8" s="114">
        <f t="shared" si="0"/>
        <v>7541151.5</v>
      </c>
      <c r="I8" s="134"/>
      <c r="J8" s="187">
        <f>+P8+V8</f>
        <v>15983393</v>
      </c>
      <c r="K8" s="188">
        <f>+Q8+W8</f>
        <v>6468363.9900000002</v>
      </c>
      <c r="L8" s="175" t="s">
        <v>143</v>
      </c>
      <c r="M8" s="11">
        <f>+S8+Y8</f>
        <v>3404617</v>
      </c>
      <c r="N8" s="188">
        <f>+T8+Z8</f>
        <v>1072787.51</v>
      </c>
      <c r="O8" s="176" t="s">
        <v>143</v>
      </c>
      <c r="P8" s="189">
        <v>15983100</v>
      </c>
      <c r="Q8" s="190">
        <v>6468278.5800000001</v>
      </c>
      <c r="R8" s="11"/>
      <c r="S8" s="189">
        <v>3404910</v>
      </c>
      <c r="T8" s="190">
        <v>1072872.92</v>
      </c>
      <c r="U8" s="134"/>
      <c r="V8" s="191">
        <v>293</v>
      </c>
      <c r="W8" s="190">
        <v>85.41</v>
      </c>
      <c r="X8" s="144"/>
      <c r="Y8" s="192">
        <v>-293</v>
      </c>
      <c r="Z8" s="190">
        <v>-85.41</v>
      </c>
      <c r="AB8" s="193">
        <v>0</v>
      </c>
      <c r="AC8" s="193">
        <v>0</v>
      </c>
      <c r="AE8" s="194">
        <v>671050</v>
      </c>
    </row>
    <row r="9" spans="2:33" ht="14.25" customHeight="1" x14ac:dyDescent="0.25">
      <c r="B9" s="169" t="s">
        <v>137</v>
      </c>
      <c r="C9" s="170">
        <v>6011</v>
      </c>
      <c r="D9" s="170">
        <v>28040</v>
      </c>
      <c r="E9" s="171">
        <v>671051</v>
      </c>
      <c r="F9" s="97" t="s">
        <v>144</v>
      </c>
      <c r="G9" s="172" t="s">
        <v>139</v>
      </c>
      <c r="H9" s="114">
        <f t="shared" si="0"/>
        <v>-114300</v>
      </c>
      <c r="I9" s="134"/>
      <c r="J9" s="195"/>
      <c r="K9" s="188">
        <f t="shared" ref="J9:K14" si="2">+Q9+W9</f>
        <v>-85482.68</v>
      </c>
      <c r="L9" s="175" t="s">
        <v>143</v>
      </c>
      <c r="M9" s="196"/>
      <c r="N9" s="188">
        <f>+T9+Z9</f>
        <v>-28817.32</v>
      </c>
      <c r="O9" s="176" t="s">
        <v>143</v>
      </c>
      <c r="P9" s="173"/>
      <c r="Q9" s="190">
        <v>-85482.68</v>
      </c>
      <c r="R9" s="11"/>
      <c r="S9" s="173"/>
      <c r="T9" s="190">
        <v>-28817.32</v>
      </c>
      <c r="U9" s="134"/>
      <c r="V9" s="197"/>
      <c r="W9" s="190"/>
      <c r="X9" s="186"/>
      <c r="Y9" s="198"/>
      <c r="Z9" s="190"/>
      <c r="AE9" s="194">
        <v>671051</v>
      </c>
    </row>
    <row r="10" spans="2:33" ht="14.25" customHeight="1" x14ac:dyDescent="0.25">
      <c r="B10" s="169" t="s">
        <v>137</v>
      </c>
      <c r="C10" s="170">
        <v>6011</v>
      </c>
      <c r="D10" s="170">
        <v>28040</v>
      </c>
      <c r="E10" s="171">
        <v>671070</v>
      </c>
      <c r="F10" s="97" t="s">
        <v>145</v>
      </c>
      <c r="G10" s="11">
        <f t="shared" si="1"/>
        <v>-473620</v>
      </c>
      <c r="H10" s="114">
        <f>+K10+N10</f>
        <v>-124202.88</v>
      </c>
      <c r="I10" s="134"/>
      <c r="J10" s="187">
        <f t="shared" si="2"/>
        <v>-362608</v>
      </c>
      <c r="K10" s="188">
        <f t="shared" si="2"/>
        <v>-95505.38</v>
      </c>
      <c r="L10" s="175" t="s">
        <v>143</v>
      </c>
      <c r="M10" s="11">
        <f>+S10+Y10</f>
        <v>-111012</v>
      </c>
      <c r="N10" s="188">
        <f>+T10+Z10</f>
        <v>-28697.5</v>
      </c>
      <c r="O10" s="199" t="s">
        <v>143</v>
      </c>
      <c r="P10" s="189">
        <f>+-732643+370035</f>
        <v>-362608</v>
      </c>
      <c r="Q10" s="190">
        <f>+-213441.31+117935.93</f>
        <v>-95505.38</v>
      </c>
      <c r="R10" s="11"/>
      <c r="S10" s="189">
        <f>+-244067+133055</f>
        <v>-111012</v>
      </c>
      <c r="T10" s="190">
        <f>+-71104.19+42406.69</f>
        <v>-28697.5</v>
      </c>
      <c r="U10" s="134"/>
      <c r="V10" s="197"/>
      <c r="W10" s="190"/>
      <c r="X10" s="186">
        <v>0</v>
      </c>
      <c r="Y10" s="198"/>
      <c r="Z10" s="190"/>
      <c r="AE10" s="194">
        <v>671070</v>
      </c>
    </row>
    <row r="11" spans="2:33" ht="14.25" customHeight="1" x14ac:dyDescent="0.25">
      <c r="B11" s="200" t="s">
        <v>137</v>
      </c>
      <c r="C11" s="201">
        <v>6011</v>
      </c>
      <c r="D11" s="201">
        <v>28081</v>
      </c>
      <c r="E11" s="202">
        <v>671050</v>
      </c>
      <c r="F11" s="203" t="s">
        <v>146</v>
      </c>
      <c r="G11" s="11">
        <f t="shared" si="1"/>
        <v>0</v>
      </c>
      <c r="H11" s="114">
        <f t="shared" si="0"/>
        <v>0</v>
      </c>
      <c r="I11" s="134"/>
      <c r="J11" s="187">
        <f t="shared" si="2"/>
        <v>0</v>
      </c>
      <c r="K11" s="188">
        <f t="shared" si="2"/>
        <v>0</v>
      </c>
      <c r="L11" s="175" t="s">
        <v>143</v>
      </c>
      <c r="M11" s="11">
        <f t="shared" ref="M11:N14" si="3">+S11+Y11</f>
        <v>0</v>
      </c>
      <c r="N11" s="188">
        <f t="shared" si="3"/>
        <v>0</v>
      </c>
      <c r="O11" s="176" t="s">
        <v>143</v>
      </c>
      <c r="P11" s="189">
        <v>0</v>
      </c>
      <c r="Q11" s="204">
        <v>0</v>
      </c>
      <c r="R11" s="205">
        <v>-1</v>
      </c>
      <c r="S11" s="189">
        <v>0</v>
      </c>
      <c r="T11" s="204">
        <v>0</v>
      </c>
      <c r="U11" s="206">
        <v>-4</v>
      </c>
      <c r="V11" s="197"/>
      <c r="W11" s="190"/>
      <c r="X11" s="186"/>
      <c r="Y11" s="198"/>
      <c r="Z11" s="190"/>
      <c r="AE11" s="202">
        <v>671050</v>
      </c>
      <c r="AF11" s="144"/>
    </row>
    <row r="12" spans="2:33" ht="14.25" customHeight="1" x14ac:dyDescent="0.25">
      <c r="B12" s="200" t="s">
        <v>137</v>
      </c>
      <c r="C12" s="201">
        <v>6011</v>
      </c>
      <c r="D12" s="201">
        <v>28082</v>
      </c>
      <c r="E12" s="202">
        <v>671050</v>
      </c>
      <c r="F12" s="203" t="s">
        <v>147</v>
      </c>
      <c r="G12" s="11">
        <f t="shared" si="1"/>
        <v>0</v>
      </c>
      <c r="H12" s="114">
        <f t="shared" si="0"/>
        <v>-2620008.61</v>
      </c>
      <c r="I12" s="134"/>
      <c r="J12" s="187">
        <f t="shared" si="2"/>
        <v>0</v>
      </c>
      <c r="K12" s="188">
        <f t="shared" si="2"/>
        <v>-2620008.61</v>
      </c>
      <c r="L12" s="175" t="s">
        <v>143</v>
      </c>
      <c r="M12" s="89">
        <f t="shared" si="3"/>
        <v>0</v>
      </c>
      <c r="N12" s="188">
        <f t="shared" si="3"/>
        <v>0</v>
      </c>
      <c r="O12" s="176" t="s">
        <v>143</v>
      </c>
      <c r="P12" s="189"/>
      <c r="Q12" s="204">
        <v>-2620008.61</v>
      </c>
      <c r="R12" s="205">
        <v>-2</v>
      </c>
      <c r="S12" s="207"/>
      <c r="T12" s="204"/>
      <c r="U12" s="206"/>
      <c r="V12" s="191"/>
      <c r="W12" s="190"/>
      <c r="X12" s="186"/>
      <c r="Y12" s="198"/>
      <c r="Z12" s="190"/>
      <c r="AE12" s="202">
        <v>671050</v>
      </c>
      <c r="AF12" s="144"/>
      <c r="AG12" s="189"/>
    </row>
    <row r="13" spans="2:33" ht="14.25" customHeight="1" x14ac:dyDescent="0.25">
      <c r="B13" s="200" t="s">
        <v>137</v>
      </c>
      <c r="C13" s="201">
        <v>6011</v>
      </c>
      <c r="D13" s="201">
        <v>28120</v>
      </c>
      <c r="E13" s="202">
        <v>671070</v>
      </c>
      <c r="F13" s="203" t="s">
        <v>148</v>
      </c>
      <c r="G13" s="11">
        <f t="shared" si="1"/>
        <v>-30171</v>
      </c>
      <c r="H13" s="114">
        <f t="shared" si="0"/>
        <v>-7095.49</v>
      </c>
      <c r="I13" s="134"/>
      <c r="J13" s="187">
        <f>+P13+V13</f>
        <v>-19663</v>
      </c>
      <c r="K13" s="188">
        <f>+Q13+W13</f>
        <v>-4926.1099999999997</v>
      </c>
      <c r="L13" s="175" t="s">
        <v>143</v>
      </c>
      <c r="M13" s="11">
        <f t="shared" si="3"/>
        <v>-10508</v>
      </c>
      <c r="N13" s="188">
        <f t="shared" si="3"/>
        <v>-2169.38</v>
      </c>
      <c r="O13" s="176" t="s">
        <v>143</v>
      </c>
      <c r="P13" s="189">
        <v>-19663</v>
      </c>
      <c r="Q13" s="204">
        <v>-4926.1099999999997</v>
      </c>
      <c r="R13" s="205">
        <v>-3</v>
      </c>
      <c r="S13" s="208">
        <v>-10508</v>
      </c>
      <c r="T13" s="204">
        <v>-2169.38</v>
      </c>
      <c r="U13" s="206">
        <v>-5</v>
      </c>
      <c r="V13" s="197"/>
      <c r="W13" s="190"/>
      <c r="X13" s="186"/>
      <c r="Y13" s="198"/>
      <c r="Z13" s="190"/>
      <c r="AE13" s="202">
        <v>671070</v>
      </c>
    </row>
    <row r="14" spans="2:33" ht="14.25" customHeight="1" x14ac:dyDescent="0.25">
      <c r="B14" s="169" t="s">
        <v>137</v>
      </c>
      <c r="C14" s="170">
        <v>6011</v>
      </c>
      <c r="D14" s="170">
        <v>28040</v>
      </c>
      <c r="E14" s="171">
        <v>671100</v>
      </c>
      <c r="F14" s="97" t="s">
        <v>149</v>
      </c>
      <c r="G14" s="11">
        <f t="shared" si="1"/>
        <v>0</v>
      </c>
      <c r="H14" s="114">
        <f>+K14+N14</f>
        <v>0</v>
      </c>
      <c r="I14" s="134"/>
      <c r="J14" s="187">
        <f>+P14+V14</f>
        <v>0</v>
      </c>
      <c r="K14" s="188">
        <f t="shared" si="2"/>
        <v>0</v>
      </c>
      <c r="L14" s="175" t="s">
        <v>143</v>
      </c>
      <c r="M14" s="209">
        <f t="shared" si="3"/>
        <v>0</v>
      </c>
      <c r="N14" s="210">
        <f t="shared" si="3"/>
        <v>0</v>
      </c>
      <c r="O14" s="176" t="s">
        <v>143</v>
      </c>
      <c r="P14" s="211"/>
      <c r="Q14" s="212"/>
      <c r="R14" s="11"/>
      <c r="S14" s="211"/>
      <c r="T14" s="213"/>
      <c r="U14" s="134"/>
      <c r="V14" s="197"/>
      <c r="W14" s="190"/>
      <c r="X14" s="186"/>
      <c r="Y14" s="198"/>
      <c r="Z14" s="214"/>
      <c r="AE14" s="194">
        <v>671100</v>
      </c>
    </row>
    <row r="15" spans="2:33" ht="14.25" customHeight="1" x14ac:dyDescent="0.25">
      <c r="B15" s="169"/>
      <c r="C15" s="215"/>
      <c r="D15" s="215"/>
      <c r="E15" s="216"/>
      <c r="F15" s="217" t="s">
        <v>150</v>
      </c>
      <c r="G15" s="218">
        <f>SUM(G6:G14)</f>
        <v>18884219</v>
      </c>
      <c r="H15" s="219">
        <f>SUM(H6:H14)</f>
        <v>5087793.16</v>
      </c>
      <c r="I15" s="134"/>
      <c r="J15" s="218">
        <f>SUM(J6:J14)</f>
        <v>15601122</v>
      </c>
      <c r="K15" s="219">
        <f>SUM(K6:K14)</f>
        <v>3922878.9300000006</v>
      </c>
      <c r="L15" s="175"/>
      <c r="M15" s="11">
        <f>SUM(M6:M14)</f>
        <v>3283097</v>
      </c>
      <c r="N15" s="220">
        <f>SUM(N6:N14)</f>
        <v>1164914.23</v>
      </c>
      <c r="O15" s="176"/>
      <c r="P15" s="11">
        <f>SUM(P6:P14)</f>
        <v>15600829</v>
      </c>
      <c r="Q15" s="221">
        <f>SUM(Q6:Q14)</f>
        <v>3923439.7100000009</v>
      </c>
      <c r="R15" s="11"/>
      <c r="S15" s="11">
        <f>SUM(S6:S14)</f>
        <v>3283390</v>
      </c>
      <c r="T15" s="221">
        <f>SUM(T6:T14)</f>
        <v>1164964.6599999999</v>
      </c>
      <c r="U15" s="134"/>
      <c r="V15" s="222">
        <f>+SUM(V6:V14)</f>
        <v>293</v>
      </c>
      <c r="W15" s="223">
        <f>SUM(W6:W14)</f>
        <v>-560.78000000000009</v>
      </c>
      <c r="X15" s="186"/>
      <c r="Y15" s="222">
        <f>SUM(Y6:Y14)</f>
        <v>-293</v>
      </c>
      <c r="Z15" s="223">
        <f>SUM(Z6:Z14)</f>
        <v>-50.43</v>
      </c>
      <c r="AB15" s="224">
        <f>SUM(AB6:AB14)</f>
        <v>0</v>
      </c>
      <c r="AC15" s="224">
        <f>SUM(AC6:AC14)</f>
        <v>0</v>
      </c>
      <c r="AD15" s="224"/>
      <c r="AE15" s="216"/>
    </row>
    <row r="16" spans="2:33" ht="14.25" customHeight="1" x14ac:dyDescent="0.25">
      <c r="B16" s="169"/>
      <c r="C16" s="215"/>
      <c r="D16" s="215"/>
      <c r="E16" s="216"/>
      <c r="F16" s="97"/>
      <c r="G16" s="218"/>
      <c r="H16" s="225"/>
      <c r="I16" s="134"/>
      <c r="J16" s="226"/>
      <c r="K16" s="227"/>
      <c r="L16" s="228"/>
      <c r="M16" s="229"/>
      <c r="N16" s="230"/>
      <c r="O16" s="176"/>
      <c r="P16" s="218"/>
      <c r="Q16" s="114"/>
      <c r="R16" s="11"/>
      <c r="S16" s="218"/>
      <c r="T16" s="114"/>
      <c r="U16" s="134"/>
      <c r="V16" s="231"/>
      <c r="W16" s="102"/>
      <c r="X16" s="186"/>
      <c r="Y16" s="186"/>
      <c r="Z16" s="102"/>
      <c r="AE16" s="216"/>
    </row>
    <row r="17" spans="2:33" ht="14.25" customHeight="1" x14ac:dyDescent="0.25">
      <c r="B17" s="169" t="s">
        <v>137</v>
      </c>
      <c r="C17" s="170">
        <v>6011</v>
      </c>
      <c r="D17" s="170">
        <v>28040</v>
      </c>
      <c r="E17" s="171">
        <v>672010</v>
      </c>
      <c r="F17" s="97" t="s">
        <v>151</v>
      </c>
      <c r="G17" s="172"/>
      <c r="H17" s="114">
        <f>K17+N17</f>
        <v>3882676.52</v>
      </c>
      <c r="I17" s="134"/>
      <c r="K17" s="174">
        <f>+Q17+W17</f>
        <v>3160683.35</v>
      </c>
      <c r="L17" s="175" t="s">
        <v>140</v>
      </c>
      <c r="M17" s="173"/>
      <c r="N17" s="174">
        <f>+T17+Z17</f>
        <v>721993.17</v>
      </c>
      <c r="O17" s="176" t="s">
        <v>140</v>
      </c>
      <c r="P17" s="173"/>
      <c r="Q17" s="178">
        <f>3090561.62+70121.73</f>
        <v>3160683.35</v>
      </c>
      <c r="R17" s="11"/>
      <c r="S17" s="13"/>
      <c r="T17" s="178">
        <f>516906.69+205086.48</f>
        <v>721993.17</v>
      </c>
      <c r="U17" s="134"/>
      <c r="V17" s="232"/>
      <c r="W17" s="178"/>
      <c r="X17" s="186"/>
      <c r="Y17" s="185"/>
      <c r="Z17" s="233"/>
      <c r="AE17" s="184">
        <v>672010</v>
      </c>
    </row>
    <row r="18" spans="2:33" ht="14.25" customHeight="1" x14ac:dyDescent="0.25">
      <c r="B18" s="169" t="s">
        <v>137</v>
      </c>
      <c r="C18" s="170">
        <v>6011</v>
      </c>
      <c r="D18" s="170">
        <v>28040</v>
      </c>
      <c r="E18" s="171">
        <v>672020</v>
      </c>
      <c r="F18" s="97" t="s">
        <v>152</v>
      </c>
      <c r="G18" s="172"/>
      <c r="H18" s="114">
        <f>K18+N18</f>
        <v>65270.31</v>
      </c>
      <c r="I18" s="134"/>
      <c r="J18" s="226"/>
      <c r="K18" s="188">
        <f>+Q18+W18</f>
        <v>57461.279999999999</v>
      </c>
      <c r="L18" s="175" t="s">
        <v>143</v>
      </c>
      <c r="M18" s="173"/>
      <c r="N18" s="188">
        <f>+T18+Z18</f>
        <v>7809.0300000000007</v>
      </c>
      <c r="O18" s="176" t="s">
        <v>143</v>
      </c>
      <c r="P18" s="173"/>
      <c r="Q18" s="190">
        <v>57363.69</v>
      </c>
      <c r="R18" s="11"/>
      <c r="S18" s="13"/>
      <c r="T18" s="190">
        <v>8008.31</v>
      </c>
      <c r="U18" s="134"/>
      <c r="V18" s="232"/>
      <c r="W18" s="190">
        <v>97.59</v>
      </c>
      <c r="X18" s="186"/>
      <c r="Y18" s="185"/>
      <c r="Z18" s="190">
        <v>-199.28</v>
      </c>
      <c r="AE18" s="194">
        <v>672020</v>
      </c>
      <c r="AF18" s="234"/>
    </row>
    <row r="19" spans="2:33" ht="14.25" customHeight="1" x14ac:dyDescent="0.25">
      <c r="B19" s="169" t="s">
        <v>137</v>
      </c>
      <c r="C19" s="170">
        <v>6011</v>
      </c>
      <c r="D19" s="170">
        <v>28040</v>
      </c>
      <c r="E19" s="171">
        <v>672030</v>
      </c>
      <c r="F19" s="97" t="s">
        <v>153</v>
      </c>
      <c r="G19" s="172"/>
      <c r="H19" s="114">
        <f>K19+N19</f>
        <v>0</v>
      </c>
      <c r="I19" s="134"/>
      <c r="J19" s="226"/>
      <c r="K19" s="174">
        <f>+Q19+W19</f>
        <v>0</v>
      </c>
      <c r="L19" s="175" t="s">
        <v>140</v>
      </c>
      <c r="N19" s="174">
        <f>+T19+Z19</f>
        <v>0</v>
      </c>
      <c r="O19" s="176" t="s">
        <v>140</v>
      </c>
      <c r="P19" s="173"/>
      <c r="Q19" s="182"/>
      <c r="R19" s="11"/>
      <c r="S19" s="173"/>
      <c r="T19" s="182"/>
      <c r="U19" s="134"/>
      <c r="V19" s="235"/>
      <c r="W19" s="182"/>
      <c r="X19" s="183"/>
      <c r="Y19" s="181"/>
      <c r="Z19" s="182"/>
      <c r="AE19" s="184">
        <v>672030</v>
      </c>
      <c r="AF19" s="234"/>
    </row>
    <row r="20" spans="2:33" ht="14.25" customHeight="1" x14ac:dyDescent="0.25">
      <c r="B20" s="169" t="s">
        <v>137</v>
      </c>
      <c r="C20" s="170">
        <v>6011</v>
      </c>
      <c r="D20" s="170">
        <v>28040</v>
      </c>
      <c r="E20" s="171">
        <v>672040</v>
      </c>
      <c r="F20" s="97" t="s">
        <v>154</v>
      </c>
      <c r="G20" s="172"/>
      <c r="H20" s="114">
        <f>K20+N20</f>
        <v>0</v>
      </c>
      <c r="I20" s="134"/>
      <c r="J20" s="226"/>
      <c r="K20" s="174">
        <f>+Q20+W20</f>
        <v>0</v>
      </c>
      <c r="L20" s="175" t="s">
        <v>140</v>
      </c>
      <c r="M20" s="173"/>
      <c r="N20" s="174">
        <f>+T20+Z20</f>
        <v>0</v>
      </c>
      <c r="O20" s="176" t="s">
        <v>140</v>
      </c>
      <c r="P20" s="173"/>
      <c r="Q20" s="182"/>
      <c r="R20" s="11"/>
      <c r="S20" s="173"/>
      <c r="T20" s="182"/>
      <c r="U20" s="134"/>
      <c r="V20" s="235"/>
      <c r="W20" s="182"/>
      <c r="X20" s="183"/>
      <c r="Y20" s="181"/>
      <c r="Z20" s="182"/>
      <c r="AE20" s="184">
        <v>672040</v>
      </c>
      <c r="AF20" s="234"/>
      <c r="AG20" s="234"/>
    </row>
    <row r="21" spans="2:33" ht="14.25" customHeight="1" x14ac:dyDescent="0.25">
      <c r="B21" s="169" t="s">
        <v>137</v>
      </c>
      <c r="C21" s="170">
        <v>6011</v>
      </c>
      <c r="D21" s="170">
        <v>28040</v>
      </c>
      <c r="E21" s="171">
        <v>672050</v>
      </c>
      <c r="F21" s="97" t="s">
        <v>155</v>
      </c>
      <c r="G21" s="172"/>
      <c r="H21" s="114">
        <f>K21+N21</f>
        <v>0</v>
      </c>
      <c r="I21" s="134"/>
      <c r="J21" s="236"/>
      <c r="K21" s="174">
        <f>+Q21+W21</f>
        <v>0</v>
      </c>
      <c r="L21" s="175" t="s">
        <v>140</v>
      </c>
      <c r="M21" s="173"/>
      <c r="N21" s="237">
        <f>+T21+Z21</f>
        <v>0</v>
      </c>
      <c r="O21" s="176" t="s">
        <v>140</v>
      </c>
      <c r="P21" s="173"/>
      <c r="Q21" s="182"/>
      <c r="R21" s="172"/>
      <c r="S21" s="238"/>
      <c r="T21" s="239"/>
      <c r="U21" s="134"/>
      <c r="V21" s="235"/>
      <c r="W21" s="182"/>
      <c r="X21" s="183"/>
      <c r="Y21" s="181"/>
      <c r="Z21" s="182"/>
      <c r="AE21" s="184">
        <v>672050</v>
      </c>
      <c r="AF21" s="234"/>
      <c r="AG21" s="234"/>
    </row>
    <row r="22" spans="2:33" ht="14.25" customHeight="1" x14ac:dyDescent="0.25">
      <c r="B22" s="169"/>
      <c r="C22" s="215"/>
      <c r="D22" s="215"/>
      <c r="E22" s="216"/>
      <c r="F22" s="240" t="s">
        <v>156</v>
      </c>
      <c r="G22" s="241"/>
      <c r="H22" s="220">
        <f>SUM(H17:H21)</f>
        <v>3947946.83</v>
      </c>
      <c r="I22" s="134"/>
      <c r="J22" s="242"/>
      <c r="K22" s="220">
        <f>SUM(K17:K21)</f>
        <v>3218144.63</v>
      </c>
      <c r="L22" s="175"/>
      <c r="M22" s="243"/>
      <c r="N22" s="220">
        <f>SUM(N17:N21)</f>
        <v>729802.20000000007</v>
      </c>
      <c r="O22" s="176"/>
      <c r="P22" s="218"/>
      <c r="Q22" s="221">
        <f>SUM(Q17:Q21)</f>
        <v>3218047.04</v>
      </c>
      <c r="R22" s="175"/>
      <c r="S22" s="241"/>
      <c r="T22" s="221">
        <f>SUM(T17:T21)</f>
        <v>730001.4800000001</v>
      </c>
      <c r="U22" s="134"/>
      <c r="V22" s="244"/>
      <c r="W22" s="245">
        <f>SUM(W17:W21)</f>
        <v>97.59</v>
      </c>
      <c r="X22" s="183"/>
      <c r="Y22" s="246"/>
      <c r="Z22" s="221">
        <f>SUM(Z17:Z21)</f>
        <v>-199.28</v>
      </c>
      <c r="AB22" s="224">
        <f>SUM(AB17:AB21)</f>
        <v>0</v>
      </c>
      <c r="AC22" s="224">
        <f>SUM(AC17:AC21)</f>
        <v>0</v>
      </c>
      <c r="AD22" s="224"/>
      <c r="AE22" s="216"/>
    </row>
    <row r="23" spans="2:33" ht="14.25" customHeight="1" x14ac:dyDescent="0.25">
      <c r="B23" s="169"/>
      <c r="C23" s="215"/>
      <c r="D23" s="215"/>
      <c r="E23" s="216"/>
      <c r="F23" s="240"/>
      <c r="G23" s="11"/>
      <c r="H23" s="225"/>
      <c r="I23" s="134"/>
      <c r="J23" s="226"/>
      <c r="K23" s="230"/>
      <c r="L23" s="228"/>
      <c r="M23" s="247"/>
      <c r="N23" s="230"/>
      <c r="O23" s="176"/>
      <c r="P23" s="218"/>
      <c r="Q23" s="114"/>
      <c r="R23" s="11"/>
      <c r="S23" s="11"/>
      <c r="T23" s="114"/>
      <c r="U23" s="134"/>
      <c r="V23" s="248"/>
      <c r="W23" s="219"/>
      <c r="X23" s="183"/>
      <c r="Y23" s="246"/>
      <c r="Z23" s="114"/>
      <c r="AE23" s="216"/>
    </row>
    <row r="24" spans="2:33" ht="14.25" customHeight="1" x14ac:dyDescent="0.25">
      <c r="B24" s="169" t="s">
        <v>137</v>
      </c>
      <c r="C24" s="170">
        <v>6011</v>
      </c>
      <c r="D24" s="170">
        <v>28040</v>
      </c>
      <c r="E24" s="171">
        <v>673020</v>
      </c>
      <c r="F24" s="97" t="s">
        <v>157</v>
      </c>
      <c r="G24" s="172"/>
      <c r="H24" s="114">
        <f>K24+N24</f>
        <v>175032.9</v>
      </c>
      <c r="I24" s="134"/>
      <c r="J24" s="226"/>
      <c r="K24" s="174">
        <f t="shared" ref="K24:K38" si="4">+Q24+W24</f>
        <v>156768.35</v>
      </c>
      <c r="L24" s="175" t="s">
        <v>140</v>
      </c>
      <c r="M24" s="173"/>
      <c r="N24" s="174">
        <f t="shared" ref="N24:N33" si="5">+T24+Z24</f>
        <v>18264.55</v>
      </c>
      <c r="O24" s="176" t="s">
        <v>140</v>
      </c>
      <c r="P24" s="173"/>
      <c r="Q24" s="178">
        <v>156768.35</v>
      </c>
      <c r="R24" s="11"/>
      <c r="S24" s="173"/>
      <c r="T24" s="178">
        <v>18264.55</v>
      </c>
      <c r="U24" s="134"/>
      <c r="V24" s="235"/>
      <c r="W24" s="182"/>
      <c r="X24" s="249"/>
      <c r="Y24" s="249"/>
      <c r="Z24" s="182"/>
      <c r="AE24" s="184">
        <v>673020</v>
      </c>
    </row>
    <row r="25" spans="2:33" ht="14.25" customHeight="1" x14ac:dyDescent="0.25">
      <c r="B25" s="169" t="s">
        <v>137</v>
      </c>
      <c r="C25" s="170">
        <v>6011</v>
      </c>
      <c r="D25" s="170">
        <v>28040</v>
      </c>
      <c r="E25" s="171">
        <v>673030</v>
      </c>
      <c r="F25" s="97" t="s">
        <v>158</v>
      </c>
      <c r="G25" s="172"/>
      <c r="H25" s="114">
        <f t="shared" ref="H25:H38" si="6">K25+N25</f>
        <v>299395</v>
      </c>
      <c r="I25" s="134"/>
      <c r="J25" s="226"/>
      <c r="K25" s="174">
        <f t="shared" si="4"/>
        <v>264395.71999999997</v>
      </c>
      <c r="L25" s="175" t="s">
        <v>140</v>
      </c>
      <c r="M25" s="173"/>
      <c r="N25" s="174">
        <f t="shared" si="5"/>
        <v>34999.279999999999</v>
      </c>
      <c r="O25" s="176" t="s">
        <v>140</v>
      </c>
      <c r="P25" s="173"/>
      <c r="Q25" s="178">
        <v>264395.71999999997</v>
      </c>
      <c r="R25" s="11"/>
      <c r="S25" s="173"/>
      <c r="T25" s="178">
        <v>34999.279999999999</v>
      </c>
      <c r="U25" s="134"/>
      <c r="V25" s="235"/>
      <c r="W25" s="182"/>
      <c r="X25" s="249"/>
      <c r="Z25" s="182"/>
      <c r="AE25" s="184">
        <v>673030</v>
      </c>
    </row>
    <row r="26" spans="2:33" ht="14.25" customHeight="1" x14ac:dyDescent="0.25">
      <c r="B26" s="169" t="s">
        <v>137</v>
      </c>
      <c r="C26" s="170">
        <v>6011</v>
      </c>
      <c r="D26" s="170">
        <v>28040</v>
      </c>
      <c r="E26" s="171">
        <v>673040</v>
      </c>
      <c r="F26" s="97" t="s">
        <v>159</v>
      </c>
      <c r="G26" s="172"/>
      <c r="H26" s="114">
        <f t="shared" si="6"/>
        <v>0</v>
      </c>
      <c r="I26" s="134"/>
      <c r="J26" s="226"/>
      <c r="K26" s="188">
        <f t="shared" si="4"/>
        <v>0</v>
      </c>
      <c r="L26" s="175" t="s">
        <v>143</v>
      </c>
      <c r="M26" s="173"/>
      <c r="N26" s="188">
        <f>+T26+Z26</f>
        <v>0</v>
      </c>
      <c r="O26" s="176" t="s">
        <v>143</v>
      </c>
      <c r="P26" s="173"/>
      <c r="Q26" s="213"/>
      <c r="R26" s="11"/>
      <c r="S26" s="173"/>
      <c r="T26" s="190"/>
      <c r="U26" s="134"/>
      <c r="V26" s="235"/>
      <c r="W26" s="213"/>
      <c r="X26" s="249"/>
      <c r="Y26" s="249"/>
      <c r="Z26" s="213"/>
      <c r="AE26" s="194">
        <v>673040</v>
      </c>
    </row>
    <row r="27" spans="2:33" ht="14.25" customHeight="1" x14ac:dyDescent="0.25">
      <c r="B27" s="169" t="s">
        <v>137</v>
      </c>
      <c r="C27" s="170">
        <v>6011</v>
      </c>
      <c r="D27" s="170">
        <v>28040</v>
      </c>
      <c r="E27" s="171">
        <v>673050</v>
      </c>
      <c r="F27" s="97" t="s">
        <v>160</v>
      </c>
      <c r="G27" s="172"/>
      <c r="H27" s="114">
        <f t="shared" si="6"/>
        <v>0</v>
      </c>
      <c r="I27" s="134"/>
      <c r="J27" s="226"/>
      <c r="K27" s="188">
        <f t="shared" si="4"/>
        <v>0</v>
      </c>
      <c r="L27" s="175" t="s">
        <v>143</v>
      </c>
      <c r="M27" s="173"/>
      <c r="N27" s="188">
        <f t="shared" si="5"/>
        <v>0</v>
      </c>
      <c r="O27" s="176" t="s">
        <v>140</v>
      </c>
      <c r="P27" s="173"/>
      <c r="Q27" s="213"/>
      <c r="R27" s="11"/>
      <c r="S27" s="173"/>
      <c r="T27" s="190"/>
      <c r="U27" s="134"/>
      <c r="V27" s="235"/>
      <c r="W27" s="213"/>
      <c r="X27" s="249"/>
      <c r="Y27" s="249"/>
      <c r="Z27" s="213"/>
      <c r="AE27" s="194">
        <v>673050</v>
      </c>
    </row>
    <row r="28" spans="2:33" ht="14.25" customHeight="1" x14ac:dyDescent="0.25">
      <c r="B28" s="169" t="s">
        <v>137</v>
      </c>
      <c r="C28" s="170">
        <v>6011</v>
      </c>
      <c r="D28" s="170">
        <v>28040</v>
      </c>
      <c r="E28" s="171">
        <v>673060</v>
      </c>
      <c r="F28" s="97" t="s">
        <v>161</v>
      </c>
      <c r="G28" s="172"/>
      <c r="H28" s="114">
        <f t="shared" si="6"/>
        <v>0</v>
      </c>
      <c r="I28" s="134"/>
      <c r="J28" s="226"/>
      <c r="K28" s="188">
        <f t="shared" si="4"/>
        <v>0</v>
      </c>
      <c r="L28" s="175" t="s">
        <v>143</v>
      </c>
      <c r="M28" s="173"/>
      <c r="N28" s="188">
        <f t="shared" si="5"/>
        <v>0</v>
      </c>
      <c r="O28" s="176" t="s">
        <v>140</v>
      </c>
      <c r="P28" s="173"/>
      <c r="Q28" s="213"/>
      <c r="R28" s="11"/>
      <c r="S28" s="13"/>
      <c r="T28" s="190"/>
      <c r="U28" s="134"/>
      <c r="V28" s="235"/>
      <c r="W28" s="213"/>
      <c r="X28" s="249"/>
      <c r="Y28" s="249"/>
      <c r="Z28" s="213"/>
      <c r="AE28" s="194">
        <v>673060</v>
      </c>
    </row>
    <row r="29" spans="2:33" ht="14.25" customHeight="1" x14ac:dyDescent="0.25">
      <c r="B29" s="169" t="s">
        <v>137</v>
      </c>
      <c r="C29" s="170">
        <v>6011</v>
      </c>
      <c r="D29" s="170">
        <v>28040</v>
      </c>
      <c r="E29" s="171">
        <v>673070</v>
      </c>
      <c r="F29" s="97" t="s">
        <v>162</v>
      </c>
      <c r="G29" s="172"/>
      <c r="H29" s="114">
        <f t="shared" si="6"/>
        <v>0</v>
      </c>
      <c r="I29" s="134"/>
      <c r="J29" s="226"/>
      <c r="K29" s="174">
        <f t="shared" si="4"/>
        <v>0</v>
      </c>
      <c r="L29" s="175" t="s">
        <v>143</v>
      </c>
      <c r="M29" s="173"/>
      <c r="N29" s="174">
        <f t="shared" si="5"/>
        <v>0</v>
      </c>
      <c r="O29" s="176" t="s">
        <v>140</v>
      </c>
      <c r="P29" s="173"/>
      <c r="Q29" s="182"/>
      <c r="R29" s="11"/>
      <c r="S29" s="173"/>
      <c r="T29" s="178"/>
      <c r="U29" s="134"/>
      <c r="V29" s="235"/>
      <c r="W29" s="182"/>
      <c r="X29" s="249"/>
      <c r="Y29" s="249"/>
      <c r="Z29" s="182"/>
      <c r="AE29" s="184">
        <v>673070</v>
      </c>
    </row>
    <row r="30" spans="2:33" ht="14.25" customHeight="1" x14ac:dyDescent="0.25">
      <c r="B30" s="169" t="s">
        <v>137</v>
      </c>
      <c r="C30" s="170">
        <v>6011</v>
      </c>
      <c r="D30" s="170">
        <v>28040</v>
      </c>
      <c r="E30" s="171">
        <v>673080</v>
      </c>
      <c r="F30" s="97" t="s">
        <v>163</v>
      </c>
      <c r="G30" s="172"/>
      <c r="H30" s="114">
        <f t="shared" si="6"/>
        <v>0</v>
      </c>
      <c r="I30" s="134"/>
      <c r="J30" s="226"/>
      <c r="K30" s="174">
        <f t="shared" si="4"/>
        <v>0</v>
      </c>
      <c r="L30" s="175" t="s">
        <v>140</v>
      </c>
      <c r="M30" s="173"/>
      <c r="N30" s="174">
        <f t="shared" si="5"/>
        <v>0</v>
      </c>
      <c r="O30" s="176" t="s">
        <v>140</v>
      </c>
      <c r="P30" s="173"/>
      <c r="Q30" s="182"/>
      <c r="R30" s="11"/>
      <c r="S30" s="173"/>
      <c r="T30" s="178"/>
      <c r="U30" s="134"/>
      <c r="V30" s="235"/>
      <c r="W30" s="182"/>
      <c r="X30" s="249"/>
      <c r="Y30" s="249"/>
      <c r="Z30" s="182"/>
      <c r="AE30" s="184">
        <v>673080</v>
      </c>
    </row>
    <row r="31" spans="2:33" ht="14.25" customHeight="1" x14ac:dyDescent="0.25">
      <c r="B31" s="169" t="s">
        <v>137</v>
      </c>
      <c r="C31" s="170">
        <v>6011</v>
      </c>
      <c r="D31" s="170">
        <v>28040</v>
      </c>
      <c r="E31" s="171">
        <v>673090</v>
      </c>
      <c r="F31" s="97" t="s">
        <v>164</v>
      </c>
      <c r="G31" s="172"/>
      <c r="H31" s="114">
        <f t="shared" si="6"/>
        <v>0</v>
      </c>
      <c r="I31" s="134"/>
      <c r="J31" s="226"/>
      <c r="K31" s="188">
        <f>+Q31+W31</f>
        <v>0</v>
      </c>
      <c r="L31" s="175" t="s">
        <v>143</v>
      </c>
      <c r="M31" s="173"/>
      <c r="N31" s="188">
        <f>+T31+Z31</f>
        <v>0</v>
      </c>
      <c r="O31" s="176" t="s">
        <v>143</v>
      </c>
      <c r="P31" s="173"/>
      <c r="Q31" s="213"/>
      <c r="R31" s="11"/>
      <c r="S31" s="173"/>
      <c r="T31" s="190"/>
      <c r="U31" s="134"/>
      <c r="V31" s="235"/>
      <c r="W31" s="213"/>
      <c r="X31" s="249"/>
      <c r="Y31" s="249"/>
      <c r="Z31" s="213"/>
      <c r="AE31" s="194">
        <v>673090</v>
      </c>
    </row>
    <row r="32" spans="2:33" ht="14.25" customHeight="1" x14ac:dyDescent="0.25">
      <c r="B32" s="169" t="s">
        <v>137</v>
      </c>
      <c r="C32" s="170">
        <v>6011</v>
      </c>
      <c r="D32" s="170">
        <v>28040</v>
      </c>
      <c r="E32" s="171">
        <v>673120</v>
      </c>
      <c r="F32" s="97" t="s">
        <v>165</v>
      </c>
      <c r="G32" s="172"/>
      <c r="H32" s="114">
        <f t="shared" si="6"/>
        <v>166813.05000000002</v>
      </c>
      <c r="I32" s="134"/>
      <c r="J32" s="226"/>
      <c r="K32" s="174">
        <f>+Q32+W32</f>
        <v>148085.6</v>
      </c>
      <c r="L32" s="175" t="s">
        <v>140</v>
      </c>
      <c r="M32" s="173"/>
      <c r="N32" s="174">
        <f>+T32+Z32</f>
        <v>18727.45</v>
      </c>
      <c r="O32" s="176" t="s">
        <v>140</v>
      </c>
      <c r="P32" s="173"/>
      <c r="Q32" s="178">
        <v>148085.6</v>
      </c>
      <c r="R32" s="11"/>
      <c r="S32" s="173"/>
      <c r="T32" s="178">
        <v>18727.45</v>
      </c>
      <c r="U32" s="134"/>
      <c r="V32" s="235"/>
      <c r="W32" s="182"/>
      <c r="X32" s="249"/>
      <c r="Y32" s="249"/>
      <c r="Z32" s="182"/>
      <c r="AD32" s="144"/>
      <c r="AE32" s="184">
        <v>673120</v>
      </c>
    </row>
    <row r="33" spans="2:32" ht="14.25" customHeight="1" x14ac:dyDescent="0.25">
      <c r="B33" s="169" t="s">
        <v>137</v>
      </c>
      <c r="C33" s="170">
        <v>6011</v>
      </c>
      <c r="D33" s="170">
        <v>28040</v>
      </c>
      <c r="E33" s="171">
        <v>673130</v>
      </c>
      <c r="F33" s="97" t="s">
        <v>166</v>
      </c>
      <c r="G33" s="172"/>
      <c r="H33" s="114">
        <f t="shared" si="6"/>
        <v>0</v>
      </c>
      <c r="I33" s="134"/>
      <c r="J33" s="226"/>
      <c r="K33" s="174">
        <f t="shared" si="4"/>
        <v>0</v>
      </c>
      <c r="L33" s="175" t="s">
        <v>140</v>
      </c>
      <c r="M33" s="173"/>
      <c r="N33" s="174">
        <f t="shared" si="5"/>
        <v>0</v>
      </c>
      <c r="O33" s="176" t="s">
        <v>140</v>
      </c>
      <c r="P33" s="173"/>
      <c r="Q33" s="178"/>
      <c r="R33" s="11"/>
      <c r="S33" s="173"/>
      <c r="T33" s="182"/>
      <c r="U33" s="134"/>
      <c r="V33" s="235"/>
      <c r="W33" s="182"/>
      <c r="X33" s="183"/>
      <c r="Y33" s="181"/>
      <c r="Z33" s="182"/>
      <c r="AE33" s="184">
        <v>673130</v>
      </c>
    </row>
    <row r="34" spans="2:32" ht="14.25" customHeight="1" x14ac:dyDescent="0.25">
      <c r="B34" s="169" t="s">
        <v>137</v>
      </c>
      <c r="C34" s="170">
        <v>6011</v>
      </c>
      <c r="D34" s="170">
        <v>28040</v>
      </c>
      <c r="E34" s="171">
        <v>673140</v>
      </c>
      <c r="F34" s="97" t="s">
        <v>167</v>
      </c>
      <c r="G34" s="172"/>
      <c r="H34" s="114">
        <f t="shared" si="6"/>
        <v>0</v>
      </c>
      <c r="I34" s="134"/>
      <c r="J34" s="226"/>
      <c r="K34" s="188">
        <f t="shared" si="4"/>
        <v>0</v>
      </c>
      <c r="L34" s="175" t="s">
        <v>143</v>
      </c>
      <c r="M34" s="173"/>
      <c r="N34" s="188">
        <f>+T34+Z34</f>
        <v>0</v>
      </c>
      <c r="O34" s="176" t="s">
        <v>143</v>
      </c>
      <c r="P34" s="173"/>
      <c r="Q34" s="213"/>
      <c r="R34" s="11"/>
      <c r="S34" s="173"/>
      <c r="T34" s="213"/>
      <c r="U34" s="134"/>
      <c r="V34" s="235"/>
      <c r="W34" s="213"/>
      <c r="X34" s="183"/>
      <c r="Y34" s="181"/>
      <c r="Z34" s="213"/>
      <c r="AE34" s="194">
        <v>673140</v>
      </c>
    </row>
    <row r="35" spans="2:32" ht="14.25" customHeight="1" x14ac:dyDescent="0.25">
      <c r="B35" s="169" t="s">
        <v>137</v>
      </c>
      <c r="C35" s="170">
        <v>6011</v>
      </c>
      <c r="D35" s="170">
        <v>28040</v>
      </c>
      <c r="E35" s="171">
        <v>673160</v>
      </c>
      <c r="F35" s="97" t="s">
        <v>168</v>
      </c>
      <c r="G35" s="172"/>
      <c r="H35" s="114">
        <f t="shared" si="6"/>
        <v>0</v>
      </c>
      <c r="I35" s="134"/>
      <c r="J35" s="226"/>
      <c r="K35" s="188">
        <f t="shared" si="4"/>
        <v>0</v>
      </c>
      <c r="L35" s="175" t="s">
        <v>143</v>
      </c>
      <c r="M35" s="173"/>
      <c r="N35" s="188">
        <f>+T35+Z35</f>
        <v>0</v>
      </c>
      <c r="O35" s="176" t="s">
        <v>143</v>
      </c>
      <c r="P35" s="173"/>
      <c r="Q35" s="213"/>
      <c r="R35" s="11"/>
      <c r="S35" s="173"/>
      <c r="T35" s="213"/>
      <c r="U35" s="134"/>
      <c r="V35" s="235"/>
      <c r="W35" s="213"/>
      <c r="X35" s="183"/>
      <c r="Y35" s="181"/>
      <c r="Z35" s="213"/>
      <c r="AE35" s="194">
        <v>673160</v>
      </c>
    </row>
    <row r="36" spans="2:32" ht="14.25" customHeight="1" x14ac:dyDescent="0.25">
      <c r="B36" s="169" t="s">
        <v>137</v>
      </c>
      <c r="C36" s="170">
        <v>6011</v>
      </c>
      <c r="D36" s="170">
        <v>28040</v>
      </c>
      <c r="E36" s="171">
        <v>673180</v>
      </c>
      <c r="F36" s="97" t="s">
        <v>169</v>
      </c>
      <c r="G36" s="172"/>
      <c r="H36" s="114">
        <f t="shared" si="6"/>
        <v>0</v>
      </c>
      <c r="I36" s="134"/>
      <c r="J36" s="226"/>
      <c r="K36" s="174">
        <f>+Q36+W36</f>
        <v>0</v>
      </c>
      <c r="L36" s="175" t="s">
        <v>140</v>
      </c>
      <c r="M36" s="173"/>
      <c r="N36" s="174">
        <f>+T36+Z36</f>
        <v>0</v>
      </c>
      <c r="O36" s="176" t="s">
        <v>140</v>
      </c>
      <c r="P36" s="173"/>
      <c r="Q36" s="182"/>
      <c r="R36" s="11"/>
      <c r="S36" s="173"/>
      <c r="T36" s="182"/>
      <c r="U36" s="134"/>
      <c r="V36" s="235"/>
      <c r="W36" s="182"/>
      <c r="X36" s="249"/>
      <c r="Y36" s="249"/>
      <c r="Z36" s="182"/>
      <c r="AE36" s="184">
        <v>673180</v>
      </c>
    </row>
    <row r="37" spans="2:32" ht="14.25" customHeight="1" x14ac:dyDescent="0.25">
      <c r="B37" s="169" t="s">
        <v>137</v>
      </c>
      <c r="C37" s="170">
        <v>6011</v>
      </c>
      <c r="D37" s="170">
        <v>28040</v>
      </c>
      <c r="E37" s="171">
        <v>673200</v>
      </c>
      <c r="F37" s="250" t="s">
        <v>170</v>
      </c>
      <c r="G37" s="172"/>
      <c r="H37" s="128">
        <f t="shared" si="6"/>
        <v>0</v>
      </c>
      <c r="I37" s="134"/>
      <c r="J37" s="226"/>
      <c r="K37" s="188">
        <f t="shared" si="4"/>
        <v>0</v>
      </c>
      <c r="L37" s="175" t="s">
        <v>143</v>
      </c>
      <c r="M37" s="251"/>
      <c r="N37" s="188">
        <f>+T37+Z37</f>
        <v>0</v>
      </c>
      <c r="O37" s="176" t="s">
        <v>143</v>
      </c>
      <c r="P37" s="251"/>
      <c r="Q37" s="213"/>
      <c r="R37" s="11"/>
      <c r="S37" s="251"/>
      <c r="T37" s="252"/>
      <c r="U37" s="134"/>
      <c r="V37" s="253"/>
      <c r="W37" s="213"/>
      <c r="X37" s="183"/>
      <c r="Y37" s="181"/>
      <c r="Z37" s="213"/>
      <c r="AE37" s="194">
        <v>673200</v>
      </c>
    </row>
    <row r="38" spans="2:32" ht="14.25" customHeight="1" x14ac:dyDescent="0.25">
      <c r="B38" s="169" t="s">
        <v>137</v>
      </c>
      <c r="C38" s="170">
        <v>6011</v>
      </c>
      <c r="D38" s="170">
        <v>28040</v>
      </c>
      <c r="E38" s="171">
        <v>673210</v>
      </c>
      <c r="F38" s="254" t="s">
        <v>171</v>
      </c>
      <c r="G38" s="255"/>
      <c r="H38" s="256">
        <f t="shared" si="6"/>
        <v>0</v>
      </c>
      <c r="I38" s="257"/>
      <c r="J38" s="236"/>
      <c r="K38" s="188">
        <f t="shared" si="4"/>
        <v>0</v>
      </c>
      <c r="L38" s="258"/>
      <c r="M38" s="238"/>
      <c r="N38" s="188">
        <f t="shared" ref="N38" si="7">+T38+Z38</f>
        <v>0</v>
      </c>
      <c r="O38" s="259"/>
      <c r="P38" s="238"/>
      <c r="Q38" s="260"/>
      <c r="R38" s="261"/>
      <c r="S38" s="238"/>
      <c r="T38" s="260"/>
      <c r="U38" s="134"/>
      <c r="V38" s="253"/>
      <c r="W38" s="213"/>
      <c r="X38" s="183"/>
      <c r="Y38" s="181"/>
      <c r="Z38" s="213"/>
      <c r="AE38" s="194">
        <v>673210</v>
      </c>
    </row>
    <row r="39" spans="2:32" ht="15" x14ac:dyDescent="0.25">
      <c r="F39" s="97" t="s">
        <v>172</v>
      </c>
      <c r="G39" s="209"/>
      <c r="H39" s="114">
        <f>SUM(H24:H37)</f>
        <v>641240.95000000007</v>
      </c>
      <c r="I39" s="257"/>
      <c r="J39" s="263"/>
      <c r="K39" s="220">
        <f>SUM(K24:K37)</f>
        <v>569249.66999999993</v>
      </c>
      <c r="L39" s="258"/>
      <c r="M39" s="11"/>
      <c r="N39" s="256">
        <f>SUM(N24:N37)</f>
        <v>71991.28</v>
      </c>
      <c r="O39" s="134"/>
      <c r="P39" s="11"/>
      <c r="Q39" s="17">
        <f>SUM(Q24:Q37)</f>
        <v>569249.66999999993</v>
      </c>
      <c r="R39" s="175"/>
      <c r="S39" s="209"/>
      <c r="T39" s="17">
        <f>SUM(T24:T37)</f>
        <v>71991.28</v>
      </c>
      <c r="U39" s="134"/>
      <c r="W39" s="221">
        <f>SUM(W24:W37)</f>
        <v>0</v>
      </c>
      <c r="Y39" s="264"/>
      <c r="Z39" s="221">
        <f>SUM(Z24:Z37)</f>
        <v>0</v>
      </c>
      <c r="AB39" s="224">
        <f>SUM(AB24:AB37)</f>
        <v>0</v>
      </c>
      <c r="AC39" s="224">
        <f>SUM(AC24:AC37)</f>
        <v>0</v>
      </c>
      <c r="AD39" s="224"/>
    </row>
    <row r="40" spans="2:32" ht="14.1" customHeight="1" x14ac:dyDescent="0.25">
      <c r="F40" s="240"/>
      <c r="G40" s="11"/>
      <c r="H40" s="265"/>
      <c r="I40" s="134"/>
      <c r="J40" s="266"/>
      <c r="K40" s="267"/>
      <c r="L40" s="268"/>
      <c r="M40" s="266"/>
      <c r="N40" s="267"/>
      <c r="O40" s="134"/>
      <c r="P40" s="269"/>
      <c r="Q40" s="270"/>
      <c r="R40" s="179"/>
      <c r="S40" s="269"/>
      <c r="T40" s="270"/>
      <c r="U40" s="134"/>
      <c r="V40" s="271"/>
      <c r="W40" s="265"/>
      <c r="Y40" s="248"/>
      <c r="Z40" s="272"/>
      <c r="AB40" s="133"/>
      <c r="AC40" s="133"/>
      <c r="AD40" s="133"/>
    </row>
    <row r="41" spans="2:32" ht="15.75" customHeight="1" x14ac:dyDescent="0.25">
      <c r="F41" s="273" t="s">
        <v>173</v>
      </c>
      <c r="G41" s="241">
        <f>+G39+G22+G15</f>
        <v>18884219</v>
      </c>
      <c r="H41" s="114">
        <f>+H39+H22+H15</f>
        <v>9676980.9400000013</v>
      </c>
      <c r="I41" s="134"/>
      <c r="J41" s="273">
        <f>+J39+J22+J15</f>
        <v>15601122</v>
      </c>
      <c r="K41" s="221">
        <f>+K39+K22+K15</f>
        <v>7710273.2300000004</v>
      </c>
      <c r="L41" s="274"/>
      <c r="M41" s="273">
        <f>+M39+M22+M15</f>
        <v>3283097</v>
      </c>
      <c r="N41" s="221">
        <f>+N39+N22+N15</f>
        <v>1966707.71</v>
      </c>
      <c r="O41" s="154"/>
      <c r="P41" s="275">
        <f>+P39+P22+P15</f>
        <v>15600829</v>
      </c>
      <c r="Q41" s="223">
        <f>+Q39+Q22+Q15</f>
        <v>7710736.4200000009</v>
      </c>
      <c r="R41" s="98"/>
      <c r="S41" s="275">
        <f>+S39+S22+S15</f>
        <v>3283390</v>
      </c>
      <c r="T41" s="223">
        <f>+T39+T22+T15</f>
        <v>1966957.42</v>
      </c>
      <c r="U41" s="134"/>
      <c r="V41" s="13">
        <f>+V39+V22+V15</f>
        <v>293</v>
      </c>
      <c r="W41" s="221">
        <f>+W39+W22+W15</f>
        <v>-463.19000000000005</v>
      </c>
      <c r="Y41" s="248">
        <f>+Y39+Y22+Y15</f>
        <v>-293</v>
      </c>
      <c r="Z41" s="221">
        <f>+Z39+Z22+Z15</f>
        <v>-249.71</v>
      </c>
      <c r="AB41" s="224">
        <f>+AB39+AB22+AB15</f>
        <v>0</v>
      </c>
      <c r="AC41" s="224">
        <f>+AC39+AC22+AC15</f>
        <v>0</v>
      </c>
      <c r="AD41" s="224"/>
      <c r="AE41" s="234"/>
    </row>
    <row r="42" spans="2:32" ht="14.1" customHeight="1" x14ac:dyDescent="0.25">
      <c r="H42" s="276"/>
      <c r="I42" s="134"/>
      <c r="J42" s="277"/>
      <c r="K42" s="230"/>
      <c r="L42" s="268"/>
      <c r="M42" s="277"/>
      <c r="N42" s="230"/>
      <c r="O42" s="134"/>
      <c r="P42" s="179"/>
      <c r="Q42" s="102"/>
      <c r="R42" s="179"/>
      <c r="S42" s="179"/>
      <c r="T42" s="102"/>
      <c r="U42" s="134"/>
      <c r="V42" s="248"/>
      <c r="W42" s="272"/>
      <c r="Y42" s="248"/>
      <c r="Z42" s="272"/>
    </row>
    <row r="43" spans="2:32" ht="14.1" customHeight="1" x14ac:dyDescent="0.25">
      <c r="C43" s="11" t="s">
        <v>174</v>
      </c>
      <c r="I43" s="134"/>
      <c r="J43" s="278" t="s">
        <v>98</v>
      </c>
      <c r="K43" s="279">
        <f>+K8+K9+K10+K11+K12+K13+K14+K18+K26+K27+K28+K31+K34+K35+K37+K38</f>
        <v>3719902.4900000007</v>
      </c>
      <c r="L43" s="268" t="s">
        <v>143</v>
      </c>
      <c r="M43" s="277"/>
      <c r="N43" s="280">
        <f>+N8+N9+N10+N11+N12+N13+N14+N18+N26+N31+N34+N35+N37+N27+N28+N38</f>
        <v>1020912.3400000001</v>
      </c>
      <c r="O43" s="176" t="s">
        <v>143</v>
      </c>
      <c r="P43" s="179"/>
      <c r="Q43" s="281">
        <f>+Q8+Q9+Q10+Q11+Q12+Q13+Q14+Q18+Q26+Q27+Q28+Q31+Q34+Q35+Q37+Q38</f>
        <v>3719719.4900000007</v>
      </c>
      <c r="R43" s="179"/>
      <c r="S43" s="278" t="s">
        <v>126</v>
      </c>
      <c r="T43" s="281">
        <f>+T8+T10+T9+T11+T12+T13+T14+T18+T26+T31+T34+T35+T37+T27+T28+T38</f>
        <v>1021197.03</v>
      </c>
      <c r="U43" s="134"/>
      <c r="W43" s="281">
        <f>+W8+W9+W10+W11+W12+W13+W14+W18+W26+W27+W28+W31+W34+W35+W37+W38</f>
        <v>183</v>
      </c>
      <c r="Z43" s="281">
        <f>Z9+Z10+Z11+Z12+Z13+Z14+Z18+Z26+Z31+Z34+Z35+Z37+Z8+Z27+Z28+Z38</f>
        <v>-284.69</v>
      </c>
      <c r="AB43" s="282">
        <f>+AB8+AB9+AB10+AB11+AB12+AB13+AB14+AB18+AB26+AB27+AB28+AB29+AB31+AB34+AB35+AB37</f>
        <v>0</v>
      </c>
      <c r="AC43" s="282">
        <f>+AC6+AC8+AC9+AC10+AC11+AC12+AC13+AC14+AC18+AC26+AC31+AC34+AC35+AC37</f>
        <v>0</v>
      </c>
    </row>
    <row r="44" spans="2:32" ht="14.1" customHeight="1" x14ac:dyDescent="0.25">
      <c r="C44" s="11" t="s">
        <v>175</v>
      </c>
      <c r="I44" s="134"/>
      <c r="J44" s="278" t="s">
        <v>98</v>
      </c>
      <c r="K44" s="279">
        <f>+K6+K7+K17+K24+K25+K30+K32+K33+K36+K19+K20+K21+K29</f>
        <v>3990370.7400000007</v>
      </c>
      <c r="L44" s="268" t="s">
        <v>140</v>
      </c>
      <c r="M44" s="277"/>
      <c r="N44" s="280">
        <f>N6+N7+N17+N24+N25+N30+N32+N33+N36+N19+N20+N21+N29</f>
        <v>945795.37000000011</v>
      </c>
      <c r="O44" s="176" t="s">
        <v>140</v>
      </c>
      <c r="P44" s="179"/>
      <c r="Q44" s="283">
        <f>Q6+Q7+Q17+Q24+Q25+Q30+Q32+Q33+Q36+Q19+Q20+Q21+Q29</f>
        <v>3991016.93</v>
      </c>
      <c r="R44" s="179"/>
      <c r="S44" s="278" t="s">
        <v>126</v>
      </c>
      <c r="T44" s="283">
        <f>+T7+T6+T17+T24+T25+T30+T32+T33+T36+T19+T20+T21+T29</f>
        <v>945760.39000000013</v>
      </c>
      <c r="U44" s="134"/>
      <c r="W44" s="283">
        <f>W6+W7+W17+W24+W25+W30+W32+W33+W36+W19+W20+W21+W29</f>
        <v>-646.19000000000005</v>
      </c>
      <c r="Z44" s="283">
        <f>+Z7+Z17+Z24+Z25+Z30+Z32+Z33+Z36+Z19+Z20+Z21+Z29+Z6</f>
        <v>34.979999999999997</v>
      </c>
      <c r="AB44" s="284">
        <f>AB6+AB7+AB17+AB24+AB25+AB30+AB32+AB33+AB36</f>
        <v>0</v>
      </c>
      <c r="AC44" s="284">
        <f>+AC7+AC17+AC24+AC25+AC27+AC28+AC29+AC30+AC32+AC33+AC36</f>
        <v>0</v>
      </c>
    </row>
    <row r="45" spans="2:32" ht="15" customHeight="1" x14ac:dyDescent="0.25">
      <c r="C45" s="11" t="s">
        <v>12</v>
      </c>
      <c r="I45" s="134"/>
      <c r="J45" s="277"/>
      <c r="K45" s="221">
        <f>SUM(K43:K44)</f>
        <v>7710273.2300000014</v>
      </c>
      <c r="L45" s="285"/>
      <c r="M45" s="277"/>
      <c r="N45" s="221">
        <f>SUM(N43:N44)</f>
        <v>1966707.7100000002</v>
      </c>
      <c r="O45" s="134"/>
      <c r="P45" s="179"/>
      <c r="Q45" s="221">
        <f>SUM(Q43:Q44)</f>
        <v>7710736.4200000009</v>
      </c>
      <c r="R45" s="179"/>
      <c r="S45" s="179"/>
      <c r="T45" s="221">
        <f>SUM(T43:T44)</f>
        <v>1966957.4200000002</v>
      </c>
      <c r="U45" s="134"/>
      <c r="W45" s="223">
        <f>SUM(W43:W44)</f>
        <v>-463.19000000000005</v>
      </c>
      <c r="Z45" s="223">
        <f>SUM(Z43:Z44)</f>
        <v>-249.71</v>
      </c>
      <c r="AB45" s="286">
        <f>SUM(AB43:AB44)</f>
        <v>0</v>
      </c>
      <c r="AC45" s="286">
        <f>SUM(AC43:AC44)</f>
        <v>0</v>
      </c>
      <c r="AD45" s="287"/>
      <c r="AE45" s="16">
        <f>+Z45+W45</f>
        <v>-712.90000000000009</v>
      </c>
    </row>
    <row r="46" spans="2:32" ht="15" customHeight="1" x14ac:dyDescent="0.25">
      <c r="K46" s="288"/>
      <c r="M46" s="172" t="s">
        <v>176</v>
      </c>
      <c r="AE46" s="16">
        <f>+[2]Invoices!$N$68</f>
        <v>-712.90000000003954</v>
      </c>
      <c r="AF46" s="97" t="s">
        <v>177</v>
      </c>
    </row>
    <row r="47" spans="2:32" ht="15" x14ac:dyDescent="0.25">
      <c r="K47" s="288" t="s">
        <v>178</v>
      </c>
      <c r="M47" s="289">
        <f>K45+N45</f>
        <v>9676980.9400000013</v>
      </c>
      <c r="P47" s="290" t="s">
        <v>179</v>
      </c>
      <c r="Q47" s="291">
        <f>Q45-Q11-Q12-Q13</f>
        <v>10335671.140000001</v>
      </c>
      <c r="R47" s="136"/>
      <c r="S47" s="290" t="s">
        <v>179</v>
      </c>
      <c r="T47" s="291">
        <f>T45-T11-T12-T13</f>
        <v>1969126.8</v>
      </c>
      <c r="W47" s="234"/>
      <c r="AE47" s="292">
        <f>+AE45-AE46</f>
        <v>3.9449332689400762E-11</v>
      </c>
    </row>
    <row r="48" spans="2:32" ht="15" customHeight="1" x14ac:dyDescent="0.25">
      <c r="F48" s="293"/>
      <c r="K48" s="288" t="s">
        <v>180</v>
      </c>
      <c r="M48" s="294">
        <v>11067573.58</v>
      </c>
      <c r="P48" s="295" t="s">
        <v>181</v>
      </c>
      <c r="Q48" s="296">
        <f>W45</f>
        <v>-463.19000000000005</v>
      </c>
      <c r="R48" s="205"/>
      <c r="S48" s="297" t="s">
        <v>181</v>
      </c>
      <c r="T48" s="296">
        <f>Z45</f>
        <v>-249.71</v>
      </c>
      <c r="W48" s="298"/>
    </row>
    <row r="49" spans="2:26" ht="15" customHeight="1" x14ac:dyDescent="0.25">
      <c r="F49" s="293"/>
      <c r="G49" s="13" t="s">
        <v>182</v>
      </c>
      <c r="K49" s="288">
        <v>28051</v>
      </c>
      <c r="M49" s="15">
        <v>-100645.54</v>
      </c>
      <c r="P49" s="299">
        <v>6011</v>
      </c>
      <c r="Q49" s="300">
        <f>Q47+Q48</f>
        <v>10335207.950000001</v>
      </c>
      <c r="R49" s="301"/>
      <c r="S49" s="299">
        <v>6011</v>
      </c>
      <c r="T49" s="300">
        <f>T47+T48</f>
        <v>1968877.09</v>
      </c>
      <c r="U49" s="298"/>
      <c r="V49" s="298"/>
      <c r="W49" s="302"/>
      <c r="Z49" s="133"/>
    </row>
    <row r="50" spans="2:26" ht="15" customHeight="1" x14ac:dyDescent="0.25">
      <c r="F50" s="293"/>
      <c r="K50" s="288">
        <v>28051</v>
      </c>
      <c r="M50" s="6">
        <v>-1289947.1000000001</v>
      </c>
      <c r="Q50" s="303"/>
      <c r="R50" s="304"/>
      <c r="S50" s="304"/>
      <c r="T50" s="305"/>
      <c r="U50" s="298"/>
      <c r="V50" s="298"/>
      <c r="W50" s="302"/>
      <c r="Z50" s="133"/>
    </row>
    <row r="51" spans="2:26" ht="15" customHeight="1" x14ac:dyDescent="0.25">
      <c r="F51" s="293"/>
      <c r="K51" s="288" t="s">
        <v>183</v>
      </c>
      <c r="M51" s="289">
        <f>+M48+M49+M50</f>
        <v>9676980.9400000013</v>
      </c>
      <c r="N51" s="13"/>
      <c r="Q51" s="303"/>
      <c r="T51" s="303"/>
      <c r="U51" s="298"/>
      <c r="V51" s="298"/>
      <c r="W51" s="302"/>
      <c r="Z51" s="133"/>
    </row>
    <row r="52" spans="2:26" ht="15" customHeight="1" x14ac:dyDescent="0.25">
      <c r="F52" s="293"/>
      <c r="K52" s="288"/>
      <c r="M52" s="272">
        <f>+M47-M51</f>
        <v>0</v>
      </c>
      <c r="T52" s="303"/>
      <c r="U52" s="298"/>
      <c r="V52" s="298"/>
      <c r="W52" s="302"/>
      <c r="Z52" s="133"/>
    </row>
    <row r="53" spans="2:26" ht="15" customHeight="1" x14ac:dyDescent="0.25">
      <c r="F53" s="293"/>
      <c r="Q53" s="303"/>
      <c r="T53" s="303"/>
      <c r="U53" s="298"/>
      <c r="V53" s="298"/>
      <c r="W53" s="302"/>
      <c r="Z53" s="133"/>
    </row>
    <row r="54" spans="2:26" ht="15" customHeight="1" x14ac:dyDescent="0.25">
      <c r="F54" s="293"/>
      <c r="L54" s="306"/>
      <c r="M54" s="307" t="s">
        <v>1</v>
      </c>
      <c r="N54" s="14" t="s">
        <v>184</v>
      </c>
      <c r="Q54" s="308"/>
      <c r="R54" s="301"/>
      <c r="S54" s="301"/>
      <c r="T54" s="308"/>
      <c r="Z54" s="133"/>
    </row>
    <row r="55" spans="2:26" ht="14.1" customHeight="1" x14ac:dyDescent="0.25">
      <c r="L55" s="145"/>
      <c r="M55" s="307" t="s">
        <v>185</v>
      </c>
      <c r="N55" s="14" t="s">
        <v>186</v>
      </c>
      <c r="P55" s="98"/>
      <c r="Q55" s="308"/>
      <c r="T55" s="308"/>
      <c r="Z55" s="133"/>
    </row>
    <row r="56" spans="2:26" ht="14.1" customHeight="1" x14ac:dyDescent="0.25">
      <c r="B56" s="13"/>
      <c r="L56" s="145"/>
      <c r="M56" s="307" t="s">
        <v>187</v>
      </c>
      <c r="N56" s="14" t="s">
        <v>188</v>
      </c>
    </row>
    <row r="57" spans="2:26" ht="14.1" customHeight="1" x14ac:dyDescent="0.25">
      <c r="B57" s="309"/>
      <c r="L57" s="145"/>
      <c r="M57" s="307" t="s">
        <v>189</v>
      </c>
      <c r="N57" s="14" t="s">
        <v>190</v>
      </c>
      <c r="W57" s="310"/>
    </row>
    <row r="58" spans="2:26" ht="14.1" customHeight="1" x14ac:dyDescent="0.25">
      <c r="L58" s="145"/>
      <c r="M58" s="307" t="s">
        <v>191</v>
      </c>
      <c r="N58" s="311" t="s">
        <v>192</v>
      </c>
    </row>
    <row r="59" spans="2:26" ht="14.1" customHeight="1" x14ac:dyDescent="0.25">
      <c r="L59" s="145"/>
      <c r="M59" s="307" t="s">
        <v>193</v>
      </c>
      <c r="N59" s="14" t="s">
        <v>194</v>
      </c>
    </row>
    <row r="60" spans="2:26" ht="14.1" customHeight="1" x14ac:dyDescent="0.25">
      <c r="L60" s="145"/>
      <c r="M60" s="307" t="s">
        <v>195</v>
      </c>
      <c r="N60" s="14" t="s">
        <v>196</v>
      </c>
    </row>
    <row r="61" spans="2:26" ht="14.1" customHeight="1" x14ac:dyDescent="0.25">
      <c r="L61" s="145"/>
      <c r="M61" s="307" t="s">
        <v>197</v>
      </c>
      <c r="N61" s="14" t="s">
        <v>198</v>
      </c>
    </row>
    <row r="62" spans="2:26" ht="14.1" customHeight="1" x14ac:dyDescent="0.25">
      <c r="L62" s="312"/>
      <c r="M62" s="313"/>
      <c r="N62" s="14" t="s">
        <v>199</v>
      </c>
    </row>
    <row r="63" spans="2:26" ht="14.1" customHeight="1" thickBot="1" x14ac:dyDescent="0.3">
      <c r="P63" s="314" t="s">
        <v>136</v>
      </c>
      <c r="Q63" s="315"/>
      <c r="R63" s="314"/>
      <c r="S63" s="314" t="s">
        <v>136</v>
      </c>
      <c r="T63" s="315"/>
    </row>
    <row r="64" spans="2:26" ht="14.1" customHeight="1" x14ac:dyDescent="0.25">
      <c r="B64" s="13"/>
      <c r="J64" s="95" t="s">
        <v>200</v>
      </c>
      <c r="K64" s="14" t="s">
        <v>201</v>
      </c>
      <c r="L64" s="97"/>
      <c r="M64" s="2">
        <v>6011</v>
      </c>
      <c r="N64" s="14" t="s">
        <v>202</v>
      </c>
      <c r="P64" s="98" t="e">
        <f ca="1">_xll.GXL(1, N$54,"CURRENCY="&amp;N$59&amp;";"&amp;"WEEKLY=FALSE",N$56,N$57,N$58,N$60,J64,$M64,$N64)</f>
        <v>#NAME?</v>
      </c>
      <c r="Q64" s="316" t="e">
        <f ca="1">_xll.GXL(1, N$55,"CURRENCY="&amp;N$59&amp;";"&amp;"WEEKLY=FALSE",N$56,N$57,N$58,N$60,J64,$M64,$N64)</f>
        <v>#NAME?</v>
      </c>
      <c r="R64" s="205">
        <v>-1</v>
      </c>
      <c r="S64" s="98" t="e">
        <f ca="1">_xll.GXL(1, N$54,"CURRENCY="&amp;N$59&amp;";"&amp;"WEEKLY=FALSE",N$56,N$57,N$58,N$60,K64,$M64,$N64)</f>
        <v>#NAME?</v>
      </c>
      <c r="T64" s="316" t="e">
        <f ca="1">_xll.GXL(1, N$55,"CURRENCY="&amp;N$59&amp;";"&amp;"WEEKLY=FALSE",N$56,N$57,N$58,N$60,K64,$M64,$N64)</f>
        <v>#NAME?</v>
      </c>
      <c r="U64" s="317">
        <v>-4</v>
      </c>
    </row>
    <row r="65" spans="2:22" ht="14.1" customHeight="1" x14ac:dyDescent="0.25">
      <c r="J65" s="95" t="s">
        <v>200</v>
      </c>
      <c r="K65" s="14" t="s">
        <v>201</v>
      </c>
      <c r="L65" s="97"/>
      <c r="M65" s="2">
        <v>6011</v>
      </c>
      <c r="N65" s="2">
        <v>28082</v>
      </c>
      <c r="P65" s="98" t="e">
        <f ca="1">_xll.GXL(1, N$54,"CURRENCY="&amp;N$59&amp;";"&amp;"WEEKLY=FALSE",N$56,N$57,N$58,N$60,J65,$M65,$N65)</f>
        <v>#NAME?</v>
      </c>
      <c r="Q65" s="318" t="e">
        <f ca="1">_xll.GXL(1, N$55,"CURRENCY="&amp;N$59&amp;";"&amp;"WEEKLY=FALSE",N$56,N$57,N$58,N$60,N$61,$M65,$N65)</f>
        <v>#NAME?</v>
      </c>
      <c r="R65" s="205">
        <v>-2</v>
      </c>
      <c r="S65" s="316"/>
      <c r="T65" s="318"/>
      <c r="U65" s="317"/>
    </row>
    <row r="66" spans="2:22" ht="15" x14ac:dyDescent="0.25">
      <c r="J66" s="95" t="s">
        <v>200</v>
      </c>
      <c r="K66" s="14" t="s">
        <v>201</v>
      </c>
      <c r="L66" s="97"/>
      <c r="M66" s="2">
        <v>6011</v>
      </c>
      <c r="N66" s="2">
        <v>28120</v>
      </c>
      <c r="P66" s="98" t="e">
        <f ca="1">_xll.GXL(1, N$54,"CURRENCY="&amp;N$59&amp;";"&amp;"WEEKLY=FALSE",N$56,N$57,N$58,N$60,J66,$M66,$N66)</f>
        <v>#NAME?</v>
      </c>
      <c r="Q66" s="316" t="e">
        <f ca="1">_xll.GXL(1, N$55,"CURRENCY="&amp;N$59&amp;";"&amp;"WEEKLY=FALSE",N$56,N$57,N$58,N$60,J66,$M66,$N66)</f>
        <v>#NAME?</v>
      </c>
      <c r="R66" s="205">
        <v>-3</v>
      </c>
      <c r="S66" s="98" t="e">
        <f ca="1">_xll.GXL(1, N$54,"CURRENCY="&amp;N$59&amp;";"&amp;"WEEKLY=FALSE",N$56,N$57,N$58,N$60,K66,$M66,$N66)</f>
        <v>#NAME?</v>
      </c>
      <c r="T66" s="316" t="e">
        <f ca="1">_xll.GXL(1, N$55,"CURRENCY="&amp;N$59&amp;";"&amp;"WEEKLY=FALSE",N$56,N$57,N$58,N$60,K66,$M66,$N66)</f>
        <v>#NAME?</v>
      </c>
      <c r="U66" s="317">
        <v>-5</v>
      </c>
    </row>
    <row r="67" spans="2:22" ht="14.1" customHeight="1" x14ac:dyDescent="0.25">
      <c r="B67" s="7"/>
      <c r="P67" s="98"/>
      <c r="Q67" s="319" t="e">
        <f ca="1">SUM(Q64:Q66)</f>
        <v>#NAME?</v>
      </c>
      <c r="R67" s="156"/>
      <c r="S67" s="156"/>
      <c r="T67" s="319" t="e">
        <f ca="1">SUM(T64:T66)</f>
        <v>#NAME?</v>
      </c>
      <c r="U67" s="97"/>
    </row>
    <row r="68" spans="2:22" ht="14.1" customHeight="1" x14ac:dyDescent="0.25">
      <c r="P68" s="320"/>
      <c r="Q68" s="321"/>
      <c r="R68" s="320"/>
      <c r="S68" s="320"/>
      <c r="T68" s="321"/>
      <c r="U68" s="97"/>
    </row>
    <row r="74" spans="2:22" ht="14.1" customHeight="1" x14ac:dyDescent="0.25">
      <c r="Q74" s="144">
        <v>9776852</v>
      </c>
      <c r="S74" s="144">
        <v>2278617.61</v>
      </c>
      <c r="T74" s="144">
        <v>2102518</v>
      </c>
      <c r="V74" s="13">
        <v>317389.78000000003</v>
      </c>
    </row>
    <row r="76" spans="2:22" ht="14.1" customHeight="1" x14ac:dyDescent="0.25">
      <c r="S76" s="322">
        <f>+S74/Q74</f>
        <v>0.23306250416800825</v>
      </c>
      <c r="V76" s="323">
        <f>+V74/T74</f>
        <v>0.15095698586171438</v>
      </c>
    </row>
  </sheetData>
  <mergeCells count="15">
    <mergeCell ref="B5:E5"/>
    <mergeCell ref="AB3:AC3"/>
    <mergeCell ref="G4:H4"/>
    <mergeCell ref="J4:K4"/>
    <mergeCell ref="M4:N4"/>
    <mergeCell ref="P4:Q4"/>
    <mergeCell ref="S4:T4"/>
    <mergeCell ref="V4:W4"/>
    <mergeCell ref="Y4:Z4"/>
    <mergeCell ref="V1:Z1"/>
    <mergeCell ref="B2:E2"/>
    <mergeCell ref="J2:N2"/>
    <mergeCell ref="P2:T2"/>
    <mergeCell ref="V2:Z2"/>
    <mergeCell ref="V3:Z3"/>
  </mergeCells>
  <printOptions gridLines="1"/>
  <pageMargins left="0.25" right="0" top="0.75" bottom="0" header="0.35" footer="0.24"/>
  <pageSetup scale="43" orientation="landscape" cellComments="asDisplayed" r:id="rId1"/>
  <headerFooter alignWithMargins="0">
    <oddHeader>&amp;C&amp;18&amp;A&amp;R&amp;18Page 6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8264F-F275-4D91-B568-722025E23B86}">
  <dimension ref="B1:H29"/>
  <sheetViews>
    <sheetView showGridLines="0" tabSelected="1" view="pageBreakPreview" zoomScale="110" zoomScaleNormal="100" zoomScaleSheetLayoutView="110" workbookViewId="0">
      <selection activeCell="C107" sqref="C107"/>
    </sheetView>
  </sheetViews>
  <sheetFormatPr defaultRowHeight="12.75" x14ac:dyDescent="0.2"/>
  <cols>
    <col min="1" max="1" width="1.7109375" style="129" customWidth="1"/>
    <col min="2" max="2" width="10" style="129" customWidth="1"/>
    <col min="3" max="3" width="26.42578125" style="129" customWidth="1"/>
    <col min="4" max="4" width="20.42578125" style="129" customWidth="1"/>
    <col min="5" max="5" width="20" style="129" customWidth="1"/>
    <col min="6" max="6" width="16.42578125" style="129" bestFit="1" customWidth="1"/>
    <col min="7" max="7" width="17.7109375" style="129" bestFit="1" customWidth="1"/>
    <col min="8" max="8" width="3.7109375" style="129" customWidth="1"/>
    <col min="9" max="16384" width="9.140625" style="129"/>
  </cols>
  <sheetData>
    <row r="1" spans="2:8" ht="18" customHeight="1" x14ac:dyDescent="0.2">
      <c r="B1" s="374" t="s">
        <v>9</v>
      </c>
      <c r="C1" s="374"/>
      <c r="D1" s="374"/>
      <c r="E1" s="374"/>
      <c r="F1" s="374"/>
      <c r="G1" s="376"/>
      <c r="H1" s="375"/>
    </row>
    <row r="2" spans="2:8" ht="15" x14ac:dyDescent="0.2">
      <c r="B2" s="374" t="s">
        <v>10</v>
      </c>
      <c r="C2" s="373">
        <f>'[1]Core Cost Incurred'!B2</f>
        <v>44464</v>
      </c>
      <c r="D2" s="372"/>
      <c r="E2" s="372"/>
      <c r="F2" s="372"/>
      <c r="G2" s="372"/>
    </row>
    <row r="4" spans="2:8" ht="15" customHeight="1" thickBot="1" x14ac:dyDescent="0.25">
      <c r="B4" s="371"/>
      <c r="C4" s="371"/>
      <c r="D4" s="371"/>
      <c r="E4" s="371"/>
      <c r="F4" s="370"/>
      <c r="G4" s="369"/>
    </row>
    <row r="5" spans="2:8" ht="14.25" x14ac:dyDescent="0.2">
      <c r="B5" s="368"/>
      <c r="C5" s="368"/>
      <c r="D5" s="366" t="s">
        <v>3</v>
      </c>
      <c r="E5" s="366" t="s">
        <v>6</v>
      </c>
      <c r="F5" s="367" t="s">
        <v>11</v>
      </c>
      <c r="G5" s="366" t="s">
        <v>12</v>
      </c>
    </row>
    <row r="6" spans="2:8" ht="15" x14ac:dyDescent="0.25">
      <c r="B6" s="348" t="s">
        <v>13</v>
      </c>
      <c r="C6" s="365"/>
      <c r="D6" s="363">
        <v>692010</v>
      </c>
      <c r="E6" s="363">
        <v>691010</v>
      </c>
      <c r="F6" s="364">
        <v>693010</v>
      </c>
      <c r="G6" s="363"/>
    </row>
    <row r="7" spans="2:8" ht="15.75" customHeight="1" x14ac:dyDescent="0.2">
      <c r="B7" s="362" t="s">
        <v>14</v>
      </c>
      <c r="C7" s="362"/>
      <c r="D7" s="339"/>
      <c r="E7" s="339"/>
      <c r="F7" s="358"/>
      <c r="G7" s="332">
        <f>SUM(D7:F7)</f>
        <v>0</v>
      </c>
    </row>
    <row r="8" spans="2:8" ht="15.75" customHeight="1" x14ac:dyDescent="0.2">
      <c r="B8" s="361" t="s">
        <v>15</v>
      </c>
      <c r="C8" s="361"/>
      <c r="D8" s="360">
        <f>+'[1]WA Rates'!K39</f>
        <v>2262781.44</v>
      </c>
      <c r="E8" s="360">
        <f>+'[1]WA Rates'!L39</f>
        <v>1478738.05</v>
      </c>
      <c r="F8" s="359">
        <f>+'[1]WA Rates'!M39</f>
        <v>1019730.0899999999</v>
      </c>
      <c r="G8" s="332">
        <f>SUM(D8:F8)</f>
        <v>4761249.58</v>
      </c>
    </row>
    <row r="9" spans="2:8" ht="15.75" customHeight="1" x14ac:dyDescent="0.2">
      <c r="B9" s="334" t="s">
        <v>16</v>
      </c>
      <c r="C9" s="334"/>
      <c r="D9" s="339">
        <f>SUM(D7:D8)</f>
        <v>2262781.44</v>
      </c>
      <c r="E9" s="339">
        <f>SUM(E7:E8)</f>
        <v>1478738.05</v>
      </c>
      <c r="F9" s="358">
        <f>SUM(F7:F8)</f>
        <v>1019730.0899999999</v>
      </c>
      <c r="G9" s="357">
        <f>SUM(G7:G8)</f>
        <v>4761249.58</v>
      </c>
    </row>
    <row r="10" spans="2:8" ht="15.75" customHeight="1" x14ac:dyDescent="0.2">
      <c r="B10" s="334" t="s">
        <v>18</v>
      </c>
      <c r="C10" s="334"/>
      <c r="D10" s="356">
        <f>'[1]Core Cost Incurred'!K43</f>
        <v>3719902.4900000007</v>
      </c>
      <c r="E10" s="356">
        <f>'[1]Core Cost Incurred'!K44</f>
        <v>3990370.7400000007</v>
      </c>
      <c r="F10" s="355">
        <v>0</v>
      </c>
      <c r="G10" s="354">
        <f>SUM(D10:E10)</f>
        <v>7710273.2300000014</v>
      </c>
    </row>
    <row r="11" spans="2:8" ht="15.75" customHeight="1" x14ac:dyDescent="0.2">
      <c r="B11" s="334" t="s">
        <v>19</v>
      </c>
      <c r="C11" s="334"/>
      <c r="D11" s="347">
        <f>D9-D10</f>
        <v>-1457121.0500000007</v>
      </c>
      <c r="E11" s="353">
        <f>E9-E10</f>
        <v>-2511632.6900000004</v>
      </c>
      <c r="F11" s="353">
        <f>F9-F10</f>
        <v>1019730.0899999999</v>
      </c>
      <c r="G11" s="347">
        <f>G9-G10</f>
        <v>-2949023.6500000013</v>
      </c>
    </row>
    <row r="12" spans="2:8" ht="15.75" customHeight="1" x14ac:dyDescent="0.2">
      <c r="B12" s="334" t="s">
        <v>20</v>
      </c>
      <c r="C12" s="334"/>
      <c r="D12" s="352">
        <v>580.99</v>
      </c>
      <c r="E12" s="351"/>
      <c r="F12" s="350"/>
      <c r="G12" s="349">
        <f>D12</f>
        <v>580.99</v>
      </c>
    </row>
    <row r="13" spans="2:8" ht="15.75" customHeight="1" x14ac:dyDescent="0.2">
      <c r="B13" s="348" t="s">
        <v>21</v>
      </c>
      <c r="C13" s="348"/>
      <c r="D13" s="347"/>
      <c r="E13" s="347">
        <f>358876.62</f>
        <v>358876.62</v>
      </c>
      <c r="F13" s="346"/>
      <c r="G13" s="332">
        <f>E13</f>
        <v>358876.62</v>
      </c>
    </row>
    <row r="14" spans="2:8" ht="15.75" customHeight="1" x14ac:dyDescent="0.25">
      <c r="B14" s="345" t="s">
        <v>22</v>
      </c>
      <c r="C14" s="344"/>
      <c r="D14" s="342">
        <f>+D9-D10+D12</f>
        <v>-1456540.0600000008</v>
      </c>
      <c r="E14" s="342">
        <f>+E11+E13</f>
        <v>-2152756.0700000003</v>
      </c>
      <c r="F14" s="343">
        <f>+F9-F10</f>
        <v>1019730.0899999999</v>
      </c>
      <c r="G14" s="342">
        <f>G11+G13+G12</f>
        <v>-2589566.040000001</v>
      </c>
    </row>
    <row r="15" spans="2:8" ht="14.25" customHeight="1" x14ac:dyDescent="0.2">
      <c r="D15" s="334"/>
      <c r="E15" s="334"/>
      <c r="F15" s="340"/>
      <c r="G15" s="334"/>
    </row>
    <row r="16" spans="2:8" ht="14.25" customHeight="1" x14ac:dyDescent="0.2">
      <c r="D16" s="334" t="s">
        <v>23</v>
      </c>
      <c r="E16" s="334"/>
      <c r="F16" s="340"/>
      <c r="G16" s="334"/>
    </row>
    <row r="17" spans="2:7" ht="14.25" customHeight="1" x14ac:dyDescent="0.2">
      <c r="D17" s="334"/>
      <c r="E17" s="341"/>
      <c r="F17" s="340"/>
      <c r="G17" s="334"/>
    </row>
    <row r="18" spans="2:7" ht="14.25" customHeight="1" x14ac:dyDescent="0.2">
      <c r="B18" s="331" t="s">
        <v>24</v>
      </c>
      <c r="C18" s="331"/>
      <c r="D18" s="339" t="s">
        <v>4</v>
      </c>
      <c r="E18" s="338" t="s">
        <v>4</v>
      </c>
      <c r="F18" s="337"/>
      <c r="G18" s="327"/>
    </row>
    <row r="19" spans="2:7" ht="14.25" customHeight="1" x14ac:dyDescent="0.2">
      <c r="D19" s="336"/>
      <c r="E19" s="336"/>
      <c r="F19" s="335"/>
      <c r="G19" s="334"/>
    </row>
    <row r="20" spans="2:7" ht="14.25" customHeight="1" x14ac:dyDescent="0.2">
      <c r="D20" s="332">
        <f>-D14</f>
        <v>1456540.0600000008</v>
      </c>
      <c r="E20" s="332">
        <f>-E11-E13</f>
        <v>2152756.0700000003</v>
      </c>
      <c r="F20" s="333">
        <f>-F14</f>
        <v>-1019730.0899999999</v>
      </c>
      <c r="G20" s="332">
        <f>SUM(D20:F20)</f>
        <v>2589566.040000001</v>
      </c>
    </row>
    <row r="21" spans="2:7" ht="14.25" customHeight="1" thickBot="1" x14ac:dyDescent="0.25">
      <c r="B21" s="331" t="s">
        <v>25</v>
      </c>
      <c r="C21" s="331"/>
      <c r="D21" s="330" t="s">
        <v>5</v>
      </c>
      <c r="E21" s="329" t="s">
        <v>7</v>
      </c>
      <c r="F21" s="328"/>
      <c r="G21" s="327"/>
    </row>
    <row r="23" spans="2:7" x14ac:dyDescent="0.2">
      <c r="E23" s="326"/>
      <c r="F23" s="325"/>
    </row>
    <row r="24" spans="2:7" x14ac:dyDescent="0.2">
      <c r="E24" s="326"/>
      <c r="F24" s="325"/>
    </row>
    <row r="25" spans="2:7" x14ac:dyDescent="0.2">
      <c r="E25" s="326"/>
      <c r="F25" s="325"/>
    </row>
    <row r="26" spans="2:7" x14ac:dyDescent="0.2">
      <c r="F26" s="325"/>
    </row>
    <row r="29" spans="2:7" x14ac:dyDescent="0.2">
      <c r="B29" s="324"/>
      <c r="C29" s="324"/>
    </row>
  </sheetData>
  <mergeCells count="3">
    <mergeCell ref="B4:E4"/>
    <mergeCell ref="B7:C7"/>
    <mergeCell ref="B8:C8"/>
  </mergeCells>
  <pageMargins left="0.75" right="0.75" top="0.7" bottom="1" header="0.7" footer="0.5"/>
  <pageSetup scale="76" fitToHeight="0" orientation="portrait" cellComments="asDisplayed" r:id="rId1"/>
  <headerFooter alignWithMargins="0">
    <oddHeader xml:space="preserve">&amp;C&amp;"Arial,Bold"&amp;12&amp;A          </oddHeader>
    <oddFooter>&amp;L&amp;B&amp;"Calibri(Body)"&amp;10 Cascade Natural Gas Corporation&amp;C&amp;B&amp;"Calibri(Body)"&amp;10 Page &amp;P of &amp;N&amp;R&amp;B&amp;"Calibri(Body)"&amp;10 Washington Deferral Accounts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EF184961AA3BC43AB96C04ADED6DB84" ma:contentTypeVersion="52" ma:contentTypeDescription="" ma:contentTypeScope="" ma:versionID="f57b2c75e7267309821ec26ed21db8d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2020-09-15T07:00:00+00:00</OpenedDate>
    <SignificantOrder xmlns="dc463f71-b30c-4ab2-9473-d307f9d35888">false</SignificantOrder>
    <Date1 xmlns="dc463f71-b30c-4ab2-9473-d307f9d35888">2021-10-22T07:00:00+00:00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200807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C647ED3-9D8E-406F-A568-62A618E9BA3C}"/>
</file>

<file path=customXml/itemProps2.xml><?xml version="1.0" encoding="utf-8"?>
<ds:datastoreItem xmlns:ds="http://schemas.openxmlformats.org/officeDocument/2006/customXml" ds:itemID="{0B370810-5560-452D-A910-D14009DD84F9}"/>
</file>

<file path=customXml/itemProps3.xml><?xml version="1.0" encoding="utf-8"?>
<ds:datastoreItem xmlns:ds="http://schemas.openxmlformats.org/officeDocument/2006/customXml" ds:itemID="{AF9A2C37-A326-47BA-A0AD-2BF13BC3ADC7}"/>
</file>

<file path=customXml/itemProps4.xml><?xml version="1.0" encoding="utf-8"?>
<ds:datastoreItem xmlns:ds="http://schemas.openxmlformats.org/officeDocument/2006/customXml" ds:itemID="{7B6B41AA-7185-427A-9599-D6B9E6816D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WA Rates</vt:lpstr>
      <vt:lpstr>Core Cost Incurred</vt:lpstr>
      <vt:lpstr>DEFERRALS</vt:lpstr>
      <vt:lpstr>'Core Cost Incurred'!Print_Area</vt:lpstr>
      <vt:lpstr>DEFERRALS!Print_Area</vt:lpstr>
      <vt:lpstr>'WA Rates'!Print_Area</vt:lpstr>
      <vt:lpstr>'Core Cost Incurred'!Print_Titles</vt:lpstr>
      <vt:lpstr>'WA Rates'!Print_Titles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Myhrum, Isaac</dc:creator>
  <cp:lastModifiedBy>Myhrum, Isaac</cp:lastModifiedBy>
  <dcterms:created xsi:type="dcterms:W3CDTF">2021-10-18T22:33:11Z</dcterms:created>
  <dcterms:modified xsi:type="dcterms:W3CDTF">2021-10-18T22:39:04Z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0x0101006E56B4D1795A2E4DB2F0B01679ED314A002EF184961AA3BC43AB96C04ADED6DB84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