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his Week\3. Thursday\UE-132047 Pacific Power\"/>
    </mc:Choice>
  </mc:AlternateContent>
  <bookViews>
    <workbookView xWindow="330" yWindow="30" windowWidth="15030" windowHeight="6015" tabRatio="719" activeTab="2"/>
  </bookViews>
  <sheets>
    <sheet name="Background" sheetId="21" r:id="rId1"/>
    <sheet name="Instructions - Revise 2014" sheetId="20" r:id="rId2"/>
    <sheet name="Conservation Report" sheetId="18" r:id="rId3"/>
    <sheet name="Data" sheetId="19" state="hidden" r:id="rId4"/>
  </sheets>
  <externalReferences>
    <externalReference r:id="rId5"/>
  </externalReferences>
  <definedNames>
    <definedName name="CON_2014_Agriculture_Expend">'Conservation Report'!$D$22</definedName>
    <definedName name="CON_2014_Agriculture_MWH">'Conservation Report'!$C$22</definedName>
    <definedName name="CON_2014_Commercial_Expend">'Conservation Report'!$D$20</definedName>
    <definedName name="CON_2014_Commercial_MWH">'Conservation Report'!$C$20</definedName>
    <definedName name="CON_2014_Distribution_Expend">'Conservation Report'!$D$23</definedName>
    <definedName name="CON_2014_Distribution_MWH">'Conservation Report'!$C$23</definedName>
    <definedName name="CON_2014_Expenditures">'Conservation Report'!$D$31</definedName>
    <definedName name="CON_2014_Industrial_Expend">'Conservation Report'!$D$21</definedName>
    <definedName name="CON_2014_Industrial_MWH">'Conservation Report'!$C$21</definedName>
    <definedName name="CON_2014_MWH">'Conservation Report'!$C$31</definedName>
    <definedName name="CON_2014_NEEA_Expend">'Conservation Report'!$D$25</definedName>
    <definedName name="CON_2014_NEEA_MWH">'Conservation Report'!$C$25</definedName>
    <definedName name="CON_2014_OtherSector1_Expend">'Conservation Report'!$D$26</definedName>
    <definedName name="CON_2014_OtherSector1_MWH">'Conservation Report'!$C$26</definedName>
    <definedName name="CON_2014_OtherSector2_Expend">'Conservation Report'!$D$27</definedName>
    <definedName name="CON_2014_OtherSector2_MWH">'Conservation Report'!$C$27</definedName>
    <definedName name="CON_2014_Production_Expend">'Conservation Report'!$D$24</definedName>
    <definedName name="CON_2014_Production_MWH">'Conservation Report'!$C$24</definedName>
    <definedName name="CON_2014_Program1_Expend">'Conservation Report'!$D$29</definedName>
    <definedName name="CON_2014_Program2_Expend">'Conservation Report'!$D$30</definedName>
    <definedName name="CON_2014_Residential_Expend">'Conservation Report'!$D$19</definedName>
    <definedName name="CON_2014_Residential_MWH">'Conservation Report'!$C$19</definedName>
    <definedName name="CON_2015_Agriculture_Expend">'Conservation Report'!$G$22</definedName>
    <definedName name="CON_2015_Agriculture_MWH">'Conservation Report'!$F$22</definedName>
    <definedName name="CON_2015_Commercial_Expend">'Conservation Report'!$G$20</definedName>
    <definedName name="CON_2015_Commercial_MWH">'Conservation Report'!$F$20</definedName>
    <definedName name="CON_2015_Distribution_Expend">'Conservation Report'!$G$23</definedName>
    <definedName name="CON_2015_Distribution_MWH">'Conservation Report'!$F$23</definedName>
    <definedName name="CON_2015_Expenditures">'Conservation Report'!$G$31</definedName>
    <definedName name="CON_2015_Industrial_Expend">'Conservation Report'!$G$21</definedName>
    <definedName name="CON_2015_Industrial_MWH">'Conservation Report'!$F$21</definedName>
    <definedName name="CON_2015_MWH">'Conservation Report'!$F$31</definedName>
    <definedName name="CON_2015_NEEA_Expend">'Conservation Report'!$G$25</definedName>
    <definedName name="CON_2015_NEEA_MWH">'Conservation Report'!$F$25</definedName>
    <definedName name="CON_2015_OtherSector1_Expend">'Conservation Report'!$G$26</definedName>
    <definedName name="CON_2015_OtherSector1_MWH">'Conservation Report'!$F$26</definedName>
    <definedName name="CON_2015_OtherSector2_Expend">'Conservation Report'!$G$27</definedName>
    <definedName name="CON_2015_OtherSector2_MWH">'Conservation Report'!$F$27</definedName>
    <definedName name="CON_2015_Production_Expend">'Conservation Report'!$G$24</definedName>
    <definedName name="CON_2015_Production_MWH">'Conservation Report'!$F$24</definedName>
    <definedName name="CON_2015_Program1_Expend">'Conservation Report'!$G$29</definedName>
    <definedName name="CON_2015_Program2_Expend">'Conservation Report'!$G$30</definedName>
    <definedName name="CON_2015_Residential_Expend">'Conservation Report'!$G$19</definedName>
    <definedName name="CON_2015_Residential_MWH">'Conservation Report'!$F$19</definedName>
    <definedName name="CON_Contact_Name">'Conservation Report'!$B$7</definedName>
    <definedName name="CON_Email">'Conservation Report'!$B$9</definedName>
    <definedName name="CON_Phone">'Conservation Report'!$B$8</definedName>
    <definedName name="CON_Potential_2015_2023">'Conservation Report'!$A$14</definedName>
    <definedName name="CON_Potential_2016_2025">'Conservation Report'!$C$14</definedName>
    <definedName name="CON_Report_Date">'Conservation Report'!$B$6</definedName>
    <definedName name="CON_Target_2014_2015">'Conservation Report'!$B$14</definedName>
    <definedName name="CON_Target_2016_2017">'Conservation Report'!$D$14</definedName>
    <definedName name="CON_Utility_Name" localSheetId="0">'[1]Conservation Report'!$C$3:$E$3</definedName>
    <definedName name="CON_Utility_Name">'Conservation Report'!$B$5</definedName>
    <definedName name="_xlnm.Print_Area" localSheetId="2">'Conservation Report'!$A$3:$I$82</definedName>
    <definedName name="REN_Contact_Name">#REF!</definedName>
    <definedName name="REN_Email">#REF!</definedName>
    <definedName name="REN_ERR_ApprenticeLabor">#REF!</definedName>
    <definedName name="REN_ERR_Biodiesel">#REF!</definedName>
    <definedName name="REN_ERR_Biomass">#REF!</definedName>
    <definedName name="REN_ERR_Geothermal">#REF!</definedName>
    <definedName name="REN_ERR_LandfillGas">#REF!</definedName>
    <definedName name="REN_ERR_QBE">#REF!</definedName>
    <definedName name="REN_ERR_SewageGas">#REF!</definedName>
    <definedName name="REN_ERR_Solar">#REF!</definedName>
    <definedName name="REN_ERR_Water">#REF!</definedName>
    <definedName name="REN_ERR_Wind">#REF!</definedName>
    <definedName name="REN_ERR_WOT">#REF!</definedName>
    <definedName name="REN_Expenditure_Amount_2016">#REF!</definedName>
    <definedName name="REN_Expenditure_Percent_2016">#REF!</definedName>
    <definedName name="REN_Load_2014">#REF!</definedName>
    <definedName name="REN_Load_2015">#REF!</definedName>
    <definedName name="REN_REC_ApprenticeLabor">#REF!</definedName>
    <definedName name="REN_REC_Biodiesel">#REF!</definedName>
    <definedName name="REN_REC_Biomass">#REF!</definedName>
    <definedName name="REN_REC_DistributedGeneration">#REF!</definedName>
    <definedName name="REN_REC_Geothermal">#REF!</definedName>
    <definedName name="REN_REC_LandfillGas">#REF!</definedName>
    <definedName name="REN_REC_QBE">#REF!</definedName>
    <definedName name="REN_REC_SewageGas">#REF!</definedName>
    <definedName name="REN_REC_Solar">#REF!</definedName>
    <definedName name="REN_REC_Wind">#REF!</definedName>
    <definedName name="REN_REC_WOT">#REF!</definedName>
    <definedName name="REN_RetailRevenueRequirement_2016">#REF!</definedName>
    <definedName name="REN_Submittal_Date">#REF!</definedName>
    <definedName name="REN_Total_2016">#REF!</definedName>
    <definedName name="REN_Utility_Name">#REF!</definedName>
    <definedName name="ResourceType">Data!$A$6:$A$15</definedName>
    <definedName name="ResourceType_REC">Data!$A$7:$A$15</definedName>
  </definedNames>
  <calcPr calcId="152511"/>
</workbook>
</file>

<file path=xl/calcChain.xml><?xml version="1.0" encoding="utf-8"?>
<calcChain xmlns="http://schemas.openxmlformats.org/spreadsheetml/2006/main">
  <c r="G8" i="18" l="1"/>
  <c r="I8" i="18"/>
  <c r="D29" i="18"/>
  <c r="G29" i="18"/>
  <c r="C31" i="18"/>
  <c r="G9" i="18" s="1"/>
  <c r="D31" i="18"/>
  <c r="F31" i="18"/>
  <c r="G31" i="18"/>
  <c r="G10" i="18" l="1"/>
  <c r="BZ2" i="19"/>
  <c r="BJ2" i="19"/>
  <c r="CH2" i="19" l="1"/>
  <c r="CF2" i="19"/>
  <c r="CE2" i="19"/>
  <c r="BS2" i="19"/>
  <c r="BR2" i="19"/>
  <c r="BD2" i="19"/>
  <c r="BC2" i="19"/>
  <c r="BB2" i="19"/>
  <c r="BA2" i="19"/>
  <c r="AZ2" i="19"/>
  <c r="AY2" i="19"/>
  <c r="AX2" i="19"/>
  <c r="AW2" i="19"/>
  <c r="AV2" i="19"/>
  <c r="AU2" i="19"/>
  <c r="AT2" i="19"/>
  <c r="AS2" i="19"/>
  <c r="AR2" i="19"/>
  <c r="AQ2" i="19"/>
  <c r="AP2" i="19"/>
  <c r="AO2" i="19"/>
  <c r="AN2" i="19"/>
  <c r="AM2" i="19"/>
  <c r="AL2" i="19"/>
  <c r="AK2" i="19"/>
  <c r="AJ2" i="19"/>
  <c r="AI2" i="19"/>
  <c r="AH2" i="19"/>
  <c r="AF2" i="19"/>
  <c r="AE2" i="19"/>
  <c r="AC2" i="19"/>
  <c r="AB2" i="19"/>
  <c r="AA2" i="19"/>
  <c r="Z2" i="19"/>
  <c r="Y2" i="19"/>
  <c r="X2" i="19"/>
  <c r="W2" i="19"/>
  <c r="V2" i="19"/>
  <c r="U2" i="19"/>
  <c r="T2" i="19"/>
  <c r="S2" i="19"/>
  <c r="R2" i="19"/>
  <c r="Q2" i="19"/>
  <c r="P2" i="19"/>
  <c r="O2" i="19"/>
  <c r="N2" i="19"/>
  <c r="M2" i="19"/>
  <c r="L2" i="19"/>
  <c r="J2" i="19"/>
  <c r="I2" i="19"/>
  <c r="G2" i="19"/>
  <c r="F2" i="19"/>
  <c r="E2" i="19"/>
  <c r="D2" i="19"/>
  <c r="C2" i="19"/>
  <c r="B2" i="19"/>
  <c r="AD2" i="19" l="1"/>
  <c r="AG2" i="19"/>
  <c r="BP2" i="19" l="1"/>
  <c r="N5" i="21" l="1"/>
  <c r="N7" i="20"/>
  <c r="A2" i="19" l="1"/>
  <c r="BQ2" i="19" l="1"/>
  <c r="BM2" i="19" l="1"/>
  <c r="BN2" i="19"/>
  <c r="BL2" i="19"/>
  <c r="BH2" i="19"/>
  <c r="BI2" i="19"/>
  <c r="BO2" i="19"/>
  <c r="BK2" i="19"/>
  <c r="BF2" i="19"/>
  <c r="BG2" i="19"/>
  <c r="BE2" i="19"/>
  <c r="B33" i="18" l="1"/>
  <c r="H2" i="19" l="1"/>
  <c r="K2" i="19" l="1"/>
  <c r="BW2" i="19"/>
  <c r="BT2" i="19" l="1"/>
  <c r="BV2" i="19"/>
  <c r="BU2" i="19"/>
  <c r="CA2" i="19"/>
  <c r="CD2" i="19"/>
  <c r="BY2" i="19"/>
  <c r="BX2" i="19"/>
  <c r="CB2" i="19"/>
  <c r="CC2" i="19"/>
  <c r="CG2" i="19" l="1"/>
</calcChain>
</file>

<file path=xl/sharedStrings.xml><?xml version="1.0" encoding="utf-8"?>
<sst xmlns="http://schemas.openxmlformats.org/spreadsheetml/2006/main" count="158" uniqueCount="151">
  <si>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</si>
  <si>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</si>
  <si>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</si>
  <si>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</si>
  <si>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</si>
  <si>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</si>
  <si>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</si>
  <si>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</si>
  <si>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</si>
  <si>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</si>
  <si>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</si>
  <si>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</si>
  <si>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</si>
  <si>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</si>
  <si>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</si>
  <si>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</si>
  <si>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</si>
  <si>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</si>
  <si>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</si>
  <si>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</si>
  <si>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</si>
  <si>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</si>
  <si>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</si>
  <si>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2014 - 2015 Planning</t>
  </si>
  <si>
    <t>2014 - 2015 Target (MWh)</t>
  </si>
  <si>
    <t>2014-2023 Ten Year Potential (MWh)</t>
  </si>
  <si>
    <t>Contact Name/Dept</t>
  </si>
  <si>
    <t>Report Date</t>
  </si>
  <si>
    <t>CON_Contact_Name</t>
  </si>
  <si>
    <t>CON_Email</t>
  </si>
  <si>
    <t>CON_Phone</t>
  </si>
  <si>
    <t>CON_Report_Date</t>
  </si>
  <si>
    <t>CON_Utility_Name</t>
  </si>
  <si>
    <t>REN_Contact_Name</t>
  </si>
  <si>
    <t>REN_Email</t>
  </si>
  <si>
    <t>REN_Submittal_Date</t>
  </si>
  <si>
    <t>REN_Utility_Name</t>
  </si>
  <si>
    <t>CON_Target_2014_2015</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</si>
  <si>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</si>
  <si>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</si>
  <si>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</si>
  <si>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</si>
  <si>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</si>
  <si>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</si>
  <si>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</si>
  <si>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</si>
  <si>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</si>
  <si>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</si>
  <si>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</si>
  <si>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</si>
  <si>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</si>
  <si>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</si>
  <si>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</si>
  <si>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</si>
  <si>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</si>
  <si>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</si>
  <si>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</si>
  <si>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</si>
  <si>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2014 Achievement</t>
  </si>
  <si>
    <t>CON_2014_Agriculture_Expend</t>
  </si>
  <si>
    <t>CON_2014_Agriculture_MWH</t>
  </si>
  <si>
    <t>CON_2014_Commercial_Expend</t>
  </si>
  <si>
    <t>CON_2014_Commercial_MWH</t>
  </si>
  <si>
    <t>CON_2014_Distribution_Expend</t>
  </si>
  <si>
    <t>CON_2014_Distribution_MWH</t>
  </si>
  <si>
    <t>CON_2014_Expenditures</t>
  </si>
  <si>
    <t>CON_2014_Industrial_Expend</t>
  </si>
  <si>
    <t>CON_2014_Industrial_MWH</t>
  </si>
  <si>
    <t>CON_2014_MWH</t>
  </si>
  <si>
    <t>CON_2014_OtherSector1_Expend</t>
  </si>
  <si>
    <t>CON_2014_OtherSector1_MWH</t>
  </si>
  <si>
    <t>CON_2014_OtherSector2_Expend</t>
  </si>
  <si>
    <t>CON_2014_OtherSector2_MWH</t>
  </si>
  <si>
    <t>CON_2014_Production_Expend</t>
  </si>
  <si>
    <t>CON_2014_Production_MWH</t>
  </si>
  <si>
    <t>CON_2014_Program1_Expend</t>
  </si>
  <si>
    <t>CON_2014_Program2_Expend</t>
  </si>
  <si>
    <t>CON_2014_Residential_Expend</t>
  </si>
  <si>
    <t>CON_2014_Residential_MWH</t>
  </si>
  <si>
    <t>CON_2014_NEEA_Expend</t>
  </si>
  <si>
    <t>CON_2014_NEEA_MWH</t>
  </si>
  <si>
    <t>REN_Load_2014</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</si>
  <si>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</si>
  <si>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Published 3/31/2016</t>
  </si>
  <si>
    <r>
      <t>Deadline:</t>
    </r>
    <r>
      <rPr>
        <sz val="11"/>
        <color rgb="FF000000"/>
        <rFont val="Arial"/>
        <family val="2"/>
      </rPr>
      <t xml:space="preserve"> June 1, 2016</t>
    </r>
  </si>
  <si>
    <t>RENEWABLE ENERGY WORKSHEET – REVISIONS TO 2014 REPORT</t>
  </si>
  <si>
    <r>
      <t xml:space="preserve">In addition to submitting the 2016 report, each qualifying utility should review the renewable energy report it submitted in 2014. In many cases, the specific resources and quantities actually used to comply with the 2014 target differ from what the utility reported in June 2014. </t>
    </r>
    <r>
      <rPr>
        <u/>
        <sz val="11"/>
        <color theme="1"/>
        <rFont val="Arial"/>
        <family val="2"/>
      </rPr>
      <t>Utilities should submit a revised 2014 report if the actual values differ from the values reported in 2014.</t>
    </r>
    <r>
      <rPr>
        <sz val="11"/>
        <color theme="1"/>
        <rFont val="Arial"/>
        <family val="2"/>
      </rPr>
      <t xml:space="preserve"> </t>
    </r>
  </si>
  <si>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</si>
  <si>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t xml:space="preserve">Please use the 2014 template and mark it as "revised." Contact Commerce to obtain a copy of the 2014 reporting template if necessary. </t>
  </si>
  <si>
    <r>
      <rPr>
        <sz val="12"/>
        <color theme="1"/>
        <rFont val="Arial"/>
        <family val="2"/>
      </rPr>
      <t xml:space="preserve">Energy Independence Act (I-937) </t>
    </r>
    <r>
      <rPr>
        <sz val="12"/>
        <color theme="1"/>
        <rFont val="Arial Black"/>
        <family val="2"/>
      </rPr>
      <t>Conservation Report 2016</t>
    </r>
  </si>
  <si>
    <t>2016 - 2017 Planning</t>
  </si>
  <si>
    <t>2015 Achievement</t>
  </si>
  <si>
    <t>2014-2015</t>
  </si>
  <si>
    <t>Biennial</t>
  </si>
  <si>
    <t>2016-2017</t>
  </si>
  <si>
    <t>2016-2025 Ten Year Potential (MWh)</t>
  </si>
  <si>
    <t>2016 - 2017 Target (MWh)</t>
  </si>
  <si>
    <t>Summary of Achievement and Targets (MWh)</t>
  </si>
  <si>
    <t xml:space="preserve">Target </t>
  </si>
  <si>
    <t>Target</t>
  </si>
  <si>
    <t>CON_2015_Commercial_MWH</t>
  </si>
  <si>
    <t>CON_2015_Industrial_MWH</t>
  </si>
  <si>
    <t>CON_2015_Residential_MWH</t>
  </si>
  <si>
    <t>CON_Potential_2015_2023</t>
  </si>
  <si>
    <t>CON_Potential_2016_2025</t>
  </si>
  <si>
    <t>CON_Target_2016_2017</t>
  </si>
  <si>
    <t>REN_Expenditure_Amount_2016</t>
  </si>
  <si>
    <t>REN_Expenditure_Percent_2016</t>
  </si>
  <si>
    <t>REN_Load_2015</t>
  </si>
  <si>
    <t>REN_RetailRevenueRequirement_2016</t>
  </si>
  <si>
    <t>REN_Total_2016</t>
  </si>
  <si>
    <t>CON_2015_Commercial_Expend</t>
  </si>
  <si>
    <t>CON_2015_OtherSector1_Expend</t>
  </si>
  <si>
    <t>CON_2015_OtherSector1_MWH</t>
  </si>
  <si>
    <t>CON_2015_OtherSector2_Expend</t>
  </si>
  <si>
    <t>CON_2015_OtherSector2_MWH</t>
  </si>
  <si>
    <t>CON_2015_Production_Expend</t>
  </si>
  <si>
    <t>CON_2015_Production_MWH</t>
  </si>
  <si>
    <t>CON_2015_Program1_Expend</t>
  </si>
  <si>
    <t>CON_2015_Program2_Expend</t>
  </si>
  <si>
    <t>CON_2015_Agriculture_Expend</t>
  </si>
  <si>
    <t>CON_2015_Agriculture_MWH</t>
  </si>
  <si>
    <t>CON_2015_Distribution_Expend</t>
  </si>
  <si>
    <t>CON_2015_Distribution_MWH</t>
  </si>
  <si>
    <t>CON_2015_Expenditures</t>
  </si>
  <si>
    <t>CON_2015_Industrial_Expend</t>
  </si>
  <si>
    <t>CON_2015_MWH</t>
  </si>
  <si>
    <t>CON_2015_NEEA_Expend</t>
  </si>
  <si>
    <t>CON_2015_NEEA_MWH</t>
  </si>
  <si>
    <t>CON_2015_Residential_Expend</t>
  </si>
  <si>
    <t>Biodiesel</t>
  </si>
  <si>
    <t>Solar</t>
  </si>
  <si>
    <t>Geothermal</t>
  </si>
  <si>
    <t>Biomass</t>
  </si>
  <si>
    <t>Qualified Biomass</t>
  </si>
  <si>
    <t>REC_REC_QBE</t>
  </si>
  <si>
    <t>REN_ERR_QBE</t>
  </si>
  <si>
    <t>Notes, including a brief description of the methodology used to establish the utility's ten-year potential and biennial target to capture cost-effective conservation:</t>
  </si>
  <si>
    <t>Enter information in green-shaded fields.</t>
  </si>
  <si>
    <t>Do not modify blue-shaded fields.</t>
  </si>
  <si>
    <r>
      <t xml:space="preserve">Energy Independence Act (I-937) </t>
    </r>
    <r>
      <rPr>
        <sz val="11"/>
        <color rgb="FF000000"/>
        <rFont val="Arial Black"/>
        <family val="2"/>
      </rPr>
      <t>Report Workbook</t>
    </r>
  </si>
  <si>
    <t>Surplus (Deficit)</t>
  </si>
  <si>
    <t>Utility Name</t>
  </si>
  <si>
    <r>
      <t>Questions:</t>
    </r>
    <r>
      <rPr>
        <sz val="11"/>
        <color rgb="FF000000"/>
        <rFont val="Arial"/>
        <family val="2"/>
      </rPr>
      <t xml:space="preserve"> Glenn Blackmon, State Energy Office, (360) 725-3115, </t>
    </r>
    <r>
      <rPr>
        <b/>
        <sz val="11"/>
        <color theme="3"/>
        <rFont val="Arial"/>
        <family val="2"/>
      </rPr>
      <t>glenn.blackmon@commerce.wa.gov</t>
    </r>
  </si>
  <si>
    <t>Pacific Power &amp; Light Company</t>
  </si>
  <si>
    <t>Cory Scott / Demand Side Management</t>
  </si>
  <si>
    <t>(503) 813-6011</t>
  </si>
  <si>
    <t>cory.scott@pacificorp.com</t>
  </si>
  <si>
    <t>School Educ &amp; Outreach</t>
  </si>
  <si>
    <t>Evals, CPAs, TRL, Tracking system</t>
  </si>
  <si>
    <r>
      <t xml:space="preserve">6/1/2016 - </t>
    </r>
    <r>
      <rPr>
        <b/>
        <i/>
        <sz val="10"/>
        <color rgb="FFFF0000"/>
        <rFont val="Arial"/>
        <family val="2"/>
      </rPr>
      <t>REV August 9, 2016 per WUTC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</si>
</sst>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21"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1"/>
      <color theme="1"/>
      <name val="Arial"/>
      <family val="2"/>
    </font>
    <font>
      <sz val="12"/>
      <color theme="1"/>
      <name val="Arial Black"/>
      <family val="2"/>
    </font>
    <font>
      <sz val="12"/>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1"/>
      <color theme="3"/>
      <name val="Arial"/>
      <family val="2"/>
    </font>
    <font>
      <b/>
      <i/>
      <sz val="10"/>
      <color rgb="FFFF0000"/>
      <name val="Arial"/>
      <family val="2"/>
    </font>
    <font>
      <b/>
      <sz val="10"/>
      <color rgb="FFFF0000"/>
      <name val="Arial"/>
      <family val="2"/>
    </font>
  </fonts>
  <fills count="8">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9">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style="hair">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hair">
        <color indexed="64"/>
      </top>
      <bottom style="medium">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79">
    <xf numFmtId="0" fontId="0" fillId="0" borderId="0" xfId="0"/>
    <xf numFmtId="0" fontId="8" fillId="2" borderId="0" xfId="0" applyFont="1" applyFill="1" applyBorder="1" applyAlignment="1">
      <alignment horizontal="center" vertical="center" wrapText="1"/>
    </xf>
    <xf numFmtId="0" fontId="1" fillId="2" borderId="7" xfId="0" applyFont="1" applyFill="1" applyBorder="1" applyAlignment="1" applyProtection="1">
      <alignment horizontal="right"/>
    </xf>
    <xf numFmtId="0" fontId="12" fillId="0" borderId="21" xfId="0" applyFont="1" applyBorder="1" applyAlignment="1">
      <alignment vertical="center" wrapText="1"/>
    </xf>
    <xf numFmtId="0" fontId="12" fillId="0" borderId="22"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0" fillId="0" borderId="0" xfId="0" applyNumberFormat="1"/>
    <xf numFmtId="0" fontId="15" fillId="4" borderId="0" xfId="0" applyFont="1" applyFill="1" applyBorder="1" applyAlignment="1">
      <alignment vertical="center" wrapText="1"/>
    </xf>
    <xf numFmtId="0" fontId="14" fillId="4" borderId="0" xfId="0" applyFont="1" applyFill="1" applyBorder="1" applyAlignment="1">
      <alignment vertical="center"/>
    </xf>
    <xf numFmtId="166" fontId="14" fillId="4" borderId="0" xfId="0" applyNumberFormat="1" applyFont="1" applyFill="1" applyBorder="1" applyAlignment="1">
      <alignment horizontal="left" vertical="center"/>
    </xf>
    <xf numFmtId="0" fontId="15" fillId="6" borderId="0"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5" fillId="2" borderId="0" xfId="0" applyFont="1" applyFill="1" applyProtection="1">
      <protection locked="0"/>
    </xf>
    <xf numFmtId="165" fontId="5" fillId="6" borderId="1" xfId="1" applyNumberFormat="1" applyFont="1" applyFill="1" applyBorder="1" applyAlignment="1" applyProtection="1">
      <alignment horizontal="right"/>
      <protection locked="0"/>
    </xf>
    <xf numFmtId="165" fontId="5" fillId="6" borderId="4" xfId="1" applyNumberFormat="1" applyFont="1" applyFill="1" applyBorder="1" applyAlignment="1" applyProtection="1">
      <alignment horizontal="center"/>
      <protection locked="0"/>
    </xf>
    <xf numFmtId="167" fontId="5" fillId="6" borderId="14"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10"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2" fillId="2" borderId="26" xfId="0" applyFont="1" applyFill="1" applyBorder="1" applyAlignment="1" applyProtection="1">
      <alignment horizontal="center"/>
    </xf>
    <xf numFmtId="0" fontId="5" fillId="0" borderId="26" xfId="0" applyFont="1" applyBorder="1" applyAlignment="1" applyProtection="1"/>
    <xf numFmtId="0" fontId="5" fillId="2" borderId="0" xfId="0" applyFont="1" applyFill="1" applyAlignment="1" applyProtection="1">
      <alignment horizontal="right"/>
    </xf>
    <xf numFmtId="0" fontId="6" fillId="2" borderId="0" xfId="0" applyFont="1" applyFill="1" applyAlignment="1" applyProtection="1">
      <alignment horizontal="center"/>
    </xf>
    <xf numFmtId="0" fontId="1" fillId="2" borderId="0" xfId="0" applyFont="1" applyFill="1" applyAlignment="1" applyProtection="1">
      <alignment horizontal="right"/>
    </xf>
    <xf numFmtId="165" fontId="5" fillId="5" borderId="13" xfId="1" applyNumberFormat="1" applyFont="1" applyFill="1" applyBorder="1" applyProtection="1"/>
    <xf numFmtId="165" fontId="5" fillId="5" borderId="27" xfId="0" applyNumberFormat="1" applyFont="1" applyFill="1" applyBorder="1" applyProtection="1"/>
    <xf numFmtId="165" fontId="5" fillId="5" borderId="9" xfId="1" applyNumberFormat="1" applyFont="1" applyFill="1" applyBorder="1" applyProtection="1"/>
    <xf numFmtId="0" fontId="5" fillId="2" borderId="0" xfId="0" applyFont="1" applyFill="1" applyAlignment="1" applyProtection="1">
      <alignment horizontal="left"/>
    </xf>
    <xf numFmtId="165" fontId="5" fillId="5" borderId="28" xfId="1" applyNumberFormat="1" applyFont="1" applyFill="1" applyBorder="1" applyProtection="1"/>
    <xf numFmtId="0" fontId="5" fillId="2" borderId="0" xfId="0" applyFont="1" applyFill="1" applyBorder="1" applyAlignment="1" applyProtection="1"/>
    <xf numFmtId="0" fontId="6" fillId="2" borderId="16" xfId="0" applyFont="1" applyFill="1" applyBorder="1" applyAlignment="1" applyProtection="1">
      <alignment horizontal="center" wrapText="1"/>
    </xf>
    <xf numFmtId="0" fontId="6" fillId="2" borderId="20" xfId="0" applyFont="1" applyFill="1" applyBorder="1" applyAlignment="1" applyProtection="1">
      <alignment horizontal="center" wrapText="1"/>
    </xf>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5" xfId="0" applyNumberFormat="1" applyFont="1" applyFill="1" applyBorder="1" applyAlignment="1" applyProtection="1">
      <alignment horizontal="center"/>
    </xf>
    <xf numFmtId="164" fontId="5" fillId="3" borderId="16" xfId="0" applyNumberFormat="1" applyFont="1" applyFill="1" applyBorder="1" applyAlignment="1" applyProtection="1">
      <alignment horizontal="center"/>
    </xf>
    <xf numFmtId="0" fontId="6" fillId="2" borderId="8" xfId="0" applyFont="1" applyFill="1" applyBorder="1" applyProtection="1"/>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165" fontId="20" fillId="6" borderId="11" xfId="1" applyNumberFormat="1" applyFont="1" applyFill="1" applyBorder="1" applyAlignment="1" applyProtection="1">
      <alignment horizontal="right"/>
      <protection locked="0"/>
    </xf>
    <xf numFmtId="165" fontId="20" fillId="6" borderId="4" xfId="0" applyNumberFormat="1" applyFont="1" applyFill="1" applyBorder="1" applyAlignment="1" applyProtection="1">
      <alignment horizontal="center"/>
      <protection locked="0"/>
    </xf>
    <xf numFmtId="167" fontId="20" fillId="6" borderId="14" xfId="1" applyNumberFormat="1" applyFont="1" applyFill="1" applyBorder="1" applyAlignment="1" applyProtection="1">
      <alignment horizontal="right"/>
      <protection locked="0"/>
    </xf>
    <xf numFmtId="165" fontId="20" fillId="5" borderId="6" xfId="0" applyNumberFormat="1" applyFont="1" applyFill="1" applyBorder="1" applyAlignment="1" applyProtection="1">
      <alignment horizontal="center"/>
    </xf>
    <xf numFmtId="167" fontId="20" fillId="5" borderId="1" xfId="1" applyNumberFormat="1" applyFont="1" applyFill="1" applyBorder="1" applyAlignment="1" applyProtection="1">
      <alignment horizontal="right"/>
    </xf>
    <xf numFmtId="0" fontId="6" fillId="6" borderId="13" xfId="0" applyFont="1" applyFill="1" applyBorder="1" applyAlignment="1" applyProtection="1">
      <alignment horizontal="center"/>
      <protection locked="0"/>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5" fillId="6" borderId="0"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xf>
    <xf numFmtId="0" fontId="6" fillId="2" borderId="18" xfId="0" applyFont="1" applyFill="1" applyBorder="1" applyAlignment="1" applyProtection="1">
      <alignment horizontal="center"/>
    </xf>
    <xf numFmtId="0" fontId="6" fillId="2" borderId="17" xfId="0" applyFont="1" applyFill="1" applyBorder="1" applyAlignment="1" applyProtection="1"/>
    <xf numFmtId="0" fontId="5" fillId="2" borderId="0" xfId="0" applyFont="1" applyFill="1" applyBorder="1" applyAlignment="1" applyProtection="1">
      <alignment horizontal="right" wrapText="1"/>
    </xf>
    <xf numFmtId="0" fontId="5" fillId="2" borderId="19" xfId="0" applyFont="1" applyFill="1" applyBorder="1" applyAlignment="1" applyProtection="1">
      <alignment horizontal="right" wrapText="1"/>
    </xf>
    <xf numFmtId="0" fontId="6" fillId="2" borderId="24" xfId="0" applyFont="1" applyFill="1" applyBorder="1" applyAlignment="1" applyProtection="1">
      <alignment horizontal="center"/>
    </xf>
    <xf numFmtId="0" fontId="6" fillId="2" borderId="25" xfId="0" applyFont="1" applyFill="1" applyBorder="1" applyAlignment="1" applyProtection="1">
      <alignment horizontal="center"/>
    </xf>
    <xf numFmtId="0" fontId="5" fillId="2" borderId="27" xfId="0" applyFont="1" applyFill="1" applyBorder="1" applyAlignment="1" applyProtection="1">
      <alignment horizontal="center"/>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4</xdr:col>
      <xdr:colOff>571500</xdr:colOff>
      <xdr:row>69</xdr:row>
      <xdr:rowOff>95250</xdr:rowOff>
    </xdr:to>
    <xdr:sp macro="" textlink="">
      <xdr:nvSpPr>
        <xdr:cNvPr id="2" name="TextBox 1"/>
        <xdr:cNvSpPr txBox="1"/>
      </xdr:nvSpPr>
      <xdr:spPr>
        <a:xfrm>
          <a:off x="19050" y="2162175"/>
          <a:ext cx="11391900" cy="1112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17</xdr:row>
      <xdr:rowOff>361950</xdr:rowOff>
    </xdr:from>
    <xdr:to>
      <xdr:col>8</xdr:col>
      <xdr:colOff>552450</xdr:colOff>
      <xdr:row>24</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47625</xdr:colOff>
      <xdr:row>36</xdr:row>
      <xdr:rowOff>50800</xdr:rowOff>
    </xdr:from>
    <xdr:to>
      <xdr:col>8</xdr:col>
      <xdr:colOff>704850</xdr:colOff>
      <xdr:row>80</xdr:row>
      <xdr:rowOff>95250</xdr:rowOff>
    </xdr:to>
    <xdr:sp macro="" textlink="">
      <xdr:nvSpPr>
        <xdr:cNvPr id="2" name="TextBox 1"/>
        <xdr:cNvSpPr txBox="1"/>
      </xdr:nvSpPr>
      <xdr:spPr>
        <a:xfrm>
          <a:off x="47625" y="8004175"/>
          <a:ext cx="8197850" cy="95694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FF0000"/>
              </a:solidFill>
              <a:effectLst/>
              <a:latin typeface="+mn-lt"/>
              <a:ea typeface="+mn-ea"/>
              <a:cs typeface="+mn-cs"/>
            </a:rPr>
            <a:t> </a:t>
          </a:r>
        </a:p>
        <a:p>
          <a:r>
            <a:rPr lang="en-US" sz="1100">
              <a:solidFill>
                <a:schemeClr val="dk1"/>
              </a:solidFill>
              <a:effectLst/>
              <a:latin typeface="+mn-lt"/>
              <a:ea typeface="+mn-ea"/>
              <a:cs typeface="+mn-cs"/>
            </a:rPr>
            <a:t>The quantities submitted above include all areas of conservation effort and achievement, because the Commerce Conservation Report includes areas of conservation that are not used for target setting at the Utilities and Transportation Commission (UTC). Excess savings achieved will be determined using standard practices of the UTC.</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2014-2015 MWh  target of 74,703 as approved in Docket UE-132407 does not include savings reported by the Northwest Energy Efficiency Alliance (NEEA).   </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Company did not have an additional Decoupling Commitment in place for 2014-2015. </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Under UTC standard practice, any type of conservation potential withheld from target setting is not counted as achievement to meet the target.</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a:p>
          <a:pPr marL="0" marR="0">
            <a:lnSpc>
              <a:spcPct val="107000"/>
            </a:lnSpc>
            <a:spcBef>
              <a:spcPts val="0"/>
            </a:spcBef>
            <a:spcAft>
              <a:spcPts val="800"/>
            </a:spcAft>
          </a:pPr>
          <a:endParaRPr lang="en-US" sz="1100">
            <a:effectLst/>
            <a:latin typeface="+mn-lt"/>
            <a:ea typeface="Calibri"/>
            <a:cs typeface="Times New Roman"/>
          </a:endParaRPr>
        </a:p>
        <a:p>
          <a:pPr marL="0" marR="0">
            <a:lnSpc>
              <a:spcPct val="107000"/>
            </a:lnSpc>
            <a:spcBef>
              <a:spcPts val="0"/>
            </a:spcBef>
            <a:spcAft>
              <a:spcPts val="800"/>
            </a:spcAft>
          </a:pP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Brief description of the methodology used to establish the utility’s ten-year potential and biennial target to capture cost effective conservation: </a:t>
          </a:r>
        </a:p>
        <a:p>
          <a:pPr marL="342900" marR="0" lvl="0" indent="-342900">
            <a:lnSpc>
              <a:spcPct val="107000"/>
            </a:lnSpc>
            <a:spcBef>
              <a:spcPts val="0"/>
            </a:spcBef>
            <a:spcAft>
              <a:spcPts val="0"/>
            </a:spcAft>
            <a:buFont typeface="Symbol"/>
            <a:buChar char=""/>
          </a:pPr>
          <a:r>
            <a:rPr lang="en-US" sz="1100">
              <a:effectLst/>
              <a:latin typeface="+mn-lt"/>
              <a:ea typeface="Calibri"/>
              <a:cs typeface="Times New Roman"/>
            </a:rPr>
            <a:t>PacifiCorp relied on 1) its 2013 “Assessment of Long-Term System-Wide Potential for Demand-Side and Other Supplemental Resources” (March   2013), 2) economic screening of the conservation potential identified through the 2013 Integrated Resource Plan (IRP) development, and 3) other post IRP adjustments (all documented in Appendix 4 of the PacifiCorp’s ten-year conservation potential and 2014-2015 biennial conservation target report) to establish its ten-year conservation forecast and biennial conservation target. </a:t>
          </a:r>
        </a:p>
        <a:p>
          <a:pPr marL="342900" marR="0" lvl="0" indent="-342900">
            <a:lnSpc>
              <a:spcPct val="107000"/>
            </a:lnSpc>
            <a:spcBef>
              <a:spcPts val="0"/>
            </a:spcBef>
            <a:spcAft>
              <a:spcPts val="0"/>
            </a:spcAft>
            <a:buFont typeface="Symbol"/>
            <a:buChar char=""/>
          </a:pPr>
          <a:endParaRPr lang="en-US" sz="1100">
            <a:effectLst/>
            <a:latin typeface="+mn-lt"/>
            <a:ea typeface="Calibri"/>
            <a:cs typeface="Times New Roman"/>
          </a:endParaRPr>
        </a:p>
        <a:p>
          <a:pPr marL="342900" marR="0" lvl="0" indent="-342900">
            <a:lnSpc>
              <a:spcPct val="107000"/>
            </a:lnSpc>
            <a:spcBef>
              <a:spcPts val="0"/>
            </a:spcBef>
            <a:spcAft>
              <a:spcPts val="800"/>
            </a:spcAft>
            <a:buFont typeface="Symbol"/>
            <a:buChar char=""/>
          </a:pPr>
          <a:r>
            <a:rPr lang="en-US" sz="1100">
              <a:effectLst/>
              <a:latin typeface="+mn-lt"/>
              <a:ea typeface="Calibri"/>
              <a:cs typeface="Times New Roman"/>
            </a:rPr>
            <a:t>The manner by which the Company arrived at its 2012-13 biennial conservation target is explained on pages 27-31 of “PacifiCorp’s </a:t>
          </a:r>
          <a:r>
            <a:rPr lang="en-US" sz="1100">
              <a:effectLst/>
              <a:latin typeface="+mn-lt"/>
              <a:ea typeface="Times New Roman"/>
              <a:cs typeface="Times New Roman"/>
            </a:rPr>
            <a:t>Ten-Year Conservation Potential and 2014-2015 Biennial Conservation Target for its Washington Service Area” filed in Docket </a:t>
          </a:r>
          <a:r>
            <a:rPr lang="en-US" sz="1100">
              <a:effectLst/>
              <a:latin typeface="+mn-lt"/>
              <a:ea typeface="Calibri"/>
              <a:cs typeface="Times New Roman"/>
            </a:rPr>
            <a:t>UE-132047.  This section includes the Company’s proposed use of a range (74,703-74,719 MWh). The Commission approved a single value target coincident with the lower end of the range at the December 19, 2013 meeting.  </a:t>
          </a:r>
        </a:p>
        <a:p>
          <a:pPr marL="0" marR="0">
            <a:lnSpc>
              <a:spcPct val="107000"/>
            </a:lnSpc>
            <a:spcBef>
              <a:spcPts val="0"/>
            </a:spcBef>
            <a:spcAft>
              <a:spcPts val="800"/>
            </a:spcAft>
          </a:pPr>
          <a:r>
            <a:rPr lang="en-US" sz="1100">
              <a:effectLst/>
              <a:latin typeface="+mn-lt"/>
              <a:ea typeface="Calibri"/>
              <a:cs typeface="Times New Roman"/>
            </a:rPr>
            <a:t> </a:t>
          </a:r>
        </a:p>
        <a:p>
          <a:pPr marL="342900" marR="0" lvl="0" indent="-342900">
            <a:lnSpc>
              <a:spcPct val="107000"/>
            </a:lnSpc>
            <a:spcBef>
              <a:spcPts val="0"/>
            </a:spcBef>
            <a:spcAft>
              <a:spcPts val="0"/>
            </a:spcAft>
            <a:buFont typeface="Symbol"/>
            <a:buChar char=""/>
          </a:pPr>
          <a:r>
            <a:rPr lang="en-US" sz="1100">
              <a:effectLst/>
              <a:latin typeface="+mn-lt"/>
              <a:ea typeface="Calibri"/>
              <a:cs typeface="Times New Roman"/>
            </a:rPr>
            <a:t>The Company’s engagement with the Washington DSM Advisory Group during the development of the 2014-2015 target is outlined in the on pages 35 and 36 of “PacifiCorp’s </a:t>
          </a:r>
          <a:r>
            <a:rPr lang="en-US" sz="1100">
              <a:effectLst/>
              <a:latin typeface="+mn-lt"/>
              <a:ea typeface="Times New Roman"/>
              <a:cs typeface="Times New Roman"/>
            </a:rPr>
            <a:t>Ten-Year Conservation Potential and 2014-2015 Biennial Conservation Target for its Washington Service Area” filed in Docket </a:t>
          </a:r>
          <a:r>
            <a:rPr lang="en-US" sz="1100">
              <a:effectLst/>
              <a:latin typeface="+mn-lt"/>
              <a:ea typeface="Calibri"/>
              <a:cs typeface="Times New Roman"/>
            </a:rPr>
            <a:t>UE-132047. </a:t>
          </a:r>
        </a:p>
        <a:p>
          <a:pPr marL="342900" marR="0" lvl="0" indent="-342900">
            <a:lnSpc>
              <a:spcPct val="107000"/>
            </a:lnSpc>
            <a:spcBef>
              <a:spcPts val="0"/>
            </a:spcBef>
            <a:spcAft>
              <a:spcPts val="0"/>
            </a:spcAft>
            <a:buFont typeface="Symbol"/>
            <a:buChar char=""/>
          </a:pPr>
          <a:endParaRPr lang="en-US" sz="1100">
            <a:effectLst/>
            <a:latin typeface="+mn-lt"/>
            <a:ea typeface="Calibri"/>
            <a:cs typeface="Times New Roman"/>
          </a:endParaRPr>
        </a:p>
        <a:p>
          <a:pPr marL="342900" marR="0" lvl="0" indent="-342900">
            <a:lnSpc>
              <a:spcPct val="107000"/>
            </a:lnSpc>
            <a:spcBef>
              <a:spcPts val="0"/>
            </a:spcBef>
            <a:spcAft>
              <a:spcPts val="800"/>
            </a:spcAft>
            <a:buFont typeface="Symbol"/>
            <a:buChar char=""/>
          </a:pPr>
          <a:r>
            <a:rPr lang="en-US" sz="1100">
              <a:effectLst/>
              <a:latin typeface="+mn-lt"/>
              <a:ea typeface="Calibri"/>
              <a:cs typeface="Times New Roman"/>
            </a:rPr>
            <a:t>The commission accepted the company’s forecast and target as meeting the requirements to consider all conservation resources that are cost-effective, reliable and feasible by approval of the Company’s forecast and targets in Docket UE-132047 on December 19, 2013.    </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rgbClr val="FF0000"/>
            </a:solidFill>
          </a:endParaRPr>
        </a:p>
      </xdr:txBody>
    </xdr:sp>
    <xdr:clientData/>
  </xdr:twoCellAnchor>
  <xdr:twoCellAnchor editAs="oneCell">
    <xdr:from>
      <xdr:col>0</xdr:col>
      <xdr:colOff>590549</xdr:colOff>
      <xdr:row>36</xdr:row>
      <xdr:rowOff>1552575</xdr:rowOff>
    </xdr:from>
    <xdr:to>
      <xdr:col>7</xdr:col>
      <xdr:colOff>285749</xdr:colOff>
      <xdr:row>36</xdr:row>
      <xdr:rowOff>2676524</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49" y="9486900"/>
          <a:ext cx="6410325" cy="1123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666750</xdr:colOff>
      <xdr:row>42</xdr:row>
      <xdr:rowOff>142875</xdr:rowOff>
    </xdr:from>
    <xdr:to>
      <xdr:col>7</xdr:col>
      <xdr:colOff>47625</xdr:colOff>
      <xdr:row>52</xdr:row>
      <xdr:rowOff>114300</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11582400"/>
          <a:ext cx="6096000" cy="159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opLeftCell="A7" workbookViewId="0"/>
  </sheetViews>
  <sheetFormatPr defaultRowHeight="15" x14ac:dyDescent="0.25"/>
  <cols>
    <col min="1" max="1" width="135.140625" customWidth="1"/>
    <col min="14" max="14" width="11.7109375" customWidth="1"/>
  </cols>
  <sheetData>
    <row r="1" spans="1:14" ht="18.75" x14ac:dyDescent="0.25">
      <c r="A1" s="9" t="s">
        <v>140</v>
      </c>
    </row>
    <row r="2" spans="1:14" x14ac:dyDescent="0.25">
      <c r="A2" s="10" t="s">
        <v>83</v>
      </c>
    </row>
    <row r="3" spans="1:14" x14ac:dyDescent="0.25">
      <c r="A3" s="9"/>
      <c r="N3" s="7"/>
    </row>
    <row r="4" spans="1:14" x14ac:dyDescent="0.25">
      <c r="A4" s="8" t="s">
        <v>84</v>
      </c>
    </row>
    <row r="5" spans="1:14" x14ac:dyDescent="0.25">
      <c r="A5" s="8" t="s">
        <v>82</v>
      </c>
      <c r="N5" t="e">
        <f>IF(REN_Load_2015+REN_Load_2014&gt;0,AVERAGE(REN_Load_2015,REN_Load_2014),0)</f>
        <v>#REF!</v>
      </c>
    </row>
    <row r="6" spans="1:14" x14ac:dyDescent="0.25">
      <c r="A6" s="8" t="s">
        <v>143</v>
      </c>
    </row>
    <row r="8" spans="1:14" x14ac:dyDescent="0.25">
      <c r="A8" s="11" t="s">
        <v>138</v>
      </c>
    </row>
    <row r="9" spans="1:14" x14ac:dyDescent="0.25">
      <c r="A9" s="12" t="s">
        <v>139</v>
      </c>
    </row>
  </sheetData>
  <sheetProtection sheet="1" objects="1" scenarios="1"/>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73" sqref="A73"/>
    </sheetView>
  </sheetViews>
  <sheetFormatPr defaultRowHeight="15" x14ac:dyDescent="0.25"/>
  <cols>
    <col min="1" max="1" width="107" customWidth="1"/>
    <col min="14" max="14" width="11.7109375" customWidth="1"/>
  </cols>
  <sheetData>
    <row r="1" spans="1:14" ht="18.75" x14ac:dyDescent="0.25">
      <c r="A1" s="3" t="s">
        <v>85</v>
      </c>
    </row>
    <row r="2" spans="1:14" ht="18.75" x14ac:dyDescent="0.25">
      <c r="A2" s="4"/>
    </row>
    <row r="3" spans="1:14" ht="57" x14ac:dyDescent="0.25">
      <c r="A3" s="5" t="s">
        <v>86</v>
      </c>
      <c r="N3" s="7"/>
    </row>
    <row r="4" spans="1:14" x14ac:dyDescent="0.25">
      <c r="A4" s="5"/>
      <c r="N4" s="7"/>
    </row>
    <row r="5" spans="1:14" ht="72" x14ac:dyDescent="0.25">
      <c r="A5" s="5" t="s">
        <v>87</v>
      </c>
      <c r="N5" s="7"/>
    </row>
    <row r="6" spans="1:14" x14ac:dyDescent="0.25">
      <c r="A6" s="5"/>
    </row>
    <row r="7" spans="1:14" ht="29.25" thickBot="1" x14ac:dyDescent="0.3">
      <c r="A7" s="6" t="s">
        <v>88</v>
      </c>
      <c r="N7" t="e">
        <f>IF(REN_Load_2015+REN_Load_2014&gt;0,AVERAGE(REN_Load_2015,REN_Load_2014),0)</f>
        <v>#REF!</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6"/>
  <sheetViews>
    <sheetView tabSelected="1" view="pageBreakPreview" topLeftCell="A13" zoomScale="60" zoomScaleNormal="100" workbookViewId="0">
      <selection activeCell="H112" sqref="H112"/>
    </sheetView>
  </sheetViews>
  <sheetFormatPr defaultColWidth="9.140625" defaultRowHeight="12.75" x14ac:dyDescent="0.2"/>
  <cols>
    <col min="1" max="2" width="16.7109375" style="20" customWidth="1"/>
    <col min="3" max="3" width="17.140625" style="20" customWidth="1"/>
    <col min="4" max="4" width="16" style="20" customWidth="1"/>
    <col min="5" max="5" width="4.42578125" style="20" customWidth="1"/>
    <col min="6" max="6" width="14.42578125" style="20" customWidth="1"/>
    <col min="7" max="7" width="15.28515625" style="20" customWidth="1"/>
    <col min="8" max="8" width="12.28515625" style="20" customWidth="1"/>
    <col min="9" max="9" width="11.140625" style="20" customWidth="1"/>
    <col min="10" max="10" width="9.140625" style="20"/>
    <col min="11" max="11" width="11.7109375" style="20" customWidth="1"/>
    <col min="12" max="16384" width="9.140625" style="20"/>
  </cols>
  <sheetData>
    <row r="1" spans="1:11" ht="15" x14ac:dyDescent="0.2">
      <c r="A1" s="69" t="s">
        <v>138</v>
      </c>
      <c r="B1" s="69"/>
      <c r="C1" s="69"/>
      <c r="D1" s="69"/>
      <c r="E1" s="69"/>
      <c r="F1" s="69"/>
      <c r="G1" s="69"/>
      <c r="H1" s="69"/>
      <c r="I1" s="69"/>
    </row>
    <row r="2" spans="1:11" ht="15" x14ac:dyDescent="0.2">
      <c r="A2" s="70" t="s">
        <v>139</v>
      </c>
      <c r="B2" s="70"/>
      <c r="C2" s="70"/>
      <c r="D2" s="70"/>
      <c r="E2" s="70"/>
      <c r="F2" s="70"/>
      <c r="G2" s="70"/>
      <c r="H2" s="70"/>
      <c r="I2" s="70"/>
    </row>
    <row r="3" spans="1:11" s="22" customFormat="1" ht="19.5" x14ac:dyDescent="0.4">
      <c r="A3" s="21" t="s">
        <v>89</v>
      </c>
    </row>
    <row r="4" spans="1:11" ht="15" customHeight="1" x14ac:dyDescent="0.2">
      <c r="A4" s="23"/>
    </row>
    <row r="5" spans="1:11" ht="14.25" customHeight="1" thickBot="1" x14ac:dyDescent="0.25">
      <c r="A5" s="24" t="s">
        <v>3</v>
      </c>
      <c r="B5" s="59" t="s">
        <v>144</v>
      </c>
      <c r="C5" s="59"/>
      <c r="D5" s="59"/>
      <c r="F5" s="77" t="s">
        <v>97</v>
      </c>
      <c r="G5" s="77"/>
      <c r="H5" s="77"/>
      <c r="I5" s="77"/>
      <c r="K5" s="25"/>
    </row>
    <row r="6" spans="1:11" ht="15" customHeight="1" x14ac:dyDescent="0.2">
      <c r="A6" s="26" t="s">
        <v>27</v>
      </c>
      <c r="B6" s="60" t="s">
        <v>150</v>
      </c>
      <c r="C6" s="61"/>
      <c r="D6" s="61"/>
      <c r="E6" s="27"/>
      <c r="G6" s="28" t="s">
        <v>92</v>
      </c>
      <c r="H6" s="29"/>
      <c r="I6" s="28" t="s">
        <v>94</v>
      </c>
    </row>
    <row r="7" spans="1:11" ht="15" customHeight="1" x14ac:dyDescent="0.2">
      <c r="A7" s="30" t="s">
        <v>26</v>
      </c>
      <c r="B7" s="62" t="s">
        <v>145</v>
      </c>
      <c r="C7" s="63"/>
      <c r="D7" s="63"/>
      <c r="E7" s="22"/>
      <c r="G7" s="31" t="s">
        <v>93</v>
      </c>
      <c r="I7" s="31" t="s">
        <v>93</v>
      </c>
    </row>
    <row r="8" spans="1:11" ht="15" customHeight="1" thickBot="1" x14ac:dyDescent="0.25">
      <c r="A8" s="30" t="s">
        <v>0</v>
      </c>
      <c r="B8" s="63" t="s">
        <v>146</v>
      </c>
      <c r="C8" s="63"/>
      <c r="D8" s="63"/>
      <c r="E8" s="22"/>
      <c r="F8" s="32" t="s">
        <v>98</v>
      </c>
      <c r="G8" s="33">
        <f>CON_Target_2014_2015</f>
        <v>89016</v>
      </c>
      <c r="H8" s="32" t="s">
        <v>99</v>
      </c>
      <c r="I8" s="34">
        <f>CON_Target_2016_2017</f>
        <v>93059</v>
      </c>
    </row>
    <row r="9" spans="1:11" ht="15" customHeight="1" x14ac:dyDescent="0.2">
      <c r="A9" s="30" t="s">
        <v>1</v>
      </c>
      <c r="B9" s="64" t="s">
        <v>147</v>
      </c>
      <c r="C9" s="65"/>
      <c r="D9" s="65"/>
      <c r="E9" s="22"/>
      <c r="F9" s="32" t="s">
        <v>2</v>
      </c>
      <c r="G9" s="35">
        <f>CON_2014_MWH+CON_2015_MWH</f>
        <v>111158</v>
      </c>
    </row>
    <row r="10" spans="1:11" ht="15" customHeight="1" thickBot="1" x14ac:dyDescent="0.25">
      <c r="A10" s="30"/>
      <c r="B10" s="36"/>
      <c r="C10" s="22"/>
      <c r="D10" s="22"/>
      <c r="E10" s="22"/>
      <c r="F10" s="32" t="s">
        <v>141</v>
      </c>
      <c r="G10" s="37">
        <f>G9-G8</f>
        <v>22142</v>
      </c>
    </row>
    <row r="11" spans="1:11" s="22" customFormat="1" ht="13.5" thickBot="1" x14ac:dyDescent="0.25">
      <c r="A11" s="78" t="s">
        <v>21</v>
      </c>
      <c r="B11" s="78"/>
      <c r="C11" s="78"/>
      <c r="D11" s="78"/>
      <c r="E11" s="38"/>
      <c r="H11" s="20"/>
      <c r="I11" s="20"/>
    </row>
    <row r="12" spans="1:11" s="22" customFormat="1" x14ac:dyDescent="0.2">
      <c r="A12" s="72" t="s">
        <v>23</v>
      </c>
      <c r="B12" s="72"/>
      <c r="C12" s="76" t="s">
        <v>90</v>
      </c>
      <c r="D12" s="72"/>
      <c r="F12" s="20"/>
      <c r="G12" s="20"/>
      <c r="H12" s="20"/>
      <c r="I12" s="20"/>
    </row>
    <row r="13" spans="1:11" ht="38.25" x14ac:dyDescent="0.2">
      <c r="A13" s="39" t="s">
        <v>25</v>
      </c>
      <c r="B13" s="40" t="s">
        <v>24</v>
      </c>
      <c r="C13" s="40" t="s">
        <v>95</v>
      </c>
      <c r="D13" s="40" t="s">
        <v>96</v>
      </c>
    </row>
    <row r="14" spans="1:11" ht="15" customHeight="1" x14ac:dyDescent="0.2">
      <c r="A14" s="14">
        <v>391777</v>
      </c>
      <c r="B14" s="54">
        <v>89016</v>
      </c>
      <c r="C14" s="14">
        <v>457530</v>
      </c>
      <c r="D14" s="54">
        <v>93059</v>
      </c>
    </row>
    <row r="15" spans="1:11" ht="15" customHeight="1" thickBot="1" x14ac:dyDescent="0.25">
      <c r="A15" s="22"/>
      <c r="B15" s="22"/>
      <c r="C15" s="22"/>
      <c r="D15" s="22"/>
      <c r="E15" s="22"/>
      <c r="F15" s="22"/>
      <c r="G15" s="22"/>
    </row>
    <row r="16" spans="1:11" ht="13.5" thickTop="1" x14ac:dyDescent="0.2">
      <c r="A16" s="73" t="s">
        <v>2</v>
      </c>
      <c r="B16" s="73"/>
      <c r="C16" s="73"/>
      <c r="D16" s="73"/>
      <c r="E16" s="73"/>
      <c r="F16" s="73"/>
      <c r="G16" s="73"/>
    </row>
    <row r="17" spans="1:7" ht="15" customHeight="1" x14ac:dyDescent="0.2">
      <c r="A17" s="41"/>
      <c r="C17" s="72" t="s">
        <v>58</v>
      </c>
      <c r="D17" s="72"/>
      <c r="F17" s="72" t="s">
        <v>91</v>
      </c>
      <c r="G17" s="72"/>
    </row>
    <row r="18" spans="1:7" ht="30.75" customHeight="1" x14ac:dyDescent="0.2">
      <c r="B18" s="42" t="s">
        <v>20</v>
      </c>
      <c r="C18" s="43" t="s">
        <v>6</v>
      </c>
      <c r="D18" s="43" t="s">
        <v>7</v>
      </c>
      <c r="F18" s="43" t="s">
        <v>6</v>
      </c>
      <c r="G18" s="43" t="s">
        <v>7</v>
      </c>
    </row>
    <row r="19" spans="1:7" ht="15" customHeight="1" x14ac:dyDescent="0.2">
      <c r="B19" s="2" t="s">
        <v>8</v>
      </c>
      <c r="C19" s="15">
        <v>20499</v>
      </c>
      <c r="D19" s="16">
        <v>3389616</v>
      </c>
      <c r="F19" s="15">
        <v>24384</v>
      </c>
      <c r="G19" s="16">
        <v>3946375</v>
      </c>
    </row>
    <row r="20" spans="1:7" ht="15" customHeight="1" x14ac:dyDescent="0.2">
      <c r="B20" s="2" t="s">
        <v>9</v>
      </c>
      <c r="C20" s="15">
        <v>10302</v>
      </c>
      <c r="D20" s="16">
        <v>2379871</v>
      </c>
      <c r="F20" s="15">
        <v>14191</v>
      </c>
      <c r="G20" s="16">
        <v>3648592</v>
      </c>
    </row>
    <row r="21" spans="1:7" ht="15" customHeight="1" x14ac:dyDescent="0.2">
      <c r="B21" s="2" t="s">
        <v>10</v>
      </c>
      <c r="C21" s="15">
        <v>16969</v>
      </c>
      <c r="D21" s="16">
        <v>3250740</v>
      </c>
      <c r="F21" s="15">
        <v>10204</v>
      </c>
      <c r="G21" s="16">
        <v>1934463</v>
      </c>
    </row>
    <row r="22" spans="1:7" ht="15" customHeight="1" x14ac:dyDescent="0.2">
      <c r="B22" s="2" t="s">
        <v>11</v>
      </c>
      <c r="C22" s="15">
        <v>963</v>
      </c>
      <c r="D22" s="16">
        <v>160700</v>
      </c>
      <c r="F22" s="15">
        <v>1367</v>
      </c>
      <c r="G22" s="16">
        <v>230076</v>
      </c>
    </row>
    <row r="23" spans="1:7" ht="15" customHeight="1" x14ac:dyDescent="0.2">
      <c r="B23" s="2" t="s">
        <v>17</v>
      </c>
      <c r="C23" s="15">
        <v>0</v>
      </c>
      <c r="D23" s="16"/>
      <c r="F23" s="15"/>
      <c r="G23" s="16"/>
    </row>
    <row r="24" spans="1:7" ht="15" customHeight="1" x14ac:dyDescent="0.2">
      <c r="B24" s="44" t="s">
        <v>18</v>
      </c>
      <c r="C24" s="15"/>
      <c r="D24" s="16"/>
      <c r="F24" s="15">
        <v>2</v>
      </c>
      <c r="G24" s="16">
        <v>3357</v>
      </c>
    </row>
    <row r="25" spans="1:7" ht="15" customHeight="1" x14ac:dyDescent="0.2">
      <c r="B25" s="44" t="s">
        <v>4</v>
      </c>
      <c r="C25" s="55">
        <v>9348</v>
      </c>
      <c r="D25" s="56">
        <v>1174914</v>
      </c>
      <c r="F25" s="55">
        <v>2929</v>
      </c>
      <c r="G25" s="56">
        <v>884208</v>
      </c>
    </row>
    <row r="26" spans="1:7" ht="15" customHeight="1" x14ac:dyDescent="0.2">
      <c r="B26" s="18"/>
      <c r="C26" s="17"/>
      <c r="D26" s="16"/>
      <c r="F26" s="17"/>
      <c r="G26" s="16"/>
    </row>
    <row r="27" spans="1:7" ht="15" customHeight="1" x14ac:dyDescent="0.2">
      <c r="B27" s="18"/>
      <c r="C27" s="17"/>
      <c r="D27" s="16"/>
      <c r="F27" s="17"/>
      <c r="G27" s="16"/>
    </row>
    <row r="28" spans="1:7" ht="30.75" customHeight="1" x14ac:dyDescent="0.2">
      <c r="A28" s="74" t="s">
        <v>22</v>
      </c>
      <c r="B28" s="75"/>
      <c r="D28" s="45"/>
      <c r="G28" s="45"/>
    </row>
    <row r="29" spans="1:7" ht="25.5" x14ac:dyDescent="0.2">
      <c r="B29" s="19" t="s">
        <v>148</v>
      </c>
      <c r="C29" s="46"/>
      <c r="D29" s="16">
        <f>58260+249791</f>
        <v>308051</v>
      </c>
      <c r="F29" s="46"/>
      <c r="G29" s="16">
        <f>61431+208268</f>
        <v>269699</v>
      </c>
    </row>
    <row r="30" spans="1:7" ht="27" customHeight="1" x14ac:dyDescent="0.2">
      <c r="B30" s="19" t="s">
        <v>149</v>
      </c>
      <c r="C30" s="47"/>
      <c r="D30" s="16">
        <v>901637</v>
      </c>
      <c r="F30" s="47"/>
      <c r="G30" s="16">
        <v>406057</v>
      </c>
    </row>
    <row r="31" spans="1:7" ht="15" customHeight="1" x14ac:dyDescent="0.2">
      <c r="B31" s="48" t="s">
        <v>5</v>
      </c>
      <c r="C31" s="57">
        <f>SUM(C19:C27)</f>
        <v>58081</v>
      </c>
      <c r="D31" s="58">
        <f>SUM(D19:D30)</f>
        <v>11565529</v>
      </c>
      <c r="F31" s="57">
        <f>SUM(F19:F27)</f>
        <v>53077</v>
      </c>
      <c r="G31" s="58">
        <f>SUM(G19:G30)</f>
        <v>11322827</v>
      </c>
    </row>
    <row r="32" spans="1:7" ht="15" customHeight="1" x14ac:dyDescent="0.2">
      <c r="A32" s="49"/>
      <c r="B32" s="50"/>
      <c r="C32" s="51"/>
      <c r="D32" s="50"/>
      <c r="E32" s="51"/>
    </row>
    <row r="33" spans="1:9" s="22" customFormat="1" ht="15" customHeight="1" x14ac:dyDescent="0.2">
      <c r="A33" s="24" t="s">
        <v>3</v>
      </c>
      <c r="B33" s="71" t="str">
        <f>CON_Utility_Name</f>
        <v>Pacific Power &amp; Light Company</v>
      </c>
      <c r="C33" s="71"/>
      <c r="D33" s="71"/>
      <c r="E33" s="71"/>
      <c r="F33" s="20"/>
      <c r="G33" s="20"/>
    </row>
    <row r="34" spans="1:9" s="22" customFormat="1" x14ac:dyDescent="0.2">
      <c r="A34" s="52" t="s">
        <v>12</v>
      </c>
      <c r="B34" s="67">
        <v>2016</v>
      </c>
      <c r="C34" s="67"/>
      <c r="D34" s="67"/>
      <c r="E34" s="67"/>
    </row>
    <row r="35" spans="1:9" s="22" customFormat="1" x14ac:dyDescent="0.2">
      <c r="A35" s="52"/>
      <c r="B35" s="53"/>
      <c r="C35" s="53"/>
      <c r="D35" s="53"/>
      <c r="E35" s="53"/>
    </row>
    <row r="36" spans="1:9" ht="28.5" customHeight="1" x14ac:dyDescent="0.2">
      <c r="A36" s="66" t="s">
        <v>137</v>
      </c>
      <c r="B36" s="66"/>
      <c r="C36" s="66"/>
      <c r="D36" s="66"/>
      <c r="E36" s="66"/>
      <c r="F36" s="66"/>
      <c r="G36" s="66"/>
      <c r="H36" s="66"/>
      <c r="I36" s="66"/>
    </row>
    <row r="37" spans="1:9" s="13" customFormat="1" ht="212.25" customHeight="1" x14ac:dyDescent="0.2">
      <c r="A37" s="68"/>
      <c r="B37" s="68"/>
      <c r="C37" s="68"/>
      <c r="D37" s="68"/>
      <c r="E37" s="68"/>
      <c r="F37" s="68"/>
      <c r="G37" s="68"/>
      <c r="H37" s="68"/>
      <c r="I37" s="68"/>
    </row>
    <row r="38" spans="1:9" s="13" customFormat="1" x14ac:dyDescent="0.2"/>
    <row r="39" spans="1:9" s="13" customFormat="1" x14ac:dyDescent="0.2"/>
    <row r="40" spans="1:9" s="13" customFormat="1" x14ac:dyDescent="0.2"/>
    <row r="41" spans="1:9" s="13" customFormat="1" x14ac:dyDescent="0.2"/>
    <row r="42" spans="1:9" s="13" customFormat="1" x14ac:dyDescent="0.2"/>
    <row r="43" spans="1:9" s="13" customFormat="1" x14ac:dyDescent="0.2"/>
    <row r="44" spans="1:9" s="13" customFormat="1" x14ac:dyDescent="0.2"/>
    <row r="45" spans="1:9" s="13" customFormat="1" x14ac:dyDescent="0.2"/>
    <row r="46" spans="1:9" s="13" customFormat="1" x14ac:dyDescent="0.2"/>
    <row r="47" spans="1:9" s="13" customFormat="1" x14ac:dyDescent="0.2"/>
    <row r="48" spans="1:9" s="13" customFormat="1" x14ac:dyDescent="0.2"/>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sheetData>
  <mergeCells count="20">
    <mergeCell ref="A36:I36"/>
    <mergeCell ref="B34:E34"/>
    <mergeCell ref="A37:I37"/>
    <mergeCell ref="A1:I1"/>
    <mergeCell ref="A2:I2"/>
    <mergeCell ref="B33:E33"/>
    <mergeCell ref="A12:B12"/>
    <mergeCell ref="F16:G16"/>
    <mergeCell ref="A16:E16"/>
    <mergeCell ref="A28:B28"/>
    <mergeCell ref="C17:D17"/>
    <mergeCell ref="C12:D12"/>
    <mergeCell ref="F17:G17"/>
    <mergeCell ref="F5:I5"/>
    <mergeCell ref="A11:D11"/>
    <mergeCell ref="B5:D5"/>
    <mergeCell ref="B6:D6"/>
    <mergeCell ref="B7:D7"/>
    <mergeCell ref="B8:D8"/>
    <mergeCell ref="B9:D9"/>
  </mergeCells>
  <pageMargins left="0.7" right="0.7" top="0.75" bottom="0.75" header="0.3" footer="0.3"/>
  <pageSetup scale="98" fitToHeight="0" orientation="landscape" r:id="rId1"/>
  <rowBreaks count="1" manualBreakCount="1">
    <brk id="31" max="16383" man="1"/>
  </rowBreaks>
  <ignoredErrors>
    <ignoredError sqref="D29 G2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
  <sheetViews>
    <sheetView workbookViewId="0"/>
  </sheetViews>
  <sheetFormatPr defaultRowHeight="15" x14ac:dyDescent="0.25"/>
  <cols>
    <col min="1" max="1" width="36.140625" bestFit="1" customWidth="1"/>
    <col min="3" max="3" width="36.140625" bestFit="1" customWidth="1"/>
    <col min="12" max="12" width="10.5703125" customWidth="1"/>
  </cols>
  <sheetData>
    <row r="1" spans="1:86" x14ac:dyDescent="0.25">
      <c r="A1" t="s">
        <v>142</v>
      </c>
      <c r="B1" t="s">
        <v>59</v>
      </c>
      <c r="C1" t="s">
        <v>60</v>
      </c>
      <c r="D1" t="s">
        <v>61</v>
      </c>
      <c r="E1" t="s">
        <v>62</v>
      </c>
      <c r="F1" t="s">
        <v>63</v>
      </c>
      <c r="G1" t="s">
        <v>64</v>
      </c>
      <c r="H1" t="s">
        <v>65</v>
      </c>
      <c r="I1" t="s">
        <v>66</v>
      </c>
      <c r="J1" t="s">
        <v>67</v>
      </c>
      <c r="K1" t="s">
        <v>68</v>
      </c>
      <c r="L1" t="s">
        <v>79</v>
      </c>
      <c r="M1" t="s">
        <v>80</v>
      </c>
      <c r="N1" t="s">
        <v>69</v>
      </c>
      <c r="O1" t="s">
        <v>70</v>
      </c>
      <c r="P1" t="s">
        <v>71</v>
      </c>
      <c r="Q1" t="s">
        <v>72</v>
      </c>
      <c r="R1" t="s">
        <v>73</v>
      </c>
      <c r="S1" t="s">
        <v>74</v>
      </c>
      <c r="T1" t="s">
        <v>75</v>
      </c>
      <c r="U1" t="s">
        <v>76</v>
      </c>
      <c r="V1" t="s">
        <v>77</v>
      </c>
      <c r="W1" t="s">
        <v>78</v>
      </c>
      <c r="X1" t="s">
        <v>120</v>
      </c>
      <c r="Y1" t="s">
        <v>121</v>
      </c>
      <c r="Z1" t="s">
        <v>111</v>
      </c>
      <c r="AA1" t="s">
        <v>100</v>
      </c>
      <c r="AB1" t="s">
        <v>122</v>
      </c>
      <c r="AC1" t="s">
        <v>123</v>
      </c>
      <c r="AD1" t="s">
        <v>124</v>
      </c>
      <c r="AE1" t="s">
        <v>125</v>
      </c>
      <c r="AF1" t="s">
        <v>101</v>
      </c>
      <c r="AG1" t="s">
        <v>126</v>
      </c>
      <c r="AH1" t="s">
        <v>127</v>
      </c>
      <c r="AI1" t="s">
        <v>128</v>
      </c>
      <c r="AJ1" t="s">
        <v>112</v>
      </c>
      <c r="AK1" t="s">
        <v>113</v>
      </c>
      <c r="AL1" t="s">
        <v>114</v>
      </c>
      <c r="AM1" t="s">
        <v>115</v>
      </c>
      <c r="AN1" t="s">
        <v>116</v>
      </c>
      <c r="AO1" t="s">
        <v>117</v>
      </c>
      <c r="AP1" t="s">
        <v>118</v>
      </c>
      <c r="AQ1" t="s">
        <v>119</v>
      </c>
      <c r="AR1" t="s">
        <v>129</v>
      </c>
      <c r="AS1" t="s">
        <v>102</v>
      </c>
      <c r="AT1" t="s">
        <v>28</v>
      </c>
      <c r="AU1" t="s">
        <v>29</v>
      </c>
      <c r="AV1" t="s">
        <v>30</v>
      </c>
      <c r="AW1" t="s">
        <v>103</v>
      </c>
      <c r="AX1" t="s">
        <v>104</v>
      </c>
      <c r="AY1" t="s">
        <v>31</v>
      </c>
      <c r="AZ1" t="s">
        <v>37</v>
      </c>
      <c r="BA1" t="s">
        <v>105</v>
      </c>
      <c r="BB1" t="s">
        <v>32</v>
      </c>
      <c r="BC1" t="s">
        <v>33</v>
      </c>
      <c r="BD1" t="s">
        <v>34</v>
      </c>
      <c r="BE1" t="s">
        <v>38</v>
      </c>
      <c r="BF1" t="s">
        <v>39</v>
      </c>
      <c r="BG1" t="s">
        <v>40</v>
      </c>
      <c r="BH1" t="s">
        <v>41</v>
      </c>
      <c r="BI1" t="s">
        <v>42</v>
      </c>
      <c r="BJ1" t="s">
        <v>136</v>
      </c>
      <c r="BK1" t="s">
        <v>43</v>
      </c>
      <c r="BL1" t="s">
        <v>44</v>
      </c>
      <c r="BM1" t="s">
        <v>45</v>
      </c>
      <c r="BN1" t="s">
        <v>46</v>
      </c>
      <c r="BO1" t="s">
        <v>47</v>
      </c>
      <c r="BP1" t="s">
        <v>106</v>
      </c>
      <c r="BQ1" t="s">
        <v>107</v>
      </c>
      <c r="BR1" t="s">
        <v>81</v>
      </c>
      <c r="BS1" t="s">
        <v>108</v>
      </c>
      <c r="BT1" t="s">
        <v>48</v>
      </c>
      <c r="BU1" t="s">
        <v>49</v>
      </c>
      <c r="BV1" t="s">
        <v>50</v>
      </c>
      <c r="BW1" t="s">
        <v>51</v>
      </c>
      <c r="BX1" t="s">
        <v>52</v>
      </c>
      <c r="BY1" t="s">
        <v>53</v>
      </c>
      <c r="BZ1" t="s">
        <v>135</v>
      </c>
      <c r="CA1" t="s">
        <v>54</v>
      </c>
      <c r="CB1" t="s">
        <v>55</v>
      </c>
      <c r="CC1" t="s">
        <v>56</v>
      </c>
      <c r="CD1" t="s">
        <v>57</v>
      </c>
      <c r="CE1" t="s">
        <v>109</v>
      </c>
      <c r="CF1" t="s">
        <v>35</v>
      </c>
      <c r="CG1" t="s">
        <v>110</v>
      </c>
      <c r="CH1" t="s">
        <v>36</v>
      </c>
    </row>
    <row r="2" spans="1:86" x14ac:dyDescent="0.25">
      <c r="A2" t="e">
        <f>REN_Utility_Name</f>
        <v>#REF!</v>
      </c>
      <c r="B2">
        <f>+CON_2014_Agriculture_Expend</f>
        <v>160700</v>
      </c>
      <c r="C2">
        <f>+CON_2014_Agriculture_MWH</f>
        <v>963</v>
      </c>
      <c r="D2">
        <f>+CON_2014_Commercial_Expend</f>
        <v>2379871</v>
      </c>
      <c r="E2">
        <f>+CON_2014_Commercial_MWH</f>
        <v>10302</v>
      </c>
      <c r="F2">
        <f>+CON_2014_Distribution_Expend</f>
        <v>0</v>
      </c>
      <c r="G2">
        <f>+CON_2014_Distribution_MWH</f>
        <v>0</v>
      </c>
      <c r="H2">
        <f>+CON_2014_Expenditures</f>
        <v>11565529</v>
      </c>
      <c r="I2">
        <f>+CON_2014_Industrial_Expend</f>
        <v>3250740</v>
      </c>
      <c r="J2">
        <f>+CON_2014_Industrial_MWH</f>
        <v>16969</v>
      </c>
      <c r="K2">
        <f>+CON_2014_MWH</f>
        <v>58081</v>
      </c>
      <c r="L2">
        <f>+CON_2014_NEEA_Expend</f>
        <v>1174914</v>
      </c>
      <c r="M2">
        <f>+CON_2014_NEEA_MWH</f>
        <v>9348</v>
      </c>
      <c r="N2">
        <f>+CON_2014_OtherSector1_Expend</f>
        <v>0</v>
      </c>
      <c r="O2">
        <f>+CON_2014_OtherSector1_MWH</f>
        <v>0</v>
      </c>
      <c r="P2">
        <f>+CON_2014_OtherSector2_Expend</f>
        <v>0</v>
      </c>
      <c r="Q2">
        <f>+CON_2014_OtherSector2_MWH</f>
        <v>0</v>
      </c>
      <c r="R2">
        <f>+CON_2014_Production_Expend</f>
        <v>0</v>
      </c>
      <c r="S2">
        <f>+CON_2014_Production_MWH</f>
        <v>0</v>
      </c>
      <c r="T2">
        <f>+CON_2014_Program1_Expend</f>
        <v>308051</v>
      </c>
      <c r="U2">
        <f>+CON_2014_Program2_Expend</f>
        <v>901637</v>
      </c>
      <c r="V2">
        <f>+CON_2014_Residential_Expend</f>
        <v>3389616</v>
      </c>
      <c r="W2">
        <f>+CON_2014_Residential_MWH</f>
        <v>20499</v>
      </c>
      <c r="X2">
        <f>+CON_2015_Agriculture_Expend</f>
        <v>230076</v>
      </c>
      <c r="Y2">
        <f>+CON_2015_Agriculture_MWH</f>
        <v>1367</v>
      </c>
      <c r="Z2">
        <f>+CON_2015_Commercial_Expend</f>
        <v>3648592</v>
      </c>
      <c r="AA2">
        <f>+CON_2015_Commercial_MWH</f>
        <v>14191</v>
      </c>
      <c r="AB2">
        <f>+CON_2015_Distribution_Expend</f>
        <v>0</v>
      </c>
      <c r="AC2">
        <f>+CON_2015_Distribution_MWH</f>
        <v>0</v>
      </c>
      <c r="AD2">
        <f>+CON_2015_Expenditures</f>
        <v>11322827</v>
      </c>
      <c r="AE2">
        <f>+CON_2015_Industrial_Expend</f>
        <v>1934463</v>
      </c>
      <c r="AF2">
        <f>+CON_2015_Industrial_MWH</f>
        <v>10204</v>
      </c>
      <c r="AG2">
        <f>+CON_2015_MWH</f>
        <v>53077</v>
      </c>
      <c r="AH2">
        <f>+CON_2015_NEEA_Expend</f>
        <v>884208</v>
      </c>
      <c r="AI2">
        <f>+CON_2015_NEEA_MWH</f>
        <v>2929</v>
      </c>
      <c r="AJ2">
        <f>+CON_2015_OtherSector1_Expend</f>
        <v>0</v>
      </c>
      <c r="AK2">
        <f>+CON_2015_OtherSector1_MWH</f>
        <v>0</v>
      </c>
      <c r="AL2">
        <f>+CON_2015_OtherSector2_Expend</f>
        <v>0</v>
      </c>
      <c r="AM2">
        <f>+CON_2015_OtherSector2_MWH</f>
        <v>0</v>
      </c>
      <c r="AN2">
        <f>+CON_2015_Production_Expend</f>
        <v>3357</v>
      </c>
      <c r="AO2">
        <f>+CON_2015_Production_MWH</f>
        <v>2</v>
      </c>
      <c r="AP2">
        <f>+CON_2015_Program1_Expend</f>
        <v>269699</v>
      </c>
      <c r="AQ2">
        <f>+CON_2015_Program2_Expend</f>
        <v>406057</v>
      </c>
      <c r="AR2">
        <f>+CON_2015_Residential_Expend</f>
        <v>3946375</v>
      </c>
      <c r="AS2">
        <f>+CON_2015_Residential_MWH</f>
        <v>24384</v>
      </c>
      <c r="AT2" t="str">
        <f>+CON_Contact_Name</f>
        <v>Cory Scott / Demand Side Management</v>
      </c>
      <c r="AU2" t="str">
        <f>+CON_Email</f>
        <v>cory.scott@pacificorp.com</v>
      </c>
      <c r="AV2" t="str">
        <f>+CON_Phone</f>
        <v>(503) 813-6011</v>
      </c>
      <c r="AW2">
        <f>+CON_Potential_2015_2023</f>
        <v>391777</v>
      </c>
      <c r="AX2">
        <f>+CON_Potential_2016_2025</f>
        <v>457530</v>
      </c>
      <c r="AY2" t="str">
        <f>+CON_Report_Date</f>
        <v>6/1/2016 - REV August 9, 2016 per WUTC</v>
      </c>
      <c r="AZ2">
        <f>+CON_Target_2014_2015</f>
        <v>89016</v>
      </c>
      <c r="BA2">
        <f>+CON_Target_2016_2017</f>
        <v>93059</v>
      </c>
      <c r="BB2" t="str">
        <f>+CON_Utility_Name</f>
        <v>Pacific Power &amp; Light Company</v>
      </c>
      <c r="BC2" t="e">
        <f>+REN_Contact_Name</f>
        <v>#REF!</v>
      </c>
      <c r="BD2" t="e">
        <f>+REN_Email</f>
        <v>#REF!</v>
      </c>
      <c r="BE2" t="e">
        <f>+REN_ERR_ApprenticeLabor</f>
        <v>#REF!</v>
      </c>
      <c r="BF2" t="e">
        <f>+REN_ERR_Biodiesel</f>
        <v>#REF!</v>
      </c>
      <c r="BG2" t="e">
        <f>+REN_ERR_Biomass</f>
        <v>#REF!</v>
      </c>
      <c r="BH2" t="e">
        <f>+REN_ERR_Geothermal</f>
        <v>#REF!</v>
      </c>
      <c r="BI2" t="e">
        <f>+REN_ERR_LandfillGas</f>
        <v>#REF!</v>
      </c>
      <c r="BJ2" t="e">
        <f>REN_ERR_QBE</f>
        <v>#REF!</v>
      </c>
      <c r="BK2" t="e">
        <f>+REN_ERR_SewageGas</f>
        <v>#REF!</v>
      </c>
      <c r="BL2" t="e">
        <f>+REN_ERR_Solar</f>
        <v>#REF!</v>
      </c>
      <c r="BM2" t="e">
        <f>+REN_ERR_Water</f>
        <v>#REF!</v>
      </c>
      <c r="BN2" t="e">
        <f>+REN_ERR_Wind</f>
        <v>#REF!</v>
      </c>
      <c r="BO2" t="e">
        <f>+REN_ERR_WOT</f>
        <v>#REF!</v>
      </c>
      <c r="BP2" t="e">
        <f>+REN_Expenditure_Amount_2016</f>
        <v>#REF!</v>
      </c>
      <c r="BQ2" t="e">
        <f>+REN_Expenditure_Percent_2016</f>
        <v>#REF!</v>
      </c>
      <c r="BR2" t="e">
        <f>+REN_Load_2014</f>
        <v>#REF!</v>
      </c>
      <c r="BS2" t="e">
        <f>+REN_Load_2015</f>
        <v>#REF!</v>
      </c>
      <c r="BT2" t="e">
        <f>+REN_REC_ApprenticeLabor</f>
        <v>#REF!</v>
      </c>
      <c r="BU2" t="e">
        <f>+REN_REC_Biodiesel</f>
        <v>#REF!</v>
      </c>
      <c r="BV2" t="e">
        <f>+REN_REC_Biomass</f>
        <v>#REF!</v>
      </c>
      <c r="BW2" t="e">
        <f>+REN_REC_DistributedGeneration</f>
        <v>#REF!</v>
      </c>
      <c r="BX2" t="e">
        <f>+REN_REC_Geothermal</f>
        <v>#REF!</v>
      </c>
      <c r="BY2" t="e">
        <f>+REN_REC_LandfillGas</f>
        <v>#REF!</v>
      </c>
      <c r="BZ2" t="e">
        <f>REN_REC_QBE</f>
        <v>#REF!</v>
      </c>
      <c r="CA2" t="e">
        <f>+REN_REC_SewageGas</f>
        <v>#REF!</v>
      </c>
      <c r="CB2" t="e">
        <f>+REN_REC_Solar</f>
        <v>#REF!</v>
      </c>
      <c r="CC2" t="e">
        <f>+REN_REC_Wind</f>
        <v>#REF!</v>
      </c>
      <c r="CD2" t="e">
        <f>+REN_REC_WOT</f>
        <v>#REF!</v>
      </c>
      <c r="CE2" t="e">
        <f>+REN_RetailRevenueRequirement_2016</f>
        <v>#REF!</v>
      </c>
      <c r="CF2" t="e">
        <f>+REN_Submittal_Date</f>
        <v>#REF!</v>
      </c>
      <c r="CG2" t="e">
        <f>+REN_Total_2016</f>
        <v>#REF!</v>
      </c>
      <c r="CH2" t="e">
        <f>+REN_Utility_Name</f>
        <v>#REF!</v>
      </c>
    </row>
    <row r="6" spans="1:86" x14ac:dyDescent="0.25">
      <c r="A6" s="1" t="s">
        <v>13</v>
      </c>
    </row>
    <row r="7" spans="1:86" x14ac:dyDescent="0.25">
      <c r="A7" s="1" t="s">
        <v>14</v>
      </c>
    </row>
    <row r="8" spans="1:86" x14ac:dyDescent="0.25">
      <c r="A8" s="1" t="s">
        <v>131</v>
      </c>
    </row>
    <row r="9" spans="1:86" x14ac:dyDescent="0.25">
      <c r="A9" s="1" t="s">
        <v>133</v>
      </c>
    </row>
    <row r="10" spans="1:86" x14ac:dyDescent="0.25">
      <c r="A10" s="1" t="s">
        <v>134</v>
      </c>
    </row>
    <row r="11" spans="1:86" x14ac:dyDescent="0.25">
      <c r="A11" s="1" t="s">
        <v>132</v>
      </c>
    </row>
    <row r="12" spans="1:86" x14ac:dyDescent="0.25">
      <c r="A12" s="1" t="s">
        <v>15</v>
      </c>
    </row>
    <row r="13" spans="1:86" x14ac:dyDescent="0.25">
      <c r="A13" s="1" t="s">
        <v>19</v>
      </c>
    </row>
    <row r="14" spans="1:86" x14ac:dyDescent="0.25">
      <c r="A14" s="1" t="s">
        <v>16</v>
      </c>
    </row>
    <row r="15" spans="1:86" x14ac:dyDescent="0.25">
      <c r="A15" s="1" t="s">
        <v>130</v>
      </c>
    </row>
  </sheetData>
  <sheetProtection sheet="1" objects="1" scenarios="1"/>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3F0D969DD9F084AA5D21488C6E96563" ma:contentTypeVersion="135" ma:contentTypeDescription="" ma:contentTypeScope="" ma:versionID="fbcc1ef2f52ad723506d4f6cd334de6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2013-11-01T07:00:00+00:00</OpenedDate>
    <Date1 xmlns="dc463f71-b30c-4ab2-9473-d307f9d35888">2016-08-10T07:00:00+00:00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132047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CB4B110F-8487-4297-9CF1-57FDE5808702}"/>
</file>

<file path=customXml/itemProps2.xml><?xml version="1.0" encoding="utf-8"?>
<ds:datastoreItem xmlns:ds="http://schemas.openxmlformats.org/officeDocument/2006/customXml" ds:itemID="{6C08C73A-CF85-4DB3-BC33-8224EAE370BF}"/>
</file>

<file path=customXml/itemProps3.xml><?xml version="1.0" encoding="utf-8"?>
<ds:datastoreItem xmlns:ds="http://schemas.openxmlformats.org/officeDocument/2006/customXml" ds:itemID="{2F4EF345-C7A3-4312-A2DA-7A75ECC155C4}"/>
</file>

<file path=customXml/itemProps4.xml><?xml version="1.0" encoding="utf-8"?>
<ds:datastoreItem xmlns:ds="http://schemas.openxmlformats.org/officeDocument/2006/customXml" ds:itemID="{B5134EF7-F04D-4218-953F-7A835D8EE7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56</vt:i4>
      </vt:variant>
    </vt:vector>
  </HeadingPairs>
  <TitlesOfParts>
    <vt:vector size="60" baseType="lpstr">
      <vt:lpstr>Background</vt:lpstr>
      <vt:lpstr>Instructions - Revise 2014</vt:lpstr>
      <vt:lpstr>Conservation Report</vt:lpstr>
      <vt:lpstr>Data</vt:lpstr>
      <vt:lpstr>CON_2014_Agriculture_Expend</vt:lpstr>
      <vt:lpstr>CON_2014_Agriculture_MWH</vt:lpstr>
      <vt:lpstr>CON_2014_Commercial_Expend</vt:lpstr>
      <vt:lpstr>CON_2014_Commercial_MWH</vt:lpstr>
      <vt:lpstr>CON_2014_Distribution_Expend</vt:lpstr>
      <vt:lpstr>CON_2014_Distribution_MWH</vt:lpstr>
      <vt:lpstr>CON_2014_Expenditures</vt:lpstr>
      <vt:lpstr>CON_2014_Industrial_Expend</vt:lpstr>
      <vt:lpstr>CON_2014_Industrial_MWH</vt:lpstr>
      <vt:lpstr>CON_2014_MWH</vt:lpstr>
      <vt:lpstr>CON_2014_NEEA_Expend</vt:lpstr>
      <vt:lpstr>CON_2014_NEEA_MWH</vt:lpstr>
      <vt:lpstr>CON_2014_OtherSector1_Expend</vt:lpstr>
      <vt:lpstr>CON_2014_OtherSector1_MWH</vt:lpstr>
      <vt:lpstr>CON_2014_OtherSector2_Expend</vt:lpstr>
      <vt:lpstr>CON_2014_OtherSector2_MWH</vt:lpstr>
      <vt:lpstr>CON_2014_Production_Expend</vt:lpstr>
      <vt:lpstr>CON_2014_Production_MWH</vt:lpstr>
      <vt:lpstr>CON_2014_Program1_Expend</vt:lpstr>
      <vt:lpstr>CON_2014_Program2_Expend</vt:lpstr>
      <vt:lpstr>CON_2014_Residential_Expend</vt:lpstr>
      <vt:lpstr>CON_2014_Residential_MWH</vt:lpstr>
      <vt:lpstr>CON_2015_Agriculture_Expend</vt:lpstr>
      <vt:lpstr>CON_2015_Agriculture_MWH</vt:lpstr>
      <vt:lpstr>CON_2015_Commercial_Expend</vt:lpstr>
      <vt:lpstr>CON_2015_Commercial_MWH</vt:lpstr>
      <vt:lpstr>CON_2015_Distribution_Expend</vt:lpstr>
      <vt:lpstr>CON_2015_Distribution_MWH</vt:lpstr>
      <vt:lpstr>CON_2015_Expenditures</vt:lpstr>
      <vt:lpstr>CON_2015_Industrial_Expend</vt:lpstr>
      <vt:lpstr>CON_2015_Industrial_MWH</vt:lpstr>
      <vt:lpstr>CON_2015_MWH</vt:lpstr>
      <vt:lpstr>CON_2015_NEEA_Expend</vt:lpstr>
      <vt:lpstr>CON_2015_NEEA_MWH</vt:lpstr>
      <vt:lpstr>CON_2015_OtherSector1_Expend</vt:lpstr>
      <vt:lpstr>CON_2015_OtherSector1_MWH</vt:lpstr>
      <vt:lpstr>CON_2015_OtherSector2_Expend</vt:lpstr>
      <vt:lpstr>CON_2015_OtherSector2_MWH</vt:lpstr>
      <vt:lpstr>CON_2015_Production_Expend</vt:lpstr>
      <vt:lpstr>CON_2015_Production_MWH</vt:lpstr>
      <vt:lpstr>CON_2015_Program1_Expend</vt:lpstr>
      <vt:lpstr>CON_2015_Program2_Expend</vt:lpstr>
      <vt:lpstr>CON_2015_Residential_Expend</vt:lpstr>
      <vt:lpstr>CON_2015_Residential_MWH</vt:lpstr>
      <vt:lpstr>CON_Contact_Name</vt:lpstr>
      <vt:lpstr>CON_Email</vt:lpstr>
      <vt:lpstr>CON_Phone</vt:lpstr>
      <vt:lpstr>CON_Potential_2015_2023</vt:lpstr>
      <vt:lpstr>CON_Potential_2016_2025</vt:lpstr>
      <vt:lpstr>CON_Report_Date</vt:lpstr>
      <vt:lpstr>CON_Target_2014_2015</vt:lpstr>
      <vt:lpstr>CON_Target_2016_2017</vt:lpstr>
      <vt:lpstr>CON_Utility_Name</vt:lpstr>
      <vt:lpstr>'Conservation Report'!Print_Area</vt:lpstr>
      <vt:lpstr>ResourceType</vt:lpstr>
      <vt:lpstr>ResourceType_REC</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keywords>EIA 2014 Report Workbook for Utilities</cp:keywords>
  <cp:lastModifiedBy>Kredel, Ashley (UTC)</cp:lastModifiedBy>
  <cp:lastPrinted>2016-08-10T20:28:21Z</cp:lastPrinted>
  <dcterms:created xsi:type="dcterms:W3CDTF">2012-03-20T21:01:26Z</dcterms:created>
  <dcterms:modified xsi:type="dcterms:W3CDTF">2016-08-11T15:34:20Z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0x0101006E56B4D1795A2E4DB2F0B01679ED314A0083F0D969DD9F084AA5D21488C6E96563</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