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externalLinks/externalLink8.xml" ContentType="application/vnd.openxmlformats-officedocument.spreadsheetml.externalLink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externalLinks/externalLink7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wrk\30_ava\3046-8 - UE-160228 2016 GRC\disc\BR1\reply\"/>
    </mc:Choice>
  </mc:AlternateContent>
  <bookViews>
    <workbookView xWindow="570" yWindow="-210" windowWidth="20370" windowHeight="12300" tabRatio="838"/>
  </bookViews>
  <sheets>
    <sheet name="Exh. No. BGM-6" sheetId="78" r:id="rId1"/>
    <sheet name="Exh. No. BGM-6 -2" sheetId="54" r:id="rId2"/>
    <sheet name="Exh. No. BGM-6 -3" sheetId="1" r:id="rId3"/>
    <sheet name="Exh. No. BGM-6 -4" sheetId="56" r:id="rId4"/>
    <sheet name="Exh. No. BGM-6 -5" sheetId="55" r:id="rId5"/>
    <sheet name="LEAD SHEETS-DO NOT ENTER" sheetId="76" r:id="rId6"/>
    <sheet name="DEBT CALC" sheetId="75" r:id="rId7"/>
    <sheet name="ADJ SUMMARY" sheetId="81" r:id="rId8"/>
    <sheet name="ROO INPUT" sheetId="5" r:id="rId9"/>
    <sheet name="Recap Summary" sheetId="6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ID_Elec" localSheetId="6">'DEBT CALC'!$A$85:$F$162</definedName>
    <definedName name="ID_Elec" localSheetId="1">[1]DebtCalc!#REF!</definedName>
    <definedName name="ID_Elec" localSheetId="3">[2]DebtCalc!#REF!</definedName>
    <definedName name="ID_Elec" localSheetId="4">[1]DebtCalc!#REF!</definedName>
    <definedName name="ID_Elec" localSheetId="5">#REF!</definedName>
    <definedName name="ID_Elec" localSheetId="9">#REF!</definedName>
    <definedName name="ID_Gas" localSheetId="6">'DEBT CALC'!#REF!</definedName>
    <definedName name="ID_Gas" localSheetId="5">#REF!</definedName>
    <definedName name="ID_Gas">'[3]DEBT CALC'!#REF!</definedName>
    <definedName name="_xlnm.Print_Area" localSheetId="7">'ADJ SUMMARY'!$A$1:$F$65</definedName>
    <definedName name="_xlnm.Print_Area" localSheetId="6">'DEBT CALC'!$A$1:$I$63</definedName>
    <definedName name="_xlnm.Print_Area" localSheetId="0">'Exh. No. BGM-6'!$A$1:$AE$45</definedName>
    <definedName name="_xlnm.Print_Area" localSheetId="1">'Exh. No. BGM-6 -2'!$A$2:$L$83</definedName>
    <definedName name="_xlnm.Print_Area" localSheetId="2">'Exh. No. BGM-6 -3'!$A$1:$AJ$84</definedName>
    <definedName name="_xlnm.Print_Area" localSheetId="3">'Exh. No. BGM-6 -4'!$A$1:$E$29</definedName>
    <definedName name="_xlnm.Print_Area" localSheetId="4">'Exh. No. BGM-6 -5'!$I$1:$O$18</definedName>
    <definedName name="_xlnm.Print_Area" localSheetId="5">'LEAD SHEETS-DO NOT ENTER'!$A$2:$AW$82</definedName>
    <definedName name="_xlnm.Print_Area" localSheetId="9">'Recap Summary'!$A$1:$R$120</definedName>
    <definedName name="_xlnm.Print_Area" localSheetId="8">'ROO INPUT'!$A$3:$G$82</definedName>
    <definedName name="Print_for_CBReport" localSheetId="9">'Recap Summary'!$A$11:$I$107</definedName>
    <definedName name="Print_for_Checking" localSheetId="6">'[4]ADJ SUMMARY'!$A$1:'[4]ADJ SUMMARY'!#REF!</definedName>
    <definedName name="Print_for_Checking" localSheetId="9">'Recap Summary'!$A$11:$I$107</definedName>
    <definedName name="Print_for_Checking">'[3]ADJ SUMMARY'!#REF!:'[3]ADJ SUMMARY'!#REF!</definedName>
    <definedName name="_xlnm.Print_Titles" localSheetId="0">'Exh. No. BGM-6'!$A:$G</definedName>
    <definedName name="_xlnm.Print_Titles" localSheetId="2">'Exh. No. BGM-6 -3'!$A:$D,'Exh. No. BGM-6 -3'!$2:$11</definedName>
    <definedName name="_xlnm.Print_Titles" localSheetId="5">'LEAD SHEETS-DO NOT ENTER'!$A:$D,'LEAD SHEETS-DO NOT ENTER'!$2:$11</definedName>
    <definedName name="RRC_Adjustment_Print">#REF!</definedName>
    <definedName name="RRC_Rate_Print">#REF!</definedName>
    <definedName name="Summary" localSheetId="6">#REF!</definedName>
    <definedName name="Summary" localSheetId="5">#REF!</definedName>
    <definedName name="Summary">#REF!</definedName>
    <definedName name="WA_Elec" localSheetId="6">'DEBT CALC'!$A$1:$F$84</definedName>
    <definedName name="WA_Elec" localSheetId="1">[1]DebtCalc!#REF!</definedName>
    <definedName name="WA_Elec" localSheetId="3">[2]DebtCalc!#REF!</definedName>
    <definedName name="WA_Elec" localSheetId="4">[1]DebtCalc!#REF!</definedName>
    <definedName name="WA_Elec" localSheetId="5">#REF!</definedName>
    <definedName name="WA_Elec" localSheetId="9">#REF!</definedName>
    <definedName name="WA_Gas" localSheetId="6">'DEBT CALC'!#REF!</definedName>
    <definedName name="WA_Gas" localSheetId="5">#REF!</definedName>
    <definedName name="WA_Gas">'[3]DEBT CALC'!#REF!</definedName>
    <definedName name="Z_5BE913A1_B14F_11D2_B0DC_0000832CDFF0_.wvu.Cols" localSheetId="2" hidden="1">'Exh. No. BGM-6 -3'!$V:$AJ</definedName>
    <definedName name="Z_5BE913A1_B14F_11D2_B0DC_0000832CDFF0_.wvu.Cols" localSheetId="5" hidden="1">'LEAD SHEETS-DO NOT ENTER'!$X:$Z</definedName>
    <definedName name="Z_5BE913A1_B14F_11D2_B0DC_0000832CDFF0_.wvu.PrintArea" localSheetId="7" hidden="1">'ADJ SUMMARY'!$A$1:$G$77</definedName>
    <definedName name="Z_5BE913A1_B14F_11D2_B0DC_0000832CDFF0_.wvu.PrintArea" localSheetId="2" hidden="1">'Exh. No. BGM-6 -3'!$E$12:$AJ$83</definedName>
    <definedName name="Z_5BE913A1_B14F_11D2_B0DC_0000832CDFF0_.wvu.PrintArea" localSheetId="5" hidden="1">'LEAD SHEETS-DO NOT ENTER'!$E$12:$Z$83</definedName>
    <definedName name="Z_5BE913A1_B14F_11D2_B0DC_0000832CDFF0_.wvu.PrintArea" localSheetId="9" hidden="1">'Recap Summary'!$A$11:$I$107</definedName>
    <definedName name="Z_5BE913A1_B14F_11D2_B0DC_0000832CDFF0_.wvu.PrintArea" localSheetId="8" hidden="1">'ROO INPUT'!$A$3:$G$82</definedName>
    <definedName name="Z_5BE913A1_B14F_11D2_B0DC_0000832CDFF0_.wvu.PrintTitles" localSheetId="2" hidden="1">'Exh. No. BGM-6 -3'!$A:$D,'Exh. No. BGM-6 -3'!$2:$11</definedName>
    <definedName name="Z_5BE913A1_B14F_11D2_B0DC_0000832CDFF0_.wvu.PrintTitles" localSheetId="5" hidden="1">'LEAD SHEETS-DO NOT ENTER'!$A:$D,'LEAD SHEETS-DO NOT ENTER'!$2:$11</definedName>
    <definedName name="Z_5BE913A1_B14F_11D2_B0DC_0000832CDFF0_.wvu.Rows" localSheetId="7" hidden="1">'ADJ SUMMARY'!$24:$24,'ADJ SUMMARY'!$29:$73,'ADJ SUMMARY'!#REF!</definedName>
    <definedName name="Z_5BE913A1_B14F_11D2_B0DC_0000832CDFF0_.wvu.Rows" localSheetId="9" hidden="1">'Recap Summary'!$31:$31,'Recap Summary'!$36:$67,'Recap Summary'!$100:$101</definedName>
    <definedName name="Z_A15D1964_B049_11D2_8670_0000832CEEE8_.wvu.Cols" localSheetId="2" hidden="1">'Exh. No. BGM-6 -3'!$V:$AJ</definedName>
    <definedName name="Z_A15D1964_B049_11D2_8670_0000832CEEE8_.wvu.Cols" localSheetId="5" hidden="1">'LEAD SHEETS-DO NOT ENTER'!$X:$Z</definedName>
    <definedName name="Z_A15D1964_B049_11D2_8670_0000832CEEE8_.wvu.PrintArea" localSheetId="7" hidden="1">'ADJ SUMMARY'!$A$1:$G$77</definedName>
    <definedName name="Z_A15D1964_B049_11D2_8670_0000832CEEE8_.wvu.PrintArea" localSheetId="2" hidden="1">'Exh. No. BGM-6 -3'!$E$12:$AJ$83</definedName>
    <definedName name="Z_A15D1964_B049_11D2_8670_0000832CEEE8_.wvu.PrintArea" localSheetId="5" hidden="1">'LEAD SHEETS-DO NOT ENTER'!$E$12:$Z$83</definedName>
    <definedName name="Z_A15D1964_B049_11D2_8670_0000832CEEE8_.wvu.PrintArea" localSheetId="9" hidden="1">'Recap Summary'!$A$11:$I$107</definedName>
    <definedName name="Z_A15D1964_B049_11D2_8670_0000832CEEE8_.wvu.PrintArea" localSheetId="8" hidden="1">'ROO INPUT'!$A$3:$G$82</definedName>
    <definedName name="Z_A15D1964_B049_11D2_8670_0000832CEEE8_.wvu.PrintTitles" localSheetId="2" hidden="1">'Exh. No. BGM-6 -3'!$A:$D,'Exh. No. BGM-6 -3'!$2:$11</definedName>
    <definedName name="Z_A15D1964_B049_11D2_8670_0000832CEEE8_.wvu.PrintTitles" localSheetId="5" hidden="1">'LEAD SHEETS-DO NOT ENTER'!$A:$D,'LEAD SHEETS-DO NOT ENTER'!$2:$11</definedName>
    <definedName name="Z_A15D1964_B049_11D2_8670_0000832CEEE8_.wvu.Rows" localSheetId="7" hidden="1">'ADJ SUMMARY'!$24:$24,'ADJ SUMMARY'!$29:$73,'ADJ SUMMARY'!#REF!</definedName>
    <definedName name="Z_A15D1964_B049_11D2_8670_0000832CEEE8_.wvu.Rows" localSheetId="9" hidden="1">'Recap Summary'!$31:$31,'Recap Summary'!$36:$67,'Recap Summary'!$100:$101</definedName>
  </definedNames>
  <calcPr calcId="162913"/>
  <customWorkbookViews>
    <customWorkbookView name="Don Falkner - Personal View" guid="{5BE913A1-B14F-11D2-B0DC-0000832CDFF0}" mergeInterval="0" personalView="1" maximized="1" windowWidth="1020" windowHeight="604" activeSheetId="2"/>
    <customWorkbookView name="Kathy Mitchell - Personal View" guid="{A15D1964-B049-11D2-8670-0000832CEEE8}" mergeInterval="0" personalView="1" maximized="1" windowWidth="796" windowHeight="436" activeSheetId="1"/>
  </customWorkbookViews>
</workbook>
</file>

<file path=xl/calcChain.xml><?xml version="1.0" encoding="utf-8"?>
<calcChain xmlns="http://schemas.openxmlformats.org/spreadsheetml/2006/main">
  <c r="B35" i="75" l="1"/>
  <c r="H63" i="81"/>
  <c r="C61" i="81"/>
  <c r="B61" i="81"/>
  <c r="C60" i="81"/>
  <c r="B60" i="81"/>
  <c r="C59" i="81"/>
  <c r="B59" i="81"/>
  <c r="C58" i="81"/>
  <c r="B58" i="81"/>
  <c r="C57" i="81"/>
  <c r="B57" i="81"/>
  <c r="C56" i="81"/>
  <c r="B56" i="81"/>
  <c r="C55" i="81"/>
  <c r="B55" i="81"/>
  <c r="A55" i="81"/>
  <c r="H52" i="81"/>
  <c r="C50" i="81"/>
  <c r="B48" i="75" s="1"/>
  <c r="B50" i="81"/>
  <c r="C49" i="81"/>
  <c r="B47" i="75" s="1"/>
  <c r="B49" i="81"/>
  <c r="C48" i="81"/>
  <c r="B46" i="75" s="1"/>
  <c r="B48" i="81"/>
  <c r="C47" i="81"/>
  <c r="B45" i="75" s="1"/>
  <c r="B47" i="81"/>
  <c r="C46" i="81"/>
  <c r="B44" i="75" s="1"/>
  <c r="B46" i="81"/>
  <c r="C45" i="81"/>
  <c r="B43" i="75" s="1"/>
  <c r="B45" i="81"/>
  <c r="C44" i="81"/>
  <c r="B42" i="75" s="1"/>
  <c r="B44" i="81"/>
  <c r="C43" i="81"/>
  <c r="B41" i="75" s="1"/>
  <c r="B43" i="81"/>
  <c r="A43" i="81"/>
  <c r="A41" i="75" s="1"/>
  <c r="C40" i="81"/>
  <c r="B40" i="75" s="1"/>
  <c r="B40" i="81"/>
  <c r="C39" i="81"/>
  <c r="B39" i="75" s="1"/>
  <c r="B39" i="81"/>
  <c r="C38" i="81"/>
  <c r="B38" i="75" s="1"/>
  <c r="B38" i="81"/>
  <c r="C37" i="81"/>
  <c r="B37" i="75" s="1"/>
  <c r="B37" i="81"/>
  <c r="C36" i="81"/>
  <c r="B36" i="75" s="1"/>
  <c r="B36" i="81"/>
  <c r="C35" i="81"/>
  <c r="B35" i="81"/>
  <c r="C34" i="81"/>
  <c r="B34" i="75" s="1"/>
  <c r="B34" i="81"/>
  <c r="C33" i="81"/>
  <c r="B33" i="75" s="1"/>
  <c r="B33" i="81"/>
  <c r="C32" i="81"/>
  <c r="B32" i="75" s="1"/>
  <c r="B32" i="81"/>
  <c r="C31" i="81"/>
  <c r="B31" i="75" s="1"/>
  <c r="B31" i="81"/>
  <c r="C30" i="81"/>
  <c r="B30" i="75" s="1"/>
  <c r="B30" i="81"/>
  <c r="A30" i="81"/>
  <c r="A30" i="75" s="1"/>
  <c r="H28" i="81"/>
  <c r="C26" i="81"/>
  <c r="B29" i="75" s="1"/>
  <c r="B26" i="81"/>
  <c r="C25" i="81"/>
  <c r="B28" i="75" s="1"/>
  <c r="B25" i="81"/>
  <c r="C24" i="81"/>
  <c r="B27" i="75" s="1"/>
  <c r="B24" i="81"/>
  <c r="C23" i="81"/>
  <c r="B26" i="75" s="1"/>
  <c r="B23" i="81"/>
  <c r="C22" i="81"/>
  <c r="B25" i="75" s="1"/>
  <c r="B22" i="81"/>
  <c r="C21" i="81"/>
  <c r="B24" i="75" s="1"/>
  <c r="B21" i="81"/>
  <c r="C20" i="81"/>
  <c r="B23" i="75" s="1"/>
  <c r="B20" i="81"/>
  <c r="C19" i="81"/>
  <c r="B22" i="75" s="1"/>
  <c r="B19" i="81"/>
  <c r="C18" i="81"/>
  <c r="B21" i="75" s="1"/>
  <c r="B18" i="81"/>
  <c r="C17" i="81"/>
  <c r="B20" i="75" s="1"/>
  <c r="B17" i="81"/>
  <c r="C16" i="81"/>
  <c r="B19" i="75" s="1"/>
  <c r="B16" i="81"/>
  <c r="C15" i="81"/>
  <c r="B18" i="75" s="1"/>
  <c r="B15" i="81"/>
  <c r="C14" i="81"/>
  <c r="B17" i="75" s="1"/>
  <c r="B14" i="81"/>
  <c r="C13" i="81"/>
  <c r="B16" i="75" s="1"/>
  <c r="B13" i="81"/>
  <c r="C12" i="81"/>
  <c r="B15" i="75" s="1"/>
  <c r="B12" i="81"/>
  <c r="A12" i="81"/>
  <c r="A15" i="75" s="1"/>
  <c r="C11" i="81"/>
  <c r="B14" i="75" s="1"/>
  <c r="B11" i="81"/>
  <c r="C10" i="81"/>
  <c r="B13" i="75" s="1"/>
  <c r="B10" i="81"/>
  <c r="C9" i="81"/>
  <c r="B12" i="75" s="1"/>
  <c r="B9" i="81"/>
  <c r="C8" i="81"/>
  <c r="B11" i="75" s="1"/>
  <c r="B8" i="81"/>
  <c r="A8" i="81"/>
  <c r="A11" i="75" s="1"/>
  <c r="I79" i="54"/>
  <c r="I78" i="54"/>
  <c r="I77" i="54"/>
  <c r="I76" i="54"/>
  <c r="I57" i="54"/>
  <c r="I56" i="54"/>
  <c r="I47" i="54"/>
  <c r="I46" i="54"/>
  <c r="I30" i="54"/>
  <c r="I29" i="54"/>
  <c r="I24" i="54"/>
  <c r="I22" i="54"/>
  <c r="I17" i="54"/>
  <c r="I16" i="54"/>
  <c r="I15" i="54"/>
  <c r="G76" i="54"/>
  <c r="G77" i="54"/>
  <c r="G78" i="54"/>
  <c r="G79" i="54"/>
  <c r="G74" i="54"/>
  <c r="G71" i="54"/>
  <c r="G70" i="54"/>
  <c r="G69" i="54"/>
  <c r="G65" i="54"/>
  <c r="G64" i="54"/>
  <c r="G63" i="54"/>
  <c r="G57" i="54"/>
  <c r="G56" i="54"/>
  <c r="G47" i="54"/>
  <c r="G46" i="54"/>
  <c r="G45" i="54"/>
  <c r="G41" i="54"/>
  <c r="G40" i="54"/>
  <c r="G35" i="54"/>
  <c r="G34" i="54"/>
  <c r="G30" i="54"/>
  <c r="G29" i="54"/>
  <c r="G28" i="54"/>
  <c r="G24" i="54"/>
  <c r="G23" i="54"/>
  <c r="G22" i="54"/>
  <c r="G17" i="54"/>
  <c r="G16" i="54"/>
  <c r="G15" i="54"/>
  <c r="G18" i="54" l="1"/>
  <c r="G25" i="54"/>
  <c r="G31" i="54"/>
  <c r="G72" i="54"/>
  <c r="G66" i="54"/>
  <c r="G73" i="54" l="1"/>
  <c r="G75" i="54" s="1"/>
  <c r="G81" i="54" s="1"/>
  <c r="AH69" i="1" l="1"/>
  <c r="I69" i="54" s="1"/>
  <c r="AH63" i="1"/>
  <c r="I63" i="54" s="1"/>
  <c r="Y34" i="1" l="1"/>
  <c r="I34" i="54" s="1"/>
  <c r="Y28" i="1"/>
  <c r="I28" i="54" s="1"/>
  <c r="Y44" i="1"/>
  <c r="Y23" i="1"/>
  <c r="I23" i="54" s="1"/>
  <c r="Y40" i="1"/>
  <c r="I40" i="54" s="1"/>
  <c r="Y39" i="1"/>
  <c r="R42" i="78" l="1"/>
  <c r="R40" i="78"/>
  <c r="R39" i="78"/>
  <c r="R38" i="78"/>
  <c r="R37" i="78"/>
  <c r="R36" i="78"/>
  <c r="R35" i="78"/>
  <c r="R34" i="78"/>
  <c r="R33" i="78"/>
  <c r="R32" i="78"/>
  <c r="R27" i="78"/>
  <c r="R26" i="78"/>
  <c r="R25" i="78"/>
  <c r="R24" i="78"/>
  <c r="R23" i="78"/>
  <c r="R22" i="78"/>
  <c r="R21" i="78"/>
  <c r="R20" i="78"/>
  <c r="R19" i="78"/>
  <c r="R18" i="78"/>
  <c r="R17" i="78"/>
  <c r="R16" i="78"/>
  <c r="R15" i="78"/>
  <c r="R14" i="78"/>
  <c r="R13" i="78"/>
  <c r="R12" i="78"/>
  <c r="R11" i="78"/>
  <c r="R10" i="78"/>
  <c r="P26" i="78"/>
  <c r="AQ31" i="1" l="1"/>
  <c r="AH65" i="1" l="1"/>
  <c r="AH64" i="1" l="1"/>
  <c r="I64" i="54" s="1"/>
  <c r="AH35" i="1" l="1"/>
  <c r="I35" i="54" s="1"/>
  <c r="AH45" i="1"/>
  <c r="AH70" i="1" l="1"/>
  <c r="I70" i="54" s="1"/>
  <c r="AH71" i="1"/>
  <c r="AH74" i="1" l="1"/>
  <c r="I74" i="54" s="1"/>
  <c r="W24" i="78" l="1"/>
  <c r="T44" i="1" s="1"/>
  <c r="W32" i="78"/>
  <c r="AH4" i="78" l="1"/>
  <c r="Y38" i="78"/>
  <c r="P38" i="78" s="1"/>
  <c r="Y39" i="78"/>
  <c r="P39" i="78" s="1"/>
  <c r="Y13" i="78"/>
  <c r="P13" i="78" s="1"/>
  <c r="Y14" i="78"/>
  <c r="P14" i="78" s="1"/>
  <c r="Y15" i="78"/>
  <c r="P15" i="78" s="1"/>
  <c r="Y16" i="78"/>
  <c r="P16" i="78" s="1"/>
  <c r="Y17" i="78"/>
  <c r="P17" i="78" s="1"/>
  <c r="Y18" i="78"/>
  <c r="P18" i="78" s="1"/>
  <c r="Y19" i="78"/>
  <c r="P19" i="78" s="1"/>
  <c r="Y20" i="78"/>
  <c r="P20" i="78" s="1"/>
  <c r="Y21" i="78"/>
  <c r="P21" i="78" s="1"/>
  <c r="Y22" i="78"/>
  <c r="P22" i="78" s="1"/>
  <c r="Y23" i="78"/>
  <c r="P23" i="78" s="1"/>
  <c r="Y24" i="78"/>
  <c r="P24" i="78" s="1"/>
  <c r="Y42" i="78"/>
  <c r="P42" i="78" s="1"/>
  <c r="Y40" i="78"/>
  <c r="P40" i="78" s="1"/>
  <c r="Y37" i="78"/>
  <c r="P37" i="78" s="1"/>
  <c r="Y36" i="78"/>
  <c r="P36" i="78" s="1"/>
  <c r="Y35" i="78"/>
  <c r="P35" i="78" s="1"/>
  <c r="Y34" i="78"/>
  <c r="P34" i="78" s="1"/>
  <c r="Y33" i="78"/>
  <c r="P33" i="78" s="1"/>
  <c r="Y32" i="78"/>
  <c r="P32" i="78" s="1"/>
  <c r="AA29" i="78"/>
  <c r="Y27" i="78"/>
  <c r="P27" i="78" s="1"/>
  <c r="AJ14" i="78"/>
  <c r="AJ11" i="78"/>
  <c r="Y12" i="78"/>
  <c r="P12" i="78" s="1"/>
  <c r="AH10" i="78"/>
  <c r="AH12" i="78" s="1"/>
  <c r="Y11" i="78"/>
  <c r="P11" i="78" s="1"/>
  <c r="Y10" i="78"/>
  <c r="P10" i="78" s="1"/>
  <c r="D10" i="78"/>
  <c r="B10" i="78"/>
  <c r="AJ10" i="78" l="1"/>
  <c r="AJ12" i="78" s="1"/>
  <c r="M32" i="78" s="1"/>
  <c r="D11" i="78"/>
  <c r="W29" i="78"/>
  <c r="B11" i="78"/>
  <c r="M10" i="78" l="1"/>
  <c r="M13" i="78"/>
  <c r="M11" i="78"/>
  <c r="AC38" i="78"/>
  <c r="AC37" i="78"/>
  <c r="AC36" i="78"/>
  <c r="AC35" i="78"/>
  <c r="AC34" i="78"/>
  <c r="AC40" i="78"/>
  <c r="AC39" i="78"/>
  <c r="AC33" i="78"/>
  <c r="AC19" i="78"/>
  <c r="AC18" i="78"/>
  <c r="AC24" i="78"/>
  <c r="AC23" i="78"/>
  <c r="AC22" i="78"/>
  <c r="AC32" i="78"/>
  <c r="AC27" i="78"/>
  <c r="AC26" i="78"/>
  <c r="AC17" i="78"/>
  <c r="AC16" i="78"/>
  <c r="AC11" i="78"/>
  <c r="AC10" i="78"/>
  <c r="AC20" i="78"/>
  <c r="AC15" i="78"/>
  <c r="AC14" i="78"/>
  <c r="AC21" i="78"/>
  <c r="AC13" i="78"/>
  <c r="AC12" i="78"/>
  <c r="B12" i="78"/>
  <c r="T32" i="78"/>
  <c r="D12" i="78"/>
  <c r="T10" i="78"/>
  <c r="AC42" i="78"/>
  <c r="M12" i="78" l="1"/>
  <c r="B13" i="78"/>
  <c r="T11" i="78"/>
  <c r="W41" i="78" l="1"/>
  <c r="D14" i="78"/>
  <c r="T12" i="78"/>
  <c r="B14" i="78"/>
  <c r="M14" i="78" l="1"/>
  <c r="Y41" i="78"/>
  <c r="P41" i="78" s="1"/>
  <c r="W44" i="78"/>
  <c r="D15" i="78"/>
  <c r="T13" i="78"/>
  <c r="B15" i="78"/>
  <c r="B16" i="78" s="1"/>
  <c r="M15" i="78" l="1"/>
  <c r="AA41" i="78"/>
  <c r="R41" i="78" s="1"/>
  <c r="T14" i="78"/>
  <c r="D16" i="78"/>
  <c r="B17" i="78"/>
  <c r="M16" i="78" l="1"/>
  <c r="Y25" i="78"/>
  <c r="AA44" i="78"/>
  <c r="AC41" i="78"/>
  <c r="T15" i="78"/>
  <c r="D17" i="78"/>
  <c r="B18" i="78"/>
  <c r="B19" i="78" s="1"/>
  <c r="P25" i="78" l="1"/>
  <c r="M17" i="78"/>
  <c r="Y29" i="78"/>
  <c r="Y44" i="78" s="1"/>
  <c r="AC44" i="78" s="1"/>
  <c r="AC25" i="78"/>
  <c r="D18" i="78"/>
  <c r="T16" i="78"/>
  <c r="B20" i="78"/>
  <c r="B21" i="78" s="1"/>
  <c r="B22" i="78" s="1"/>
  <c r="B23" i="78" s="1"/>
  <c r="B24" i="78" s="1"/>
  <c r="B25" i="78" s="1"/>
  <c r="B26" i="78" s="1"/>
  <c r="B27" i="78" s="1"/>
  <c r="M18" i="78" l="1"/>
  <c r="D19" i="78"/>
  <c r="AC29" i="78"/>
  <c r="T17" i="78"/>
  <c r="D20" i="78" l="1"/>
  <c r="M19" i="78"/>
  <c r="T18" i="78"/>
  <c r="B29" i="78"/>
  <c r="B32" i="78" s="1"/>
  <c r="B33" i="78" s="1"/>
  <c r="B34" i="78" s="1"/>
  <c r="B35" i="78" s="1"/>
  <c r="B36" i="78" s="1"/>
  <c r="B37" i="78" s="1"/>
  <c r="B38" i="78" s="1"/>
  <c r="B39" i="78" s="1"/>
  <c r="B40" i="78" s="1"/>
  <c r="B41" i="78" s="1"/>
  <c r="B42" i="78" s="1"/>
  <c r="B44" i="78" s="1"/>
  <c r="D21" i="78" l="1"/>
  <c r="M20" i="78"/>
  <c r="T19" i="78"/>
  <c r="D22" i="78" l="1"/>
  <c r="M21" i="78"/>
  <c r="T20" i="78"/>
  <c r="M22" i="78"/>
  <c r="T21" i="78"/>
  <c r="D23" i="78" l="1"/>
  <c r="M23" i="78"/>
  <c r="T22" i="78"/>
  <c r="T23" i="78" l="1"/>
  <c r="D24" i="78"/>
  <c r="M24" i="78"/>
  <c r="D25" i="78" l="1"/>
  <c r="M25" i="78"/>
  <c r="D26" i="78" l="1"/>
  <c r="D27" i="78" s="1"/>
  <c r="T25" i="78"/>
  <c r="T26" i="78"/>
  <c r="T27" i="78" l="1"/>
  <c r="D33" i="78"/>
  <c r="M26" i="78"/>
  <c r="T33" i="78" l="1"/>
  <c r="D34" i="78"/>
  <c r="D35" i="78" s="1"/>
  <c r="M27" i="78"/>
  <c r="M33" i="78"/>
  <c r="M34" i="78" l="1"/>
  <c r="T34" i="78"/>
  <c r="D36" i="78"/>
  <c r="M35" i="78" l="1"/>
  <c r="T35" i="78"/>
  <c r="D37" i="78"/>
  <c r="M36" i="78" l="1"/>
  <c r="D38" i="78"/>
  <c r="T36" i="78"/>
  <c r="M37" i="78" l="1"/>
  <c r="T37" i="78"/>
  <c r="D39" i="78"/>
  <c r="M38" i="78" l="1"/>
  <c r="T38" i="78"/>
  <c r="D40" i="78"/>
  <c r="M39" i="78" l="1"/>
  <c r="D41" i="78"/>
  <c r="T39" i="78"/>
  <c r="M40" i="78" l="1"/>
  <c r="T40" i="78"/>
  <c r="D42" i="78"/>
  <c r="M41" i="78" l="1"/>
  <c r="T41" i="78"/>
  <c r="M42" i="78" l="1"/>
  <c r="T42" i="78"/>
  <c r="K27" i="55" l="1"/>
  <c r="B54" i="69" l="1"/>
  <c r="B48" i="69"/>
  <c r="A48" i="69"/>
  <c r="R39" i="1" l="1"/>
  <c r="R44" i="1"/>
  <c r="BM63" i="1" l="1"/>
  <c r="N15" i="55" l="1"/>
  <c r="AU8" i="76" l="1"/>
  <c r="AU9" i="76"/>
  <c r="AU10" i="76"/>
  <c r="AU12" i="76"/>
  <c r="AU15" i="76"/>
  <c r="AU16" i="76"/>
  <c r="AU17" i="76"/>
  <c r="AU22" i="76"/>
  <c r="AU23" i="76"/>
  <c r="AU24" i="76"/>
  <c r="AU28" i="76"/>
  <c r="AU29" i="76"/>
  <c r="AU30" i="76"/>
  <c r="AU34" i="76"/>
  <c r="AU35" i="76"/>
  <c r="AU36" i="76"/>
  <c r="AU39" i="76"/>
  <c r="AU40" i="76"/>
  <c r="AU41" i="76"/>
  <c r="AU44" i="76"/>
  <c r="AU45" i="76"/>
  <c r="AU46" i="76"/>
  <c r="AU47" i="76"/>
  <c r="AU56" i="76"/>
  <c r="AU57" i="76"/>
  <c r="AU63" i="76"/>
  <c r="AU64" i="76"/>
  <c r="AU65" i="76"/>
  <c r="AU69" i="76"/>
  <c r="AU70" i="76"/>
  <c r="AU71" i="76"/>
  <c r="AU74" i="76"/>
  <c r="AU76" i="76"/>
  <c r="AU77" i="76"/>
  <c r="AU78" i="76"/>
  <c r="AU79" i="76"/>
  <c r="AO8" i="76"/>
  <c r="AO9" i="76"/>
  <c r="AO10" i="76"/>
  <c r="AO12" i="76"/>
  <c r="AO15" i="76"/>
  <c r="AO16" i="76"/>
  <c r="AO17" i="76"/>
  <c r="AO22" i="76"/>
  <c r="AO23" i="76"/>
  <c r="AO24" i="76"/>
  <c r="AO28" i="76"/>
  <c r="AO29" i="76"/>
  <c r="AO30" i="76"/>
  <c r="AO34" i="76"/>
  <c r="AO35" i="76"/>
  <c r="AO36" i="76"/>
  <c r="AO39" i="76"/>
  <c r="AO40" i="76"/>
  <c r="AO41" i="76"/>
  <c r="AO44" i="76"/>
  <c r="AO45" i="76"/>
  <c r="AO46" i="76"/>
  <c r="AO47" i="76"/>
  <c r="AO56" i="76"/>
  <c r="AO57" i="76"/>
  <c r="AO63" i="76"/>
  <c r="AO64" i="76"/>
  <c r="AO65" i="76"/>
  <c r="AO69" i="76"/>
  <c r="AO70" i="76"/>
  <c r="AO71" i="76"/>
  <c r="AO74" i="76"/>
  <c r="AO76" i="76"/>
  <c r="AO77" i="76"/>
  <c r="AO78" i="76"/>
  <c r="AO79" i="76"/>
  <c r="BE72" i="1"/>
  <c r="BE66" i="1"/>
  <c r="BE48" i="1"/>
  <c r="BE37" i="1"/>
  <c r="BE31" i="1"/>
  <c r="BE25" i="1"/>
  <c r="BE18" i="1"/>
  <c r="AQ72" i="1"/>
  <c r="AQ66" i="1"/>
  <c r="AQ48" i="1"/>
  <c r="AQ37" i="1"/>
  <c r="AQ25" i="1"/>
  <c r="AQ18" i="1"/>
  <c r="BE73" i="1" l="1"/>
  <c r="BE75" i="1" s="1"/>
  <c r="BE82" i="1" s="1"/>
  <c r="E59" i="81" s="1"/>
  <c r="AU48" i="76"/>
  <c r="AU18" i="76"/>
  <c r="AU31" i="76"/>
  <c r="AO48" i="76"/>
  <c r="AO18" i="76"/>
  <c r="AU25" i="76"/>
  <c r="AU72" i="76"/>
  <c r="AU66" i="76"/>
  <c r="AU37" i="76"/>
  <c r="BE49" i="1"/>
  <c r="BE51" i="1" s="1"/>
  <c r="BE54" i="1" s="1"/>
  <c r="AO72" i="76"/>
  <c r="AO31" i="76"/>
  <c r="AO37" i="76"/>
  <c r="AO66" i="76"/>
  <c r="AO25" i="76"/>
  <c r="AQ49" i="1"/>
  <c r="AQ51" i="1" s="1"/>
  <c r="AQ54" i="1" s="1"/>
  <c r="AO54" i="76" s="1"/>
  <c r="AQ73" i="1"/>
  <c r="AQ75" i="1" s="1"/>
  <c r="AQ82" i="1" s="1"/>
  <c r="I54" i="69" l="1"/>
  <c r="L54" i="69" s="1"/>
  <c r="E49" i="81"/>
  <c r="F47" i="75" s="1"/>
  <c r="AU73" i="76"/>
  <c r="AU75" i="76" s="1"/>
  <c r="AU82" i="76" s="1"/>
  <c r="AU49" i="76"/>
  <c r="AU51" i="76" s="1"/>
  <c r="AO49" i="76"/>
  <c r="AO51" i="76" s="1"/>
  <c r="AO73" i="76"/>
  <c r="AO75" i="76" s="1"/>
  <c r="AO82" i="76" s="1"/>
  <c r="AU54" i="76"/>
  <c r="B52" i="69"/>
  <c r="AG71" i="1"/>
  <c r="I71" i="54" s="1"/>
  <c r="G47" i="75" l="1"/>
  <c r="AG65" i="1"/>
  <c r="I65" i="54" s="1"/>
  <c r="AG45" i="1"/>
  <c r="I45" i="54" s="1"/>
  <c r="AS8" i="76" l="1"/>
  <c r="AS9" i="76"/>
  <c r="AS10" i="76"/>
  <c r="AS12" i="76"/>
  <c r="AS15" i="76"/>
  <c r="AS16" i="76"/>
  <c r="AS17" i="76"/>
  <c r="AS22" i="76"/>
  <c r="AS23" i="76"/>
  <c r="AS24" i="76"/>
  <c r="AS28" i="76"/>
  <c r="AS29" i="76"/>
  <c r="AS30" i="76"/>
  <c r="AS34" i="76"/>
  <c r="AS35" i="76"/>
  <c r="AS36" i="76"/>
  <c r="AS39" i="76"/>
  <c r="AS40" i="76"/>
  <c r="AS41" i="76"/>
  <c r="AS44" i="76"/>
  <c r="AS45" i="76"/>
  <c r="AS46" i="76"/>
  <c r="AS47" i="76"/>
  <c r="AS56" i="76"/>
  <c r="AS57" i="76"/>
  <c r="AS63" i="76"/>
  <c r="AS64" i="76"/>
  <c r="AS65" i="76"/>
  <c r="AS69" i="76"/>
  <c r="AS70" i="76"/>
  <c r="AS71" i="76"/>
  <c r="AS74" i="76"/>
  <c r="AS76" i="76"/>
  <c r="AS77" i="76"/>
  <c r="AS78" i="76"/>
  <c r="AS79" i="76"/>
  <c r="AM8" i="76"/>
  <c r="AM9" i="76"/>
  <c r="AM10" i="76"/>
  <c r="AM12" i="76"/>
  <c r="AM15" i="76"/>
  <c r="AM16" i="76"/>
  <c r="AM17" i="76"/>
  <c r="AM22" i="76"/>
  <c r="AM23" i="76"/>
  <c r="AM24" i="76"/>
  <c r="AM28" i="76"/>
  <c r="AM29" i="76"/>
  <c r="AM30" i="76"/>
  <c r="AM34" i="76"/>
  <c r="AM35" i="76"/>
  <c r="AM36" i="76"/>
  <c r="AM39" i="76"/>
  <c r="AM40" i="76"/>
  <c r="AM41" i="76"/>
  <c r="AM44" i="76"/>
  <c r="AM45" i="76"/>
  <c r="AM46" i="76"/>
  <c r="AM47" i="76"/>
  <c r="AM56" i="76"/>
  <c r="AM57" i="76"/>
  <c r="AM63" i="76"/>
  <c r="AM64" i="76"/>
  <c r="AM65" i="76"/>
  <c r="AM69" i="76"/>
  <c r="AM70" i="76"/>
  <c r="AM71" i="76"/>
  <c r="AM74" i="76"/>
  <c r="AM76" i="76"/>
  <c r="AM77" i="76"/>
  <c r="AM78" i="76"/>
  <c r="AM79" i="76"/>
  <c r="BC72" i="1"/>
  <c r="BC66" i="1"/>
  <c r="BC48" i="1"/>
  <c r="BC37" i="1"/>
  <c r="BC31" i="1"/>
  <c r="BC25" i="1"/>
  <c r="BC18" i="1"/>
  <c r="AO72" i="1"/>
  <c r="AO66" i="1"/>
  <c r="AO48" i="1"/>
  <c r="AO37" i="1"/>
  <c r="AO31" i="1"/>
  <c r="AO25" i="1"/>
  <c r="AO18" i="1"/>
  <c r="AS66" i="76" l="1"/>
  <c r="BC73" i="1"/>
  <c r="BC75" i="1" s="1"/>
  <c r="BC82" i="1" s="1"/>
  <c r="E57" i="81" s="1"/>
  <c r="AS48" i="76"/>
  <c r="AS18" i="76"/>
  <c r="AS72" i="76"/>
  <c r="AO49" i="1"/>
  <c r="AO51" i="1" s="1"/>
  <c r="AO73" i="1"/>
  <c r="AO75" i="1" s="1"/>
  <c r="AO82" i="1" s="1"/>
  <c r="E47" i="81" s="1"/>
  <c r="F45" i="75" s="1"/>
  <c r="AM72" i="76"/>
  <c r="AM25" i="76"/>
  <c r="AS31" i="76"/>
  <c r="AM18" i="76"/>
  <c r="AS25" i="76"/>
  <c r="BC49" i="1"/>
  <c r="BC51" i="1" s="1"/>
  <c r="AS37" i="76"/>
  <c r="AM37" i="76"/>
  <c r="AM66" i="76"/>
  <c r="AM48" i="76"/>
  <c r="AM31" i="76"/>
  <c r="L13" i="55"/>
  <c r="N13" i="55" s="1"/>
  <c r="AI79" i="76"/>
  <c r="AI78" i="76"/>
  <c r="AI77" i="76"/>
  <c r="AI76" i="76"/>
  <c r="AI74" i="76"/>
  <c r="AI71" i="76"/>
  <c r="AI70" i="76"/>
  <c r="AI69" i="76"/>
  <c r="AI65" i="76"/>
  <c r="AI64" i="76"/>
  <c r="AI63" i="76"/>
  <c r="AI57" i="76"/>
  <c r="AI56" i="76"/>
  <c r="AI47" i="76"/>
  <c r="AI46" i="76"/>
  <c r="AI45" i="76"/>
  <c r="AI44" i="76"/>
  <c r="AI41" i="76"/>
  <c r="AI40" i="76"/>
  <c r="AI39" i="76"/>
  <c r="AI36" i="76"/>
  <c r="AI35" i="76"/>
  <c r="AI34" i="76"/>
  <c r="AI30" i="76"/>
  <c r="AI29" i="76"/>
  <c r="AI28" i="76"/>
  <c r="AI24" i="76"/>
  <c r="AI23" i="76"/>
  <c r="AI22" i="76"/>
  <c r="AI17" i="76"/>
  <c r="AI16" i="76"/>
  <c r="AI15" i="76"/>
  <c r="AI12" i="76"/>
  <c r="AI11" i="76"/>
  <c r="AI10" i="76"/>
  <c r="AI9" i="76"/>
  <c r="AI8" i="76"/>
  <c r="AK72" i="1"/>
  <c r="AK66" i="1"/>
  <c r="AK48" i="1"/>
  <c r="AK37" i="1"/>
  <c r="AK31" i="1"/>
  <c r="AK25" i="1"/>
  <c r="AK18" i="1"/>
  <c r="AL11" i="1"/>
  <c r="A44" i="81" s="1"/>
  <c r="A42" i="75" s="1"/>
  <c r="V25" i="1"/>
  <c r="Z48" i="1"/>
  <c r="V37" i="1"/>
  <c r="BB11" i="1"/>
  <c r="A56" i="81" s="1"/>
  <c r="AQ8" i="76"/>
  <c r="AR8" i="76"/>
  <c r="AT8" i="76"/>
  <c r="AV8" i="76"/>
  <c r="AW8" i="76"/>
  <c r="AQ9" i="76"/>
  <c r="AR9" i="76"/>
  <c r="AT9" i="76"/>
  <c r="AV9" i="76"/>
  <c r="AW9" i="76"/>
  <c r="AQ10" i="76"/>
  <c r="AR10" i="76"/>
  <c r="AT10" i="76"/>
  <c r="AV10" i="76"/>
  <c r="AW10" i="76"/>
  <c r="AQ11" i="76"/>
  <c r="AQ12" i="76"/>
  <c r="AR12" i="76"/>
  <c r="AT12" i="76"/>
  <c r="AV12" i="76"/>
  <c r="AW12" i="76"/>
  <c r="AQ15" i="76"/>
  <c r="AR15" i="76"/>
  <c r="AT15" i="76"/>
  <c r="AV15" i="76"/>
  <c r="AW15" i="76"/>
  <c r="AQ16" i="76"/>
  <c r="AR16" i="76"/>
  <c r="AT16" i="76"/>
  <c r="AV16" i="76"/>
  <c r="AW16" i="76"/>
  <c r="AQ17" i="76"/>
  <c r="AR17" i="76"/>
  <c r="AT17" i="76"/>
  <c r="AV17" i="76"/>
  <c r="AW17" i="76"/>
  <c r="AQ22" i="76"/>
  <c r="AR22" i="76"/>
  <c r="AT22" i="76"/>
  <c r="AV22" i="76"/>
  <c r="AW22" i="76"/>
  <c r="AQ23" i="76"/>
  <c r="AR23" i="76"/>
  <c r="AT23" i="76"/>
  <c r="AV23" i="76"/>
  <c r="AW23" i="76"/>
  <c r="AQ24" i="76"/>
  <c r="AR24" i="76"/>
  <c r="AT24" i="76"/>
  <c r="AV24" i="76"/>
  <c r="AW24" i="76"/>
  <c r="AQ28" i="76"/>
  <c r="AR28" i="76"/>
  <c r="AT28" i="76"/>
  <c r="AV28" i="76"/>
  <c r="AW28" i="76"/>
  <c r="AQ29" i="76"/>
  <c r="AR29" i="76"/>
  <c r="AT29" i="76"/>
  <c r="AV29" i="76"/>
  <c r="AW29" i="76"/>
  <c r="AQ30" i="76"/>
  <c r="AR30" i="76"/>
  <c r="AT30" i="76"/>
  <c r="AV30" i="76"/>
  <c r="AW30" i="76"/>
  <c r="AQ34" i="76"/>
  <c r="AR34" i="76"/>
  <c r="AT34" i="76"/>
  <c r="AV34" i="76"/>
  <c r="AW34" i="76"/>
  <c r="AQ35" i="76"/>
  <c r="AR35" i="76"/>
  <c r="AT35" i="76"/>
  <c r="AV35" i="76"/>
  <c r="AW35" i="76"/>
  <c r="AQ36" i="76"/>
  <c r="AR36" i="76"/>
  <c r="AT36" i="76"/>
  <c r="AV36" i="76"/>
  <c r="AW36" i="76"/>
  <c r="AQ39" i="76"/>
  <c r="AR39" i="76"/>
  <c r="AT39" i="76"/>
  <c r="AV39" i="76"/>
  <c r="AW39" i="76"/>
  <c r="AQ40" i="76"/>
  <c r="AR40" i="76"/>
  <c r="AT40" i="76"/>
  <c r="AV40" i="76"/>
  <c r="AW40" i="76"/>
  <c r="AQ41" i="76"/>
  <c r="AR41" i="76"/>
  <c r="AT41" i="76"/>
  <c r="AV41" i="76"/>
  <c r="AW41" i="76"/>
  <c r="AQ44" i="76"/>
  <c r="AR44" i="76"/>
  <c r="AT44" i="76"/>
  <c r="AV44" i="76"/>
  <c r="AW44" i="76"/>
  <c r="AQ45" i="76"/>
  <c r="AR45" i="76"/>
  <c r="AT45" i="76"/>
  <c r="AV45" i="76"/>
  <c r="AW45" i="76"/>
  <c r="AQ46" i="76"/>
  <c r="AR46" i="76"/>
  <c r="AT46" i="76"/>
  <c r="AV46" i="76"/>
  <c r="AW46" i="76"/>
  <c r="AQ47" i="76"/>
  <c r="AR47" i="76"/>
  <c r="AT47" i="76"/>
  <c r="AV47" i="76"/>
  <c r="AW47" i="76"/>
  <c r="AQ56" i="76"/>
  <c r="AR56" i="76"/>
  <c r="AT56" i="76"/>
  <c r="AV56" i="76"/>
  <c r="AW56" i="76"/>
  <c r="AQ57" i="76"/>
  <c r="AR57" i="76"/>
  <c r="AT57" i="76"/>
  <c r="AV57" i="76"/>
  <c r="AW57" i="76"/>
  <c r="AQ63" i="76"/>
  <c r="AR63" i="76"/>
  <c r="AT63" i="76"/>
  <c r="AV63" i="76"/>
  <c r="AW63" i="76"/>
  <c r="AQ64" i="76"/>
  <c r="AR64" i="76"/>
  <c r="AT64" i="76"/>
  <c r="AV64" i="76"/>
  <c r="AW64" i="76"/>
  <c r="AQ65" i="76"/>
  <c r="AR65" i="76"/>
  <c r="AT65" i="76"/>
  <c r="AV65" i="76"/>
  <c r="AW65" i="76"/>
  <c r="AQ69" i="76"/>
  <c r="AR69" i="76"/>
  <c r="AT69" i="76"/>
  <c r="AV69" i="76"/>
  <c r="AW69" i="76"/>
  <c r="AQ70" i="76"/>
  <c r="AR70" i="76"/>
  <c r="AT70" i="76"/>
  <c r="AV70" i="76"/>
  <c r="AW70" i="76"/>
  <c r="AQ71" i="76"/>
  <c r="AR71" i="76"/>
  <c r="AT71" i="76"/>
  <c r="AV71" i="76"/>
  <c r="AW71" i="76"/>
  <c r="AQ74" i="76"/>
  <c r="AR74" i="76"/>
  <c r="AT74" i="76"/>
  <c r="AV74" i="76"/>
  <c r="AW74" i="76"/>
  <c r="AQ76" i="76"/>
  <c r="AR76" i="76"/>
  <c r="AT76" i="76"/>
  <c r="AV76" i="76"/>
  <c r="AW76" i="76"/>
  <c r="AQ77" i="76"/>
  <c r="AR77" i="76"/>
  <c r="AT77" i="76"/>
  <c r="AV77" i="76"/>
  <c r="AW77" i="76"/>
  <c r="AQ78" i="76"/>
  <c r="AR78" i="76"/>
  <c r="AT78" i="76"/>
  <c r="AV78" i="76"/>
  <c r="AW78" i="76"/>
  <c r="AQ79" i="76"/>
  <c r="AR79" i="76"/>
  <c r="AT79" i="76"/>
  <c r="AV79" i="76"/>
  <c r="AW79" i="76"/>
  <c r="BB72" i="1"/>
  <c r="BB66" i="1"/>
  <c r="BB48" i="1"/>
  <c r="BB37" i="1"/>
  <c r="BB31" i="1"/>
  <c r="BB25" i="1"/>
  <c r="BB18" i="1"/>
  <c r="BH72" i="1"/>
  <c r="BD72" i="1"/>
  <c r="BF72" i="1"/>
  <c r="BA72" i="1"/>
  <c r="BH66" i="1"/>
  <c r="BD66" i="1"/>
  <c r="BF66" i="1"/>
  <c r="BA66" i="1"/>
  <c r="BH48" i="1"/>
  <c r="BD48" i="1"/>
  <c r="BF48" i="1"/>
  <c r="BA48" i="1"/>
  <c r="BH37" i="1"/>
  <c r="BD37" i="1"/>
  <c r="BF37" i="1"/>
  <c r="BA37" i="1"/>
  <c r="BH31" i="1"/>
  <c r="BD31" i="1"/>
  <c r="BF31" i="1"/>
  <c r="BA31" i="1"/>
  <c r="BH25" i="1"/>
  <c r="BD25" i="1"/>
  <c r="BF25" i="1"/>
  <c r="BA25" i="1"/>
  <c r="BH18" i="1"/>
  <c r="BD18" i="1"/>
  <c r="BF18" i="1"/>
  <c r="BA18" i="1"/>
  <c r="BH49" i="1" l="1"/>
  <c r="BH51" i="1" s="1"/>
  <c r="BH54" i="1" s="1"/>
  <c r="AW54" i="76" s="1"/>
  <c r="AR11" i="76"/>
  <c r="BC11" i="1"/>
  <c r="A57" i="81" s="1"/>
  <c r="AS73" i="76"/>
  <c r="AS75" i="76" s="1"/>
  <c r="AS82" i="76" s="1"/>
  <c r="AK73" i="1"/>
  <c r="AK75" i="1" s="1"/>
  <c r="AK82" i="1" s="1"/>
  <c r="E43" i="81" s="1"/>
  <c r="F41" i="75" s="1"/>
  <c r="I52" i="69"/>
  <c r="L52" i="69" s="1"/>
  <c r="G45" i="75"/>
  <c r="AM73" i="76"/>
  <c r="AM75" i="76" s="1"/>
  <c r="AM82" i="76" s="1"/>
  <c r="AM49" i="76"/>
  <c r="AM51" i="76" s="1"/>
  <c r="AS49" i="76"/>
  <c r="AS51" i="76" s="1"/>
  <c r="AO54" i="1"/>
  <c r="AM54" i="76" s="1"/>
  <c r="BC54" i="1"/>
  <c r="AI66" i="76"/>
  <c r="AI37" i="76"/>
  <c r="AI18" i="76"/>
  <c r="AI72" i="76"/>
  <c r="AI48" i="76"/>
  <c r="AI31" i="76"/>
  <c r="AK49" i="1"/>
  <c r="AK51" i="1" s="1"/>
  <c r="AI25" i="76"/>
  <c r="BB73" i="1"/>
  <c r="BB75" i="1" s="1"/>
  <c r="BB82" i="1" s="1"/>
  <c r="E56" i="81" s="1"/>
  <c r="BB49" i="1"/>
  <c r="BB51" i="1" s="1"/>
  <c r="AW37" i="76"/>
  <c r="AW31" i="76"/>
  <c r="AT18" i="76"/>
  <c r="AV66" i="76"/>
  <c r="AW48" i="76"/>
  <c r="AW66" i="76"/>
  <c r="AT37" i="76"/>
  <c r="AQ37" i="76"/>
  <c r="AW18" i="76"/>
  <c r="AQ18" i="76"/>
  <c r="AR66" i="76"/>
  <c r="AV37" i="76"/>
  <c r="AR37" i="76"/>
  <c r="AV31" i="76"/>
  <c r="AR31" i="76"/>
  <c r="AW25" i="76"/>
  <c r="AR72" i="76"/>
  <c r="AQ48" i="76"/>
  <c r="AW72" i="76"/>
  <c r="AT66" i="76"/>
  <c r="AQ66" i="76"/>
  <c r="AV48" i="76"/>
  <c r="AR48" i="76"/>
  <c r="AT25" i="76"/>
  <c r="AQ25" i="76"/>
  <c r="AV18" i="76"/>
  <c r="AR18" i="76"/>
  <c r="AV72" i="76"/>
  <c r="AT48" i="76"/>
  <c r="AT72" i="76"/>
  <c r="AQ72" i="76"/>
  <c r="AT31" i="76"/>
  <c r="AQ31" i="76"/>
  <c r="AV25" i="76"/>
  <c r="AR25" i="76"/>
  <c r="BA49" i="1"/>
  <c r="BA51" i="1" s="1"/>
  <c r="BD49" i="1"/>
  <c r="BD51" i="1" s="1"/>
  <c r="BA73" i="1"/>
  <c r="BA75" i="1" s="1"/>
  <c r="BA82" i="1" s="1"/>
  <c r="E55" i="81" s="1"/>
  <c r="BD73" i="1"/>
  <c r="BD75" i="1" s="1"/>
  <c r="BD82" i="1" s="1"/>
  <c r="E58" i="81" s="1"/>
  <c r="BF49" i="1"/>
  <c r="BF51" i="1" s="1"/>
  <c r="BF54" i="1" s="1"/>
  <c r="AV54" i="76" s="1"/>
  <c r="BF73" i="1"/>
  <c r="BF75" i="1" s="1"/>
  <c r="BF82" i="1" s="1"/>
  <c r="E60" i="81" s="1"/>
  <c r="BH73" i="1"/>
  <c r="BH75" i="1" s="1"/>
  <c r="BH82" i="1" s="1"/>
  <c r="E61" i="81" s="1"/>
  <c r="B53" i="69"/>
  <c r="B51" i="69"/>
  <c r="B45" i="69"/>
  <c r="I48" i="69" l="1"/>
  <c r="L48" i="69" s="1"/>
  <c r="AI49" i="76"/>
  <c r="AI51" i="76" s="1"/>
  <c r="AS54" i="76"/>
  <c r="AI73" i="76"/>
  <c r="AI75" i="76" s="1"/>
  <c r="AI82" i="76" s="1"/>
  <c r="AK54" i="1"/>
  <c r="AI54" i="76" s="1"/>
  <c r="AQ73" i="76"/>
  <c r="AQ75" i="76" s="1"/>
  <c r="AQ82" i="76" s="1"/>
  <c r="AR73" i="76"/>
  <c r="AR75" i="76" s="1"/>
  <c r="AR82" i="76" s="1"/>
  <c r="AV73" i="76"/>
  <c r="AV75" i="76" s="1"/>
  <c r="AV82" i="76" s="1"/>
  <c r="AT49" i="76"/>
  <c r="AT51" i="76" s="1"/>
  <c r="AR49" i="76"/>
  <c r="AR51" i="76" s="1"/>
  <c r="AQ49" i="76"/>
  <c r="AQ51" i="76" s="1"/>
  <c r="AW49" i="76"/>
  <c r="AW51" i="76" s="1"/>
  <c r="AT73" i="76"/>
  <c r="AT75" i="76" s="1"/>
  <c r="AT82" i="76" s="1"/>
  <c r="AV49" i="76"/>
  <c r="AV51" i="76" s="1"/>
  <c r="AW73" i="76"/>
  <c r="AW75" i="76" s="1"/>
  <c r="AW82" i="76" s="1"/>
  <c r="BB54" i="1"/>
  <c r="BA54" i="1"/>
  <c r="BD54" i="1"/>
  <c r="B33" i="69"/>
  <c r="W8" i="76"/>
  <c r="W9" i="76"/>
  <c r="W10" i="76"/>
  <c r="W12" i="76"/>
  <c r="W15" i="76"/>
  <c r="W16" i="76"/>
  <c r="W17" i="76"/>
  <c r="W22" i="76"/>
  <c r="W23" i="76"/>
  <c r="W24" i="76"/>
  <c r="W28" i="76"/>
  <c r="W29" i="76"/>
  <c r="W30" i="76"/>
  <c r="W34" i="76"/>
  <c r="W35" i="76"/>
  <c r="W36" i="76"/>
  <c r="W39" i="76"/>
  <c r="W40" i="76"/>
  <c r="W41" i="76"/>
  <c r="W44" i="76"/>
  <c r="W45" i="76"/>
  <c r="W46" i="76"/>
  <c r="W47" i="76"/>
  <c r="W56" i="76"/>
  <c r="W57" i="76"/>
  <c r="W63" i="76"/>
  <c r="W64" i="76"/>
  <c r="W65" i="76"/>
  <c r="W69" i="76"/>
  <c r="W70" i="76"/>
  <c r="W71" i="76"/>
  <c r="W74" i="76"/>
  <c r="W76" i="76"/>
  <c r="W77" i="76"/>
  <c r="W78" i="76"/>
  <c r="W79" i="76"/>
  <c r="AE8" i="76"/>
  <c r="AD8" i="76"/>
  <c r="AF8" i="76"/>
  <c r="AG8" i="76"/>
  <c r="AH8" i="76"/>
  <c r="AJ8" i="76"/>
  <c r="AK8" i="76"/>
  <c r="AL8" i="76"/>
  <c r="AN8" i="76"/>
  <c r="AP8" i="76"/>
  <c r="AE9" i="76"/>
  <c r="AD9" i="76"/>
  <c r="AF9" i="76"/>
  <c r="AG9" i="76"/>
  <c r="AH9" i="76"/>
  <c r="AJ9" i="76"/>
  <c r="AK9" i="76"/>
  <c r="AL9" i="76"/>
  <c r="AN9" i="76"/>
  <c r="AP9" i="76"/>
  <c r="AE10" i="76"/>
  <c r="AD10" i="76"/>
  <c r="AF10" i="76"/>
  <c r="AG10" i="76"/>
  <c r="AH10" i="76"/>
  <c r="AJ10" i="76"/>
  <c r="AK10" i="76"/>
  <c r="AL10" i="76"/>
  <c r="AN10" i="76"/>
  <c r="AP10" i="76"/>
  <c r="AJ11" i="76"/>
  <c r="AE12" i="76"/>
  <c r="AD12" i="76"/>
  <c r="AF12" i="76"/>
  <c r="AG12" i="76"/>
  <c r="AH12" i="76"/>
  <c r="AJ12" i="76"/>
  <c r="AK12" i="76"/>
  <c r="AL12" i="76"/>
  <c r="AN12" i="76"/>
  <c r="AP12" i="76"/>
  <c r="AE15" i="76"/>
  <c r="AD15" i="76"/>
  <c r="AF15" i="76"/>
  <c r="AG15" i="76"/>
  <c r="AH15" i="76"/>
  <c r="AJ15" i="76"/>
  <c r="AK15" i="76"/>
  <c r="AL15" i="76"/>
  <c r="AN15" i="76"/>
  <c r="AP15" i="76"/>
  <c r="AE16" i="76"/>
  <c r="AD16" i="76"/>
  <c r="AF16" i="76"/>
  <c r="AG16" i="76"/>
  <c r="AH16" i="76"/>
  <c r="AJ16" i="76"/>
  <c r="AK16" i="76"/>
  <c r="AL16" i="76"/>
  <c r="AN16" i="76"/>
  <c r="AP16" i="76"/>
  <c r="AE17" i="76"/>
  <c r="AD17" i="76"/>
  <c r="AF17" i="76"/>
  <c r="AG17" i="76"/>
  <c r="AH17" i="76"/>
  <c r="AJ17" i="76"/>
  <c r="AK17" i="76"/>
  <c r="AL17" i="76"/>
  <c r="AN17" i="76"/>
  <c r="AP17" i="76"/>
  <c r="AE22" i="76"/>
  <c r="AD22" i="76"/>
  <c r="AF22" i="76"/>
  <c r="AG22" i="76"/>
  <c r="AH22" i="76"/>
  <c r="AJ22" i="76"/>
  <c r="AK22" i="76"/>
  <c r="AL22" i="76"/>
  <c r="AN22" i="76"/>
  <c r="AP22" i="76"/>
  <c r="AE23" i="76"/>
  <c r="AD23" i="76"/>
  <c r="AF23" i="76"/>
  <c r="AG23" i="76"/>
  <c r="AH23" i="76"/>
  <c r="AJ23" i="76"/>
  <c r="AK23" i="76"/>
  <c r="AL23" i="76"/>
  <c r="AN23" i="76"/>
  <c r="AP23" i="76"/>
  <c r="AE24" i="76"/>
  <c r="AD24" i="76"/>
  <c r="AF24" i="76"/>
  <c r="AG24" i="76"/>
  <c r="AH24" i="76"/>
  <c r="AJ24" i="76"/>
  <c r="AK24" i="76"/>
  <c r="AL24" i="76"/>
  <c r="AN24" i="76"/>
  <c r="AP24" i="76"/>
  <c r="AE28" i="76"/>
  <c r="AD28" i="76"/>
  <c r="AF28" i="76"/>
  <c r="AG28" i="76"/>
  <c r="AH28" i="76"/>
  <c r="AJ28" i="76"/>
  <c r="AK28" i="76"/>
  <c r="AL28" i="76"/>
  <c r="AN28" i="76"/>
  <c r="AP28" i="76"/>
  <c r="AE29" i="76"/>
  <c r="AD29" i="76"/>
  <c r="AF29" i="76"/>
  <c r="AG29" i="76"/>
  <c r="AH29" i="76"/>
  <c r="AJ29" i="76"/>
  <c r="AK29" i="76"/>
  <c r="AL29" i="76"/>
  <c r="AN29" i="76"/>
  <c r="AP29" i="76"/>
  <c r="AE30" i="76"/>
  <c r="AD30" i="76"/>
  <c r="AF30" i="76"/>
  <c r="AG30" i="76"/>
  <c r="AH30" i="76"/>
  <c r="AJ30" i="76"/>
  <c r="AK30" i="76"/>
  <c r="AL30" i="76"/>
  <c r="AN30" i="76"/>
  <c r="AP30" i="76"/>
  <c r="AE34" i="76"/>
  <c r="AD34" i="76"/>
  <c r="AF34" i="76"/>
  <c r="AG34" i="76"/>
  <c r="AH34" i="76"/>
  <c r="AJ34" i="76"/>
  <c r="AK34" i="76"/>
  <c r="AL34" i="76"/>
  <c r="AN34" i="76"/>
  <c r="AP34" i="76"/>
  <c r="AE35" i="76"/>
  <c r="AD35" i="76"/>
  <c r="AF35" i="76"/>
  <c r="AG35" i="76"/>
  <c r="AH35" i="76"/>
  <c r="AJ35" i="76"/>
  <c r="AK35" i="76"/>
  <c r="AL35" i="76"/>
  <c r="AN35" i="76"/>
  <c r="AP35" i="76"/>
  <c r="AE36" i="76"/>
  <c r="AD36" i="76"/>
  <c r="AF36" i="76"/>
  <c r="AG36" i="76"/>
  <c r="AH36" i="76"/>
  <c r="AJ36" i="76"/>
  <c r="AK36" i="76"/>
  <c r="AL36" i="76"/>
  <c r="AN36" i="76"/>
  <c r="AP36" i="76"/>
  <c r="AE39" i="76"/>
  <c r="AD39" i="76"/>
  <c r="AF39" i="76"/>
  <c r="AG39" i="76"/>
  <c r="AH39" i="76"/>
  <c r="AJ39" i="76"/>
  <c r="AK39" i="76"/>
  <c r="AL39" i="76"/>
  <c r="AN39" i="76"/>
  <c r="AP39" i="76"/>
  <c r="AE40" i="76"/>
  <c r="AD40" i="76"/>
  <c r="AF40" i="76"/>
  <c r="AG40" i="76"/>
  <c r="AH40" i="76"/>
  <c r="AJ40" i="76"/>
  <c r="AK40" i="76"/>
  <c r="AL40" i="76"/>
  <c r="AN40" i="76"/>
  <c r="AP40" i="76"/>
  <c r="AE41" i="76"/>
  <c r="AD41" i="76"/>
  <c r="AF41" i="76"/>
  <c r="AG41" i="76"/>
  <c r="AH41" i="76"/>
  <c r="AJ41" i="76"/>
  <c r="AK41" i="76"/>
  <c r="AL41" i="76"/>
  <c r="AN41" i="76"/>
  <c r="AP41" i="76"/>
  <c r="AE44" i="76"/>
  <c r="AD44" i="76"/>
  <c r="AF44" i="76"/>
  <c r="AG44" i="76"/>
  <c r="AH44" i="76"/>
  <c r="AJ44" i="76"/>
  <c r="AK44" i="76"/>
  <c r="AL44" i="76"/>
  <c r="AN44" i="76"/>
  <c r="AP44" i="76"/>
  <c r="AE45" i="76"/>
  <c r="AD45" i="76"/>
  <c r="AG45" i="76"/>
  <c r="AH45" i="76"/>
  <c r="AJ45" i="76"/>
  <c r="AK45" i="76"/>
  <c r="AL45" i="76"/>
  <c r="AN45" i="76"/>
  <c r="AP45" i="76"/>
  <c r="AE46" i="76"/>
  <c r="AD46" i="76"/>
  <c r="AF46" i="76"/>
  <c r="AG46" i="76"/>
  <c r="AH46" i="76"/>
  <c r="AJ46" i="76"/>
  <c r="AK46" i="76"/>
  <c r="AL46" i="76"/>
  <c r="AN46" i="76"/>
  <c r="AP46" i="76"/>
  <c r="AE47" i="76"/>
  <c r="AD47" i="76"/>
  <c r="AF47" i="76"/>
  <c r="AG47" i="76"/>
  <c r="AH47" i="76"/>
  <c r="AJ47" i="76"/>
  <c r="AK47" i="76"/>
  <c r="AL47" i="76"/>
  <c r="AN47" i="76"/>
  <c r="AP47" i="76"/>
  <c r="AE56" i="76"/>
  <c r="AD56" i="76"/>
  <c r="AF56" i="76"/>
  <c r="AG56" i="76"/>
  <c r="AH56" i="76"/>
  <c r="AJ56" i="76"/>
  <c r="AK56" i="76"/>
  <c r="AL56" i="76"/>
  <c r="AN56" i="76"/>
  <c r="AP56" i="76"/>
  <c r="AE57" i="76"/>
  <c r="AD57" i="76"/>
  <c r="AF57" i="76"/>
  <c r="AG57" i="76"/>
  <c r="AH57" i="76"/>
  <c r="AJ57" i="76"/>
  <c r="AK57" i="76"/>
  <c r="AL57" i="76"/>
  <c r="AN57" i="76"/>
  <c r="AP57" i="76"/>
  <c r="AE63" i="76"/>
  <c r="AD63" i="76"/>
  <c r="AF63" i="76"/>
  <c r="AG63" i="76"/>
  <c r="AH63" i="76"/>
  <c r="AJ63" i="76"/>
  <c r="AK63" i="76"/>
  <c r="AL63" i="76"/>
  <c r="AN63" i="76"/>
  <c r="AP63" i="76"/>
  <c r="AE64" i="76"/>
  <c r="AD64" i="76"/>
  <c r="AG64" i="76"/>
  <c r="AH64" i="76"/>
  <c r="AJ64" i="76"/>
  <c r="AK64" i="76"/>
  <c r="AL64" i="76"/>
  <c r="AN64" i="76"/>
  <c r="AP64" i="76"/>
  <c r="AE65" i="76"/>
  <c r="AD65" i="76"/>
  <c r="AG65" i="76"/>
  <c r="AH65" i="76"/>
  <c r="AJ65" i="76"/>
  <c r="AK65" i="76"/>
  <c r="AL65" i="76"/>
  <c r="AN65" i="76"/>
  <c r="AP65" i="76"/>
  <c r="AE69" i="76"/>
  <c r="AD69" i="76"/>
  <c r="AF69" i="76"/>
  <c r="AG69" i="76"/>
  <c r="AH69" i="76"/>
  <c r="AJ69" i="76"/>
  <c r="AK69" i="76"/>
  <c r="AL69" i="76"/>
  <c r="AN69" i="76"/>
  <c r="AP69" i="76"/>
  <c r="AE70" i="76"/>
  <c r="AD70" i="76"/>
  <c r="AF70" i="76"/>
  <c r="AG70" i="76"/>
  <c r="AH70" i="76"/>
  <c r="AJ70" i="76"/>
  <c r="AK70" i="76"/>
  <c r="AL70" i="76"/>
  <c r="AN70" i="76"/>
  <c r="AP70" i="76"/>
  <c r="AE71" i="76"/>
  <c r="AD71" i="76"/>
  <c r="AG71" i="76"/>
  <c r="AH71" i="76"/>
  <c r="AJ71" i="76"/>
  <c r="AK71" i="76"/>
  <c r="AL71" i="76"/>
  <c r="AN71" i="76"/>
  <c r="AP71" i="76"/>
  <c r="AE74" i="76"/>
  <c r="AD74" i="76"/>
  <c r="AG74" i="76"/>
  <c r="AH74" i="76"/>
  <c r="AJ74" i="76"/>
  <c r="AK74" i="76"/>
  <c r="AL74" i="76"/>
  <c r="AN74" i="76"/>
  <c r="AP74" i="76"/>
  <c r="AE76" i="76"/>
  <c r="AD76" i="76"/>
  <c r="AF76" i="76"/>
  <c r="AG76" i="76"/>
  <c r="AH76" i="76"/>
  <c r="AJ76" i="76"/>
  <c r="AK76" i="76"/>
  <c r="AL76" i="76"/>
  <c r="AN76" i="76"/>
  <c r="AP76" i="76"/>
  <c r="AE77" i="76"/>
  <c r="AD77" i="76"/>
  <c r="AF77" i="76"/>
  <c r="AG77" i="76"/>
  <c r="AH77" i="76"/>
  <c r="AJ77" i="76"/>
  <c r="AK77" i="76"/>
  <c r="AL77" i="76"/>
  <c r="AN77" i="76"/>
  <c r="AP77" i="76"/>
  <c r="AE78" i="76"/>
  <c r="AD78" i="76"/>
  <c r="AF78" i="76"/>
  <c r="AG78" i="76"/>
  <c r="AH78" i="76"/>
  <c r="AJ78" i="76"/>
  <c r="AK78" i="76"/>
  <c r="AL78" i="76"/>
  <c r="AN78" i="76"/>
  <c r="AP78" i="76"/>
  <c r="AE79" i="76"/>
  <c r="AD79" i="76"/>
  <c r="AF79" i="76"/>
  <c r="AG79" i="76"/>
  <c r="AH79" i="76"/>
  <c r="AJ79" i="76"/>
  <c r="AK79" i="76"/>
  <c r="AL79" i="76"/>
  <c r="AN79" i="76"/>
  <c r="AP79" i="76"/>
  <c r="AP72" i="1"/>
  <c r="AN72" i="1"/>
  <c r="AP66" i="1"/>
  <c r="AN66" i="1"/>
  <c r="AP48" i="1"/>
  <c r="AN48" i="1"/>
  <c r="AP37" i="1"/>
  <c r="AN37" i="1"/>
  <c r="AP31" i="1"/>
  <c r="AN31" i="1"/>
  <c r="AP25" i="1"/>
  <c r="AN25" i="1"/>
  <c r="AP18" i="1"/>
  <c r="AN18" i="1"/>
  <c r="AF74" i="76"/>
  <c r="AG72" i="1"/>
  <c r="AF65" i="76"/>
  <c r="AF64" i="76"/>
  <c r="AG48" i="1"/>
  <c r="AG37" i="1"/>
  <c r="AG31" i="1"/>
  <c r="AG25" i="1"/>
  <c r="AG18" i="1"/>
  <c r="BD11" i="1" l="1"/>
  <c r="AS11" i="76"/>
  <c r="AR54" i="76"/>
  <c r="AQ54" i="76"/>
  <c r="AT54" i="76"/>
  <c r="W18" i="76"/>
  <c r="AF71" i="76"/>
  <c r="AF72" i="76" s="1"/>
  <c r="AN73" i="1"/>
  <c r="AN75" i="1" s="1"/>
  <c r="AN82" i="1" s="1"/>
  <c r="W66" i="76"/>
  <c r="W25" i="76"/>
  <c r="W37" i="76"/>
  <c r="W72" i="76"/>
  <c r="W31" i="76"/>
  <c r="W48" i="76"/>
  <c r="AF45" i="76"/>
  <c r="AF48" i="76" s="1"/>
  <c r="AN49" i="1"/>
  <c r="AN51" i="1" s="1"/>
  <c r="AN54" i="1" s="1"/>
  <c r="AE31" i="76"/>
  <c r="AH25" i="76"/>
  <c r="AE48" i="76"/>
  <c r="AH37" i="76"/>
  <c r="AE18" i="76"/>
  <c r="AK72" i="76"/>
  <c r="AK66" i="76"/>
  <c r="AP31" i="76"/>
  <c r="AH31" i="76"/>
  <c r="AP18" i="76"/>
  <c r="AG72" i="76"/>
  <c r="AP48" i="76"/>
  <c r="AH18" i="76"/>
  <c r="AH48" i="76"/>
  <c r="AN66" i="76"/>
  <c r="AJ66" i="76"/>
  <c r="AF66" i="76"/>
  <c r="AP37" i="76"/>
  <c r="AE37" i="76"/>
  <c r="AP25" i="76"/>
  <c r="AE25" i="76"/>
  <c r="AG66" i="76"/>
  <c r="AK48" i="76"/>
  <c r="AG48" i="76"/>
  <c r="AK31" i="76"/>
  <c r="AG31" i="76"/>
  <c r="AK18" i="76"/>
  <c r="AG18" i="76"/>
  <c r="AL48" i="76"/>
  <c r="AD48" i="76"/>
  <c r="AL31" i="76"/>
  <c r="AD31" i="76"/>
  <c r="AL18" i="76"/>
  <c r="AD18" i="76"/>
  <c r="AP66" i="76"/>
  <c r="AH66" i="76"/>
  <c r="AE66" i="76"/>
  <c r="AN48" i="76"/>
  <c r="AJ48" i="76"/>
  <c r="AN31" i="76"/>
  <c r="AJ31" i="76"/>
  <c r="AF31" i="76"/>
  <c r="AN18" i="76"/>
  <c r="AJ18" i="76"/>
  <c r="AF18" i="76"/>
  <c r="AN72" i="76"/>
  <c r="AJ72" i="76"/>
  <c r="AP72" i="76"/>
  <c r="AH72" i="76"/>
  <c r="AE72" i="76"/>
  <c r="AL66" i="76"/>
  <c r="AD66" i="76"/>
  <c r="AK37" i="76"/>
  <c r="AG37" i="76"/>
  <c r="AL37" i="76"/>
  <c r="AD37" i="76"/>
  <c r="AK25" i="76"/>
  <c r="AG25" i="76"/>
  <c r="AL25" i="76"/>
  <c r="AD25" i="76"/>
  <c r="AL72" i="76"/>
  <c r="AD72" i="76"/>
  <c r="AN37" i="76"/>
  <c r="AJ37" i="76"/>
  <c r="AF37" i="76"/>
  <c r="AN25" i="76"/>
  <c r="AJ25" i="76"/>
  <c r="AF25" i="76"/>
  <c r="AP49" i="1"/>
  <c r="AP51" i="1" s="1"/>
  <c r="AP73" i="1"/>
  <c r="AP75" i="1" s="1"/>
  <c r="AP82" i="1" s="1"/>
  <c r="E48" i="81" s="1"/>
  <c r="F46" i="75" s="1"/>
  <c r="AG66" i="1"/>
  <c r="AG73" i="1" s="1"/>
  <c r="AG75" i="1" s="1"/>
  <c r="AG82" i="1" s="1"/>
  <c r="E38" i="81" s="1"/>
  <c r="F38" i="75" s="1"/>
  <c r="AG49" i="1"/>
  <c r="AG51" i="1" s="1"/>
  <c r="AG54" i="1" s="1"/>
  <c r="AF54" i="76" s="1"/>
  <c r="F88" i="5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2" i="5"/>
  <c r="F103" i="5"/>
  <c r="F17" i="5" s="1"/>
  <c r="F104" i="5"/>
  <c r="F105" i="5"/>
  <c r="F106" i="5"/>
  <c r="F107" i="5"/>
  <c r="F22" i="5" s="1"/>
  <c r="F108" i="5"/>
  <c r="F109" i="5"/>
  <c r="F110" i="5"/>
  <c r="F111" i="5"/>
  <c r="F112" i="5"/>
  <c r="F113" i="5"/>
  <c r="F114" i="5"/>
  <c r="F115" i="5"/>
  <c r="F116" i="5"/>
  <c r="F117" i="5"/>
  <c r="F118" i="5"/>
  <c r="F28" i="5" s="1"/>
  <c r="F119" i="5"/>
  <c r="F120" i="5"/>
  <c r="F121" i="5"/>
  <c r="F122" i="5"/>
  <c r="F30" i="5" s="1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34" i="5" s="1"/>
  <c r="F150" i="5"/>
  <c r="F151" i="5"/>
  <c r="F35" i="5" s="1"/>
  <c r="F152" i="5"/>
  <c r="F36" i="5" s="1"/>
  <c r="F153" i="5"/>
  <c r="F154" i="5"/>
  <c r="F155" i="5"/>
  <c r="F156" i="5"/>
  <c r="F157" i="5"/>
  <c r="F158" i="5"/>
  <c r="F159" i="5"/>
  <c r="F160" i="5"/>
  <c r="F161" i="5"/>
  <c r="F162" i="5"/>
  <c r="F163" i="5"/>
  <c r="F39" i="5" s="1"/>
  <c r="F164" i="5"/>
  <c r="F165" i="5"/>
  <c r="F166" i="5"/>
  <c r="F167" i="5"/>
  <c r="F168" i="5"/>
  <c r="F169" i="5"/>
  <c r="F40" i="5" s="1"/>
  <c r="F170" i="5"/>
  <c r="F171" i="5"/>
  <c r="F172" i="5"/>
  <c r="F173" i="5"/>
  <c r="F174" i="5"/>
  <c r="F175" i="5"/>
  <c r="F41" i="5" s="1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44" i="5" s="1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54" i="5" s="1"/>
  <c r="F211" i="5"/>
  <c r="F56" i="5" s="1"/>
  <c r="F212" i="5"/>
  <c r="F57" i="5" s="1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E46" i="81" l="1"/>
  <c r="F44" i="75" s="1"/>
  <c r="G44" i="75" s="1"/>
  <c r="BE11" i="1"/>
  <c r="A59" i="81" s="1"/>
  <c r="A58" i="81"/>
  <c r="AU11" i="76"/>
  <c r="F29" i="5"/>
  <c r="F31" i="5" s="1"/>
  <c r="F23" i="5"/>
  <c r="F18" i="5"/>
  <c r="I51" i="69"/>
  <c r="L51" i="69" s="1"/>
  <c r="F45" i="5"/>
  <c r="F24" i="5"/>
  <c r="F46" i="5"/>
  <c r="AT11" i="76"/>
  <c r="W73" i="76"/>
  <c r="W75" i="76" s="1"/>
  <c r="W82" i="76" s="1"/>
  <c r="AP73" i="76"/>
  <c r="AP75" i="76" s="1"/>
  <c r="AP82" i="76" s="1"/>
  <c r="AG49" i="76"/>
  <c r="AG51" i="76" s="1"/>
  <c r="AK73" i="76"/>
  <c r="AK75" i="76" s="1"/>
  <c r="AK82" i="76" s="1"/>
  <c r="W49" i="76"/>
  <c r="W51" i="76" s="1"/>
  <c r="I45" i="69"/>
  <c r="L45" i="69" s="1"/>
  <c r="I53" i="69"/>
  <c r="L53" i="69" s="1"/>
  <c r="G46" i="75"/>
  <c r="AD49" i="76"/>
  <c r="AD51" i="76" s="1"/>
  <c r="AN73" i="76"/>
  <c r="AN75" i="76" s="1"/>
  <c r="AN82" i="76" s="1"/>
  <c r="AG73" i="76"/>
  <c r="AG75" i="76" s="1"/>
  <c r="AG82" i="76" s="1"/>
  <c r="AL54" i="76"/>
  <c r="AE49" i="76"/>
  <c r="AE51" i="76" s="1"/>
  <c r="AK49" i="76"/>
  <c r="AK51" i="76" s="1"/>
  <c r="AH73" i="76"/>
  <c r="AH75" i="76" s="1"/>
  <c r="AH82" i="76" s="1"/>
  <c r="AF73" i="76"/>
  <c r="AF75" i="76" s="1"/>
  <c r="AF82" i="76" s="1"/>
  <c r="AP49" i="76"/>
  <c r="AP51" i="76" s="1"/>
  <c r="AD73" i="76"/>
  <c r="AD75" i="76" s="1"/>
  <c r="AD82" i="76" s="1"/>
  <c r="AF49" i="76"/>
  <c r="AF51" i="76" s="1"/>
  <c r="AH49" i="76"/>
  <c r="AH51" i="76" s="1"/>
  <c r="AL49" i="76"/>
  <c r="AL51" i="76" s="1"/>
  <c r="AJ73" i="76"/>
  <c r="AJ75" i="76" s="1"/>
  <c r="AJ82" i="76" s="1"/>
  <c r="AJ49" i="76"/>
  <c r="AJ51" i="76" s="1"/>
  <c r="AE73" i="76"/>
  <c r="AE75" i="76" s="1"/>
  <c r="AE82" i="76" s="1"/>
  <c r="AN49" i="76"/>
  <c r="AN51" i="76" s="1"/>
  <c r="AL73" i="76"/>
  <c r="AL75" i="76" s="1"/>
  <c r="AL82" i="76" s="1"/>
  <c r="AP54" i="1"/>
  <c r="AN54" i="76" s="1"/>
  <c r="F25" i="5"/>
  <c r="F37" i="5"/>
  <c r="BF11" i="1" l="1"/>
  <c r="A60" i="81" s="1"/>
  <c r="F48" i="5"/>
  <c r="AV11" i="76"/>
  <c r="BH11" i="1"/>
  <c r="A61" i="81" s="1"/>
  <c r="G38" i="75"/>
  <c r="F49" i="5"/>
  <c r="F51" i="5" s="1"/>
  <c r="F59" i="5" s="1"/>
  <c r="AW11" i="76" l="1"/>
  <c r="Y8" i="76"/>
  <c r="Y9" i="76"/>
  <c r="Y10" i="76"/>
  <c r="Y12" i="76"/>
  <c r="Y15" i="76"/>
  <c r="Y16" i="76"/>
  <c r="Y17" i="76"/>
  <c r="Y22" i="76"/>
  <c r="Y23" i="76"/>
  <c r="Y24" i="76"/>
  <c r="Y28" i="76"/>
  <c r="Y29" i="76"/>
  <c r="Y30" i="76"/>
  <c r="Y34" i="76"/>
  <c r="Y35" i="76"/>
  <c r="Y36" i="76"/>
  <c r="Y39" i="76"/>
  <c r="Y40" i="76"/>
  <c r="Y41" i="76"/>
  <c r="Y44" i="76"/>
  <c r="Y45" i="76"/>
  <c r="Y46" i="76"/>
  <c r="Y47" i="76"/>
  <c r="Y56" i="76"/>
  <c r="Y57" i="76"/>
  <c r="Y63" i="76"/>
  <c r="Y64" i="76"/>
  <c r="Y65" i="76"/>
  <c r="Y69" i="76"/>
  <c r="Y70" i="76"/>
  <c r="Y71" i="76"/>
  <c r="Y74" i="76"/>
  <c r="Y76" i="76"/>
  <c r="Y77" i="76"/>
  <c r="Y78" i="76"/>
  <c r="Y79" i="76"/>
  <c r="Y25" i="76" l="1"/>
  <c r="Y18" i="76"/>
  <c r="Y48" i="76"/>
  <c r="Y66" i="76"/>
  <c r="Y37" i="76"/>
  <c r="Y31" i="76"/>
  <c r="Y72" i="76"/>
  <c r="Z37" i="1"/>
  <c r="Y37" i="1"/>
  <c r="Y73" i="76" l="1"/>
  <c r="Y75" i="76" s="1"/>
  <c r="Y82" i="76" s="1"/>
  <c r="Y49" i="76"/>
  <c r="Y51" i="76" s="1"/>
  <c r="Z34" i="76" l="1"/>
  <c r="Z39" i="76"/>
  <c r="Z40" i="76"/>
  <c r="Z44" i="76"/>
  <c r="Z41" i="76"/>
  <c r="Q35" i="76" l="1"/>
  <c r="AD44" i="1"/>
  <c r="I44" i="54" s="1"/>
  <c r="AD39" i="1"/>
  <c r="I39" i="54" s="1"/>
  <c r="AD36" i="1"/>
  <c r="I36" i="54" s="1"/>
  <c r="S44" i="1"/>
  <c r="G44" i="54" s="1"/>
  <c r="G48" i="54" s="1"/>
  <c r="S39" i="1"/>
  <c r="G39" i="54" s="1"/>
  <c r="S36" i="1"/>
  <c r="R36" i="1"/>
  <c r="G36" i="54" s="1"/>
  <c r="G37" i="54" s="1"/>
  <c r="M18" i="1"/>
  <c r="M25" i="1"/>
  <c r="M31" i="1"/>
  <c r="M37" i="1"/>
  <c r="M48" i="1"/>
  <c r="M66" i="1"/>
  <c r="M72" i="1"/>
  <c r="G49" i="54" l="1"/>
  <c r="G51" i="54" s="1"/>
  <c r="M49" i="1"/>
  <c r="M51" i="1" s="1"/>
  <c r="M54" i="1" s="1"/>
  <c r="M73" i="1"/>
  <c r="M75" i="1" s="1"/>
  <c r="M82" i="1" s="1"/>
  <c r="E16" i="81" s="1"/>
  <c r="F19" i="75" s="1"/>
  <c r="B44" i="69"/>
  <c r="B43" i="69"/>
  <c r="B29" i="69"/>
  <c r="S8" i="76"/>
  <c r="S9" i="76"/>
  <c r="S10" i="76"/>
  <c r="S12" i="76"/>
  <c r="S15" i="76"/>
  <c r="S16" i="76"/>
  <c r="S17" i="76"/>
  <c r="S22" i="76"/>
  <c r="S23" i="76"/>
  <c r="S24" i="76"/>
  <c r="S28" i="76"/>
  <c r="S29" i="76"/>
  <c r="S30" i="76"/>
  <c r="S34" i="76"/>
  <c r="S35" i="76"/>
  <c r="S36" i="76"/>
  <c r="S39" i="76"/>
  <c r="S40" i="76"/>
  <c r="S41" i="76"/>
  <c r="S44" i="76"/>
  <c r="S45" i="76"/>
  <c r="S46" i="76"/>
  <c r="S47" i="76"/>
  <c r="S56" i="76"/>
  <c r="S57" i="76"/>
  <c r="S63" i="76"/>
  <c r="S64" i="76"/>
  <c r="S65" i="76"/>
  <c r="S69" i="76"/>
  <c r="S70" i="76"/>
  <c r="S71" i="76"/>
  <c r="S74" i="76"/>
  <c r="S76" i="76"/>
  <c r="S77" i="76"/>
  <c r="S78" i="76"/>
  <c r="S79" i="76"/>
  <c r="AE72" i="1"/>
  <c r="AE66" i="1"/>
  <c r="AE48" i="1"/>
  <c r="AE37" i="1"/>
  <c r="AE31" i="1"/>
  <c r="AE25" i="1"/>
  <c r="AE18" i="1"/>
  <c r="AE73" i="1" l="1"/>
  <c r="AE75" i="1" s="1"/>
  <c r="AE82" i="1" s="1"/>
  <c r="AE49" i="1"/>
  <c r="AE51" i="1" s="1"/>
  <c r="S18" i="76"/>
  <c r="S48" i="76"/>
  <c r="S37" i="76"/>
  <c r="S66" i="76"/>
  <c r="S72" i="76"/>
  <c r="S25" i="76"/>
  <c r="S31" i="76"/>
  <c r="S72" i="1"/>
  <c r="S66" i="1"/>
  <c r="S48" i="1"/>
  <c r="S37" i="1"/>
  <c r="S31" i="1"/>
  <c r="S25" i="1"/>
  <c r="S18" i="1"/>
  <c r="I43" i="69" l="1"/>
  <c r="L43" i="69" s="1"/>
  <c r="E36" i="81"/>
  <c r="F36" i="75" s="1"/>
  <c r="G36" i="75" s="1"/>
  <c r="S73" i="1"/>
  <c r="S75" i="1" s="1"/>
  <c r="S82" i="1" s="1"/>
  <c r="E22" i="81" s="1"/>
  <c r="F25" i="75" s="1"/>
  <c r="S73" i="76"/>
  <c r="S75" i="76" s="1"/>
  <c r="S82" i="76" s="1"/>
  <c r="S49" i="76"/>
  <c r="S51" i="76" s="1"/>
  <c r="AE54" i="1"/>
  <c r="AD54" i="76" s="1"/>
  <c r="S49" i="1"/>
  <c r="S51" i="1" s="1"/>
  <c r="G25" i="75" l="1"/>
  <c r="I29" i="69"/>
  <c r="L29" i="69" s="1"/>
  <c r="S54" i="1"/>
  <c r="S54" i="76" s="1"/>
  <c r="B42" i="69" l="1"/>
  <c r="AC10" i="76"/>
  <c r="AC8" i="76"/>
  <c r="AC9" i="76"/>
  <c r="AC12" i="76"/>
  <c r="AC15" i="76"/>
  <c r="AC16" i="76"/>
  <c r="AC17" i="76"/>
  <c r="AC22" i="76"/>
  <c r="AC23" i="76"/>
  <c r="AC24" i="76"/>
  <c r="AC28" i="76"/>
  <c r="AC29" i="76"/>
  <c r="AC30" i="76"/>
  <c r="AC34" i="76"/>
  <c r="AC35" i="76"/>
  <c r="AC36" i="76"/>
  <c r="AC39" i="76"/>
  <c r="AC40" i="76"/>
  <c r="AC41" i="76"/>
  <c r="AC44" i="76"/>
  <c r="AC45" i="76"/>
  <c r="AC46" i="76"/>
  <c r="AC47" i="76"/>
  <c r="AC56" i="76"/>
  <c r="AC57" i="76"/>
  <c r="AC63" i="76"/>
  <c r="AC64" i="76"/>
  <c r="AC65" i="76"/>
  <c r="AC69" i="76"/>
  <c r="AC70" i="76"/>
  <c r="AC71" i="76"/>
  <c r="AC74" i="76"/>
  <c r="AC76" i="76"/>
  <c r="AC77" i="76"/>
  <c r="AC78" i="76"/>
  <c r="AC79" i="76"/>
  <c r="AD72" i="1"/>
  <c r="AD66" i="1"/>
  <c r="AD48" i="1"/>
  <c r="AD37" i="1"/>
  <c r="AD31" i="1"/>
  <c r="AD25" i="1"/>
  <c r="AD18" i="1"/>
  <c r="AD73" i="1" l="1"/>
  <c r="AD75" i="1" s="1"/>
  <c r="AD82" i="1" s="1"/>
  <c r="AC25" i="76"/>
  <c r="AC18" i="76"/>
  <c r="AC31" i="76"/>
  <c r="AC72" i="76"/>
  <c r="AC37" i="76"/>
  <c r="AC66" i="76"/>
  <c r="AC48" i="76"/>
  <c r="AD49" i="1"/>
  <c r="AD51" i="1" s="1"/>
  <c r="E35" i="81" l="1"/>
  <c r="F35" i="75" s="1"/>
  <c r="G35" i="75" s="1"/>
  <c r="AD54" i="1"/>
  <c r="AC54" i="76" s="1"/>
  <c r="I42" i="69"/>
  <c r="AC73" i="76"/>
  <c r="AC75" i="76" s="1"/>
  <c r="AC82" i="76" s="1"/>
  <c r="AC49" i="76"/>
  <c r="AC51" i="76" s="1"/>
  <c r="B41" i="69"/>
  <c r="G8" i="76" l="1"/>
  <c r="H8" i="76"/>
  <c r="I8" i="76"/>
  <c r="J8" i="76"/>
  <c r="K8" i="76"/>
  <c r="L8" i="76"/>
  <c r="M8" i="76"/>
  <c r="N8" i="76"/>
  <c r="O8" i="76"/>
  <c r="P8" i="76"/>
  <c r="Q8" i="76"/>
  <c r="R8" i="76"/>
  <c r="T8" i="76"/>
  <c r="V8" i="76"/>
  <c r="U8" i="76"/>
  <c r="X8" i="76"/>
  <c r="Z8" i="76"/>
  <c r="AB8" i="76"/>
  <c r="AA8" i="76"/>
  <c r="G9" i="76"/>
  <c r="H9" i="76"/>
  <c r="I9" i="76"/>
  <c r="J9" i="76"/>
  <c r="K9" i="76"/>
  <c r="L9" i="76"/>
  <c r="M9" i="76"/>
  <c r="N9" i="76"/>
  <c r="O9" i="76"/>
  <c r="P9" i="76"/>
  <c r="Q9" i="76"/>
  <c r="R9" i="76"/>
  <c r="T9" i="76"/>
  <c r="V9" i="76"/>
  <c r="U9" i="76"/>
  <c r="X9" i="76"/>
  <c r="Z9" i="76"/>
  <c r="AB9" i="76"/>
  <c r="AA9" i="76"/>
  <c r="G10" i="76"/>
  <c r="I10" i="76"/>
  <c r="J10" i="76"/>
  <c r="M10" i="76"/>
  <c r="N10" i="76"/>
  <c r="O10" i="76"/>
  <c r="P10" i="76"/>
  <c r="R10" i="76"/>
  <c r="T10" i="76"/>
  <c r="V10" i="76"/>
  <c r="U10" i="76"/>
  <c r="X10" i="76"/>
  <c r="Z10" i="76"/>
  <c r="AB10" i="76"/>
  <c r="AA10" i="76"/>
  <c r="I11" i="76"/>
  <c r="X11" i="76"/>
  <c r="G12" i="76"/>
  <c r="H12" i="76"/>
  <c r="I12" i="76"/>
  <c r="J12" i="76"/>
  <c r="K12" i="76"/>
  <c r="L12" i="76"/>
  <c r="M12" i="76"/>
  <c r="N12" i="76"/>
  <c r="O12" i="76"/>
  <c r="P12" i="76"/>
  <c r="Q12" i="76"/>
  <c r="R12" i="76"/>
  <c r="T12" i="76"/>
  <c r="V12" i="76"/>
  <c r="U12" i="76"/>
  <c r="X12" i="76"/>
  <c r="Z12" i="76"/>
  <c r="AB12" i="76"/>
  <c r="AA12" i="76"/>
  <c r="G15" i="76"/>
  <c r="H15" i="76"/>
  <c r="I15" i="76"/>
  <c r="J15" i="76"/>
  <c r="K15" i="76"/>
  <c r="L15" i="76"/>
  <c r="M15" i="76"/>
  <c r="N15" i="76"/>
  <c r="O15" i="76"/>
  <c r="P15" i="76"/>
  <c r="Q15" i="76"/>
  <c r="R15" i="76"/>
  <c r="T15" i="76"/>
  <c r="V15" i="76"/>
  <c r="U15" i="76"/>
  <c r="X15" i="76"/>
  <c r="Z15" i="76"/>
  <c r="AB15" i="76"/>
  <c r="AA15" i="76"/>
  <c r="G16" i="76"/>
  <c r="H16" i="76"/>
  <c r="I16" i="76"/>
  <c r="J16" i="76"/>
  <c r="K16" i="76"/>
  <c r="L16" i="76"/>
  <c r="M16" i="76"/>
  <c r="N16" i="76"/>
  <c r="O16" i="76"/>
  <c r="P16" i="76"/>
  <c r="Q16" i="76"/>
  <c r="R16" i="76"/>
  <c r="T16" i="76"/>
  <c r="V16" i="76"/>
  <c r="U16" i="76"/>
  <c r="X16" i="76"/>
  <c r="Z16" i="76"/>
  <c r="AB16" i="76"/>
  <c r="AA16" i="76"/>
  <c r="G17" i="76"/>
  <c r="H17" i="76"/>
  <c r="I17" i="76"/>
  <c r="J17" i="76"/>
  <c r="K17" i="76"/>
  <c r="L17" i="76"/>
  <c r="M17" i="76"/>
  <c r="N17" i="76"/>
  <c r="O17" i="76"/>
  <c r="P17" i="76"/>
  <c r="Q17" i="76"/>
  <c r="R17" i="76"/>
  <c r="T17" i="76"/>
  <c r="V17" i="76"/>
  <c r="U17" i="76"/>
  <c r="X17" i="76"/>
  <c r="Z17" i="76"/>
  <c r="AB17" i="76"/>
  <c r="AA17" i="76"/>
  <c r="G22" i="76"/>
  <c r="H22" i="76"/>
  <c r="I22" i="76"/>
  <c r="J22" i="76"/>
  <c r="K22" i="76"/>
  <c r="L22" i="76"/>
  <c r="M22" i="76"/>
  <c r="N22" i="76"/>
  <c r="O22" i="76"/>
  <c r="P22" i="76"/>
  <c r="Q22" i="76"/>
  <c r="R22" i="76"/>
  <c r="T22" i="76"/>
  <c r="V22" i="76"/>
  <c r="U22" i="76"/>
  <c r="X22" i="76"/>
  <c r="Z22" i="76"/>
  <c r="AB22" i="76"/>
  <c r="AA22" i="76"/>
  <c r="G23" i="76"/>
  <c r="H23" i="76"/>
  <c r="I23" i="76"/>
  <c r="J23" i="76"/>
  <c r="K23" i="76"/>
  <c r="L23" i="76"/>
  <c r="M23" i="76"/>
  <c r="N23" i="76"/>
  <c r="O23" i="76"/>
  <c r="P23" i="76"/>
  <c r="Q23" i="76"/>
  <c r="R23" i="76"/>
  <c r="T23" i="76"/>
  <c r="V23" i="76"/>
  <c r="U23" i="76"/>
  <c r="Z23" i="76"/>
  <c r="AB23" i="76"/>
  <c r="AA23" i="76"/>
  <c r="G24" i="76"/>
  <c r="H24" i="76"/>
  <c r="I24" i="76"/>
  <c r="J24" i="76"/>
  <c r="K24" i="76"/>
  <c r="L24" i="76"/>
  <c r="M24" i="76"/>
  <c r="N24" i="76"/>
  <c r="O24" i="76"/>
  <c r="P24" i="76"/>
  <c r="Q24" i="76"/>
  <c r="R24" i="76"/>
  <c r="T24" i="76"/>
  <c r="V24" i="76"/>
  <c r="U24" i="76"/>
  <c r="X24" i="76"/>
  <c r="Z24" i="76"/>
  <c r="AB24" i="76"/>
  <c r="AA24" i="76"/>
  <c r="G28" i="76"/>
  <c r="H28" i="76"/>
  <c r="I28" i="76"/>
  <c r="J28" i="76"/>
  <c r="K28" i="76"/>
  <c r="L28" i="76"/>
  <c r="M28" i="76"/>
  <c r="N28" i="76"/>
  <c r="O28" i="76"/>
  <c r="P28" i="76"/>
  <c r="Q28" i="76"/>
  <c r="R28" i="76"/>
  <c r="T28" i="76"/>
  <c r="V28" i="76"/>
  <c r="U28" i="76"/>
  <c r="Z28" i="76"/>
  <c r="AB28" i="76"/>
  <c r="AA28" i="76"/>
  <c r="G29" i="76"/>
  <c r="H29" i="76"/>
  <c r="I29" i="76"/>
  <c r="J29" i="76"/>
  <c r="K29" i="76"/>
  <c r="L29" i="76"/>
  <c r="M29" i="76"/>
  <c r="N29" i="76"/>
  <c r="O29" i="76"/>
  <c r="P29" i="76"/>
  <c r="Q29" i="76"/>
  <c r="R29" i="76"/>
  <c r="T29" i="76"/>
  <c r="V29" i="76"/>
  <c r="U29" i="76"/>
  <c r="X29" i="76"/>
  <c r="Z29" i="76"/>
  <c r="AB29" i="76"/>
  <c r="AA29" i="76"/>
  <c r="G30" i="76"/>
  <c r="H30" i="76"/>
  <c r="I30" i="76"/>
  <c r="J30" i="76"/>
  <c r="K30" i="76"/>
  <c r="L30" i="76"/>
  <c r="M30" i="76"/>
  <c r="N30" i="76"/>
  <c r="O30" i="76"/>
  <c r="P30" i="76"/>
  <c r="Q30" i="76"/>
  <c r="R30" i="76"/>
  <c r="T30" i="76"/>
  <c r="V30" i="76"/>
  <c r="U30" i="76"/>
  <c r="X30" i="76"/>
  <c r="Z30" i="76"/>
  <c r="AB30" i="76"/>
  <c r="AA30" i="76"/>
  <c r="G34" i="76"/>
  <c r="H34" i="76"/>
  <c r="I34" i="76"/>
  <c r="J34" i="76"/>
  <c r="K34" i="76"/>
  <c r="L34" i="76"/>
  <c r="M34" i="76"/>
  <c r="N34" i="76"/>
  <c r="O34" i="76"/>
  <c r="P34" i="76"/>
  <c r="Q34" i="76"/>
  <c r="R34" i="76"/>
  <c r="T34" i="76"/>
  <c r="V34" i="76"/>
  <c r="U34" i="76"/>
  <c r="AB34" i="76"/>
  <c r="AA34" i="76"/>
  <c r="G35" i="76"/>
  <c r="H35" i="76"/>
  <c r="I35" i="76"/>
  <c r="J35" i="76"/>
  <c r="K35" i="76"/>
  <c r="L35" i="76"/>
  <c r="M35" i="76"/>
  <c r="N35" i="76"/>
  <c r="O35" i="76"/>
  <c r="P35" i="76"/>
  <c r="R35" i="76"/>
  <c r="T35" i="76"/>
  <c r="V35" i="76"/>
  <c r="U35" i="76"/>
  <c r="X35" i="76"/>
  <c r="Z35" i="76"/>
  <c r="AB35" i="76"/>
  <c r="AA35" i="76"/>
  <c r="G36" i="76"/>
  <c r="H36" i="76"/>
  <c r="I36" i="76"/>
  <c r="J36" i="76"/>
  <c r="K36" i="76"/>
  <c r="L36" i="76"/>
  <c r="M36" i="76"/>
  <c r="N36" i="76"/>
  <c r="O36" i="76"/>
  <c r="P36" i="76"/>
  <c r="Q36" i="76"/>
  <c r="R36" i="76"/>
  <c r="T36" i="76"/>
  <c r="V36" i="76"/>
  <c r="U36" i="76"/>
  <c r="X36" i="76"/>
  <c r="Z36" i="76"/>
  <c r="AB36" i="76"/>
  <c r="AA36" i="76"/>
  <c r="G39" i="76"/>
  <c r="H39" i="76"/>
  <c r="I39" i="76"/>
  <c r="J39" i="76"/>
  <c r="K39" i="76"/>
  <c r="L39" i="76"/>
  <c r="M39" i="76"/>
  <c r="N39" i="76"/>
  <c r="O39" i="76"/>
  <c r="P39" i="76"/>
  <c r="Q39" i="76"/>
  <c r="R39" i="76"/>
  <c r="T39" i="76"/>
  <c r="V39" i="76"/>
  <c r="U39" i="76"/>
  <c r="AB39" i="76"/>
  <c r="AA39" i="76"/>
  <c r="G40" i="76"/>
  <c r="H40" i="76"/>
  <c r="I40" i="76"/>
  <c r="J40" i="76"/>
  <c r="K40" i="76"/>
  <c r="L40" i="76"/>
  <c r="M40" i="76"/>
  <c r="N40" i="76"/>
  <c r="O40" i="76"/>
  <c r="P40" i="76"/>
  <c r="Q40" i="76"/>
  <c r="R40" i="76"/>
  <c r="T40" i="76"/>
  <c r="V40" i="76"/>
  <c r="U40" i="76"/>
  <c r="AB40" i="76"/>
  <c r="AA40" i="76"/>
  <c r="G41" i="76"/>
  <c r="H41" i="76"/>
  <c r="I41" i="76"/>
  <c r="J41" i="76"/>
  <c r="K41" i="76"/>
  <c r="L41" i="76"/>
  <c r="M41" i="76"/>
  <c r="N41" i="76"/>
  <c r="O41" i="76"/>
  <c r="P41" i="76"/>
  <c r="Q41" i="76"/>
  <c r="R41" i="76"/>
  <c r="T41" i="76"/>
  <c r="V41" i="76"/>
  <c r="U41" i="76"/>
  <c r="AB41" i="76"/>
  <c r="AA41" i="76"/>
  <c r="G44" i="76"/>
  <c r="H44" i="76"/>
  <c r="I44" i="76"/>
  <c r="J44" i="76"/>
  <c r="K44" i="76"/>
  <c r="L44" i="76"/>
  <c r="M44" i="76"/>
  <c r="N44" i="76"/>
  <c r="O44" i="76"/>
  <c r="P44" i="76"/>
  <c r="Q44" i="76"/>
  <c r="R44" i="76"/>
  <c r="T44" i="76"/>
  <c r="V44" i="76"/>
  <c r="U44" i="76"/>
  <c r="AB44" i="76"/>
  <c r="AA44" i="76"/>
  <c r="G45" i="76"/>
  <c r="H45" i="76"/>
  <c r="I45" i="76"/>
  <c r="J45" i="76"/>
  <c r="K45" i="76"/>
  <c r="L45" i="76"/>
  <c r="M45" i="76"/>
  <c r="N45" i="76"/>
  <c r="O45" i="76"/>
  <c r="P45" i="76"/>
  <c r="Q45" i="76"/>
  <c r="R45" i="76"/>
  <c r="T45" i="76"/>
  <c r="V45" i="76"/>
  <c r="U45" i="76"/>
  <c r="X45" i="76"/>
  <c r="Z45" i="76"/>
  <c r="AB45" i="76"/>
  <c r="AA45" i="76"/>
  <c r="G46" i="76"/>
  <c r="H46" i="76"/>
  <c r="I46" i="76"/>
  <c r="J46" i="76"/>
  <c r="K46" i="76"/>
  <c r="L46" i="76"/>
  <c r="M46" i="76"/>
  <c r="N46" i="76"/>
  <c r="O46" i="76"/>
  <c r="P46" i="76"/>
  <c r="Q46" i="76"/>
  <c r="R46" i="76"/>
  <c r="T46" i="76"/>
  <c r="V46" i="76"/>
  <c r="U46" i="76"/>
  <c r="X46" i="76"/>
  <c r="Z46" i="76"/>
  <c r="AB46" i="76"/>
  <c r="AA46" i="76"/>
  <c r="G47" i="76"/>
  <c r="H47" i="76"/>
  <c r="I47" i="76"/>
  <c r="J47" i="76"/>
  <c r="K47" i="76"/>
  <c r="L47" i="76"/>
  <c r="M47" i="76"/>
  <c r="N47" i="76"/>
  <c r="O47" i="76"/>
  <c r="P47" i="76"/>
  <c r="Q47" i="76"/>
  <c r="R47" i="76"/>
  <c r="T47" i="76"/>
  <c r="V47" i="76"/>
  <c r="U47" i="76"/>
  <c r="X47" i="76"/>
  <c r="Z47" i="76"/>
  <c r="AB47" i="76"/>
  <c r="AA47" i="76"/>
  <c r="N54" i="76"/>
  <c r="N55" i="76"/>
  <c r="U55" i="76"/>
  <c r="G56" i="76"/>
  <c r="H56" i="76"/>
  <c r="I56" i="76"/>
  <c r="J56" i="76"/>
  <c r="K56" i="76"/>
  <c r="L56" i="76"/>
  <c r="M56" i="76"/>
  <c r="N56" i="76"/>
  <c r="O56" i="76"/>
  <c r="P56" i="76"/>
  <c r="Q56" i="76"/>
  <c r="R56" i="76"/>
  <c r="T56" i="76"/>
  <c r="V56" i="76"/>
  <c r="U56" i="76"/>
  <c r="X56" i="76"/>
  <c r="Z56" i="76"/>
  <c r="AB56" i="76"/>
  <c r="AA56" i="76"/>
  <c r="G57" i="76"/>
  <c r="H57" i="76"/>
  <c r="I57" i="76"/>
  <c r="J57" i="76"/>
  <c r="K57" i="76"/>
  <c r="L57" i="76"/>
  <c r="M57" i="76"/>
  <c r="N57" i="76"/>
  <c r="O57" i="76"/>
  <c r="P57" i="76"/>
  <c r="Q57" i="76"/>
  <c r="R57" i="76"/>
  <c r="T57" i="76"/>
  <c r="V57" i="76"/>
  <c r="U57" i="76"/>
  <c r="X57" i="76"/>
  <c r="Z57" i="76"/>
  <c r="AB57" i="76"/>
  <c r="AA57" i="76"/>
  <c r="G63" i="76"/>
  <c r="H63" i="76"/>
  <c r="I63" i="76"/>
  <c r="J63" i="76"/>
  <c r="K63" i="76"/>
  <c r="L63" i="76"/>
  <c r="M63" i="76"/>
  <c r="N63" i="76"/>
  <c r="O63" i="76"/>
  <c r="P63" i="76"/>
  <c r="Q63" i="76"/>
  <c r="R63" i="76"/>
  <c r="T63" i="76"/>
  <c r="V63" i="76"/>
  <c r="U63" i="76"/>
  <c r="X63" i="76"/>
  <c r="Z63" i="76"/>
  <c r="AB63" i="76"/>
  <c r="AA63" i="76"/>
  <c r="G64" i="76"/>
  <c r="H64" i="76"/>
  <c r="I64" i="76"/>
  <c r="J64" i="76"/>
  <c r="K64" i="76"/>
  <c r="L64" i="76"/>
  <c r="M64" i="76"/>
  <c r="N64" i="76"/>
  <c r="O64" i="76"/>
  <c r="P64" i="76"/>
  <c r="Q64" i="76"/>
  <c r="R64" i="76"/>
  <c r="T64" i="76"/>
  <c r="V64" i="76"/>
  <c r="U64" i="76"/>
  <c r="X64" i="76"/>
  <c r="Z64" i="76"/>
  <c r="AB64" i="76"/>
  <c r="AA64" i="76"/>
  <c r="G65" i="76"/>
  <c r="H65" i="76"/>
  <c r="I65" i="76"/>
  <c r="J65" i="76"/>
  <c r="K65" i="76"/>
  <c r="L65" i="76"/>
  <c r="M65" i="76"/>
  <c r="N65" i="76"/>
  <c r="O65" i="76"/>
  <c r="P65" i="76"/>
  <c r="Q65" i="76"/>
  <c r="R65" i="76"/>
  <c r="T65" i="76"/>
  <c r="V65" i="76"/>
  <c r="U65" i="76"/>
  <c r="X65" i="76"/>
  <c r="Z65" i="76"/>
  <c r="AB65" i="76"/>
  <c r="AA65" i="76"/>
  <c r="G69" i="76"/>
  <c r="H69" i="76"/>
  <c r="I69" i="76"/>
  <c r="J69" i="76"/>
  <c r="K69" i="76"/>
  <c r="L69" i="76"/>
  <c r="M69" i="76"/>
  <c r="N69" i="76"/>
  <c r="O69" i="76"/>
  <c r="P69" i="76"/>
  <c r="Q69" i="76"/>
  <c r="R69" i="76"/>
  <c r="T69" i="76"/>
  <c r="V69" i="76"/>
  <c r="U69" i="76"/>
  <c r="X69" i="76"/>
  <c r="Z69" i="76"/>
  <c r="AB69" i="76"/>
  <c r="AA69" i="76"/>
  <c r="G70" i="76"/>
  <c r="H70" i="76"/>
  <c r="I70" i="76"/>
  <c r="J70" i="76"/>
  <c r="K70" i="76"/>
  <c r="L70" i="76"/>
  <c r="M70" i="76"/>
  <c r="N70" i="76"/>
  <c r="O70" i="76"/>
  <c r="P70" i="76"/>
  <c r="Q70" i="76"/>
  <c r="R70" i="76"/>
  <c r="T70" i="76"/>
  <c r="V70" i="76"/>
  <c r="U70" i="76"/>
  <c r="X70" i="76"/>
  <c r="Z70" i="76"/>
  <c r="AB70" i="76"/>
  <c r="AA70" i="76"/>
  <c r="G71" i="76"/>
  <c r="H71" i="76"/>
  <c r="I71" i="76"/>
  <c r="J71" i="76"/>
  <c r="K71" i="76"/>
  <c r="L71" i="76"/>
  <c r="M71" i="76"/>
  <c r="N71" i="76"/>
  <c r="O71" i="76"/>
  <c r="P71" i="76"/>
  <c r="Q71" i="76"/>
  <c r="R71" i="76"/>
  <c r="T71" i="76"/>
  <c r="V71" i="76"/>
  <c r="U71" i="76"/>
  <c r="X71" i="76"/>
  <c r="Z71" i="76"/>
  <c r="AB71" i="76"/>
  <c r="AA71" i="76"/>
  <c r="G74" i="76"/>
  <c r="H74" i="76"/>
  <c r="I74" i="76"/>
  <c r="J74" i="76"/>
  <c r="K74" i="76"/>
  <c r="L74" i="76"/>
  <c r="M74" i="76"/>
  <c r="N74" i="76"/>
  <c r="O74" i="76"/>
  <c r="P74" i="76"/>
  <c r="Q74" i="76"/>
  <c r="R74" i="76"/>
  <c r="T74" i="76"/>
  <c r="V74" i="76"/>
  <c r="U74" i="76"/>
  <c r="X74" i="76"/>
  <c r="Z74" i="76"/>
  <c r="AB74" i="76"/>
  <c r="AA74" i="76"/>
  <c r="G76" i="76"/>
  <c r="H76" i="76"/>
  <c r="I76" i="76"/>
  <c r="J76" i="76"/>
  <c r="K76" i="76"/>
  <c r="L76" i="76"/>
  <c r="M76" i="76"/>
  <c r="N76" i="76"/>
  <c r="O76" i="76"/>
  <c r="P76" i="76"/>
  <c r="Q76" i="76"/>
  <c r="R76" i="76"/>
  <c r="T76" i="76"/>
  <c r="V76" i="76"/>
  <c r="U76" i="76"/>
  <c r="X76" i="76"/>
  <c r="Z76" i="76"/>
  <c r="AB76" i="76"/>
  <c r="AA76" i="76"/>
  <c r="G77" i="76"/>
  <c r="H77" i="76"/>
  <c r="I77" i="76"/>
  <c r="J77" i="76"/>
  <c r="K77" i="76"/>
  <c r="L77" i="76"/>
  <c r="M77" i="76"/>
  <c r="N77" i="76"/>
  <c r="O77" i="76"/>
  <c r="P77" i="76"/>
  <c r="Q77" i="76"/>
  <c r="R77" i="76"/>
  <c r="T77" i="76"/>
  <c r="V77" i="76"/>
  <c r="U77" i="76"/>
  <c r="X77" i="76"/>
  <c r="Z77" i="76"/>
  <c r="AB77" i="76"/>
  <c r="AA77" i="76"/>
  <c r="G78" i="76"/>
  <c r="H78" i="76"/>
  <c r="I78" i="76"/>
  <c r="J78" i="76"/>
  <c r="K78" i="76"/>
  <c r="L78" i="76"/>
  <c r="M78" i="76"/>
  <c r="N78" i="76"/>
  <c r="O78" i="76"/>
  <c r="P78" i="76"/>
  <c r="Q78" i="76"/>
  <c r="R78" i="76"/>
  <c r="T78" i="76"/>
  <c r="V78" i="76"/>
  <c r="U78" i="76"/>
  <c r="X78" i="76"/>
  <c r="Z78" i="76"/>
  <c r="AB78" i="76"/>
  <c r="AA78" i="76"/>
  <c r="G79" i="76"/>
  <c r="H79" i="76"/>
  <c r="I79" i="76"/>
  <c r="J79" i="76"/>
  <c r="K79" i="76"/>
  <c r="L79" i="76"/>
  <c r="M79" i="76"/>
  <c r="N79" i="76"/>
  <c r="O79" i="76"/>
  <c r="P79" i="76"/>
  <c r="Q79" i="76"/>
  <c r="R79" i="76"/>
  <c r="T79" i="76"/>
  <c r="V79" i="76"/>
  <c r="U79" i="76"/>
  <c r="X79" i="76"/>
  <c r="Z79" i="76"/>
  <c r="AB79" i="76"/>
  <c r="AA79" i="76"/>
  <c r="G66" i="76" l="1"/>
  <c r="AA18" i="76"/>
  <c r="T18" i="76"/>
  <c r="O18" i="76"/>
  <c r="I18" i="76"/>
  <c r="X72" i="76"/>
  <c r="J72" i="76"/>
  <c r="N66" i="76"/>
  <c r="G18" i="76"/>
  <c r="H18" i="76"/>
  <c r="AB72" i="76"/>
  <c r="R72" i="76"/>
  <c r="N72" i="76"/>
  <c r="R66" i="76"/>
  <c r="J66" i="76"/>
  <c r="U72" i="76"/>
  <c r="U66" i="76"/>
  <c r="AB31" i="76"/>
  <c r="AB18" i="76"/>
  <c r="L18" i="76"/>
  <c r="AA31" i="76"/>
  <c r="AB37" i="76"/>
  <c r="T31" i="76"/>
  <c r="H48" i="76"/>
  <c r="U48" i="76"/>
  <c r="R48" i="76"/>
  <c r="N48" i="76"/>
  <c r="J48" i="76"/>
  <c r="K72" i="76"/>
  <c r="G72" i="76"/>
  <c r="AB66" i="76"/>
  <c r="X66" i="76"/>
  <c r="H25" i="76"/>
  <c r="AA72" i="76"/>
  <c r="U31" i="76"/>
  <c r="K18" i="76"/>
  <c r="T25" i="76"/>
  <c r="G31" i="76"/>
  <c r="Q31" i="76"/>
  <c r="I31" i="76"/>
  <c r="H31" i="76"/>
  <c r="K48" i="76"/>
  <c r="G48" i="76"/>
  <c r="Z37" i="76"/>
  <c r="V37" i="76"/>
  <c r="M37" i="76"/>
  <c r="I37" i="76"/>
  <c r="H37" i="76"/>
  <c r="I25" i="76"/>
  <c r="L48" i="76"/>
  <c r="I48" i="76"/>
  <c r="O37" i="76"/>
  <c r="G37" i="76"/>
  <c r="AA37" i="76"/>
  <c r="Q37" i="76"/>
  <c r="V31" i="76"/>
  <c r="M31" i="76"/>
  <c r="Z18" i="76"/>
  <c r="O48" i="76"/>
  <c r="T48" i="76"/>
  <c r="P37" i="76"/>
  <c r="L37" i="76"/>
  <c r="P31" i="76"/>
  <c r="L31" i="76"/>
  <c r="Q25" i="76"/>
  <c r="O25" i="76"/>
  <c r="G25" i="76"/>
  <c r="P48" i="76"/>
  <c r="K31" i="76"/>
  <c r="V18" i="76"/>
  <c r="Q18" i="76"/>
  <c r="M18" i="76"/>
  <c r="AA66" i="76"/>
  <c r="Q48" i="76"/>
  <c r="U37" i="76"/>
  <c r="R37" i="76"/>
  <c r="N37" i="76"/>
  <c r="J37" i="76"/>
  <c r="L25" i="76"/>
  <c r="AA25" i="76"/>
  <c r="V25" i="76"/>
  <c r="M25" i="76"/>
  <c r="T37" i="76"/>
  <c r="P25" i="76"/>
  <c r="V48" i="76"/>
  <c r="O31" i="76"/>
  <c r="K37" i="76"/>
  <c r="K25" i="76"/>
  <c r="P18" i="76"/>
  <c r="O66" i="76"/>
  <c r="K66" i="76"/>
  <c r="Z48" i="76"/>
  <c r="Z31" i="76"/>
  <c r="Z25" i="76"/>
  <c r="AA48" i="76"/>
  <c r="O72" i="76"/>
  <c r="M48" i="76"/>
  <c r="V72" i="76"/>
  <c r="Q72" i="76"/>
  <c r="M72" i="76"/>
  <c r="I72" i="76"/>
  <c r="V66" i="76"/>
  <c r="Q66" i="76"/>
  <c r="M66" i="76"/>
  <c r="I66" i="76"/>
  <c r="Z72" i="76"/>
  <c r="T66" i="76"/>
  <c r="P66" i="76"/>
  <c r="L66" i="76"/>
  <c r="H66" i="76"/>
  <c r="AB48" i="76"/>
  <c r="U25" i="76"/>
  <c r="R25" i="76"/>
  <c r="N25" i="76"/>
  <c r="J25" i="76"/>
  <c r="U18" i="76"/>
  <c r="R18" i="76"/>
  <c r="N18" i="76"/>
  <c r="J18" i="76"/>
  <c r="T72" i="76"/>
  <c r="P72" i="76"/>
  <c r="L72" i="76"/>
  <c r="H72" i="76"/>
  <c r="Z66" i="76"/>
  <c r="AB25" i="76"/>
  <c r="R31" i="76"/>
  <c r="N31" i="76"/>
  <c r="J31" i="76"/>
  <c r="X18" i="76"/>
  <c r="J73" i="76" l="1"/>
  <c r="J75" i="76" s="1"/>
  <c r="J82" i="76" s="1"/>
  <c r="AB73" i="76"/>
  <c r="AB75" i="76" s="1"/>
  <c r="AB82" i="76" s="1"/>
  <c r="U73" i="76"/>
  <c r="U75" i="76" s="1"/>
  <c r="U82" i="76" s="1"/>
  <c r="G73" i="76"/>
  <c r="G75" i="76" s="1"/>
  <c r="G82" i="76" s="1"/>
  <c r="N73" i="76"/>
  <c r="N75" i="76" s="1"/>
  <c r="N82" i="76" s="1"/>
  <c r="R73" i="76"/>
  <c r="R75" i="76" s="1"/>
  <c r="R82" i="76" s="1"/>
  <c r="X73" i="76"/>
  <c r="X75" i="76" s="1"/>
  <c r="X82" i="76" s="1"/>
  <c r="K73" i="76"/>
  <c r="K75" i="76" s="1"/>
  <c r="K82" i="76" s="1"/>
  <c r="AA73" i="76"/>
  <c r="AA75" i="76" s="1"/>
  <c r="AA82" i="76" s="1"/>
  <c r="K49" i="76"/>
  <c r="K51" i="76" s="1"/>
  <c r="H49" i="76"/>
  <c r="H51" i="76" s="1"/>
  <c r="Q49" i="76"/>
  <c r="Q51" i="76" s="1"/>
  <c r="T73" i="76"/>
  <c r="T75" i="76" s="1"/>
  <c r="T82" i="76" s="1"/>
  <c r="T49" i="76"/>
  <c r="T51" i="76" s="1"/>
  <c r="U49" i="76"/>
  <c r="U51" i="76" s="1"/>
  <c r="L49" i="76"/>
  <c r="L51" i="76" s="1"/>
  <c r="I49" i="76"/>
  <c r="I51" i="76" s="1"/>
  <c r="M49" i="76"/>
  <c r="M51" i="76" s="1"/>
  <c r="G49" i="76"/>
  <c r="G51" i="76" s="1"/>
  <c r="V49" i="76"/>
  <c r="V51" i="76" s="1"/>
  <c r="O49" i="76"/>
  <c r="O51" i="76" s="1"/>
  <c r="P49" i="76"/>
  <c r="P51" i="76" s="1"/>
  <c r="Z73" i="76"/>
  <c r="Z75" i="76" s="1"/>
  <c r="Z82" i="76" s="1"/>
  <c r="P73" i="76"/>
  <c r="P75" i="76" s="1"/>
  <c r="P82" i="76" s="1"/>
  <c r="AA49" i="76"/>
  <c r="AA51" i="76" s="1"/>
  <c r="O73" i="76"/>
  <c r="O75" i="76" s="1"/>
  <c r="O82" i="76" s="1"/>
  <c r="V73" i="76"/>
  <c r="V75" i="76" s="1"/>
  <c r="V82" i="76" s="1"/>
  <c r="AB49" i="76"/>
  <c r="AB51" i="76" s="1"/>
  <c r="Q73" i="76"/>
  <c r="Q75" i="76" s="1"/>
  <c r="Q82" i="76" s="1"/>
  <c r="R49" i="76"/>
  <c r="R51" i="76" s="1"/>
  <c r="J49" i="76"/>
  <c r="J51" i="76" s="1"/>
  <c r="I73" i="76"/>
  <c r="I75" i="76" s="1"/>
  <c r="I82" i="76" s="1"/>
  <c r="M73" i="76"/>
  <c r="M75" i="76" s="1"/>
  <c r="M82" i="76" s="1"/>
  <c r="Z49" i="76"/>
  <c r="Z51" i="76" s="1"/>
  <c r="L73" i="76"/>
  <c r="L75" i="76" s="1"/>
  <c r="L82" i="76" s="1"/>
  <c r="H73" i="76"/>
  <c r="H75" i="76" s="1"/>
  <c r="H82" i="76" s="1"/>
  <c r="N49" i="76"/>
  <c r="N51" i="76" s="1"/>
  <c r="N59" i="76" s="1"/>
  <c r="X44" i="76"/>
  <c r="X48" i="76" s="1"/>
  <c r="X39" i="76"/>
  <c r="X34" i="76"/>
  <c r="X37" i="76" s="1"/>
  <c r="AC72" i="1" l="1"/>
  <c r="AC66" i="1"/>
  <c r="AC48" i="1"/>
  <c r="AC37" i="1"/>
  <c r="AC31" i="1"/>
  <c r="AC25" i="1"/>
  <c r="AC18" i="1"/>
  <c r="Y41" i="1"/>
  <c r="X40" i="76"/>
  <c r="X28" i="76"/>
  <c r="X31" i="76" s="1"/>
  <c r="X23" i="76"/>
  <c r="X25" i="76" s="1"/>
  <c r="X41" i="76" l="1"/>
  <c r="I41" i="54"/>
  <c r="AC73" i="1"/>
  <c r="AC75" i="1" s="1"/>
  <c r="AC82" i="1" s="1"/>
  <c r="X49" i="76"/>
  <c r="X51" i="76" s="1"/>
  <c r="AC49" i="1"/>
  <c r="AC51" i="1" s="1"/>
  <c r="F79" i="76"/>
  <c r="I41" i="69" l="1"/>
  <c r="L41" i="69" s="1"/>
  <c r="E34" i="81"/>
  <c r="F34" i="75" s="1"/>
  <c r="G34" i="75"/>
  <c r="AC54" i="1"/>
  <c r="AB54" i="76" s="1"/>
  <c r="F283" i="5"/>
  <c r="J11" i="1" l="1"/>
  <c r="J11" i="76" l="1"/>
  <c r="A13" i="81"/>
  <c r="A16" i="75" s="1"/>
  <c r="K11" i="1"/>
  <c r="B50" i="69"/>
  <c r="B49" i="69"/>
  <c r="B20" i="69"/>
  <c r="B21" i="69"/>
  <c r="K11" i="76" l="1"/>
  <c r="A14" i="81"/>
  <c r="A17" i="75" s="1"/>
  <c r="L11" i="1"/>
  <c r="A15" i="81" s="1"/>
  <c r="A18" i="75" s="1"/>
  <c r="J72" i="1"/>
  <c r="J66" i="1"/>
  <c r="J48" i="1"/>
  <c r="J37" i="1"/>
  <c r="J31" i="1"/>
  <c r="J25" i="1"/>
  <c r="J18" i="1"/>
  <c r="L11" i="76" l="1"/>
  <c r="M11" i="1"/>
  <c r="J73" i="1"/>
  <c r="J75" i="1" s="1"/>
  <c r="J82" i="1" s="1"/>
  <c r="J49" i="1"/>
  <c r="J51" i="1" s="1"/>
  <c r="E13" i="81" l="1"/>
  <c r="F16" i="75" s="1"/>
  <c r="G16" i="75" s="1"/>
  <c r="M11" i="76"/>
  <c r="A16" i="81"/>
  <c r="A19" i="75" s="1"/>
  <c r="N11" i="1"/>
  <c r="I20" i="69"/>
  <c r="J54" i="1"/>
  <c r="J54" i="76" s="1"/>
  <c r="N11" i="76" l="1"/>
  <c r="A17" i="81"/>
  <c r="A20" i="75" s="1"/>
  <c r="O11" i="1"/>
  <c r="AL37" i="1"/>
  <c r="AL31" i="1"/>
  <c r="AL25" i="1"/>
  <c r="AL18" i="1"/>
  <c r="AM72" i="1"/>
  <c r="AM66" i="1"/>
  <c r="AM37" i="1"/>
  <c r="AM31" i="1"/>
  <c r="AM25" i="1"/>
  <c r="AM18" i="1"/>
  <c r="O11" i="76" l="1"/>
  <c r="A18" i="81"/>
  <c r="A21" i="75" s="1"/>
  <c r="AM11" i="1"/>
  <c r="P11" i="1"/>
  <c r="AM73" i="1"/>
  <c r="AM75" i="1" s="1"/>
  <c r="AM82" i="1" s="1"/>
  <c r="AL72" i="1"/>
  <c r="AL48" i="1"/>
  <c r="AL49" i="1" s="1"/>
  <c r="AL51" i="1" s="1"/>
  <c r="A49" i="69"/>
  <c r="AM48" i="1"/>
  <c r="AM49" i="1" s="1"/>
  <c r="AM51" i="1" s="1"/>
  <c r="AL66" i="1"/>
  <c r="AL83" i="54"/>
  <c r="AB85" i="55"/>
  <c r="AJ82" i="56"/>
  <c r="AF81" i="56"/>
  <c r="B47" i="69"/>
  <c r="B55" i="69"/>
  <c r="B46" i="69"/>
  <c r="P11" i="76" l="1"/>
  <c r="A19" i="81"/>
  <c r="A22" i="75" s="1"/>
  <c r="AN11" i="1"/>
  <c r="A45" i="81"/>
  <c r="A43" i="75" s="1"/>
  <c r="E45" i="81"/>
  <c r="F43" i="75" s="1"/>
  <c r="G43" i="75" s="1"/>
  <c r="AK11" i="76"/>
  <c r="Q11" i="1"/>
  <c r="AL73" i="1"/>
  <c r="AL75" i="1" s="1"/>
  <c r="AL82" i="1" s="1"/>
  <c r="E44" i="81" s="1"/>
  <c r="F42" i="75" s="1"/>
  <c r="A50" i="69"/>
  <c r="I50" i="69"/>
  <c r="L50" i="69" s="1"/>
  <c r="AL54" i="1"/>
  <c r="AJ54" i="76" s="1"/>
  <c r="AM54" i="1"/>
  <c r="AK54" i="76" s="1"/>
  <c r="Q11" i="76" l="1"/>
  <c r="A20" i="81"/>
  <c r="A23" i="75" s="1"/>
  <c r="AO11" i="1"/>
  <c r="A46" i="81"/>
  <c r="A44" i="75" s="1"/>
  <c r="G41" i="75"/>
  <c r="G42" i="75"/>
  <c r="R11" i="1"/>
  <c r="A21" i="81" s="1"/>
  <c r="A24" i="75" s="1"/>
  <c r="I49" i="69"/>
  <c r="L49" i="69" s="1"/>
  <c r="AI72" i="1"/>
  <c r="AI66" i="1"/>
  <c r="AI48" i="1"/>
  <c r="AI37" i="1"/>
  <c r="AI31" i="1"/>
  <c r="AI25" i="1"/>
  <c r="AI18" i="1"/>
  <c r="AF72" i="1"/>
  <c r="AF66" i="1"/>
  <c r="AF48" i="1"/>
  <c r="AF37" i="1"/>
  <c r="AF31" i="1"/>
  <c r="AF25" i="1"/>
  <c r="AF18" i="1"/>
  <c r="AS72" i="1"/>
  <c r="AH72" i="1"/>
  <c r="AS66" i="1"/>
  <c r="AH66" i="1"/>
  <c r="AS48" i="1"/>
  <c r="AH48" i="1"/>
  <c r="AS37" i="1"/>
  <c r="AH37" i="1"/>
  <c r="AS31" i="1"/>
  <c r="AH31" i="1"/>
  <c r="AS25" i="1"/>
  <c r="AH25" i="1"/>
  <c r="AS18" i="1"/>
  <c r="AH18" i="1"/>
  <c r="AP11" i="1" l="1"/>
  <c r="A47" i="81"/>
  <c r="A45" i="75" s="1"/>
  <c r="AM11" i="76"/>
  <c r="A52" i="69"/>
  <c r="A51" i="69"/>
  <c r="AL11" i="76"/>
  <c r="AI73" i="1"/>
  <c r="AI75" i="1" s="1"/>
  <c r="AI82" i="1" s="1"/>
  <c r="E40" i="81" s="1"/>
  <c r="F40" i="75" s="1"/>
  <c r="R11" i="76"/>
  <c r="S11" i="1"/>
  <c r="A22" i="81" s="1"/>
  <c r="A25" i="75" s="1"/>
  <c r="AS73" i="1"/>
  <c r="AS75" i="1" s="1"/>
  <c r="AS82" i="1" s="1"/>
  <c r="AF73" i="1"/>
  <c r="AF75" i="1" s="1"/>
  <c r="AF82" i="1" s="1"/>
  <c r="E37" i="81" s="1"/>
  <c r="F37" i="75" s="1"/>
  <c r="AH73" i="1"/>
  <c r="AI49" i="1"/>
  <c r="AI51" i="1" s="1"/>
  <c r="AI54" i="1" s="1"/>
  <c r="AH54" i="76" s="1"/>
  <c r="AF49" i="1"/>
  <c r="AF51" i="1" s="1"/>
  <c r="AS49" i="1"/>
  <c r="AS51" i="1" s="1"/>
  <c r="AH49" i="1"/>
  <c r="AH51" i="1" s="1"/>
  <c r="AH54" i="1" s="1"/>
  <c r="AG54" i="76" s="1"/>
  <c r="AS54" i="1" l="1"/>
  <c r="AP54" i="76" s="1"/>
  <c r="I55" i="69"/>
  <c r="L55" i="69" s="1"/>
  <c r="E50" i="81"/>
  <c r="F48" i="75" s="1"/>
  <c r="G48" i="75" s="1"/>
  <c r="AQ11" i="1"/>
  <c r="A48" i="81"/>
  <c r="A46" i="75" s="1"/>
  <c r="AH75" i="1"/>
  <c r="AH82" i="1" s="1"/>
  <c r="E39" i="81" s="1"/>
  <c r="F39" i="75" s="1"/>
  <c r="A53" i="69"/>
  <c r="AN11" i="76"/>
  <c r="I44" i="69"/>
  <c r="L44" i="69" s="1"/>
  <c r="G37" i="75"/>
  <c r="T11" i="1"/>
  <c r="A29" i="69"/>
  <c r="S11" i="76"/>
  <c r="G40" i="75"/>
  <c r="I47" i="69"/>
  <c r="L47" i="69" s="1"/>
  <c r="L42" i="69"/>
  <c r="AF54" i="1"/>
  <c r="AE54" i="76" s="1"/>
  <c r="U11" i="1" l="1"/>
  <c r="A23" i="81"/>
  <c r="A26" i="75" s="1"/>
  <c r="I46" i="69"/>
  <c r="A54" i="69"/>
  <c r="A49" i="81"/>
  <c r="A47" i="75" s="1"/>
  <c r="AS11" i="1"/>
  <c r="AO11" i="76"/>
  <c r="G39" i="75"/>
  <c r="T11" i="76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A5" i="76"/>
  <c r="A4" i="76"/>
  <c r="A3" i="76"/>
  <c r="A2" i="76"/>
  <c r="A50" i="81" l="1"/>
  <c r="A48" i="75" s="1"/>
  <c r="AP11" i="76"/>
  <c r="V11" i="1"/>
  <c r="A24" i="81"/>
  <c r="A27" i="75" s="1"/>
  <c r="U11" i="76"/>
  <c r="F72" i="76"/>
  <c r="F31" i="76"/>
  <c r="F18" i="76"/>
  <c r="F66" i="76"/>
  <c r="F25" i="76"/>
  <c r="F37" i="76"/>
  <c r="F48" i="76"/>
  <c r="W11" i="1" l="1"/>
  <c r="A25" i="81"/>
  <c r="A28" i="75" s="1"/>
  <c r="V11" i="76"/>
  <c r="F73" i="76"/>
  <c r="F75" i="76" s="1"/>
  <c r="F49" i="76"/>
  <c r="F51" i="76" s="1"/>
  <c r="A26" i="81" l="1"/>
  <c r="A29" i="75" s="1"/>
  <c r="W11" i="76"/>
  <c r="A33" i="69"/>
  <c r="T37" i="1"/>
  <c r="T31" i="1"/>
  <c r="T25" i="1"/>
  <c r="T18" i="1"/>
  <c r="P37" i="1" l="1"/>
  <c r="O37" i="1"/>
  <c r="W37" i="1"/>
  <c r="Q37" i="1"/>
  <c r="P31" i="1"/>
  <c r="O31" i="1"/>
  <c r="W31" i="1"/>
  <c r="Q31" i="1"/>
  <c r="P25" i="1"/>
  <c r="O25" i="1"/>
  <c r="W25" i="1"/>
  <c r="Q25" i="1"/>
  <c r="P18" i="1"/>
  <c r="O18" i="1"/>
  <c r="W18" i="1"/>
  <c r="Q18" i="1"/>
  <c r="G58" i="75" l="1"/>
  <c r="G15" i="5" l="1"/>
  <c r="G16" i="5"/>
  <c r="G17" i="5"/>
  <c r="G22" i="5"/>
  <c r="G23" i="5"/>
  <c r="G24" i="5"/>
  <c r="G28" i="5"/>
  <c r="G29" i="5"/>
  <c r="G30" i="5"/>
  <c r="G34" i="5"/>
  <c r="G35" i="5"/>
  <c r="G36" i="5"/>
  <c r="G39" i="5"/>
  <c r="G40" i="5"/>
  <c r="G41" i="5"/>
  <c r="G44" i="5"/>
  <c r="G45" i="5"/>
  <c r="G46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72" i="5" l="1"/>
  <c r="G18" i="5"/>
  <c r="G66" i="5"/>
  <c r="G37" i="5"/>
  <c r="G31" i="5"/>
  <c r="G25" i="5"/>
  <c r="G48" i="5"/>
  <c r="F229" i="5"/>
  <c r="F230" i="5"/>
  <c r="F63" i="5" s="1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64" i="5" s="1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65" i="5" s="1"/>
  <c r="F260" i="5"/>
  <c r="F261" i="5"/>
  <c r="F262" i="5"/>
  <c r="F263" i="5"/>
  <c r="F264" i="5"/>
  <c r="F265" i="5"/>
  <c r="F266" i="5"/>
  <c r="F70" i="5" s="1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4" i="5"/>
  <c r="F285" i="5"/>
  <c r="F286" i="5"/>
  <c r="F74" i="5" s="1"/>
  <c r="F287" i="5"/>
  <c r="F288" i="5"/>
  <c r="F290" i="5"/>
  <c r="F291" i="5"/>
  <c r="F292" i="5"/>
  <c r="F293" i="5"/>
  <c r="F294" i="5"/>
  <c r="F295" i="5"/>
  <c r="F296" i="5"/>
  <c r="F297" i="5"/>
  <c r="F79" i="5" s="1"/>
  <c r="F298" i="5"/>
  <c r="F299" i="5"/>
  <c r="F300" i="5"/>
  <c r="F301" i="5"/>
  <c r="G73" i="5" l="1"/>
  <c r="G75" i="5" s="1"/>
  <c r="G82" i="5" s="1"/>
  <c r="F66" i="5"/>
  <c r="F76" i="5"/>
  <c r="E76" i="5" s="1"/>
  <c r="F71" i="5"/>
  <c r="F78" i="5"/>
  <c r="E78" i="5" s="1"/>
  <c r="F77" i="5"/>
  <c r="E77" i="5" s="1"/>
  <c r="F69" i="5"/>
  <c r="G49" i="5"/>
  <c r="G51" i="5" s="1"/>
  <c r="G59" i="5" s="1"/>
  <c r="E46" i="1"/>
  <c r="E46" i="76" s="1"/>
  <c r="F82" i="76"/>
  <c r="E79" i="5"/>
  <c r="AA37" i="1"/>
  <c r="AA25" i="1"/>
  <c r="K55" i="54"/>
  <c r="K72" i="54"/>
  <c r="K66" i="54"/>
  <c r="K31" i="54"/>
  <c r="K25" i="54"/>
  <c r="E79" i="1"/>
  <c r="E74" i="5"/>
  <c r="E55" i="1"/>
  <c r="V18" i="1"/>
  <c r="U18" i="1"/>
  <c r="F18" i="1"/>
  <c r="G18" i="1"/>
  <c r="H18" i="1"/>
  <c r="R18" i="1"/>
  <c r="I18" i="1"/>
  <c r="AB18" i="1"/>
  <c r="K18" i="1"/>
  <c r="L18" i="1"/>
  <c r="N18" i="1"/>
  <c r="F72" i="5" l="1"/>
  <c r="F73" i="5" s="1"/>
  <c r="F75" i="5" s="1"/>
  <c r="F82" i="5" s="1"/>
  <c r="F84" i="5" s="1"/>
  <c r="E46" i="5"/>
  <c r="E77" i="1"/>
  <c r="E77" i="76" s="1"/>
  <c r="E78" i="1"/>
  <c r="X78" i="1" s="1"/>
  <c r="K73" i="54"/>
  <c r="K75" i="54" s="1"/>
  <c r="K81" i="54" s="1"/>
  <c r="F79" i="54"/>
  <c r="H79" i="54" s="1"/>
  <c r="J79" i="54" s="1"/>
  <c r="E79" i="76"/>
  <c r="X46" i="1"/>
  <c r="F46" i="54"/>
  <c r="H46" i="54" s="1"/>
  <c r="J46" i="54" s="1"/>
  <c r="F55" i="54"/>
  <c r="E55" i="76"/>
  <c r="F77" i="54" l="1"/>
  <c r="H77" i="54" s="1"/>
  <c r="J77" i="54" s="1"/>
  <c r="E78" i="76"/>
  <c r="F78" i="54"/>
  <c r="H78" i="54" s="1"/>
  <c r="J78" i="54" s="1"/>
  <c r="A4" i="75"/>
  <c r="A88" i="75" s="1"/>
  <c r="C146" i="75"/>
  <c r="C145" i="75"/>
  <c r="F132" i="75"/>
  <c r="B132" i="75"/>
  <c r="F129" i="75"/>
  <c r="B129" i="75"/>
  <c r="A129" i="75"/>
  <c r="F128" i="75"/>
  <c r="B128" i="75"/>
  <c r="A128" i="75"/>
  <c r="F127" i="75"/>
  <c r="B127" i="75"/>
  <c r="A127" i="75"/>
  <c r="F126" i="75"/>
  <c r="B126" i="75"/>
  <c r="A126" i="75"/>
  <c r="F125" i="75"/>
  <c r="B125" i="75"/>
  <c r="A125" i="75"/>
  <c r="F124" i="75"/>
  <c r="B124" i="75"/>
  <c r="A124" i="75"/>
  <c r="F123" i="75"/>
  <c r="B123" i="75"/>
  <c r="A123" i="75"/>
  <c r="F122" i="75"/>
  <c r="B122" i="75"/>
  <c r="A122" i="75"/>
  <c r="F121" i="75"/>
  <c r="B121" i="75"/>
  <c r="A121" i="75"/>
  <c r="F120" i="75"/>
  <c r="B120" i="75"/>
  <c r="A120" i="75"/>
  <c r="F119" i="75"/>
  <c r="B119" i="75"/>
  <c r="A119" i="75"/>
  <c r="F118" i="75"/>
  <c r="B118" i="75"/>
  <c r="A118" i="75"/>
  <c r="F117" i="75"/>
  <c r="B117" i="75"/>
  <c r="A117" i="75"/>
  <c r="F116" i="75"/>
  <c r="B116" i="75"/>
  <c r="A116" i="75"/>
  <c r="F115" i="75"/>
  <c r="B115" i="75"/>
  <c r="A115" i="75"/>
  <c r="F114" i="75"/>
  <c r="B114" i="75"/>
  <c r="A114" i="75"/>
  <c r="F112" i="75"/>
  <c r="B112" i="75"/>
  <c r="A112" i="75"/>
  <c r="F111" i="75"/>
  <c r="B111" i="75"/>
  <c r="A111" i="75"/>
  <c r="F110" i="75"/>
  <c r="B110" i="75"/>
  <c r="A110" i="75"/>
  <c r="F109" i="75"/>
  <c r="B109" i="75"/>
  <c r="A109" i="75"/>
  <c r="F108" i="75"/>
  <c r="B108" i="75"/>
  <c r="A108" i="75"/>
  <c r="F107" i="75"/>
  <c r="B107" i="75"/>
  <c r="A107" i="75"/>
  <c r="F106" i="75"/>
  <c r="B106" i="75"/>
  <c r="A106" i="75"/>
  <c r="F105" i="75"/>
  <c r="B105" i="75"/>
  <c r="A105" i="75"/>
  <c r="F104" i="75"/>
  <c r="B104" i="75"/>
  <c r="A104" i="75"/>
  <c r="F103" i="75"/>
  <c r="B103" i="75"/>
  <c r="A103" i="75"/>
  <c r="F102" i="75"/>
  <c r="B102" i="75"/>
  <c r="A102" i="75"/>
  <c r="F101" i="75"/>
  <c r="B101" i="75"/>
  <c r="A101" i="75"/>
  <c r="F100" i="75"/>
  <c r="B100" i="75"/>
  <c r="A100" i="75"/>
  <c r="F99" i="75"/>
  <c r="B99" i="75"/>
  <c r="A99" i="75"/>
  <c r="F98" i="75"/>
  <c r="B98" i="75"/>
  <c r="A98" i="75"/>
  <c r="F97" i="75"/>
  <c r="B97" i="75"/>
  <c r="A97" i="75"/>
  <c r="F96" i="75"/>
  <c r="B96" i="75"/>
  <c r="A96" i="75"/>
  <c r="F95" i="75"/>
  <c r="B95" i="75"/>
  <c r="A95" i="75"/>
  <c r="F94" i="75"/>
  <c r="B94" i="75"/>
  <c r="A94" i="75"/>
  <c r="F93" i="75"/>
  <c r="B93" i="75"/>
  <c r="A93" i="75"/>
  <c r="F92" i="75"/>
  <c r="F130" i="75" s="1"/>
  <c r="B92" i="75"/>
  <c r="A92" i="75"/>
  <c r="A86" i="75"/>
  <c r="A85" i="75"/>
  <c r="C83" i="75"/>
  <c r="C161" i="75" s="1"/>
  <c r="C82" i="75"/>
  <c r="C160" i="75" s="1"/>
  <c r="C79" i="75"/>
  <c r="C157" i="75" s="1"/>
  <c r="C78" i="75"/>
  <c r="C156" i="75" s="1"/>
  <c r="C75" i="75"/>
  <c r="C153" i="75" s="1"/>
  <c r="C74" i="75"/>
  <c r="C152" i="75" s="1"/>
  <c r="C73" i="75"/>
  <c r="C151" i="75" s="1"/>
  <c r="C69" i="75"/>
  <c r="E76" i="75" s="1"/>
  <c r="I10" i="75"/>
  <c r="F134" i="75" l="1"/>
  <c r="F138" i="75" s="1"/>
  <c r="F141" i="75" s="1"/>
  <c r="C84" i="75"/>
  <c r="D83" i="75" s="1"/>
  <c r="C147" i="75"/>
  <c r="E154" i="75" s="1"/>
  <c r="C154" i="75"/>
  <c r="D153" i="75" s="1"/>
  <c r="C158" i="75"/>
  <c r="D157" i="75" s="1"/>
  <c r="C162" i="75"/>
  <c r="D160" i="75" s="1"/>
  <c r="D162" i="75" s="1"/>
  <c r="C80" i="75"/>
  <c r="D78" i="75" s="1"/>
  <c r="C76" i="75"/>
  <c r="D74" i="75" s="1"/>
  <c r="E74" i="75" s="1"/>
  <c r="E84" i="75" s="1"/>
  <c r="D79" i="75" l="1"/>
  <c r="D80" i="75" s="1"/>
  <c r="D152" i="75"/>
  <c r="D82" i="75"/>
  <c r="D84" i="75" s="1"/>
  <c r="D151" i="75"/>
  <c r="E151" i="75" s="1"/>
  <c r="E158" i="75" s="1"/>
  <c r="E157" i="75" s="1"/>
  <c r="E153" i="75"/>
  <c r="D161" i="75"/>
  <c r="E83" i="75"/>
  <c r="D75" i="75"/>
  <c r="E75" i="75" s="1"/>
  <c r="D73" i="75"/>
  <c r="D156" i="75"/>
  <c r="D154" i="75" l="1"/>
  <c r="E152" i="75"/>
  <c r="E162" i="75" s="1"/>
  <c r="E160" i="75" s="1"/>
  <c r="E82" i="75"/>
  <c r="D76" i="75"/>
  <c r="E73" i="75"/>
  <c r="E80" i="75" s="1"/>
  <c r="E156" i="75"/>
  <c r="D158" i="75"/>
  <c r="E161" i="75" l="1"/>
  <c r="E78" i="75"/>
  <c r="E79" i="75"/>
  <c r="F25" i="1" l="1"/>
  <c r="G25" i="1"/>
  <c r="H25" i="1"/>
  <c r="R25" i="1"/>
  <c r="I25" i="1"/>
  <c r="AB25" i="1"/>
  <c r="K25" i="1"/>
  <c r="L25" i="1"/>
  <c r="N25" i="1"/>
  <c r="U25" i="1"/>
  <c r="Y25" i="1"/>
  <c r="Z25" i="1"/>
  <c r="Z18" i="1"/>
  <c r="AA18" i="1"/>
  <c r="Y18" i="1"/>
  <c r="X43" i="1" l="1"/>
  <c r="A4" i="54"/>
  <c r="A4" i="81" s="1"/>
  <c r="A5" i="54"/>
  <c r="A2" i="54"/>
  <c r="A5" i="1"/>
  <c r="A6" i="1"/>
  <c r="A2" i="1"/>
  <c r="A1" i="81" s="1"/>
  <c r="Z11" i="1"/>
  <c r="F11" i="1"/>
  <c r="Y11" i="76" l="1"/>
  <c r="A31" i="81"/>
  <c r="A31" i="75" s="1"/>
  <c r="A9" i="81"/>
  <c r="A12" i="75" s="1"/>
  <c r="F10" i="78"/>
  <c r="AA11" i="1"/>
  <c r="C4" i="56"/>
  <c r="A4" i="55"/>
  <c r="Z11" i="76"/>
  <c r="G11" i="1"/>
  <c r="F11" i="78" s="1"/>
  <c r="F11" i="76"/>
  <c r="F15" i="78" l="1"/>
  <c r="G11" i="76"/>
  <c r="A10" i="81"/>
  <c r="A13" i="75" s="1"/>
  <c r="AB11" i="1"/>
  <c r="A32" i="81"/>
  <c r="A32" i="75" s="1"/>
  <c r="F26" i="78"/>
  <c r="F21" i="78"/>
  <c r="F18" i="78"/>
  <c r="H11" i="1"/>
  <c r="F13" i="78" s="1"/>
  <c r="F32" i="78" l="1"/>
  <c r="H11" i="76"/>
  <c r="A11" i="81"/>
  <c r="A14" i="75" s="1"/>
  <c r="F27" i="78"/>
  <c r="F20" i="78"/>
  <c r="F33" i="78"/>
  <c r="F23" i="78"/>
  <c r="F36" i="78"/>
  <c r="F24" i="78"/>
  <c r="F16" i="78"/>
  <c r="F25" i="78"/>
  <c r="F34" i="78"/>
  <c r="F19" i="78"/>
  <c r="F17" i="78"/>
  <c r="AC11" i="1"/>
  <c r="A33" i="81"/>
  <c r="A33" i="75" s="1"/>
  <c r="F14" i="78"/>
  <c r="F35" i="78"/>
  <c r="F12" i="78"/>
  <c r="F22" i="78"/>
  <c r="E28" i="5"/>
  <c r="E34" i="5"/>
  <c r="AD11" i="1" l="1"/>
  <c r="A34" i="81"/>
  <c r="A34" i="75" s="1"/>
  <c r="AA11" i="76"/>
  <c r="A41" i="69"/>
  <c r="AB11" i="76"/>
  <c r="AE11" i="1" l="1"/>
  <c r="A35" i="81"/>
  <c r="A35" i="75" s="1"/>
  <c r="A42" i="69"/>
  <c r="F38" i="78"/>
  <c r="AC11" i="76"/>
  <c r="F37" i="78"/>
  <c r="AD11" i="76"/>
  <c r="A43" i="69"/>
  <c r="B32" i="69"/>
  <c r="AF11" i="1" l="1"/>
  <c r="A36" i="81"/>
  <c r="A36" i="75" s="1"/>
  <c r="F39" i="78"/>
  <c r="A55" i="69"/>
  <c r="V72" i="1"/>
  <c r="V31" i="1"/>
  <c r="V48" i="1"/>
  <c r="V66" i="1"/>
  <c r="X77" i="1"/>
  <c r="AG11" i="1" l="1"/>
  <c r="A37" i="81"/>
  <c r="A37" i="75" s="1"/>
  <c r="A44" i="69"/>
  <c r="AE11" i="76"/>
  <c r="V73" i="1"/>
  <c r="V75" i="1" s="1"/>
  <c r="V82" i="1" s="1"/>
  <c r="E25" i="81" s="1"/>
  <c r="F28" i="75" s="1"/>
  <c r="V49" i="1"/>
  <c r="V51" i="1" s="1"/>
  <c r="V54" i="1" s="1"/>
  <c r="V54" i="76" s="1"/>
  <c r="X79" i="1"/>
  <c r="E21" i="56"/>
  <c r="E23" i="56" s="1"/>
  <c r="AH11" i="1" l="1"/>
  <c r="A38" i="81"/>
  <c r="A38" i="75" s="1"/>
  <c r="F41" i="78"/>
  <c r="A45" i="69"/>
  <c r="AF11" i="76"/>
  <c r="I32" i="69"/>
  <c r="L32" i="69" s="1"/>
  <c r="G28" i="75"/>
  <c r="E25" i="56"/>
  <c r="E27" i="56" s="1"/>
  <c r="E63" i="1"/>
  <c r="E63" i="76" s="1"/>
  <c r="E69" i="1"/>
  <c r="E69" i="76" s="1"/>
  <c r="E70" i="1"/>
  <c r="E74" i="1"/>
  <c r="E76" i="1"/>
  <c r="E76" i="76" s="1"/>
  <c r="E15" i="1"/>
  <c r="X15" i="1" s="1"/>
  <c r="E22" i="1"/>
  <c r="E22" i="76" s="1"/>
  <c r="E23" i="1"/>
  <c r="E23" i="76" s="1"/>
  <c r="E28" i="1"/>
  <c r="E30" i="1"/>
  <c r="E30" i="76" s="1"/>
  <c r="E34" i="1"/>
  <c r="E34" i="76" s="1"/>
  <c r="E35" i="1"/>
  <c r="E35" i="76" s="1"/>
  <c r="E36" i="1"/>
  <c r="E39" i="1"/>
  <c r="E39" i="76" s="1"/>
  <c r="E40" i="1"/>
  <c r="E40" i="76" s="1"/>
  <c r="E41" i="1"/>
  <c r="E44" i="1"/>
  <c r="E47" i="1"/>
  <c r="E54" i="1"/>
  <c r="E54" i="76" s="1"/>
  <c r="E56" i="1"/>
  <c r="E57" i="1"/>
  <c r="L62" i="69"/>
  <c r="K62" i="69"/>
  <c r="L61" i="69"/>
  <c r="K61" i="69"/>
  <c r="L60" i="69"/>
  <c r="K60" i="69"/>
  <c r="L59" i="69"/>
  <c r="K59" i="69"/>
  <c r="F112" i="69"/>
  <c r="F105" i="69"/>
  <c r="E105" i="69"/>
  <c r="F97" i="69"/>
  <c r="F82" i="69"/>
  <c r="E82" i="69"/>
  <c r="F81" i="69"/>
  <c r="E81" i="69"/>
  <c r="B112" i="69"/>
  <c r="A112" i="69"/>
  <c r="B111" i="69"/>
  <c r="A111" i="69"/>
  <c r="I110" i="69"/>
  <c r="B110" i="69"/>
  <c r="A110" i="69"/>
  <c r="B109" i="69"/>
  <c r="A109" i="69"/>
  <c r="B108" i="69"/>
  <c r="A108" i="69"/>
  <c r="B107" i="69"/>
  <c r="A107" i="69"/>
  <c r="B106" i="69"/>
  <c r="A106" i="69"/>
  <c r="B105" i="69"/>
  <c r="A105" i="69"/>
  <c r="I99" i="69"/>
  <c r="B99" i="69"/>
  <c r="A99" i="69"/>
  <c r="B98" i="69"/>
  <c r="A98" i="69"/>
  <c r="B97" i="69"/>
  <c r="A97" i="69"/>
  <c r="B96" i="69"/>
  <c r="A96" i="69"/>
  <c r="I95" i="69"/>
  <c r="B95" i="69"/>
  <c r="A95" i="69"/>
  <c r="B94" i="69"/>
  <c r="A94" i="69"/>
  <c r="B93" i="69"/>
  <c r="A93" i="69"/>
  <c r="B92" i="69"/>
  <c r="A92" i="69"/>
  <c r="B91" i="69"/>
  <c r="A91" i="69"/>
  <c r="B90" i="69"/>
  <c r="A90" i="69"/>
  <c r="B86" i="69"/>
  <c r="A86" i="69"/>
  <c r="B85" i="69"/>
  <c r="A85" i="69"/>
  <c r="B84" i="69"/>
  <c r="A84" i="69"/>
  <c r="B83" i="69"/>
  <c r="A83" i="69"/>
  <c r="B82" i="69"/>
  <c r="A82" i="69"/>
  <c r="B81" i="69"/>
  <c r="A81" i="69"/>
  <c r="C72" i="69"/>
  <c r="B39" i="69"/>
  <c r="A39" i="69"/>
  <c r="B38" i="69"/>
  <c r="A38" i="69"/>
  <c r="B37" i="69"/>
  <c r="A37" i="69"/>
  <c r="B31" i="69"/>
  <c r="B30" i="69"/>
  <c r="B26" i="69"/>
  <c r="B25" i="69"/>
  <c r="B27" i="69"/>
  <c r="B24" i="69"/>
  <c r="B23" i="69"/>
  <c r="B22" i="69"/>
  <c r="B40" i="69"/>
  <c r="A40" i="69"/>
  <c r="B19" i="69"/>
  <c r="B28" i="69"/>
  <c r="B14" i="69"/>
  <c r="A14" i="69"/>
  <c r="B13" i="69"/>
  <c r="A13" i="69"/>
  <c r="B12" i="69"/>
  <c r="A12" i="69"/>
  <c r="B11" i="69"/>
  <c r="A11" i="69"/>
  <c r="C76" i="69"/>
  <c r="E71" i="1"/>
  <c r="E64" i="1"/>
  <c r="E64" i="76" s="1"/>
  <c r="E65" i="1"/>
  <c r="E65" i="76" s="1"/>
  <c r="E45" i="1"/>
  <c r="E45" i="76" s="1"/>
  <c r="E29" i="1"/>
  <c r="E29" i="76" s="1"/>
  <c r="E24" i="1"/>
  <c r="E24" i="76" s="1"/>
  <c r="E16" i="1"/>
  <c r="E16" i="76" s="1"/>
  <c r="E36" i="5"/>
  <c r="H36" i="5" s="1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H68" i="5"/>
  <c r="E69" i="5"/>
  <c r="H69" i="5" s="1"/>
  <c r="E70" i="5"/>
  <c r="H70" i="5" s="1"/>
  <c r="E71" i="5"/>
  <c r="H71" i="5" s="1"/>
  <c r="H74" i="5"/>
  <c r="H76" i="5"/>
  <c r="H77" i="5"/>
  <c r="E17" i="5"/>
  <c r="AI11" i="1" l="1"/>
  <c r="A39" i="81"/>
  <c r="A39" i="75" s="1"/>
  <c r="AG11" i="76"/>
  <c r="A46" i="69"/>
  <c r="E41" i="76"/>
  <c r="F22" i="55"/>
  <c r="G22" i="55" s="1"/>
  <c r="H22" i="55" s="1"/>
  <c r="E15" i="76"/>
  <c r="AJ15" i="1"/>
  <c r="AR15" i="1" s="1"/>
  <c r="X71" i="1"/>
  <c r="E71" i="76"/>
  <c r="X57" i="1"/>
  <c r="E57" i="76"/>
  <c r="F44" i="54"/>
  <c r="H44" i="54" s="1"/>
  <c r="J44" i="54" s="1"/>
  <c r="E44" i="76"/>
  <c r="X36" i="1"/>
  <c r="E36" i="76"/>
  <c r="E37" i="76" s="1"/>
  <c r="F28" i="54"/>
  <c r="H28" i="54" s="1"/>
  <c r="J28" i="54" s="1"/>
  <c r="E28" i="76"/>
  <c r="E66" i="76"/>
  <c r="X74" i="1"/>
  <c r="E74" i="76"/>
  <c r="X47" i="1"/>
  <c r="E47" i="76"/>
  <c r="X56" i="1"/>
  <c r="E56" i="76"/>
  <c r="E25" i="76"/>
  <c r="X70" i="1"/>
  <c r="E70" i="76"/>
  <c r="F74" i="54"/>
  <c r="H74" i="54" s="1"/>
  <c r="F36" i="54"/>
  <c r="H36" i="54" s="1"/>
  <c r="J36" i="54" s="1"/>
  <c r="F57" i="54"/>
  <c r="H57" i="54" s="1"/>
  <c r="J57" i="54" s="1"/>
  <c r="X76" i="1"/>
  <c r="F76" i="54"/>
  <c r="H29" i="5"/>
  <c r="E31" i="5"/>
  <c r="H31" i="5" s="1"/>
  <c r="X69" i="1"/>
  <c r="E72" i="1"/>
  <c r="E25" i="1"/>
  <c r="E48" i="1"/>
  <c r="E66" i="1"/>
  <c r="X44" i="1"/>
  <c r="X28" i="1"/>
  <c r="E31" i="1"/>
  <c r="F29" i="54"/>
  <c r="H29" i="54" s="1"/>
  <c r="J29" i="54" s="1"/>
  <c r="X29" i="1"/>
  <c r="F47" i="54"/>
  <c r="H47" i="54" s="1"/>
  <c r="J47" i="54" s="1"/>
  <c r="F39" i="54"/>
  <c r="H39" i="54" s="1"/>
  <c r="J39" i="54" s="1"/>
  <c r="X39" i="1"/>
  <c r="F30" i="54"/>
  <c r="H30" i="54" s="1"/>
  <c r="J30" i="54" s="1"/>
  <c r="X30" i="1"/>
  <c r="F24" i="54"/>
  <c r="H24" i="54" s="1"/>
  <c r="J24" i="54" s="1"/>
  <c r="X24" i="1"/>
  <c r="F64" i="54"/>
  <c r="H64" i="54" s="1"/>
  <c r="J64" i="54" s="1"/>
  <c r="X64" i="1"/>
  <c r="F54" i="54"/>
  <c r="F40" i="54"/>
  <c r="H40" i="54" s="1"/>
  <c r="J40" i="54" s="1"/>
  <c r="X40" i="1"/>
  <c r="F34" i="54"/>
  <c r="H34" i="54" s="1"/>
  <c r="J34" i="54" s="1"/>
  <c r="X34" i="1"/>
  <c r="F22" i="54"/>
  <c r="H22" i="54" s="1"/>
  <c r="J22" i="54" s="1"/>
  <c r="X22" i="1"/>
  <c r="AJ22" i="1" s="1"/>
  <c r="F65" i="54"/>
  <c r="H65" i="54" s="1"/>
  <c r="J65" i="54" s="1"/>
  <c r="X65" i="1"/>
  <c r="F41" i="54"/>
  <c r="H41" i="54" s="1"/>
  <c r="J41" i="54" s="1"/>
  <c r="X41" i="1"/>
  <c r="F35" i="54"/>
  <c r="H35" i="54" s="1"/>
  <c r="J35" i="54" s="1"/>
  <c r="X35" i="1"/>
  <c r="F23" i="54"/>
  <c r="H23" i="54" s="1"/>
  <c r="J23" i="54" s="1"/>
  <c r="X23" i="1"/>
  <c r="F63" i="54"/>
  <c r="H63" i="54" s="1"/>
  <c r="X63" i="1"/>
  <c r="F16" i="54"/>
  <c r="H16" i="54" s="1"/>
  <c r="J16" i="54" s="1"/>
  <c r="X16" i="1"/>
  <c r="F45" i="54"/>
  <c r="H45" i="54" s="1"/>
  <c r="J45" i="54" s="1"/>
  <c r="X45" i="1"/>
  <c r="F15" i="54"/>
  <c r="H15" i="54" s="1"/>
  <c r="F56" i="54"/>
  <c r="H56" i="54" s="1"/>
  <c r="J56" i="54" s="1"/>
  <c r="U48" i="1"/>
  <c r="F69" i="54"/>
  <c r="H69" i="54" s="1"/>
  <c r="R72" i="1"/>
  <c r="F71" i="54"/>
  <c r="H71" i="54" s="1"/>
  <c r="J71" i="54" s="1"/>
  <c r="E66" i="5"/>
  <c r="E48" i="5"/>
  <c r="H48" i="5" s="1"/>
  <c r="E18" i="5"/>
  <c r="H18" i="5" s="1"/>
  <c r="H17" i="5"/>
  <c r="E72" i="5"/>
  <c r="H72" i="5" s="1"/>
  <c r="E25" i="5"/>
  <c r="AB48" i="1"/>
  <c r="AB31" i="1"/>
  <c r="K48" i="1"/>
  <c r="AA31" i="1"/>
  <c r="AB37" i="1"/>
  <c r="N48" i="1"/>
  <c r="F70" i="54"/>
  <c r="H70" i="54" s="1"/>
  <c r="J70" i="54" s="1"/>
  <c r="N31" i="1"/>
  <c r="T48" i="1"/>
  <c r="T49" i="1" s="1"/>
  <c r="Y31" i="1"/>
  <c r="Y66" i="1"/>
  <c r="G37" i="1"/>
  <c r="L31" i="1"/>
  <c r="G31" i="1"/>
  <c r="L37" i="1"/>
  <c r="I37" i="1"/>
  <c r="F31" i="1"/>
  <c r="R37" i="1"/>
  <c r="K37" i="1"/>
  <c r="L48" i="1"/>
  <c r="Q48" i="1"/>
  <c r="W48" i="1"/>
  <c r="O48" i="1"/>
  <c r="P48" i="1"/>
  <c r="AA48" i="1"/>
  <c r="T72" i="1"/>
  <c r="P66" i="1"/>
  <c r="L66" i="1"/>
  <c r="H66" i="1"/>
  <c r="R31" i="1"/>
  <c r="I31" i="1"/>
  <c r="Z31" i="1"/>
  <c r="L72" i="1"/>
  <c r="H72" i="1"/>
  <c r="E37" i="1"/>
  <c r="F48" i="1"/>
  <c r="F37" i="1"/>
  <c r="H48" i="1"/>
  <c r="H37" i="1"/>
  <c r="K31" i="1"/>
  <c r="N37" i="1"/>
  <c r="AA72" i="1"/>
  <c r="P72" i="1"/>
  <c r="O66" i="1"/>
  <c r="W72" i="1"/>
  <c r="N72" i="1"/>
  <c r="I98" i="69"/>
  <c r="F110" i="69"/>
  <c r="I108" i="69"/>
  <c r="U37" i="1"/>
  <c r="Y72" i="1"/>
  <c r="U72" i="1"/>
  <c r="W66" i="1"/>
  <c r="Q72" i="1"/>
  <c r="K72" i="1"/>
  <c r="R66" i="1"/>
  <c r="F66" i="1"/>
  <c r="E37" i="5"/>
  <c r="H37" i="5" s="1"/>
  <c r="U31" i="1"/>
  <c r="H31" i="1"/>
  <c r="AA66" i="1"/>
  <c r="U66" i="1"/>
  <c r="Q66" i="1"/>
  <c r="AB72" i="1"/>
  <c r="F72" i="1"/>
  <c r="F84" i="69"/>
  <c r="I82" i="69"/>
  <c r="F98" i="69"/>
  <c r="I96" i="69"/>
  <c r="F86" i="69"/>
  <c r="I84" i="69"/>
  <c r="R48" i="1"/>
  <c r="Y48" i="1"/>
  <c r="Z66" i="1"/>
  <c r="T66" i="1"/>
  <c r="O72" i="1"/>
  <c r="N66" i="1"/>
  <c r="K66" i="1"/>
  <c r="AB66" i="1"/>
  <c r="I72" i="1"/>
  <c r="G72" i="1"/>
  <c r="G48" i="1"/>
  <c r="I48" i="1"/>
  <c r="Z72" i="1"/>
  <c r="I66" i="1"/>
  <c r="G66" i="1"/>
  <c r="E17" i="1"/>
  <c r="I90" i="69"/>
  <c r="F92" i="69"/>
  <c r="I91" i="69"/>
  <c r="F93" i="69"/>
  <c r="I92" i="69"/>
  <c r="F94" i="69"/>
  <c r="F85" i="69"/>
  <c r="I83" i="69"/>
  <c r="I86" i="69"/>
  <c r="F90" i="69"/>
  <c r="I93" i="69"/>
  <c r="F95" i="69"/>
  <c r="I94" i="69"/>
  <c r="F96" i="69"/>
  <c r="I97" i="69"/>
  <c r="F99" i="69"/>
  <c r="A40" i="81" l="1"/>
  <c r="A40" i="75" s="1"/>
  <c r="F40" i="78"/>
  <c r="AH11" i="76"/>
  <c r="A47" i="69"/>
  <c r="F42" i="78"/>
  <c r="J69" i="54"/>
  <c r="H72" i="54"/>
  <c r="J63" i="54"/>
  <c r="H66" i="54"/>
  <c r="H73" i="54" s="1"/>
  <c r="H75" i="54" s="1"/>
  <c r="H81" i="54" s="1"/>
  <c r="J15" i="54"/>
  <c r="H76" i="54"/>
  <c r="J76" i="54" s="1"/>
  <c r="H37" i="54"/>
  <c r="H31" i="54"/>
  <c r="H48" i="54"/>
  <c r="H25" i="54"/>
  <c r="U73" i="1"/>
  <c r="U75" i="1" s="1"/>
  <c r="U82" i="1" s="1"/>
  <c r="N10" i="69"/>
  <c r="E87" i="1"/>
  <c r="AB73" i="1"/>
  <c r="AB75" i="1" s="1"/>
  <c r="I73" i="1"/>
  <c r="Q73" i="1"/>
  <c r="AA73" i="1"/>
  <c r="N73" i="1"/>
  <c r="N75" i="1" s="1"/>
  <c r="K73" i="1"/>
  <c r="K75" i="1" s="1"/>
  <c r="R73" i="1"/>
  <c r="R75" i="1" s="1"/>
  <c r="T73" i="1"/>
  <c r="T75" i="1" s="1"/>
  <c r="W73" i="1"/>
  <c r="AT15" i="1"/>
  <c r="AU15" i="1" s="1"/>
  <c r="AZ15" i="1" s="1"/>
  <c r="G73" i="1"/>
  <c r="G75" i="1" s="1"/>
  <c r="G82" i="1" s="1"/>
  <c r="E10" i="81" s="1"/>
  <c r="F13" i="75" s="1"/>
  <c r="E73" i="1"/>
  <c r="E75" i="1" s="1"/>
  <c r="E82" i="1" s="1"/>
  <c r="O73" i="1"/>
  <c r="L73" i="1"/>
  <c r="H73" i="1"/>
  <c r="F73" i="1"/>
  <c r="P73" i="1"/>
  <c r="Z73" i="1"/>
  <c r="Y73" i="1"/>
  <c r="H66" i="5"/>
  <c r="E73" i="5"/>
  <c r="E75" i="5" s="1"/>
  <c r="E82" i="5" s="1"/>
  <c r="H49" i="1"/>
  <c r="H51" i="1" s="1"/>
  <c r="H54" i="1" s="1"/>
  <c r="H54" i="76" s="1"/>
  <c r="E72" i="76"/>
  <c r="E73" i="76" s="1"/>
  <c r="E31" i="76"/>
  <c r="E48" i="76"/>
  <c r="E18" i="1"/>
  <c r="E17" i="76"/>
  <c r="Q49" i="1"/>
  <c r="Q51" i="1" s="1"/>
  <c r="Q54" i="1" s="1"/>
  <c r="Q54" i="76" s="1"/>
  <c r="K49" i="1"/>
  <c r="K51" i="1" s="1"/>
  <c r="U49" i="1"/>
  <c r="U51" i="1" s="1"/>
  <c r="P49" i="1"/>
  <c r="P51" i="1" s="1"/>
  <c r="O49" i="1"/>
  <c r="O51" i="1" s="1"/>
  <c r="O54" i="1" s="1"/>
  <c r="O54" i="76" s="1"/>
  <c r="F48" i="54"/>
  <c r="F66" i="54"/>
  <c r="I49" i="1"/>
  <c r="I51" i="1" s="1"/>
  <c r="I54" i="1" s="1"/>
  <c r="I54" i="76" s="1"/>
  <c r="F49" i="1"/>
  <c r="F51" i="1" s="1"/>
  <c r="F54" i="1" s="1"/>
  <c r="F54" i="76" s="1"/>
  <c r="L49" i="1"/>
  <c r="L51" i="1" s="1"/>
  <c r="L54" i="1" s="1"/>
  <c r="L54" i="76" s="1"/>
  <c r="N49" i="1"/>
  <c r="N51" i="1" s="1"/>
  <c r="Z49" i="1"/>
  <c r="Z51" i="1" s="1"/>
  <c r="Z54" i="1" s="1"/>
  <c r="Y54" i="76" s="1"/>
  <c r="R49" i="1"/>
  <c r="R51" i="1" s="1"/>
  <c r="G49" i="1"/>
  <c r="W49" i="1"/>
  <c r="W51" i="1" s="1"/>
  <c r="W54" i="1" s="1"/>
  <c r="W54" i="76" s="1"/>
  <c r="Y49" i="1"/>
  <c r="Y51" i="1" s="1"/>
  <c r="Y54" i="1" s="1"/>
  <c r="AA49" i="1"/>
  <c r="AA51" i="1" s="1"/>
  <c r="AB49" i="1"/>
  <c r="AB51" i="1" s="1"/>
  <c r="X48" i="1"/>
  <c r="X37" i="1"/>
  <c r="F31" i="54"/>
  <c r="F37" i="54"/>
  <c r="F72" i="54"/>
  <c r="F25" i="54"/>
  <c r="E49" i="5"/>
  <c r="E51" i="5" s="1"/>
  <c r="E59" i="5" s="1"/>
  <c r="E49" i="1"/>
  <c r="X25" i="1"/>
  <c r="X17" i="1"/>
  <c r="H25" i="5"/>
  <c r="T51" i="1"/>
  <c r="T54" i="1" s="1"/>
  <c r="T54" i="76" s="1"/>
  <c r="F108" i="69"/>
  <c r="I106" i="69"/>
  <c r="F109" i="69"/>
  <c r="I107" i="69"/>
  <c r="I85" i="69"/>
  <c r="H84" i="69"/>
  <c r="E86" i="69"/>
  <c r="F107" i="69"/>
  <c r="I105" i="69"/>
  <c r="F111" i="69"/>
  <c r="I109" i="69"/>
  <c r="E90" i="69"/>
  <c r="H86" i="69"/>
  <c r="E85" i="69"/>
  <c r="H83" i="69"/>
  <c r="H111" i="69"/>
  <c r="F17" i="54"/>
  <c r="I31" i="69" l="1"/>
  <c r="E24" i="81"/>
  <c r="F27" i="75" s="1"/>
  <c r="I73" i="54"/>
  <c r="E8" i="81"/>
  <c r="K7" i="78"/>
  <c r="R7" i="78"/>
  <c r="H49" i="54"/>
  <c r="X54" i="76"/>
  <c r="F18" i="54"/>
  <c r="H17" i="54"/>
  <c r="BG15" i="1"/>
  <c r="BI15" i="1" s="1"/>
  <c r="AY65" i="1"/>
  <c r="BM65" i="1" s="1"/>
  <c r="BM66" i="1" s="1"/>
  <c r="G27" i="75"/>
  <c r="G13" i="75"/>
  <c r="I13" i="69"/>
  <c r="L13" i="69" s="1"/>
  <c r="F73" i="54"/>
  <c r="F75" i="54" s="1"/>
  <c r="F81" i="54" s="1"/>
  <c r="E75" i="76"/>
  <c r="E82" i="76" s="1"/>
  <c r="X18" i="1"/>
  <c r="E49" i="76"/>
  <c r="E18" i="76"/>
  <c r="T82" i="1"/>
  <c r="R82" i="1"/>
  <c r="E21" i="81" s="1"/>
  <c r="F24" i="75" s="1"/>
  <c r="AB82" i="1"/>
  <c r="E33" i="81" s="1"/>
  <c r="F33" i="75" s="1"/>
  <c r="N82" i="1"/>
  <c r="K82" i="1"/>
  <c r="E14" i="81" s="1"/>
  <c r="F17" i="75" s="1"/>
  <c r="H82" i="5"/>
  <c r="Z75" i="1"/>
  <c r="I75" i="1"/>
  <c r="L75" i="1"/>
  <c r="O75" i="1"/>
  <c r="F75" i="1"/>
  <c r="Q75" i="1"/>
  <c r="P54" i="1"/>
  <c r="P54" i="76" s="1"/>
  <c r="P75" i="1"/>
  <c r="P82" i="1" s="1"/>
  <c r="E19" i="81" s="1"/>
  <c r="F22" i="75" s="1"/>
  <c r="AA75" i="1"/>
  <c r="AA82" i="1" s="1"/>
  <c r="E32" i="81" s="1"/>
  <c r="F32" i="75" s="1"/>
  <c r="Y75" i="1"/>
  <c r="H75" i="1"/>
  <c r="H82" i="1" s="1"/>
  <c r="W75" i="1"/>
  <c r="W82" i="1" s="1"/>
  <c r="E26" i="81" s="1"/>
  <c r="F29" i="75" s="1"/>
  <c r="F49" i="54"/>
  <c r="AA54" i="1"/>
  <c r="Z54" i="76" s="1"/>
  <c r="AB54" i="1"/>
  <c r="AA54" i="76" s="1"/>
  <c r="R54" i="1"/>
  <c r="R54" i="76" s="1"/>
  <c r="K54" i="1"/>
  <c r="K54" i="76" s="1"/>
  <c r="M54" i="76"/>
  <c r="L46" i="69"/>
  <c r="H51" i="5"/>
  <c r="X72" i="1"/>
  <c r="X31" i="1"/>
  <c r="X49" i="1" s="1"/>
  <c r="L31" i="69"/>
  <c r="H49" i="5"/>
  <c r="I112" i="69"/>
  <c r="X66" i="1"/>
  <c r="G51" i="1"/>
  <c r="I111" i="69"/>
  <c r="I11" i="69"/>
  <c r="H112" i="69"/>
  <c r="K114" i="69"/>
  <c r="F83" i="69"/>
  <c r="F88" i="69" s="1"/>
  <c r="I81" i="69"/>
  <c r="I88" i="69" s="1"/>
  <c r="I103" i="69" s="1"/>
  <c r="E51" i="1"/>
  <c r="E11" i="81" l="1"/>
  <c r="F14" i="75" s="1"/>
  <c r="G14" i="75" s="1"/>
  <c r="E23" i="81"/>
  <c r="F26" i="75" s="1"/>
  <c r="G26" i="75" s="1"/>
  <c r="I24" i="69"/>
  <c r="E17" i="81"/>
  <c r="F20" i="75" s="1"/>
  <c r="I54" i="54"/>
  <c r="R29" i="78"/>
  <c r="R44" i="78" s="1"/>
  <c r="K29" i="78"/>
  <c r="F51" i="54"/>
  <c r="F59" i="54" s="1"/>
  <c r="E11" i="75"/>
  <c r="E50" i="75" s="1"/>
  <c r="J17" i="54"/>
  <c r="H18" i="54"/>
  <c r="H51" i="54" s="1"/>
  <c r="BJ15" i="1"/>
  <c r="I33" i="69"/>
  <c r="L33" i="69" s="1"/>
  <c r="I26" i="69"/>
  <c r="L26" i="69" s="1"/>
  <c r="G20" i="75"/>
  <c r="G24" i="75"/>
  <c r="X73" i="1"/>
  <c r="X75" i="1" s="1"/>
  <c r="X82" i="1" s="1"/>
  <c r="G33" i="75"/>
  <c r="I40" i="69"/>
  <c r="L40" i="69" s="1"/>
  <c r="I21" i="69"/>
  <c r="L21" i="69" s="1"/>
  <c r="G17" i="75"/>
  <c r="I28" i="69"/>
  <c r="L28" i="69" s="1"/>
  <c r="G29" i="75"/>
  <c r="I23" i="69"/>
  <c r="L23" i="69" s="1"/>
  <c r="G22" i="75"/>
  <c r="E51" i="76"/>
  <c r="E59" i="76" s="1"/>
  <c r="I30" i="69"/>
  <c r="L30" i="69" s="1"/>
  <c r="I14" i="69"/>
  <c r="L14" i="69" s="1"/>
  <c r="G19" i="75"/>
  <c r="G54" i="1"/>
  <c r="G54" i="76" s="1"/>
  <c r="Y82" i="1"/>
  <c r="E30" i="81" s="1"/>
  <c r="F30" i="75" s="1"/>
  <c r="O82" i="1"/>
  <c r="Z82" i="1"/>
  <c r="E31" i="81" s="1"/>
  <c r="F31" i="75" s="1"/>
  <c r="I82" i="1"/>
  <c r="E12" i="81" s="1"/>
  <c r="F15" i="75" s="1"/>
  <c r="L82" i="1"/>
  <c r="E15" i="81" s="1"/>
  <c r="F18" i="75" s="1"/>
  <c r="Q82" i="1"/>
  <c r="E20" i="81" s="1"/>
  <c r="F23" i="75" s="1"/>
  <c r="F82" i="1"/>
  <c r="E9" i="81" s="1"/>
  <c r="F12" i="75" s="1"/>
  <c r="G32" i="75"/>
  <c r="I39" i="69"/>
  <c r="L39" i="69" s="1"/>
  <c r="X51" i="1"/>
  <c r="E59" i="1"/>
  <c r="G11" i="75"/>
  <c r="L24" i="69"/>
  <c r="L20" i="69"/>
  <c r="F91" i="69"/>
  <c r="I114" i="69"/>
  <c r="E83" i="69"/>
  <c r="H81" i="69"/>
  <c r="E95" i="69"/>
  <c r="H93" i="69"/>
  <c r="E111" i="69"/>
  <c r="H109" i="69"/>
  <c r="H82" i="69"/>
  <c r="E84" i="69"/>
  <c r="E92" i="69"/>
  <c r="H90" i="69"/>
  <c r="E99" i="69"/>
  <c r="H97" i="69"/>
  <c r="L11" i="69"/>
  <c r="F103" i="69"/>
  <c r="E18" i="81" l="1"/>
  <c r="F21" i="75" s="1"/>
  <c r="G21" i="75" s="1"/>
  <c r="E28" i="81"/>
  <c r="E52" i="81" s="1"/>
  <c r="E63" i="81" s="1"/>
  <c r="K44" i="78"/>
  <c r="AJ16" i="78" s="1"/>
  <c r="AJ18" i="78" s="1"/>
  <c r="E83" i="1"/>
  <c r="D8" i="81"/>
  <c r="I7" i="78"/>
  <c r="P7" i="78"/>
  <c r="T7" i="78" s="1"/>
  <c r="I25" i="69"/>
  <c r="L25" i="69" s="1"/>
  <c r="I19" i="69"/>
  <c r="L19" i="69" s="1"/>
  <c r="I22" i="69"/>
  <c r="L22" i="69" s="1"/>
  <c r="I27" i="69"/>
  <c r="L27" i="69" s="1"/>
  <c r="N59" i="1"/>
  <c r="D17" i="81" s="1"/>
  <c r="I38" i="69"/>
  <c r="L38" i="69" s="1"/>
  <c r="I37" i="69"/>
  <c r="L37" i="69" s="1"/>
  <c r="I12" i="69"/>
  <c r="F17" i="69"/>
  <c r="H59" i="5"/>
  <c r="E84" i="5"/>
  <c r="E97" i="69"/>
  <c r="H95" i="69"/>
  <c r="E108" i="69"/>
  <c r="H106" i="69"/>
  <c r="H11" i="69"/>
  <c r="F82" i="54"/>
  <c r="E88" i="69"/>
  <c r="F106" i="69"/>
  <c r="F114" i="69"/>
  <c r="I29" i="78" l="1"/>
  <c r="M7" i="78"/>
  <c r="G30" i="75"/>
  <c r="G18" i="75"/>
  <c r="G15" i="75"/>
  <c r="G31" i="75"/>
  <c r="G23" i="75"/>
  <c r="G12" i="75"/>
  <c r="H24" i="69"/>
  <c r="K24" i="69" s="1"/>
  <c r="N24" i="69" s="1"/>
  <c r="L12" i="69"/>
  <c r="I17" i="69"/>
  <c r="I35" i="69" s="1"/>
  <c r="I57" i="69" s="1"/>
  <c r="F50" i="75"/>
  <c r="F35" i="69"/>
  <c r="F57" i="69" s="1"/>
  <c r="E112" i="69"/>
  <c r="H110" i="69"/>
  <c r="E107" i="69"/>
  <c r="H105" i="69"/>
  <c r="H107" i="69"/>
  <c r="E109" i="69"/>
  <c r="H99" i="69"/>
  <c r="E94" i="69"/>
  <c r="H92" i="69"/>
  <c r="H98" i="69"/>
  <c r="E93" i="69"/>
  <c r="H91" i="69"/>
  <c r="K11" i="69"/>
  <c r="I44" i="78" l="1"/>
  <c r="M44" i="78" s="1"/>
  <c r="AJ20" i="78" s="1"/>
  <c r="M29" i="78"/>
  <c r="G50" i="75"/>
  <c r="L17" i="69"/>
  <c r="L35" i="69" s="1"/>
  <c r="I58" i="69"/>
  <c r="E17" i="69"/>
  <c r="E35" i="69" s="1"/>
  <c r="E57" i="69" s="1"/>
  <c r="E96" i="69"/>
  <c r="H94" i="69"/>
  <c r="N11" i="69"/>
  <c r="H85" i="69"/>
  <c r="H88" i="69" s="1"/>
  <c r="E98" i="69"/>
  <c r="H96" i="69"/>
  <c r="L57" i="69" l="1"/>
  <c r="L63" i="69" s="1"/>
  <c r="H108" i="69"/>
  <c r="E110" i="69"/>
  <c r="E91" i="69"/>
  <c r="E103" i="69" s="1"/>
  <c r="H103" i="69"/>
  <c r="E106" i="69" l="1"/>
  <c r="E114" i="69"/>
  <c r="H114" i="69"/>
  <c r="K116" i="69"/>
  <c r="AJ16" i="1" l="1"/>
  <c r="AR16" i="1" s="1"/>
  <c r="AJ65" i="1"/>
  <c r="AR65" i="1" s="1"/>
  <c r="AT65" i="1" s="1"/>
  <c r="AJ35" i="1"/>
  <c r="AR35" i="1" s="1"/>
  <c r="AT35" i="1" s="1"/>
  <c r="AJ23" i="1"/>
  <c r="AR23" i="1" s="1"/>
  <c r="AT23" i="1" s="1"/>
  <c r="AU23" i="1" s="1"/>
  <c r="AJ46" i="1"/>
  <c r="AR46" i="1" s="1"/>
  <c r="AT46" i="1" s="1"/>
  <c r="AJ71" i="1"/>
  <c r="AR71" i="1" s="1"/>
  <c r="AT71" i="1" s="1"/>
  <c r="AJ36" i="1"/>
  <c r="AR36" i="1" s="1"/>
  <c r="AJ79" i="1"/>
  <c r="AR79" i="1" s="1"/>
  <c r="AT79" i="1" s="1"/>
  <c r="AJ47" i="1"/>
  <c r="AR47" i="1" s="1"/>
  <c r="AT47" i="1" s="1"/>
  <c r="AJ41" i="1"/>
  <c r="AR41" i="1" s="1"/>
  <c r="AT41" i="1" s="1"/>
  <c r="AJ39" i="1"/>
  <c r="AR39" i="1" s="1"/>
  <c r="AT39" i="1" s="1"/>
  <c r="AJ76" i="1"/>
  <c r="AR76" i="1" s="1"/>
  <c r="AT76" i="1" s="1"/>
  <c r="AJ28" i="1"/>
  <c r="AR28" i="1" s="1"/>
  <c r="AT28" i="1" s="1"/>
  <c r="AU28" i="1" s="1"/>
  <c r="AJ57" i="1"/>
  <c r="AR57" i="1" s="1"/>
  <c r="AT57" i="1" s="1"/>
  <c r="AJ29" i="1"/>
  <c r="AR29" i="1" s="1"/>
  <c r="AT29" i="1" s="1"/>
  <c r="AU29" i="1" s="1"/>
  <c r="AJ45" i="1"/>
  <c r="AR45" i="1" s="1"/>
  <c r="AT45" i="1" s="1"/>
  <c r="AJ17" i="1"/>
  <c r="AR17" i="1" s="1"/>
  <c r="AT17" i="1" s="1"/>
  <c r="AU17" i="1" s="1"/>
  <c r="AR22" i="1"/>
  <c r="AJ24" i="1"/>
  <c r="AR24" i="1" s="1"/>
  <c r="AT24" i="1" s="1"/>
  <c r="AJ56" i="1"/>
  <c r="AR56" i="1" s="1"/>
  <c r="AT56" i="1" s="1"/>
  <c r="AJ40" i="1"/>
  <c r="AR40" i="1" s="1"/>
  <c r="AT40" i="1" s="1"/>
  <c r="AJ69" i="1"/>
  <c r="AR69" i="1" s="1"/>
  <c r="AJ70" i="1"/>
  <c r="AR70" i="1" s="1"/>
  <c r="AT70" i="1" s="1"/>
  <c r="AJ74" i="1"/>
  <c r="AR74" i="1" s="1"/>
  <c r="AT74" i="1" s="1"/>
  <c r="AJ30" i="1"/>
  <c r="AR30" i="1" s="1"/>
  <c r="AJ64" i="1"/>
  <c r="AJ34" i="1"/>
  <c r="AJ44" i="1"/>
  <c r="AR44" i="1" s="1"/>
  <c r="AJ77" i="1"/>
  <c r="AR77" i="1" s="1"/>
  <c r="AT77" i="1" s="1"/>
  <c r="AJ78" i="1"/>
  <c r="AJ63" i="1"/>
  <c r="AR63" i="1" s="1"/>
  <c r="AT63" i="1" s="1"/>
  <c r="AU63" i="1" s="1"/>
  <c r="AR78" i="1" l="1"/>
  <c r="AT78" i="1" s="1"/>
  <c r="AR34" i="1"/>
  <c r="AR37" i="1" s="1"/>
  <c r="AZ28" i="1"/>
  <c r="AZ63" i="1"/>
  <c r="AZ29" i="1"/>
  <c r="BG29" i="1" s="1"/>
  <c r="BI29" i="1" s="1"/>
  <c r="AZ23" i="1"/>
  <c r="BG23" i="1" s="1"/>
  <c r="BI23" i="1" s="1"/>
  <c r="AZ17" i="1"/>
  <c r="AR64" i="1"/>
  <c r="AR66" i="1" s="1"/>
  <c r="AR72" i="1"/>
  <c r="AT69" i="1"/>
  <c r="AR25" i="1"/>
  <c r="AT22" i="1"/>
  <c r="AU22" i="1" s="1"/>
  <c r="AT44" i="1"/>
  <c r="AR48" i="1"/>
  <c r="AT16" i="1"/>
  <c r="AU16" i="1" s="1"/>
  <c r="AR18" i="1"/>
  <c r="AT36" i="1"/>
  <c r="AT30" i="1"/>
  <c r="AU30" i="1" s="1"/>
  <c r="AR31" i="1"/>
  <c r="AJ37" i="1"/>
  <c r="AJ48" i="1"/>
  <c r="AJ72" i="1"/>
  <c r="AJ25" i="1"/>
  <c r="AJ66" i="1"/>
  <c r="AJ31" i="1"/>
  <c r="AJ18" i="1"/>
  <c r="BJ23" i="1" l="1"/>
  <c r="BJ29" i="1"/>
  <c r="AT34" i="1"/>
  <c r="AT37" i="1" s="1"/>
  <c r="BG17" i="1"/>
  <c r="BI17" i="1" s="1"/>
  <c r="BG28" i="1"/>
  <c r="AZ30" i="1"/>
  <c r="BG30" i="1" s="1"/>
  <c r="BI30" i="1" s="1"/>
  <c r="AZ16" i="1"/>
  <c r="BG16" i="1" s="1"/>
  <c r="AZ22" i="1"/>
  <c r="BG22" i="1" s="1"/>
  <c r="BG63" i="1"/>
  <c r="AT64" i="1"/>
  <c r="AT66" i="1" s="1"/>
  <c r="AR49" i="1"/>
  <c r="AR51" i="1" s="1"/>
  <c r="AR73" i="1"/>
  <c r="AU79" i="1"/>
  <c r="AJ73" i="1"/>
  <c r="AJ75" i="1" s="1"/>
  <c r="AJ82" i="1" s="1"/>
  <c r="G36" i="55" s="1"/>
  <c r="AU35" i="1"/>
  <c r="AT18" i="1"/>
  <c r="AU69" i="1"/>
  <c r="AT72" i="1"/>
  <c r="AU70" i="1"/>
  <c r="AT25" i="1"/>
  <c r="AU71" i="1"/>
  <c r="AU74" i="1"/>
  <c r="AU47" i="1"/>
  <c r="AU36" i="1"/>
  <c r="AU57" i="1"/>
  <c r="AU65" i="1"/>
  <c r="AU41" i="1"/>
  <c r="AU78" i="1"/>
  <c r="AU56" i="1"/>
  <c r="AU24" i="1"/>
  <c r="AU39" i="1"/>
  <c r="AU40" i="1"/>
  <c r="AU77" i="1"/>
  <c r="AU76" i="1"/>
  <c r="AJ49" i="1"/>
  <c r="AJ51" i="1" s="1"/>
  <c r="AU46" i="1"/>
  <c r="AU45" i="1"/>
  <c r="AU44" i="1"/>
  <c r="AT48" i="1"/>
  <c r="AT31" i="1"/>
  <c r="F26" i="55" l="1"/>
  <c r="BJ17" i="1"/>
  <c r="BJ30" i="1"/>
  <c r="AR75" i="1"/>
  <c r="AR82" i="1" s="1"/>
  <c r="AU34" i="1"/>
  <c r="AZ34" i="1" s="1"/>
  <c r="BG34" i="1" s="1"/>
  <c r="AZ46" i="1"/>
  <c r="BG46" i="1" s="1"/>
  <c r="BI46" i="1" s="1"/>
  <c r="AZ77" i="1"/>
  <c r="BG77" i="1" s="1"/>
  <c r="BI77" i="1" s="1"/>
  <c r="AZ57" i="1"/>
  <c r="BG57" i="1" s="1"/>
  <c r="BI57" i="1" s="1"/>
  <c r="AZ45" i="1"/>
  <c r="BG45" i="1" s="1"/>
  <c r="BI45" i="1" s="1"/>
  <c r="AZ76" i="1"/>
  <c r="BG76" i="1" s="1"/>
  <c r="BI76" i="1" s="1"/>
  <c r="AZ24" i="1"/>
  <c r="AZ65" i="1"/>
  <c r="BG65" i="1" s="1"/>
  <c r="BI65" i="1" s="1"/>
  <c r="AZ74" i="1"/>
  <c r="BG74" i="1" s="1"/>
  <c r="BI74" i="1" s="1"/>
  <c r="AZ35" i="1"/>
  <c r="BI63" i="1"/>
  <c r="BI28" i="1"/>
  <c r="BG31" i="1"/>
  <c r="AZ44" i="1"/>
  <c r="AZ39" i="1"/>
  <c r="BG39" i="1" s="1"/>
  <c r="BI39" i="1" s="1"/>
  <c r="AZ41" i="1"/>
  <c r="BG41" i="1" s="1"/>
  <c r="BI41" i="1" s="1"/>
  <c r="AZ47" i="1"/>
  <c r="BG47" i="1" s="1"/>
  <c r="BI47" i="1" s="1"/>
  <c r="AZ70" i="1"/>
  <c r="BI16" i="1"/>
  <c r="BG18" i="1"/>
  <c r="AZ40" i="1"/>
  <c r="BG40" i="1" s="1"/>
  <c r="BI40" i="1" s="1"/>
  <c r="AZ78" i="1"/>
  <c r="BG78" i="1" s="1"/>
  <c r="BI78" i="1" s="1"/>
  <c r="AZ36" i="1"/>
  <c r="BG36" i="1" s="1"/>
  <c r="BI36" i="1" s="1"/>
  <c r="AZ69" i="1"/>
  <c r="BG69" i="1" s="1"/>
  <c r="AZ79" i="1"/>
  <c r="BG79" i="1" s="1"/>
  <c r="BI79" i="1" s="1"/>
  <c r="AZ31" i="1"/>
  <c r="AZ18" i="1"/>
  <c r="AZ56" i="1"/>
  <c r="BG56" i="1" s="1"/>
  <c r="BI56" i="1" s="1"/>
  <c r="AZ71" i="1"/>
  <c r="BG71" i="1" s="1"/>
  <c r="BI71" i="1" s="1"/>
  <c r="BI22" i="1"/>
  <c r="AU64" i="1"/>
  <c r="AZ64" i="1" s="1"/>
  <c r="AT49" i="1"/>
  <c r="AT51" i="1" s="1"/>
  <c r="AT73" i="1"/>
  <c r="AT75" i="1" s="1"/>
  <c r="AT82" i="1" s="1"/>
  <c r="AU72" i="1"/>
  <c r="L29" i="54"/>
  <c r="AU25" i="1"/>
  <c r="AU18" i="1"/>
  <c r="AU31" i="1"/>
  <c r="AU48" i="1"/>
  <c r="BJ47" i="1" l="1"/>
  <c r="BJ39" i="1"/>
  <c r="L35" i="54"/>
  <c r="BJ16" i="1"/>
  <c r="BJ18" i="1" s="1"/>
  <c r="BJ28" i="1"/>
  <c r="BJ77" i="1"/>
  <c r="BJ56" i="1"/>
  <c r="BJ79" i="1"/>
  <c r="BJ36" i="1"/>
  <c r="BJ40" i="1"/>
  <c r="BJ41" i="1"/>
  <c r="BJ22" i="1"/>
  <c r="BJ76" i="1"/>
  <c r="BJ57" i="1"/>
  <c r="BJ46" i="1"/>
  <c r="BJ78" i="1"/>
  <c r="BJ74" i="1"/>
  <c r="BJ71" i="1"/>
  <c r="BJ65" i="1"/>
  <c r="BJ63" i="1"/>
  <c r="BJ45" i="1"/>
  <c r="AU37" i="1"/>
  <c r="AZ37" i="1"/>
  <c r="BG35" i="1"/>
  <c r="BI35" i="1" s="1"/>
  <c r="BI34" i="1"/>
  <c r="AZ72" i="1"/>
  <c r="BG70" i="1"/>
  <c r="BI70" i="1" s="1"/>
  <c r="BG44" i="1"/>
  <c r="AZ48" i="1"/>
  <c r="AZ25" i="1"/>
  <c r="BG24" i="1"/>
  <c r="BG64" i="1"/>
  <c r="AZ66" i="1"/>
  <c r="BI18" i="1"/>
  <c r="BI31" i="1"/>
  <c r="BJ31" i="1"/>
  <c r="BI69" i="1"/>
  <c r="AU66" i="1"/>
  <c r="AU73" i="1" s="1"/>
  <c r="AU75" i="1" s="1"/>
  <c r="AU49" i="1"/>
  <c r="AU51" i="1" s="1"/>
  <c r="L71" i="54"/>
  <c r="L77" i="54"/>
  <c r="L79" i="54"/>
  <c r="L70" i="54"/>
  <c r="J72" i="54"/>
  <c r="L69" i="54"/>
  <c r="J31" i="54"/>
  <c r="L65" i="54"/>
  <c r="L56" i="54"/>
  <c r="L28" i="54"/>
  <c r="L24" i="54"/>
  <c r="L76" i="54"/>
  <c r="L41" i="54"/>
  <c r="L17" i="54"/>
  <c r="L23" i="54"/>
  <c r="L57" i="54"/>
  <c r="J25" i="54"/>
  <c r="L22" i="54"/>
  <c r="L78" i="54"/>
  <c r="L63" i="54"/>
  <c r="L16" i="54"/>
  <c r="J18" i="54"/>
  <c r="L40" i="54"/>
  <c r="L47" i="54"/>
  <c r="L30" i="54"/>
  <c r="L46" i="54"/>
  <c r="L45" i="54"/>
  <c r="J48" i="54"/>
  <c r="I72" i="54" l="1"/>
  <c r="BJ34" i="1"/>
  <c r="I66" i="54"/>
  <c r="L34" i="54"/>
  <c r="BJ70" i="1"/>
  <c r="BJ69" i="1"/>
  <c r="BJ35" i="1"/>
  <c r="BJ37" i="1" s="1"/>
  <c r="J37" i="54"/>
  <c r="J49" i="54" s="1"/>
  <c r="J51" i="54" s="1"/>
  <c r="I37" i="54"/>
  <c r="AZ73" i="1"/>
  <c r="AZ75" i="1" s="1"/>
  <c r="AZ82" i="1" s="1"/>
  <c r="AZ49" i="1"/>
  <c r="AZ51" i="1" s="1"/>
  <c r="BG72" i="1"/>
  <c r="BI44" i="1"/>
  <c r="BG48" i="1"/>
  <c r="BI24" i="1"/>
  <c r="BG25" i="1"/>
  <c r="BI37" i="1"/>
  <c r="BI72" i="1"/>
  <c r="BI64" i="1"/>
  <c r="BG66" i="1"/>
  <c r="BG37" i="1"/>
  <c r="J66" i="54"/>
  <c r="J73" i="54" s="1"/>
  <c r="L64" i="54"/>
  <c r="L66" i="54" s="1"/>
  <c r="AU82" i="1"/>
  <c r="L72" i="54"/>
  <c r="L25" i="54"/>
  <c r="I31" i="54"/>
  <c r="L31" i="54"/>
  <c r="I25" i="54"/>
  <c r="I18" i="54"/>
  <c r="I48" i="54"/>
  <c r="BJ72" i="1" l="1"/>
  <c r="BJ24" i="1"/>
  <c r="BJ44" i="1"/>
  <c r="BJ48" i="1" s="1"/>
  <c r="BJ64" i="1"/>
  <c r="BJ66" i="1" s="1"/>
  <c r="BJ73" i="1" s="1"/>
  <c r="BJ75" i="1" s="1"/>
  <c r="BJ82" i="1" s="1"/>
  <c r="BG73" i="1"/>
  <c r="BG75" i="1" s="1"/>
  <c r="BG82" i="1" s="1"/>
  <c r="BJ25" i="1"/>
  <c r="BI25" i="1"/>
  <c r="BI66" i="1"/>
  <c r="BI73" i="1" s="1"/>
  <c r="BI75" i="1" s="1"/>
  <c r="BI82" i="1" s="1"/>
  <c r="G12" i="55" s="1"/>
  <c r="BI48" i="1"/>
  <c r="BG49" i="1"/>
  <c r="BG51" i="1" s="1"/>
  <c r="F12" i="55"/>
  <c r="L73" i="54"/>
  <c r="I49" i="54"/>
  <c r="I51" i="54" s="1"/>
  <c r="BJ49" i="1" l="1"/>
  <c r="BJ51" i="1" s="1"/>
  <c r="BI49" i="1"/>
  <c r="BI51" i="1" s="1"/>
  <c r="A19" i="69" l="1"/>
  <c r="A20" i="69" l="1"/>
  <c r="A21" i="69" l="1"/>
  <c r="A22" i="69" l="1"/>
  <c r="A23" i="69" l="1"/>
  <c r="A24" i="69" l="1"/>
  <c r="A25" i="69" l="1"/>
  <c r="A26" i="69" l="1"/>
  <c r="A27" i="69" l="1"/>
  <c r="A28" i="69" l="1"/>
  <c r="A30" i="69" l="1"/>
  <c r="A32" i="69" l="1"/>
  <c r="A31" i="69" l="1"/>
  <c r="E8" i="75"/>
  <c r="AY63" i="1" l="1"/>
  <c r="AY66" i="1" s="1"/>
  <c r="L17" i="55"/>
  <c r="N17" i="55" l="1"/>
  <c r="P14" i="55"/>
  <c r="AN55" i="1" s="1"/>
  <c r="R55" i="1"/>
  <c r="E86" i="1" l="1"/>
  <c r="N89" i="1" s="1"/>
  <c r="N90" i="1" s="1"/>
  <c r="N84" i="1" s="1"/>
  <c r="G14" i="55"/>
  <c r="G16" i="55" s="1"/>
  <c r="G55" i="1"/>
  <c r="G55" i="76" s="1"/>
  <c r="G59" i="76" s="1"/>
  <c r="BE55" i="1"/>
  <c r="AQ55" i="1"/>
  <c r="AI55" i="1"/>
  <c r="AI59" i="1" s="1"/>
  <c r="D40" i="81" s="1"/>
  <c r="AF55" i="1"/>
  <c r="AE55" i="76" s="1"/>
  <c r="AE59" i="76" s="1"/>
  <c r="AN59" i="1"/>
  <c r="D46" i="81" s="1"/>
  <c r="O55" i="1"/>
  <c r="O59" i="1" s="1"/>
  <c r="D18" i="81" s="1"/>
  <c r="BF55" i="1"/>
  <c r="BF59" i="1" s="1"/>
  <c r="D60" i="81" s="1"/>
  <c r="I55" i="1"/>
  <c r="I55" i="76" s="1"/>
  <c r="I59" i="76" s="1"/>
  <c r="AM55" i="1"/>
  <c r="AK55" i="76" s="1"/>
  <c r="AK59" i="76" s="1"/>
  <c r="AL55" i="1"/>
  <c r="AJ55" i="76" s="1"/>
  <c r="AJ59" i="76" s="1"/>
  <c r="BB55" i="1"/>
  <c r="AR55" i="76" s="1"/>
  <c r="AR59" i="76" s="1"/>
  <c r="BH55" i="1"/>
  <c r="AW55" i="76" s="1"/>
  <c r="AW59" i="76" s="1"/>
  <c r="AA55" i="1"/>
  <c r="AA59" i="1" s="1"/>
  <c r="D32" i="81" s="1"/>
  <c r="Q55" i="1"/>
  <c r="Q59" i="1" s="1"/>
  <c r="D20" i="81" s="1"/>
  <c r="L55" i="1"/>
  <c r="L55" i="76" s="1"/>
  <c r="L59" i="76" s="1"/>
  <c r="W55" i="1"/>
  <c r="W59" i="1" s="1"/>
  <c r="D26" i="81" s="1"/>
  <c r="O10" i="69"/>
  <c r="O54" i="69" s="1"/>
  <c r="F14" i="55"/>
  <c r="F16" i="55" s="1"/>
  <c r="AP55" i="1"/>
  <c r="AP59" i="1" s="1"/>
  <c r="D48" i="81" s="1"/>
  <c r="J55" i="1"/>
  <c r="J55" i="76" s="1"/>
  <c r="J59" i="76" s="1"/>
  <c r="K55" i="1"/>
  <c r="K59" i="1" s="1"/>
  <c r="D14" i="81" s="1"/>
  <c r="BC55" i="1"/>
  <c r="AO55" i="1"/>
  <c r="M55" i="1"/>
  <c r="M55" i="76" s="1"/>
  <c r="M59" i="76" s="1"/>
  <c r="AB55" i="1"/>
  <c r="AS55" i="1"/>
  <c r="Y55" i="1"/>
  <c r="AE55" i="1"/>
  <c r="AD55" i="76" s="1"/>
  <c r="AD59" i="76" s="1"/>
  <c r="AH59" i="1"/>
  <c r="D39" i="81" s="1"/>
  <c r="H55" i="1"/>
  <c r="H55" i="76" s="1"/>
  <c r="H59" i="76" s="1"/>
  <c r="S55" i="1"/>
  <c r="S55" i="76" s="1"/>
  <c r="S59" i="76" s="1"/>
  <c r="AD55" i="1"/>
  <c r="AD59" i="1" s="1"/>
  <c r="D35" i="81" s="1"/>
  <c r="V55" i="1"/>
  <c r="V59" i="1" s="1"/>
  <c r="D25" i="81" s="1"/>
  <c r="E54" i="75"/>
  <c r="I47" i="75" s="1"/>
  <c r="T55" i="1"/>
  <c r="T55" i="76" s="1"/>
  <c r="T59" i="76" s="1"/>
  <c r="Z55" i="1"/>
  <c r="Y55" i="76" s="1"/>
  <c r="Y59" i="76" s="1"/>
  <c r="AG55" i="1"/>
  <c r="AF55" i="76" s="1"/>
  <c r="AF59" i="76" s="1"/>
  <c r="BD55" i="1"/>
  <c r="BD59" i="1" s="1"/>
  <c r="D58" i="81" s="1"/>
  <c r="F55" i="1"/>
  <c r="P55" i="1"/>
  <c r="AK55" i="1"/>
  <c r="AK59" i="1" s="1"/>
  <c r="AC55" i="1"/>
  <c r="AB55" i="76" s="1"/>
  <c r="AB59" i="76" s="1"/>
  <c r="BA55" i="1"/>
  <c r="BA59" i="1" s="1"/>
  <c r="D55" i="81" s="1"/>
  <c r="R55" i="76"/>
  <c r="R59" i="76" s="1"/>
  <c r="R59" i="1"/>
  <c r="D21" i="81" s="1"/>
  <c r="F59" i="1" l="1"/>
  <c r="D9" i="81" s="1"/>
  <c r="G55" i="54"/>
  <c r="H55" i="54" s="1"/>
  <c r="Y59" i="1"/>
  <c r="D30" i="81" s="1"/>
  <c r="I55" i="54"/>
  <c r="H48" i="69"/>
  <c r="K48" i="69" s="1"/>
  <c r="N48" i="69" s="1"/>
  <c r="D43" i="81"/>
  <c r="E89" i="1"/>
  <c r="E90" i="1" s="1"/>
  <c r="G59" i="1"/>
  <c r="O52" i="69"/>
  <c r="O48" i="69"/>
  <c r="P48" i="69" s="1"/>
  <c r="O49" i="69"/>
  <c r="O23" i="69"/>
  <c r="O24" i="69"/>
  <c r="P24" i="69" s="1"/>
  <c r="O38" i="69"/>
  <c r="O27" i="69"/>
  <c r="O33" i="69"/>
  <c r="O39" i="69"/>
  <c r="O55" i="69"/>
  <c r="O43" i="69"/>
  <c r="O26" i="69"/>
  <c r="O30" i="69"/>
  <c r="O42" i="69"/>
  <c r="O32" i="69"/>
  <c r="O29" i="69"/>
  <c r="O47" i="69"/>
  <c r="O45" i="69"/>
  <c r="O40" i="69"/>
  <c r="O25" i="69"/>
  <c r="I17" i="75"/>
  <c r="I45" i="75"/>
  <c r="I29" i="75"/>
  <c r="I31" i="75"/>
  <c r="I43" i="75"/>
  <c r="I42" i="75"/>
  <c r="I30" i="75"/>
  <c r="I23" i="75"/>
  <c r="I12" i="75"/>
  <c r="I15" i="75"/>
  <c r="I46" i="75"/>
  <c r="I40" i="75"/>
  <c r="AG55" i="76"/>
  <c r="AG59" i="76" s="1"/>
  <c r="I34" i="75"/>
  <c r="I25" i="75"/>
  <c r="I44" i="75"/>
  <c r="Q55" i="76"/>
  <c r="Q59" i="76" s="1"/>
  <c r="AU55" i="76"/>
  <c r="AU59" i="76" s="1"/>
  <c r="BE59" i="1"/>
  <c r="D59" i="81" s="1"/>
  <c r="AO55" i="76"/>
  <c r="AO59" i="76" s="1"/>
  <c r="AQ59" i="1"/>
  <c r="E56" i="75"/>
  <c r="E60" i="75" s="1"/>
  <c r="I22" i="75"/>
  <c r="I13" i="75"/>
  <c r="I41" i="75"/>
  <c r="I39" i="75"/>
  <c r="I32" i="75"/>
  <c r="I27" i="75"/>
  <c r="AH55" i="76"/>
  <c r="AH59" i="76" s="1"/>
  <c r="AN55" i="76"/>
  <c r="AN59" i="76" s="1"/>
  <c r="BB59" i="1"/>
  <c r="D56" i="81" s="1"/>
  <c r="O44" i="69"/>
  <c r="AV55" i="76"/>
  <c r="AV59" i="76" s="1"/>
  <c r="AC59" i="1"/>
  <c r="AF59" i="1"/>
  <c r="D37" i="81" s="1"/>
  <c r="Z55" i="76"/>
  <c r="Z59" i="76" s="1"/>
  <c r="I59" i="1"/>
  <c r="AM59" i="1"/>
  <c r="AL59" i="1"/>
  <c r="D44" i="81" s="1"/>
  <c r="I21" i="75"/>
  <c r="F54" i="75"/>
  <c r="F56" i="75" s="1"/>
  <c r="F60" i="75" s="1"/>
  <c r="F63" i="75" s="1"/>
  <c r="I20" i="75"/>
  <c r="I26" i="75"/>
  <c r="I35" i="75"/>
  <c r="I18" i="75"/>
  <c r="I11" i="75"/>
  <c r="I36" i="75"/>
  <c r="I38" i="75"/>
  <c r="I19" i="75"/>
  <c r="AT55" i="76"/>
  <c r="AT59" i="76" s="1"/>
  <c r="L59" i="1"/>
  <c r="D15" i="81" s="1"/>
  <c r="AL55" i="76"/>
  <c r="AL59" i="76" s="1"/>
  <c r="I24" i="75"/>
  <c r="I14" i="75"/>
  <c r="I48" i="75"/>
  <c r="I28" i="75"/>
  <c r="I37" i="75"/>
  <c r="I16" i="75"/>
  <c r="I33" i="75"/>
  <c r="F55" i="76"/>
  <c r="F59" i="76" s="1"/>
  <c r="W55" i="76"/>
  <c r="W59" i="76" s="1"/>
  <c r="O55" i="76"/>
  <c r="O59" i="76" s="1"/>
  <c r="O14" i="69"/>
  <c r="O50" i="69"/>
  <c r="O13" i="69"/>
  <c r="O21" i="69"/>
  <c r="N62" i="69"/>
  <c r="O53" i="69"/>
  <c r="O61" i="69"/>
  <c r="O19" i="69"/>
  <c r="O62" i="69"/>
  <c r="O41" i="69"/>
  <c r="O20" i="69"/>
  <c r="O12" i="69"/>
  <c r="M59" i="1"/>
  <c r="D16" i="81" s="1"/>
  <c r="O46" i="69"/>
  <c r="O31" i="69"/>
  <c r="O37" i="69"/>
  <c r="N61" i="69"/>
  <c r="O51" i="69"/>
  <c r="O11" i="69"/>
  <c r="P11" i="69" s="1"/>
  <c r="O22" i="69"/>
  <c r="O28" i="69"/>
  <c r="AQ55" i="76"/>
  <c r="AQ59" i="76" s="1"/>
  <c r="J59" i="1"/>
  <c r="D13" i="81" s="1"/>
  <c r="AE59" i="1"/>
  <c r="D36" i="81" s="1"/>
  <c r="T59" i="1"/>
  <c r="D23" i="81" s="1"/>
  <c r="S59" i="1"/>
  <c r="D22" i="81" s="1"/>
  <c r="BH59" i="1"/>
  <c r="D61" i="81" s="1"/>
  <c r="K55" i="76"/>
  <c r="K59" i="76" s="1"/>
  <c r="AG59" i="1"/>
  <c r="AM55" i="76"/>
  <c r="AM59" i="76" s="1"/>
  <c r="AO59" i="1"/>
  <c r="D47" i="81" s="1"/>
  <c r="AS55" i="76"/>
  <c r="AS59" i="76" s="1"/>
  <c r="BC59" i="1"/>
  <c r="D57" i="81" s="1"/>
  <c r="V55" i="76"/>
  <c r="V59" i="76" s="1"/>
  <c r="H59" i="1"/>
  <c r="D11" i="81" s="1"/>
  <c r="X55" i="76"/>
  <c r="X59" i="76" s="1"/>
  <c r="X55" i="1"/>
  <c r="AJ55" i="1" s="1"/>
  <c r="AR55" i="1" s="1"/>
  <c r="AT55" i="1" s="1"/>
  <c r="AU55" i="1" s="1"/>
  <c r="AI55" i="76"/>
  <c r="AI59" i="76" s="1"/>
  <c r="Z59" i="1"/>
  <c r="D31" i="81" s="1"/>
  <c r="P55" i="76"/>
  <c r="P59" i="76" s="1"/>
  <c r="AA55" i="76"/>
  <c r="AA59" i="76" s="1"/>
  <c r="AB59" i="1"/>
  <c r="D33" i="81" s="1"/>
  <c r="AS59" i="1"/>
  <c r="D50" i="81" s="1"/>
  <c r="AP55" i="76"/>
  <c r="AP59" i="76" s="1"/>
  <c r="P59" i="1"/>
  <c r="AC55" i="76"/>
  <c r="AC59" i="76" s="1"/>
  <c r="BF89" i="1"/>
  <c r="BF90" i="1" s="1"/>
  <c r="BF84" i="1" s="1"/>
  <c r="H51" i="69"/>
  <c r="K51" i="69" s="1"/>
  <c r="N51" i="69" s="1"/>
  <c r="AN89" i="1"/>
  <c r="AN90" i="1" s="1"/>
  <c r="AN84" i="1" s="1"/>
  <c r="H12" i="69"/>
  <c r="F89" i="1"/>
  <c r="F90" i="1" s="1"/>
  <c r="F84" i="1" s="1"/>
  <c r="H21" i="69"/>
  <c r="K21" i="69" s="1"/>
  <c r="N21" i="69" s="1"/>
  <c r="K89" i="1"/>
  <c r="K90" i="1" s="1"/>
  <c r="K84" i="1" s="1"/>
  <c r="H37" i="69"/>
  <c r="K37" i="69" s="1"/>
  <c r="N37" i="69" s="1"/>
  <c r="Y89" i="1"/>
  <c r="Y90" i="1" s="1"/>
  <c r="Y84" i="1" s="1"/>
  <c r="M89" i="1"/>
  <c r="M90" i="1" s="1"/>
  <c r="M84" i="1" s="1"/>
  <c r="H32" i="69"/>
  <c r="K32" i="69" s="1"/>
  <c r="N32" i="69" s="1"/>
  <c r="V89" i="1"/>
  <c r="V90" i="1" s="1"/>
  <c r="V84" i="1" s="1"/>
  <c r="BD89" i="1"/>
  <c r="BD90" i="1" s="1"/>
  <c r="BD84" i="1" s="1"/>
  <c r="H39" i="69"/>
  <c r="K39" i="69" s="1"/>
  <c r="N39" i="69" s="1"/>
  <c r="AA89" i="1"/>
  <c r="AA90" i="1" s="1"/>
  <c r="AA84" i="1" s="1"/>
  <c r="H46" i="69"/>
  <c r="K46" i="69" s="1"/>
  <c r="N46" i="69" s="1"/>
  <c r="AH89" i="1"/>
  <c r="AH90" i="1" s="1"/>
  <c r="AH84" i="1" s="1"/>
  <c r="H33" i="69"/>
  <c r="K33" i="69" s="1"/>
  <c r="N33" i="69" s="1"/>
  <c r="W89" i="1"/>
  <c r="W90" i="1" s="1"/>
  <c r="W84" i="1" s="1"/>
  <c r="H47" i="69"/>
  <c r="K47" i="69" s="1"/>
  <c r="N47" i="69" s="1"/>
  <c r="AI89" i="1"/>
  <c r="AI90" i="1" s="1"/>
  <c r="AI84" i="1" s="1"/>
  <c r="H53" i="69"/>
  <c r="K53" i="69" s="1"/>
  <c r="N53" i="69" s="1"/>
  <c r="AP89" i="1"/>
  <c r="AP90" i="1" s="1"/>
  <c r="AP84" i="1" s="1"/>
  <c r="BA89" i="1"/>
  <c r="BA90" i="1" s="1"/>
  <c r="BA84" i="1" s="1"/>
  <c r="H25" i="69"/>
  <c r="K25" i="69" s="1"/>
  <c r="N25" i="69" s="1"/>
  <c r="O89" i="1"/>
  <c r="O90" i="1" s="1"/>
  <c r="O84" i="1" s="1"/>
  <c r="AK89" i="1"/>
  <c r="AK90" i="1" s="1"/>
  <c r="AK84" i="1" s="1"/>
  <c r="H42" i="69"/>
  <c r="K42" i="69" s="1"/>
  <c r="N42" i="69" s="1"/>
  <c r="AD89" i="1"/>
  <c r="AD90" i="1" s="1"/>
  <c r="AD84" i="1" s="1"/>
  <c r="J89" i="1"/>
  <c r="J90" i="1" s="1"/>
  <c r="J84" i="1" s="1"/>
  <c r="H27" i="69"/>
  <c r="K27" i="69" s="1"/>
  <c r="N27" i="69" s="1"/>
  <c r="Q89" i="1"/>
  <c r="Q90" i="1" s="1"/>
  <c r="Q84" i="1" s="1"/>
  <c r="H28" i="69"/>
  <c r="K28" i="69" s="1"/>
  <c r="N28" i="69" s="1"/>
  <c r="R89" i="1"/>
  <c r="R90" i="1" s="1"/>
  <c r="R84" i="1" s="1"/>
  <c r="H26" i="69" l="1"/>
  <c r="K26" i="69" s="1"/>
  <c r="N26" i="69" s="1"/>
  <c r="D19" i="81"/>
  <c r="H45" i="69"/>
  <c r="K45" i="69" s="1"/>
  <c r="N45" i="69" s="1"/>
  <c r="D38" i="81"/>
  <c r="E84" i="1"/>
  <c r="F83" i="54"/>
  <c r="H13" i="69"/>
  <c r="K13" i="69" s="1"/>
  <c r="N13" i="69" s="1"/>
  <c r="D10" i="81"/>
  <c r="H50" i="69"/>
  <c r="K50" i="69" s="1"/>
  <c r="N50" i="69" s="1"/>
  <c r="D45" i="81"/>
  <c r="AC89" i="1"/>
  <c r="AC90" i="1" s="1"/>
  <c r="AC84" i="1" s="1"/>
  <c r="D34" i="81"/>
  <c r="J55" i="54"/>
  <c r="H19" i="69"/>
  <c r="K19" i="69" s="1"/>
  <c r="N19" i="69" s="1"/>
  <c r="D12" i="81"/>
  <c r="H54" i="69"/>
  <c r="K54" i="69" s="1"/>
  <c r="N54" i="69" s="1"/>
  <c r="P54" i="69" s="1"/>
  <c r="D49" i="81"/>
  <c r="G89" i="1"/>
  <c r="G90" i="1" s="1"/>
  <c r="G84" i="1" s="1"/>
  <c r="H49" i="69"/>
  <c r="K49" i="69" s="1"/>
  <c r="N49" i="69" s="1"/>
  <c r="P49" i="69" s="1"/>
  <c r="H44" i="69"/>
  <c r="K44" i="69" s="1"/>
  <c r="N44" i="69" s="1"/>
  <c r="P44" i="69" s="1"/>
  <c r="P27" i="69"/>
  <c r="P39" i="69"/>
  <c r="P47" i="69"/>
  <c r="H41" i="69"/>
  <c r="K41" i="69" s="1"/>
  <c r="N41" i="69" s="1"/>
  <c r="P41" i="69" s="1"/>
  <c r="AM89" i="1"/>
  <c r="AM90" i="1" s="1"/>
  <c r="AM84" i="1" s="1"/>
  <c r="P42" i="69"/>
  <c r="P33" i="69"/>
  <c r="P26" i="69"/>
  <c r="P45" i="69"/>
  <c r="P25" i="69"/>
  <c r="P32" i="69"/>
  <c r="P28" i="69"/>
  <c r="BB89" i="1"/>
  <c r="BB90" i="1" s="1"/>
  <c r="BB84" i="1" s="1"/>
  <c r="AQ89" i="1"/>
  <c r="AQ90" i="1" s="1"/>
  <c r="AQ84" i="1" s="1"/>
  <c r="O17" i="69"/>
  <c r="O35" i="69" s="1"/>
  <c r="O57" i="69" s="1"/>
  <c r="BE89" i="1"/>
  <c r="BE90" i="1" s="1"/>
  <c r="BE84" i="1" s="1"/>
  <c r="I89" i="1"/>
  <c r="I90" i="1" s="1"/>
  <c r="I84" i="1" s="1"/>
  <c r="AF89" i="1"/>
  <c r="AF90" i="1" s="1"/>
  <c r="AF84" i="1" s="1"/>
  <c r="S89" i="1"/>
  <c r="S90" i="1" s="1"/>
  <c r="S84" i="1" s="1"/>
  <c r="P51" i="69"/>
  <c r="AL89" i="1"/>
  <c r="AL90" i="1" s="1"/>
  <c r="AL84" i="1" s="1"/>
  <c r="H29" i="69"/>
  <c r="K29" i="69" s="1"/>
  <c r="N29" i="69" s="1"/>
  <c r="P29" i="69" s="1"/>
  <c r="P50" i="69"/>
  <c r="P53" i="69"/>
  <c r="L89" i="1"/>
  <c r="L90" i="1" s="1"/>
  <c r="L84" i="1" s="1"/>
  <c r="I56" i="75"/>
  <c r="I63" i="75" s="1"/>
  <c r="P46" i="69"/>
  <c r="G56" i="75"/>
  <c r="H22" i="69"/>
  <c r="K22" i="69" s="1"/>
  <c r="N22" i="69" s="1"/>
  <c r="P22" i="69" s="1"/>
  <c r="H20" i="69"/>
  <c r="K20" i="69" s="1"/>
  <c r="N20" i="69" s="1"/>
  <c r="P20" i="69" s="1"/>
  <c r="BH89" i="1"/>
  <c r="BH90" i="1" s="1"/>
  <c r="BH84" i="1" s="1"/>
  <c r="H43" i="69"/>
  <c r="K43" i="69" s="1"/>
  <c r="N43" i="69" s="1"/>
  <c r="P43" i="69" s="1"/>
  <c r="P13" i="69"/>
  <c r="AE89" i="1"/>
  <c r="AE90" i="1" s="1"/>
  <c r="AE84" i="1" s="1"/>
  <c r="P37" i="69"/>
  <c r="H23" i="69"/>
  <c r="K23" i="69" s="1"/>
  <c r="N23" i="69" s="1"/>
  <c r="P23" i="69" s="1"/>
  <c r="P21" i="69"/>
  <c r="P19" i="69"/>
  <c r="T89" i="1"/>
  <c r="T90" i="1" s="1"/>
  <c r="T84" i="1" s="1"/>
  <c r="H30" i="69"/>
  <c r="K30" i="69" s="1"/>
  <c r="N30" i="69" s="1"/>
  <c r="P30" i="69" s="1"/>
  <c r="BC89" i="1"/>
  <c r="BC90" i="1" s="1"/>
  <c r="BC84" i="1" s="1"/>
  <c r="AO89" i="1"/>
  <c r="AO90" i="1" s="1"/>
  <c r="AO84" i="1" s="1"/>
  <c r="H52" i="69"/>
  <c r="K52" i="69" s="1"/>
  <c r="N52" i="69" s="1"/>
  <c r="P52" i="69" s="1"/>
  <c r="AG89" i="1"/>
  <c r="AG90" i="1" s="1"/>
  <c r="AG84" i="1" s="1"/>
  <c r="P89" i="1"/>
  <c r="P90" i="1" s="1"/>
  <c r="P84" i="1" s="1"/>
  <c r="AZ55" i="1"/>
  <c r="BG55" i="1" s="1"/>
  <c r="BI55" i="1" s="1"/>
  <c r="H38" i="69"/>
  <c r="K38" i="69" s="1"/>
  <c r="N38" i="69" s="1"/>
  <c r="P38" i="69" s="1"/>
  <c r="H89" i="1"/>
  <c r="H90" i="1" s="1"/>
  <c r="H84" i="1" s="1"/>
  <c r="H14" i="69"/>
  <c r="K14" i="69" s="1"/>
  <c r="N14" i="69" s="1"/>
  <c r="P14" i="69" s="1"/>
  <c r="Z89" i="1"/>
  <c r="Z90" i="1" s="1"/>
  <c r="Z84" i="1" s="1"/>
  <c r="AB89" i="1"/>
  <c r="AB90" i="1" s="1"/>
  <c r="AB84" i="1" s="1"/>
  <c r="H40" i="69"/>
  <c r="K40" i="69" s="1"/>
  <c r="N40" i="69" s="1"/>
  <c r="P40" i="69" s="1"/>
  <c r="AS89" i="1"/>
  <c r="AS90" i="1" s="1"/>
  <c r="AS84" i="1" s="1"/>
  <c r="H55" i="69"/>
  <c r="K55" i="69" s="1"/>
  <c r="N55" i="69" s="1"/>
  <c r="P55" i="69" s="1"/>
  <c r="K12" i="69"/>
  <c r="E63" i="75"/>
  <c r="U54" i="1" s="1"/>
  <c r="G54" i="54" s="1"/>
  <c r="G60" i="75"/>
  <c r="L55" i="54"/>
  <c r="G59" i="54" l="1"/>
  <c r="H54" i="54"/>
  <c r="T24" i="78"/>
  <c r="P29" i="78"/>
  <c r="BJ55" i="1"/>
  <c r="H17" i="69"/>
  <c r="N12" i="69"/>
  <c r="K17" i="69"/>
  <c r="G63" i="75"/>
  <c r="J54" i="54" l="1"/>
  <c r="H59" i="54"/>
  <c r="H82" i="54" s="1"/>
  <c r="T29" i="78"/>
  <c r="P44" i="78"/>
  <c r="T44" i="78" s="1"/>
  <c r="U59" i="1"/>
  <c r="D24" i="81" s="1"/>
  <c r="D28" i="81" s="1"/>
  <c r="D52" i="81" s="1"/>
  <c r="X54" i="1"/>
  <c r="U54" i="76"/>
  <c r="U59" i="76" s="1"/>
  <c r="J64" i="75"/>
  <c r="P12" i="69"/>
  <c r="N17" i="69"/>
  <c r="D63" i="81" l="1"/>
  <c r="F63" i="81" s="1"/>
  <c r="F52" i="81"/>
  <c r="X59" i="1"/>
  <c r="X89" i="1" s="1"/>
  <c r="X90" i="1" s="1"/>
  <c r="AJ54" i="1"/>
  <c r="H31" i="69"/>
  <c r="U89" i="1"/>
  <c r="U90" i="1" s="1"/>
  <c r="U84" i="1" s="1"/>
  <c r="X84" i="1" l="1"/>
  <c r="H83" i="54"/>
  <c r="AJ59" i="1"/>
  <c r="AR54" i="1"/>
  <c r="K31" i="69"/>
  <c r="H35" i="69"/>
  <c r="H57" i="69" s="1"/>
  <c r="H58" i="69" s="1"/>
  <c r="AJ89" i="1" l="1"/>
  <c r="AJ90" i="1" s="1"/>
  <c r="AJ84" i="1" s="1"/>
  <c r="G37" i="55"/>
  <c r="G38" i="55" s="1"/>
  <c r="AT54" i="1"/>
  <c r="AR59" i="1"/>
  <c r="AR89" i="1" s="1"/>
  <c r="AR90" i="1" s="1"/>
  <c r="AR84" i="1" s="1"/>
  <c r="N31" i="69"/>
  <c r="K35" i="69"/>
  <c r="K57" i="69" s="1"/>
  <c r="K63" i="69" s="1"/>
  <c r="J83" i="54" l="1"/>
  <c r="P31" i="69"/>
  <c r="N35" i="69"/>
  <c r="N57" i="69" s="1"/>
  <c r="AU54" i="1"/>
  <c r="AT59" i="1"/>
  <c r="O58" i="69" l="1"/>
  <c r="N63" i="69"/>
  <c r="AU59" i="1"/>
  <c r="AZ54" i="1"/>
  <c r="AT83" i="1"/>
  <c r="AT89" i="1"/>
  <c r="AT90" i="1" s="1"/>
  <c r="AT84" i="1" s="1"/>
  <c r="I59" i="54" l="1"/>
  <c r="J59" i="54"/>
  <c r="F18" i="55"/>
  <c r="F20" i="55" s="1"/>
  <c r="AU83" i="1"/>
  <c r="AU89" i="1"/>
  <c r="AU90" i="1" s="1"/>
  <c r="AU84" i="1" s="1"/>
  <c r="AV84" i="1" s="1"/>
  <c r="BG54" i="1"/>
  <c r="AZ59" i="1"/>
  <c r="AZ89" i="1" s="1"/>
  <c r="AZ90" i="1" s="1"/>
  <c r="AZ84" i="1" s="1"/>
  <c r="O60" i="69"/>
  <c r="O63" i="69" s="1"/>
  <c r="O64" i="69" s="1"/>
  <c r="O66" i="69" s="1"/>
  <c r="O118" i="69"/>
  <c r="O120" i="69" s="1"/>
  <c r="F24" i="55" l="1"/>
  <c r="H26" i="55" s="1"/>
  <c r="BI54" i="1"/>
  <c r="BG59" i="1"/>
  <c r="BG89" i="1" s="1"/>
  <c r="BG90" i="1" s="1"/>
  <c r="BG84" i="1" s="1"/>
  <c r="G39" i="55" l="1"/>
  <c r="G40" i="55" s="1"/>
  <c r="H30" i="55"/>
  <c r="O124" i="69"/>
  <c r="P124" i="69" s="1"/>
  <c r="F28" i="55"/>
  <c r="F32" i="55"/>
  <c r="J12" i="56"/>
  <c r="BJ54" i="1"/>
  <c r="BJ59" i="1" s="1"/>
  <c r="BJ83" i="1" s="1"/>
  <c r="BI59" i="1"/>
  <c r="G18" i="55" s="1"/>
  <c r="G20" i="55" s="1"/>
  <c r="H20" i="55" l="1"/>
  <c r="G24" i="55"/>
  <c r="J15" i="56"/>
  <c r="K15" i="54"/>
  <c r="L15" i="54" s="1"/>
  <c r="L18" i="54" s="1"/>
  <c r="J17" i="56"/>
  <c r="J19" i="56"/>
  <c r="BJ89" i="1"/>
  <c r="BJ90" i="1" s="1"/>
  <c r="BJ84" i="1" s="1"/>
  <c r="K18" i="54"/>
  <c r="BI83" i="1"/>
  <c r="BI89" i="1"/>
  <c r="BI90" i="1" s="1"/>
  <c r="BI84" i="1" s="1"/>
  <c r="K39" i="54" l="1"/>
  <c r="L39" i="54" s="1"/>
  <c r="K44" i="54"/>
  <c r="K48" i="54" s="1"/>
  <c r="K36" i="54"/>
  <c r="L36" i="54" s="1"/>
  <c r="L37" i="54" s="1"/>
  <c r="H24" i="55"/>
  <c r="J21" i="56"/>
  <c r="J23" i="56" s="1"/>
  <c r="J25" i="56" s="1"/>
  <c r="K12" i="56" l="1"/>
  <c r="K15" i="56" s="1"/>
  <c r="G41" i="55"/>
  <c r="K37" i="54"/>
  <c r="K49" i="54" s="1"/>
  <c r="K51" i="54" s="1"/>
  <c r="L44" i="54"/>
  <c r="L48" i="54" s="1"/>
  <c r="L49" i="54" s="1"/>
  <c r="L51" i="54" s="1"/>
  <c r="K54" i="54"/>
  <c r="L54" i="54" s="1"/>
  <c r="J27" i="56"/>
  <c r="J29" i="56" s="1"/>
  <c r="J30" i="56" s="1"/>
  <c r="K17" i="56" l="1"/>
  <c r="K19" i="56"/>
  <c r="L59" i="54"/>
  <c r="K59" i="54"/>
  <c r="K21" i="56" l="1"/>
  <c r="K23" i="56" s="1"/>
  <c r="K25" i="56" s="1"/>
  <c r="K27" i="56" l="1"/>
  <c r="K29" i="56" s="1"/>
  <c r="K30" i="56" s="1"/>
  <c r="I75" i="54" l="1"/>
  <c r="I81" i="54" s="1"/>
  <c r="J74" i="54"/>
  <c r="L74" i="54" s="1"/>
  <c r="L75" i="54" s="1"/>
  <c r="L81" i="54" s="1"/>
  <c r="L82" i="54" s="1"/>
  <c r="J75" i="54" l="1"/>
  <c r="J81" i="54" s="1"/>
  <c r="J82" i="54" s="1"/>
</calcChain>
</file>

<file path=xl/comments1.xml><?xml version="1.0" encoding="utf-8"?>
<comments xmlns="http://schemas.openxmlformats.org/spreadsheetml/2006/main">
  <authors>
    <author>BGM</author>
  </authors>
  <commentList>
    <comment ref="AH55" authorId="0" shapeId="0">
      <text>
        <r>
          <rPr>
            <b/>
            <sz val="8"/>
            <color indexed="81"/>
            <rFont val="Tahoma"/>
            <family val="2"/>
          </rPr>
          <t>BGM:</t>
        </r>
        <r>
          <rPr>
            <sz val="8"/>
            <color indexed="81"/>
            <rFont val="Tahoma"/>
            <family val="2"/>
          </rPr>
          <t xml:space="preserve">
Held constant. Impact included in Adjustment 2.13</t>
        </r>
      </text>
    </comment>
  </commentList>
</comments>
</file>

<file path=xl/comments2.xml><?xml version="1.0" encoding="utf-8"?>
<comments xmlns="http://schemas.openxmlformats.org/spreadsheetml/2006/main">
  <authors>
    <author>rzk7kq</author>
  </authors>
  <commentList>
    <comment ref="B66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32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3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  <comment ref="J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<sst xmlns="http://schemas.openxmlformats.org/spreadsheetml/2006/main" count="1407" uniqueCount="654">
  <si>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</si>
  <si>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</si>
  <si>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</si>
  <si>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</si>
  <si>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</si>
  <si>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</si>
  <si>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</si>
  <si>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</si>
  <si>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</si>
  <si>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</si>
  <si>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</si>
  <si>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</si>
  <si>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</si>
  <si>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 xml:space="preserve">and 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</si>
  <si>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</si>
  <si>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</si>
  <si>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</si>
  <si>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</si>
  <si>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</si>
  <si>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</si>
  <si>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</si>
  <si>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</si>
  <si>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</si>
  <si>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</si>
  <si>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</si>
  <si>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</si>
  <si>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Subs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</si>
  <si>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</si>
  <si>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</si>
  <si>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</si>
  <si>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</si>
  <si>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</si>
  <si>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</si>
  <si>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</si>
  <si>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</si>
  <si>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</si>
  <si>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</si>
  <si>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</si>
  <si>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</si>
  <si>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</si>
  <si>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</si>
  <si>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</si>
  <si>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</si>
  <si>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</si>
  <si>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</si>
  <si>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</si>
  <si>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</si>
  <si>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</si>
  <si>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</si>
  <si>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</si>
  <si>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</si>
  <si>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</si>
  <si>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</si>
  <si>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</si>
  <si>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</si>
  <si>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</si>
  <si>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</si>
  <si>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</si>
  <si>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</si>
  <si>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</si>
  <si>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</si>
  <si>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</si>
  <si>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</si>
  <si>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</si>
  <si>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</si>
  <si>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</si>
  <si>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</si>
  <si>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</si>
  <si>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</si>
  <si>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</si>
  <si>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</si>
  <si>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Restatement Summary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</si>
  <si>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</si>
  <si>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</si>
  <si>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</si>
  <si>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</si>
  <si>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</si>
  <si>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</si>
  <si>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</si>
  <si>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Idaho Gas</t>
  </si>
  <si>
    <t>PER RESULTS OF</t>
  </si>
  <si>
    <t>OPERATIONS REPORTS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</si>
  <si>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</si>
  <si>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</si>
  <si>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</si>
  <si>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</si>
  <si>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</si>
  <si>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</si>
  <si>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</si>
  <si>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</si>
  <si>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</si>
  <si>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</si>
  <si>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</si>
  <si>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</si>
  <si>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</si>
  <si>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</si>
  <si>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</si>
  <si>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</si>
  <si>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</si>
  <si>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</si>
  <si>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</si>
  <si>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</si>
  <si>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</si>
  <si>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</si>
  <si>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</si>
  <si>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</si>
  <si>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</si>
  <si>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</si>
  <si>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</si>
  <si>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</si>
  <si>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</si>
  <si>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</si>
  <si>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</si>
  <si>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</si>
  <si>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</si>
  <si>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</si>
  <si>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</si>
  <si>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</si>
  <si>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</si>
  <si>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</si>
  <si>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</si>
  <si>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</si>
  <si>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</si>
  <si>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</si>
  <si>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</si>
  <si>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done</t>
  </si>
  <si>
    <t>not done</t>
  </si>
  <si>
    <t>Liz</t>
  </si>
  <si>
    <t>Weighted Average Cost of Debt</t>
  </si>
  <si>
    <t xml:space="preserve">     Pro Forma Total</t>
  </si>
  <si>
    <t>Restate Debt Interest</t>
  </si>
  <si>
    <t>Theresa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</si>
  <si>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</si>
  <si>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</si>
  <si>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</si>
  <si>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</si>
  <si>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</si>
  <si>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</si>
  <si>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</si>
  <si>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</si>
  <si>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</si>
  <si>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</si>
  <si>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</si>
  <si>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</si>
  <si>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</si>
  <si>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</si>
  <si>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</si>
  <si>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</si>
  <si>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</si>
  <si>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Revenue Requirement</t>
  </si>
  <si>
    <t>WITH PRESENT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</si>
  <si>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</si>
  <si>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</si>
  <si>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</si>
  <si>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</si>
  <si>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</si>
  <si>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</si>
  <si>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Revenue Conversion Factor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</si>
  <si>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</si>
  <si>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</si>
  <si>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</si>
  <si>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</si>
  <si>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</si>
  <si>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</si>
  <si>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</si>
  <si>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</si>
  <si>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 xml:space="preserve">  Federal Income Tax @ 35%</t>
  </si>
  <si>
    <t>REVENUE CONVERSION FACTOR</t>
  </si>
  <si>
    <t>WA Wtd Debt</t>
  </si>
  <si>
    <t>All Inputs</t>
  </si>
  <si>
    <t>ID</t>
  </si>
  <si>
    <t>NOI Requirement</t>
  </si>
  <si>
    <t>Misc</t>
  </si>
  <si>
    <t xml:space="preserve">Karen </t>
  </si>
  <si>
    <t>Employee</t>
  </si>
  <si>
    <t>Benefits</t>
  </si>
  <si>
    <t>Restating</t>
  </si>
  <si>
    <t>IMPACT ON</t>
  </si>
  <si>
    <t>FILED CASE</t>
  </si>
  <si>
    <t>DIFFERENCE</t>
  </si>
  <si>
    <t>REVENUE REQUIREMENT</t>
  </si>
  <si>
    <t>NOI</t>
  </si>
  <si>
    <t>Item</t>
  </si>
  <si>
    <t>Impact of ROE reduced to 10.2% &amp; Cost of Debt changed to 6.51%</t>
  </si>
  <si>
    <t>Total Revenue Requirement Difference</t>
  </si>
  <si>
    <t xml:space="preserve">REVISED - Agreed to Cost of Capital in Partial Settlement Stipulation </t>
  </si>
  <si>
    <t>Common Equity</t>
  </si>
  <si>
    <t>Comparison of Revenue Requirement Revised Adjustments</t>
  </si>
  <si>
    <t>Filed Revenue Requirement</t>
  </si>
  <si>
    <t xml:space="preserve">Adjusted Revenue Requirement </t>
  </si>
  <si>
    <t>Liz/Karen</t>
  </si>
  <si>
    <t>Jen</t>
  </si>
  <si>
    <t>NET PLANT</t>
  </si>
  <si>
    <t>Jen/Karen</t>
  </si>
  <si>
    <t>Joe</t>
  </si>
  <si>
    <t xml:space="preserve">WORKING CAPITAL </t>
  </si>
  <si>
    <t>WORKING CAPITAL</t>
  </si>
  <si>
    <t>rounding</t>
  </si>
  <si>
    <t>flow through</t>
  </si>
  <si>
    <t>Atmospheric</t>
  </si>
  <si>
    <t>Testing</t>
  </si>
  <si>
    <t>Incentive</t>
  </si>
  <si>
    <t>Done</t>
  </si>
  <si>
    <t>Not Done</t>
  </si>
  <si>
    <t xml:space="preserve">Impact of ROE reduced to x% 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</si>
  <si>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</si>
  <si>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</si>
  <si>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</si>
  <si>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</si>
  <si>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</si>
  <si>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</si>
  <si>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</si>
  <si>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</si>
  <si>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</si>
  <si>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</si>
  <si>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</si>
  <si>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</si>
  <si>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</si>
  <si>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</si>
  <si>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</si>
  <si>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</si>
  <si>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</si>
  <si>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</si>
  <si>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</si>
  <si>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Depreciation/Amortization</t>
  </si>
  <si>
    <t>ACCUMULATED DEPRECIATION/AMORT</t>
  </si>
  <si>
    <t>Net Plant After DFIT</t>
  </si>
  <si>
    <t>Production Expenses</t>
  </si>
  <si>
    <t>DEFREED TAXES</t>
  </si>
  <si>
    <t xml:space="preserve">Blue = Input </t>
  </si>
  <si>
    <t>Black = Formula/Text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</si>
  <si>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</si>
  <si>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</si>
  <si>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</si>
  <si>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</si>
  <si>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</si>
  <si>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</si>
  <si>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</si>
  <si>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</si>
  <si>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</si>
  <si>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</si>
  <si>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</si>
  <si>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</si>
  <si>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</si>
  <si>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</si>
  <si>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</si>
  <si>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</si>
  <si>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</si>
  <si>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</si>
  <si>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</si>
  <si>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</si>
  <si>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</si>
  <si>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</si>
  <si>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</si>
  <si>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</si>
  <si>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</si>
  <si>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</si>
  <si>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</si>
  <si>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</si>
  <si>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</si>
  <si>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</si>
  <si>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</si>
  <si>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</si>
  <si>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Deferred Debits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</si>
  <si>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</si>
  <si>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</si>
  <si>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</si>
  <si>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</si>
  <si>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</si>
  <si>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</si>
  <si>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</si>
  <si>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</si>
  <si>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</si>
  <si>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</si>
  <si>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</si>
  <si>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</si>
  <si>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</si>
  <si>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</si>
  <si>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</si>
  <si>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</si>
  <si>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</si>
  <si>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</si>
  <si>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</si>
  <si>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</si>
  <si>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</si>
  <si>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</si>
  <si>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</si>
  <si>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</si>
  <si>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</si>
  <si>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</si>
  <si>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</si>
  <si>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</si>
  <si>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</si>
  <si>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</si>
  <si>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</si>
  <si>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</si>
  <si>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</si>
  <si>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</si>
  <si>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</si>
  <si>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</si>
  <si>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</si>
  <si>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</si>
  <si>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</si>
  <si>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</si>
  <si>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</si>
  <si>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</si>
  <si>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</si>
  <si>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</si>
  <si>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</si>
  <si>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</si>
  <si>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</si>
  <si>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</si>
  <si>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</si>
  <si>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</si>
  <si>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</si>
  <si>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</si>
  <si>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</si>
  <si>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</si>
  <si>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</si>
  <si>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</si>
  <si>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</si>
  <si>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</si>
  <si>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</si>
  <si>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</si>
  <si>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</si>
  <si>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</si>
  <si>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</si>
  <si>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</si>
  <si>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</si>
  <si>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</si>
  <si>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</si>
  <si>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</si>
  <si>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</si>
  <si>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</si>
  <si>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</si>
  <si>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</si>
  <si>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</si>
  <si>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</si>
  <si>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</si>
  <si>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</si>
  <si>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</si>
  <si>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</si>
  <si>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</si>
  <si>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</si>
  <si>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</si>
  <si>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</si>
  <si>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</si>
  <si>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</si>
  <si>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</si>
  <si>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</si>
  <si>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</si>
  <si>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</si>
  <si>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</si>
  <si>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</si>
  <si>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</si>
  <si>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</si>
  <si>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</si>
  <si>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</si>
  <si>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</si>
  <si>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407X28</t>
  </si>
  <si>
    <t>Reg Credit/Debit Decoupling Def Rev</t>
  </si>
  <si>
    <t>Reg Debit Amt Decoupling Surcharge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</si>
  <si>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</si>
  <si>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</si>
  <si>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</si>
  <si>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</si>
  <si>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</si>
  <si>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</si>
  <si>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</si>
  <si>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</si>
  <si>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</si>
  <si>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</si>
  <si>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</si>
  <si>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</si>
  <si>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</si>
  <si>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</si>
  <si>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</si>
  <si>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</si>
  <si>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</si>
  <si>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</si>
  <si>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</si>
  <si>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</si>
  <si>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</si>
  <si>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</si>
  <si>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</si>
  <si>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</si>
  <si>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</si>
  <si>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</si>
  <si>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</si>
  <si>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</si>
  <si>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</si>
  <si>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</si>
  <si>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</si>
  <si>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</si>
  <si>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</si>
  <si>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</si>
  <si>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</si>
  <si>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</si>
  <si>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</si>
  <si>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</si>
  <si>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</si>
  <si>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</si>
  <si>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</si>
  <si>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</si>
  <si>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</si>
  <si>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</si>
  <si>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</si>
  <si>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</si>
  <si>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</si>
  <si>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</si>
  <si>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</si>
  <si>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</si>
  <si>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</si>
  <si>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</si>
  <si>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</si>
  <si>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</si>
  <si>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</si>
  <si>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</si>
  <si>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</si>
  <si>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</si>
  <si>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</si>
  <si>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</si>
  <si>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</si>
  <si>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</si>
  <si>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</si>
  <si>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</si>
  <si>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</si>
  <si>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</si>
  <si>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</si>
  <si>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</si>
  <si>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Gain on Sale of General Office Bldg</t>
  </si>
  <si>
    <t>DFIT - Gain on Sale of General Office Bldg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</si>
  <si>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</si>
  <si>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</si>
  <si>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</si>
  <si>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</si>
  <si>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</si>
  <si>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</si>
  <si>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</si>
  <si>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</si>
  <si>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</si>
  <si>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</si>
  <si>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</si>
  <si>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</si>
  <si>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</si>
  <si>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</si>
  <si>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</si>
  <si>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</si>
  <si>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</si>
  <si>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</si>
  <si>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</si>
  <si>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</si>
  <si>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</si>
  <si>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</si>
  <si>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</si>
  <si>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Capital Add</t>
  </si>
  <si>
    <t>R-Ttl</t>
  </si>
  <si>
    <t>PF-STtl</t>
  </si>
  <si>
    <t>O&amp;M</t>
  </si>
  <si>
    <t>Offsets</t>
  </si>
  <si>
    <t xml:space="preserve">FIT / </t>
  </si>
  <si>
    <t xml:space="preserve">DFIT </t>
  </si>
  <si>
    <t>Total Debt</t>
  </si>
  <si>
    <t>Revenue requirement</t>
  </si>
  <si>
    <t xml:space="preserve">Stl Attrition Adj= </t>
  </si>
  <si>
    <t>Pro Forma Adjustments</t>
  </si>
  <si>
    <t>G-RPT</t>
  </si>
  <si>
    <t>G-PPT</t>
  </si>
  <si>
    <t>Working</t>
  </si>
  <si>
    <t>G-WC</t>
  </si>
  <si>
    <t>Gains/Losses</t>
  </si>
  <si>
    <t>Ryan</t>
  </si>
  <si>
    <t>Karen</t>
  </si>
  <si>
    <t xml:space="preserve">Jen </t>
  </si>
  <si>
    <t>ADFIT - Common Plant (283750 from C-DTX)</t>
  </si>
  <si>
    <t xml:space="preserve">Pro Forma </t>
  </si>
  <si>
    <t xml:space="preserve">Information </t>
  </si>
  <si>
    <t>Tech/Serv Exp</t>
  </si>
  <si>
    <t>Restated</t>
  </si>
  <si>
    <t>Sub-Total</t>
  </si>
  <si>
    <t>Attrition</t>
  </si>
  <si>
    <t>(1)</t>
  </si>
  <si>
    <t xml:space="preserve">Normalization </t>
  </si>
  <si>
    <t>* Line 8 "Total General Business Revenues" includes special contract transportation revenues.</t>
  </si>
  <si>
    <t>Total (2)</t>
  </si>
  <si>
    <t>Adjusted</t>
  </si>
  <si>
    <t>CALCULATION OF GENERAL REVENUE REQUIREMENT</t>
  </si>
  <si>
    <t>WASHINGTON NATURAL GAS</t>
  </si>
  <si>
    <t>Cross Check</t>
  </si>
  <si>
    <t>AA-Ttl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</si>
  <si>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</si>
  <si>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</si>
  <si>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</si>
  <si>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</si>
  <si>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</si>
  <si>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</si>
  <si>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</si>
  <si>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</si>
  <si>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2016 AMA</t>
  </si>
  <si>
    <t>G-PREV</t>
  </si>
  <si>
    <t>Amortization</t>
  </si>
  <si>
    <t>Revenue Requirement - 2016</t>
  </si>
  <si>
    <t>Tara</t>
  </si>
  <si>
    <t>Provision for Rate Refund</t>
  </si>
  <si>
    <t>Idaho Earnings Test Amortization</t>
  </si>
  <si>
    <t xml:space="preserve">RATE OF RETURN </t>
  </si>
  <si>
    <t>Attrition Adjusted</t>
  </si>
  <si>
    <t>Transportation Revenues</t>
  </si>
  <si>
    <t>Project Compass Deferral - ID</t>
  </si>
  <si>
    <t>NET OPERATING INCOME (LOSS) BEFORE FIT</t>
  </si>
  <si>
    <t>GAS NET OPERATING INCOME (LOSS)</t>
  </si>
  <si>
    <t>407468</t>
  </si>
  <si>
    <t/>
  </si>
  <si>
    <t>Dec 2015 AMA</t>
  </si>
  <si>
    <t>G-PCAP15</t>
  </si>
  <si>
    <t>G-PCAP16</t>
  </si>
  <si>
    <t>2016 Limited</t>
  </si>
  <si>
    <t>Capital Adds</t>
  </si>
  <si>
    <t>G-POFF</t>
  </si>
  <si>
    <t>G-PRA</t>
  </si>
  <si>
    <t>2017 AMA</t>
  </si>
  <si>
    <t>G-PAT</t>
  </si>
  <si>
    <t>G-CCAP16</t>
  </si>
  <si>
    <t>G-CCAP17</t>
  </si>
  <si>
    <t>G-CPT</t>
  </si>
  <si>
    <t>G-CIS</t>
  </si>
  <si>
    <t>G-CREC</t>
  </si>
  <si>
    <t>Restating Adjustments</t>
  </si>
  <si>
    <t xml:space="preserve">Project </t>
  </si>
  <si>
    <t>Compass</t>
  </si>
  <si>
    <t>Deferral</t>
  </si>
  <si>
    <t>G-CD</t>
  </si>
  <si>
    <t>G-WNGC</t>
  </si>
  <si>
    <t>2017 CROSS CHECK ADJUSTMENTS</t>
  </si>
  <si>
    <t>2018 CROSS CHECK ADJUSTMENTS</t>
  </si>
  <si>
    <t>2017</t>
  </si>
  <si>
    <t xml:space="preserve">Cross Check </t>
  </si>
  <si>
    <t>Reconcile 2017</t>
  </si>
  <si>
    <t>to Attrition</t>
  </si>
  <si>
    <t>Tax Exp</t>
  </si>
  <si>
    <t>FINAL</t>
  </si>
  <si>
    <t>/ Cross Check</t>
  </si>
  <si>
    <t>Step 2 Increase</t>
  </si>
  <si>
    <t>17CC-Ttl</t>
  </si>
  <si>
    <t>17AA/CC-Ttl</t>
  </si>
  <si>
    <t>G-CCAP18</t>
  </si>
  <si>
    <t>Reconcile 2018</t>
  </si>
  <si>
    <t>Planned Capital</t>
  </si>
  <si>
    <t>Add 2018 AMA</t>
  </si>
  <si>
    <t>G-CREC18</t>
  </si>
  <si>
    <t>G-CLN18</t>
  </si>
  <si>
    <t>G-CIS18</t>
  </si>
  <si>
    <t>2018</t>
  </si>
  <si>
    <t>Incremental</t>
  </si>
  <si>
    <t>18AA/CC-Ttl</t>
  </si>
  <si>
    <t>2017 Cross Check Adjustments</t>
  </si>
  <si>
    <t>2018 Cross Check Adjustments</t>
  </si>
  <si>
    <t xml:space="preserve">     2017 Cross Check Total</t>
  </si>
  <si>
    <t xml:space="preserve">     2018 Cross Check Total</t>
  </si>
  <si>
    <t>Attrition Component</t>
  </si>
  <si>
    <t>(Per Order No. 6; UE-120437, dated 6/20/2012 - "hard" CF rounded to 6 digits)</t>
  </si>
  <si>
    <t>Pipeline</t>
  </si>
  <si>
    <t>Safety Labor</t>
  </si>
  <si>
    <t>G-PPS</t>
  </si>
  <si>
    <t xml:space="preserve">Regulatory </t>
  </si>
  <si>
    <t>Amortizations</t>
  </si>
  <si>
    <t>G-CRA18</t>
  </si>
  <si>
    <t>G-CLN</t>
  </si>
  <si>
    <t>Total Base Distribution Revenues*</t>
  </si>
  <si>
    <t>Total Present Billed Revenue</t>
  </si>
  <si>
    <t>Percentage Billed Revenue Increase</t>
  </si>
  <si>
    <t>Percentage Base Distribution Revenue Increase</t>
  </si>
  <si>
    <t>Insurance</t>
  </si>
  <si>
    <t>G-CI18</t>
  </si>
  <si>
    <t>G-CI</t>
  </si>
  <si>
    <t>2017 AMI</t>
  </si>
  <si>
    <t>Capital &amp; Expense</t>
  </si>
  <si>
    <t>2018 AMI</t>
  </si>
  <si>
    <t>G-CAMI18</t>
  </si>
  <si>
    <t>G-CAMI</t>
  </si>
  <si>
    <t>Incremental 06.2018</t>
  </si>
  <si>
    <t>Attrition Adjustment</t>
  </si>
  <si>
    <t>2017 Attrition Adjustment</t>
  </si>
  <si>
    <t>Above Pro Forma Study</t>
  </si>
  <si>
    <t>(6 Months 2018: 1/1/2018-6/30/2018)</t>
  </si>
  <si>
    <t xml:space="preserve">Total </t>
  </si>
  <si>
    <t>g</t>
  </si>
  <si>
    <t>2018 (6 Months)</t>
  </si>
  <si>
    <t>2018 (I)</t>
  </si>
  <si>
    <t>(000's of          Dollars)</t>
  </si>
  <si>
    <t>(000's of              Dollars)</t>
  </si>
  <si>
    <t>Proposed Revenue Requirement 2017</t>
  </si>
  <si>
    <t>Pro Forma Study Revenue Requirement</t>
  </si>
  <si>
    <t>Historical Pro Forma Study &amp; Attrition Adjustments</t>
  </si>
  <si>
    <t>Pro Forma Study Rate Base</t>
  </si>
  <si>
    <t>Pro Forma Study Net income</t>
  </si>
  <si>
    <t xml:space="preserve">2017 Attrition Allowance </t>
  </si>
  <si>
    <t>2018 Incremental Attrition Allowance (6 months)</t>
  </si>
  <si>
    <t>Joe miller - 2017 Present Billed Revenue from Ehrbar Exhibit</t>
  </si>
  <si>
    <t>(1) Per Company witness Mr. Ehrbar, rate necessary to recover incremental revenue requirement over 6-month period January- June 2018.</t>
  </si>
  <si>
    <t>2017 Attrition</t>
  </si>
  <si>
    <t>2017 Attrition Allowance</t>
  </si>
  <si>
    <t>Jun-Jul 2018 Attrition Allowance</t>
  </si>
  <si>
    <t>Jan-Jun 2018</t>
  </si>
  <si>
    <t>PRO FORMA &amp; CROSS CHECK STUDY</t>
  </si>
  <si>
    <t>(1) January to June 2018 Incremental Cross Check results in $2.194 million prior to column (18.07) "Reconcile 2018 Cross Check to Attrition" ($941 + $1,253 = $2,194).</t>
  </si>
  <si>
    <t>Parameters</t>
  </si>
  <si>
    <t xml:space="preserve">Rev. Req. </t>
  </si>
  <si>
    <t>Pre-Tax</t>
  </si>
  <si>
    <t xml:space="preserve">Adj. </t>
  </si>
  <si>
    <t xml:space="preserve">Net Oper. </t>
  </si>
  <si>
    <t>Revenue Conversion</t>
  </si>
  <si>
    <t xml:space="preserve">No. </t>
  </si>
  <si>
    <t>Income</t>
  </si>
  <si>
    <t>Tax Rate</t>
  </si>
  <si>
    <t>Restating Adjustments:</t>
  </si>
  <si>
    <t>Cost of Capital</t>
  </si>
  <si>
    <t>Common</t>
  </si>
  <si>
    <t xml:space="preserve">Filed Return </t>
  </si>
  <si>
    <t>Filed Rate Base</t>
  </si>
  <si>
    <t>Cost of Capital Impact</t>
  </si>
  <si>
    <t>Restated Results</t>
  </si>
  <si>
    <t>Pro Forma Results (Traditional Rev. Req.)</t>
  </si>
  <si>
    <t>Update</t>
  </si>
  <si>
    <t>Natural Gas Revenue Requirement Summary ($000)</t>
  </si>
  <si>
    <t xml:space="preserve">Restating </t>
  </si>
  <si>
    <t xml:space="preserve">Restated </t>
  </si>
  <si>
    <t xml:space="preserve">Pro-forma </t>
  </si>
  <si>
    <t>Books</t>
  </si>
  <si>
    <t>WITH PROPOSED RATES</t>
  </si>
  <si>
    <t>REVENUE DEFICIENCY / (SUFFICIENCY)</t>
  </si>
  <si>
    <t>h</t>
  </si>
  <si>
    <t>Oppose</t>
  </si>
  <si>
    <t>Traditional Revenue Requirement Calculations for Avista Corporation</t>
  </si>
  <si>
    <t>Twelve Months Ended September 31, 2015</t>
  </si>
  <si>
    <t xml:space="preserve">($000)   </t>
  </si>
  <si>
    <t>Washington Natural Gas Pro Forma Revenue Requirement</t>
  </si>
  <si>
    <t>Modified</t>
  </si>
  <si>
    <t>Restatement Adjustments</t>
  </si>
  <si>
    <t>Adjustment Details</t>
  </si>
  <si>
    <t>Washington Natural Gas Results</t>
  </si>
  <si>
    <t>Revenue Conversion Factor Calculation</t>
  </si>
  <si>
    <t>ICNU/NWIGU Neutral</t>
  </si>
  <si>
    <t>ICNU/NWIGU Modified</t>
  </si>
  <si>
    <t>ICNU/NWIGU Position</t>
  </si>
  <si>
    <t>Company Filing (Rev. Req. at ICNU ROR)</t>
  </si>
  <si>
    <t>Per Book Results (Y/E Sep. 30, 2015)</t>
  </si>
  <si>
    <t>Sep 30, 2015</t>
  </si>
  <si>
    <t>Captial Structure</t>
  </si>
  <si>
    <t>Capital Structure</t>
  </si>
  <si>
    <t xml:space="preserve">Def. / </t>
  </si>
  <si>
    <t>(Suf.)</t>
  </si>
  <si>
    <t>Impact of ICNU/NWIGU Adjustments:</t>
  </si>
  <si>
    <t>ICNU/NWIGU 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</si>
</sst>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000.00"/>
    <numFmt numFmtId="176" formatCode="0000"/>
    <numFmt numFmtId="177" formatCode="_(* #,##0.00000_);_(* \(#,##0.00000\);_(* &quot;-&quot;_);_(@_)"/>
    <numFmt numFmtId="178" formatCode="_(* #,##0.000000_);_(* \(#,##0.000000\);_(* &quot;-&quot;_);_(@_)"/>
    <numFmt numFmtId="179" formatCode="0.000"/>
    <numFmt numFmtId="180" formatCode="_(* #,##0.00_);_(* \(#,##0.00\);_(* &quot;-&quot;_);_(@_)"/>
  </numFmts>
  <fonts count="66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56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u/>
      <sz val="10"/>
      <color indexed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0"/>
      <color indexed="57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56"/>
      <name val="Times New Roman"/>
      <family val="1"/>
    </font>
    <font>
      <sz val="12"/>
      <name val="Courier New"/>
      <family val="3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b/>
      <i/>
      <sz val="10"/>
      <name val="Times New Roman"/>
      <family val="1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b/>
      <sz val="10"/>
      <color rgb="FF002060"/>
      <name val="Times New Roman"/>
      <family val="1"/>
    </font>
    <font>
      <sz val="10"/>
      <color rgb="FF002060"/>
      <name val="Times New Roman"/>
      <family val="1"/>
    </font>
    <font>
      <u/>
      <sz val="10"/>
      <color rgb="FF002060"/>
      <name val="Times New Roman"/>
      <family val="1"/>
    </font>
    <font>
      <sz val="10"/>
      <color rgb="FFC00000"/>
      <name val="Times New Roman"/>
      <family val="1"/>
    </font>
    <font>
      <u/>
      <sz val="10"/>
      <color rgb="FFC00000"/>
      <name val="Times New Roman"/>
      <family val="1"/>
    </font>
    <font>
      <b/>
      <sz val="8"/>
      <name val="Times New Roman"/>
      <family val="1"/>
    </font>
    <font>
      <sz val="9"/>
      <name val="Calibri"/>
      <family val="2"/>
    </font>
    <font>
      <i/>
      <u/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5" fillId="0" borderId="0"/>
    <xf numFmtId="44" fontId="1" fillId="0" borderId="0" applyFont="0" applyFill="0" applyBorder="0" applyAlignment="0" applyProtection="0"/>
    <xf numFmtId="0" fontId="51" fillId="4" borderId="0"/>
    <xf numFmtId="0" fontId="3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5" fillId="0" borderId="0"/>
    <xf numFmtId="43" fontId="55" fillId="0" borderId="0" applyFont="0" applyFill="0" applyBorder="0" applyAlignment="0" applyProtection="0"/>
    <xf numFmtId="0" fontId="45" fillId="0" borderId="0"/>
    <xf numFmtId="0" fontId="45" fillId="0" borderId="0"/>
  </cellStyleXfs>
  <cellXfs count="855">
    <xf numFmtId="0" fontId="0" fillId="0" borderId="0" xfId="0"/>
    <xf numFmtId="0" fontId="3" fillId="0" borderId="0" xfId="6" applyFont="1"/>
    <xf numFmtId="0" fontId="3" fillId="0" borderId="0" xfId="6" applyNumberFormat="1" applyFont="1" applyAlignment="1">
      <alignment horizontal="center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2" fillId="0" borderId="12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5" fontId="3" fillId="0" borderId="0" xfId="0" applyNumberFormat="1" applyFont="1"/>
    <xf numFmtId="0" fontId="10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 applyBorder="1"/>
    <xf numFmtId="37" fontId="9" fillId="0" borderId="0" xfId="0" applyNumberFormat="1" applyFont="1" applyBorder="1"/>
    <xf numFmtId="0" fontId="9" fillId="0" borderId="10" xfId="0" applyFont="1" applyBorder="1" applyAlignment="1">
      <alignment horizontal="center"/>
    </xf>
    <xf numFmtId="6" fontId="9" fillId="0" borderId="0" xfId="2" applyNumberFormat="1" applyFont="1" applyBorder="1"/>
    <xf numFmtId="3" fontId="13" fillId="0" borderId="0" xfId="0" applyNumberFormat="1" applyFont="1" applyAlignment="1">
      <alignment horizontal="center"/>
    </xf>
    <xf numFmtId="3" fontId="13" fillId="0" borderId="0" xfId="0" applyNumberFormat="1" applyFont="1"/>
    <xf numFmtId="0" fontId="13" fillId="0" borderId="0" xfId="0" applyFont="1"/>
    <xf numFmtId="5" fontId="13" fillId="0" borderId="0" xfId="0" applyNumberFormat="1" applyFont="1"/>
    <xf numFmtId="37" fontId="9" fillId="0" borderId="3" xfId="0" applyNumberFormat="1" applyFont="1" applyBorder="1"/>
    <xf numFmtId="3" fontId="9" fillId="0" borderId="0" xfId="0" applyNumberFormat="1" applyFont="1"/>
    <xf numFmtId="5" fontId="9" fillId="0" borderId="0" xfId="0" applyNumberFormat="1" applyFont="1"/>
    <xf numFmtId="0" fontId="9" fillId="0" borderId="0" xfId="0" applyFont="1" applyFill="1" applyAlignment="1">
      <alignment horizontal="center"/>
    </xf>
    <xf numFmtId="5" fontId="9" fillId="0" borderId="16" xfId="0" applyNumberFormat="1" applyFont="1" applyBorder="1"/>
    <xf numFmtId="37" fontId="13" fillId="0" borderId="0" xfId="0" applyNumberFormat="1" applyFont="1"/>
    <xf numFmtId="0" fontId="13" fillId="0" borderId="0" xfId="0" applyFont="1" applyBorder="1"/>
    <xf numFmtId="0" fontId="14" fillId="0" borderId="0" xfId="0" applyFont="1"/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3" fontId="3" fillId="0" borderId="0" xfId="6" applyNumberFormat="1" applyFont="1"/>
    <xf numFmtId="168" fontId="3" fillId="0" borderId="0" xfId="6" applyNumberFormat="1" applyFont="1"/>
    <xf numFmtId="0" fontId="5" fillId="0" borderId="0" xfId="0" applyFont="1" applyAlignment="1">
      <alignment horizontal="centerContinuous"/>
    </xf>
    <xf numFmtId="37" fontId="3" fillId="0" borderId="0" xfId="5" applyNumberFormat="1" applyFont="1"/>
    <xf numFmtId="170" fontId="3" fillId="0" borderId="0" xfId="7" applyNumberFormat="1" applyFont="1" applyBorder="1"/>
    <xf numFmtId="0" fontId="3" fillId="0" borderId="0" xfId="5" applyFont="1"/>
    <xf numFmtId="0" fontId="3" fillId="0" borderId="0" xfId="5" applyNumberFormat="1" applyFont="1" applyAlignment="1">
      <alignment horizontal="left"/>
    </xf>
    <xf numFmtId="0" fontId="3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3" fontId="5" fillId="0" borderId="13" xfId="0" applyNumberFormat="1" applyFont="1" applyBorder="1" applyAlignment="1">
      <alignment horizontal="centerContinuous"/>
    </xf>
    <xf numFmtId="3" fontId="5" fillId="0" borderId="15" xfId="0" applyNumberFormat="1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0" fontId="5" fillId="0" borderId="1" xfId="5" applyNumberFormat="1" applyFont="1" applyBorder="1" applyAlignment="1">
      <alignment horizontal="center"/>
    </xf>
    <xf numFmtId="0" fontId="5" fillId="0" borderId="2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NumberFormat="1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8" xfId="5" applyNumberFormat="1" applyFont="1" applyBorder="1" applyAlignment="1">
      <alignment horizontal="center"/>
    </xf>
    <xf numFmtId="0" fontId="5" fillId="0" borderId="9" xfId="5" applyNumberFormat="1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37" fontId="3" fillId="0" borderId="0" xfId="5" applyNumberFormat="1" applyFont="1" applyBorder="1" applyAlignment="1">
      <alignment horizontal="center"/>
    </xf>
    <xf numFmtId="0" fontId="3" fillId="0" borderId="0" xfId="5" applyFont="1" applyBorder="1"/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0" xfId="0" applyFont="1" applyBorder="1"/>
    <xf numFmtId="37" fontId="3" fillId="0" borderId="12" xfId="6" applyNumberFormat="1" applyFont="1" applyBorder="1"/>
    <xf numFmtId="169" fontId="10" fillId="0" borderId="0" xfId="0" applyNumberFormat="1" applyFont="1" applyAlignment="1">
      <alignment horizontal="center"/>
    </xf>
    <xf numFmtId="169" fontId="22" fillId="0" borderId="0" xfId="0" applyNumberFormat="1" applyFont="1"/>
    <xf numFmtId="14" fontId="22" fillId="0" borderId="0" xfId="0" applyNumberFormat="1" applyFont="1"/>
    <xf numFmtId="0" fontId="22" fillId="0" borderId="0" xfId="0" applyFont="1"/>
    <xf numFmtId="169" fontId="22" fillId="0" borderId="0" xfId="0" applyNumberFormat="1" applyFont="1" applyAlignment="1">
      <alignment horizontal="right"/>
    </xf>
    <xf numFmtId="169" fontId="9" fillId="0" borderId="0" xfId="0" applyNumberFormat="1" applyFont="1"/>
    <xf numFmtId="169" fontId="23" fillId="0" borderId="0" xfId="0" applyNumberFormat="1" applyFont="1" applyAlignment="1">
      <alignment horizontal="center"/>
    </xf>
    <xf numFmtId="169" fontId="10" fillId="0" borderId="0" xfId="0" applyNumberFormat="1" applyFont="1"/>
    <xf numFmtId="5" fontId="9" fillId="0" borderId="0" xfId="1" applyNumberFormat="1" applyFont="1"/>
    <xf numFmtId="173" fontId="9" fillId="0" borderId="0" xfId="1" applyNumberFormat="1" applyFont="1"/>
    <xf numFmtId="169" fontId="24" fillId="0" borderId="0" xfId="0" applyNumberFormat="1" applyFont="1"/>
    <xf numFmtId="173" fontId="9" fillId="0" borderId="15" xfId="1" applyNumberFormat="1" applyFont="1" applyBorder="1"/>
    <xf numFmtId="173" fontId="9" fillId="0" borderId="0" xfId="1" applyNumberFormat="1" applyFont="1" applyBorder="1"/>
    <xf numFmtId="10" fontId="24" fillId="0" borderId="0" xfId="0" applyNumberFormat="1" applyFont="1"/>
    <xf numFmtId="173" fontId="9" fillId="0" borderId="10" xfId="1" applyNumberFormat="1" applyFont="1" applyBorder="1"/>
    <xf numFmtId="164" fontId="9" fillId="0" borderId="12" xfId="1" applyNumberFormat="1" applyFont="1" applyBorder="1"/>
    <xf numFmtId="0" fontId="18" fillId="0" borderId="0" xfId="0" applyFont="1"/>
    <xf numFmtId="169" fontId="15" fillId="0" borderId="0" xfId="0" applyNumberFormat="1" applyFont="1"/>
    <xf numFmtId="0" fontId="25" fillId="0" borderId="0" xfId="0" applyFont="1"/>
    <xf numFmtId="0" fontId="0" fillId="0" borderId="0" xfId="0" applyFill="1"/>
    <xf numFmtId="0" fontId="17" fillId="0" borderId="0" xfId="0" applyFont="1" applyAlignment="1">
      <alignment horizontal="center"/>
    </xf>
    <xf numFmtId="10" fontId="17" fillId="0" borderId="0" xfId="0" applyNumberFormat="1" applyFont="1" applyAlignment="1">
      <alignment horizontal="center"/>
    </xf>
    <xf numFmtId="0" fontId="26" fillId="0" borderId="0" xfId="0" applyFont="1" applyBorder="1" applyAlignment="1">
      <alignment horizontal="center"/>
    </xf>
    <xf numFmtId="174" fontId="17" fillId="0" borderId="0" xfId="2" applyNumberFormat="1" applyFont="1" applyAlignment="1">
      <alignment horizontal="center"/>
    </xf>
    <xf numFmtId="10" fontId="17" fillId="0" borderId="0" xfId="7" applyNumberFormat="1" applyFont="1" applyAlignment="1">
      <alignment horizontal="center"/>
    </xf>
    <xf numFmtId="10" fontId="17" fillId="0" borderId="0" xfId="0" applyNumberFormat="1" applyFont="1" applyBorder="1"/>
    <xf numFmtId="174" fontId="17" fillId="0" borderId="0" xfId="2" applyNumberFormat="1" applyFont="1" applyBorder="1"/>
    <xf numFmtId="3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/>
    <xf numFmtId="0" fontId="13" fillId="0" borderId="0" xfId="0" applyFont="1" applyFill="1"/>
    <xf numFmtId="37" fontId="13" fillId="0" borderId="0" xfId="0" applyNumberFormat="1" applyFont="1" applyFill="1"/>
    <xf numFmtId="0" fontId="9" fillId="0" borderId="0" xfId="0" applyFont="1" applyFill="1" applyBorder="1"/>
    <xf numFmtId="0" fontId="9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10" fontId="14" fillId="0" borderId="0" xfId="0" applyNumberFormat="1" applyFont="1" applyFill="1" applyBorder="1"/>
    <xf numFmtId="0" fontId="19" fillId="0" borderId="0" xfId="0" applyFont="1" applyAlignment="1">
      <alignment horizontal="right"/>
    </xf>
    <xf numFmtId="0" fontId="27" fillId="0" borderId="0" xfId="0" applyFont="1" applyFill="1"/>
    <xf numFmtId="3" fontId="3" fillId="0" borderId="0" xfId="0" applyNumberFormat="1" applyFont="1" applyFill="1"/>
    <xf numFmtId="0" fontId="9" fillId="0" borderId="15" xfId="0" applyFont="1" applyBorder="1"/>
    <xf numFmtId="10" fontId="9" fillId="0" borderId="15" xfId="0" applyNumberFormat="1" applyFont="1" applyBorder="1"/>
    <xf numFmtId="5" fontId="15" fillId="0" borderId="0" xfId="0" applyNumberFormat="1" applyFont="1"/>
    <xf numFmtId="37" fontId="15" fillId="0" borderId="0" xfId="0" applyNumberFormat="1" applyFont="1"/>
    <xf numFmtId="0" fontId="30" fillId="0" borderId="0" xfId="0" applyFont="1"/>
    <xf numFmtId="5" fontId="17" fillId="0" borderId="0" xfId="0" applyNumberFormat="1" applyFont="1"/>
    <xf numFmtId="5" fontId="15" fillId="0" borderId="0" xfId="0" applyNumberFormat="1" applyFont="1" applyFill="1" applyBorder="1"/>
    <xf numFmtId="5" fontId="15" fillId="0" borderId="10" xfId="0" applyNumberFormat="1" applyFont="1" applyBorder="1"/>
    <xf numFmtId="5" fontId="17" fillId="0" borderId="10" xfId="0" applyNumberFormat="1" applyFont="1" applyBorder="1"/>
    <xf numFmtId="6" fontId="9" fillId="0" borderId="12" xfId="2" applyNumberFormat="1" applyFont="1" applyBorder="1"/>
    <xf numFmtId="0" fontId="26" fillId="0" borderId="0" xfId="0" applyFont="1" applyAlignment="1">
      <alignment horizontal="center"/>
    </xf>
    <xf numFmtId="10" fontId="9" fillId="0" borderId="0" xfId="7" applyNumberFormat="1" applyFont="1"/>
    <xf numFmtId="0" fontId="9" fillId="0" borderId="0" xfId="0" applyFont="1" applyAlignment="1">
      <alignment horizontal="right"/>
    </xf>
    <xf numFmtId="5" fontId="9" fillId="0" borderId="12" xfId="0" applyNumberFormat="1" applyFont="1" applyBorder="1"/>
    <xf numFmtId="0" fontId="29" fillId="0" borderId="0" xfId="0" applyFont="1" applyAlignment="1">
      <alignment horizontal="center"/>
    </xf>
    <xf numFmtId="3" fontId="3" fillId="0" borderId="0" xfId="5" applyNumberFormat="1" applyFont="1"/>
    <xf numFmtId="0" fontId="29" fillId="0" borderId="0" xfId="0" applyFont="1" applyAlignment="1"/>
    <xf numFmtId="169" fontId="10" fillId="0" borderId="0" xfId="0" applyNumberFormat="1" applyFont="1" applyAlignment="1"/>
    <xf numFmtId="0" fontId="10" fillId="0" borderId="0" xfId="0" applyFont="1" applyAlignment="1">
      <alignment horizontal="centerContinuous"/>
    </xf>
    <xf numFmtId="0" fontId="31" fillId="0" borderId="0" xfId="0" applyFont="1"/>
    <xf numFmtId="0" fontId="31" fillId="0" borderId="0" xfId="0" applyFont="1" applyFill="1"/>
    <xf numFmtId="37" fontId="31" fillId="0" borderId="0" xfId="5" applyNumberFormat="1" applyFont="1"/>
    <xf numFmtId="0" fontId="32" fillId="0" borderId="0" xfId="0" applyFont="1" applyFill="1" applyBorder="1" applyAlignment="1">
      <alignment horizontal="center"/>
    </xf>
    <xf numFmtId="37" fontId="31" fillId="0" borderId="0" xfId="5" applyNumberFormat="1" applyFont="1" applyFill="1" applyBorder="1"/>
    <xf numFmtId="0" fontId="32" fillId="0" borderId="0" xfId="0" applyFont="1" applyFill="1" applyBorder="1"/>
    <xf numFmtId="37" fontId="32" fillId="0" borderId="0" xfId="5" applyNumberFormat="1" applyFont="1" applyFill="1" applyBorder="1" applyAlignment="1">
      <alignment horizontal="center"/>
    </xf>
    <xf numFmtId="0" fontId="10" fillId="0" borderId="0" xfId="0" applyFont="1"/>
    <xf numFmtId="0" fontId="36" fillId="0" borderId="0" xfId="0" applyFont="1" applyAlignment="1">
      <alignment horizontal="center"/>
    </xf>
    <xf numFmtId="5" fontId="9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6" xfId="0" applyFont="1" applyBorder="1"/>
    <xf numFmtId="7" fontId="9" fillId="0" borderId="0" xfId="0" applyNumberFormat="1" applyFont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3" fontId="4" fillId="0" borderId="0" xfId="1" applyNumberFormat="1" applyFont="1" applyAlignment="1">
      <alignment horizontal="center"/>
    </xf>
    <xf numFmtId="173" fontId="4" fillId="0" borderId="0" xfId="1" applyNumberFormat="1" applyFont="1"/>
    <xf numFmtId="3" fontId="3" fillId="0" borderId="0" xfId="0" applyNumberFormat="1" applyFont="1"/>
    <xf numFmtId="0" fontId="10" fillId="0" borderId="10" xfId="0" applyFont="1" applyBorder="1" applyAlignment="1">
      <alignment horizontal="center"/>
    </xf>
    <xf numFmtId="0" fontId="3" fillId="0" borderId="0" xfId="6" applyNumberFormat="1" applyFont="1" applyAlignment="1">
      <alignment horizontal="center"/>
    </xf>
    <xf numFmtId="37" fontId="9" fillId="0" borderId="0" xfId="0" applyNumberFormat="1" applyFont="1"/>
    <xf numFmtId="16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5" fontId="19" fillId="2" borderId="0" xfId="0" applyNumberFormat="1" applyFont="1" applyFill="1"/>
    <xf numFmtId="5" fontId="3" fillId="0" borderId="16" xfId="0" applyNumberFormat="1" applyFont="1" applyBorder="1"/>
    <xf numFmtId="5" fontId="9" fillId="0" borderId="0" xfId="0" applyNumberFormat="1" applyFont="1" applyFill="1"/>
    <xf numFmtId="0" fontId="13" fillId="0" borderId="0" xfId="0" applyFont="1" applyFill="1" applyBorder="1"/>
    <xf numFmtId="5" fontId="9" fillId="0" borderId="0" xfId="0" applyNumberFormat="1" applyFont="1" applyFill="1" applyBorder="1"/>
    <xf numFmtId="5" fontId="10" fillId="0" borderId="0" xfId="0" applyNumberFormat="1" applyFont="1" applyFill="1" applyBorder="1"/>
    <xf numFmtId="10" fontId="9" fillId="0" borderId="0" xfId="0" applyNumberFormat="1" applyFont="1" applyFill="1" applyBorder="1"/>
    <xf numFmtId="5" fontId="9" fillId="0" borderId="3" xfId="0" applyNumberFormat="1" applyFont="1" applyBorder="1"/>
    <xf numFmtId="173" fontId="9" fillId="0" borderId="0" xfId="1" applyNumberFormat="1" applyFont="1" applyFill="1" applyBorder="1"/>
    <xf numFmtId="173" fontId="9" fillId="0" borderId="0" xfId="0" applyNumberFormat="1" applyFont="1" applyFill="1" applyBorder="1"/>
    <xf numFmtId="3" fontId="40" fillId="0" borderId="0" xfId="0" applyNumberFormat="1" applyFont="1"/>
    <xf numFmtId="3" fontId="41" fillId="0" borderId="0" xfId="6" applyNumberFormat="1" applyFont="1" applyFill="1"/>
    <xf numFmtId="3" fontId="41" fillId="0" borderId="0" xfId="5" applyNumberFormat="1" applyFont="1" applyFill="1"/>
    <xf numFmtId="0" fontId="41" fillId="0" borderId="0" xfId="6" applyNumberFormat="1" applyFont="1" applyAlignment="1">
      <alignment horizontal="left"/>
    </xf>
    <xf numFmtId="0" fontId="41" fillId="0" borderId="0" xfId="6" applyFont="1"/>
    <xf numFmtId="3" fontId="43" fillId="0" borderId="0" xfId="6" applyNumberFormat="1" applyFont="1" applyFill="1"/>
    <xf numFmtId="3" fontId="41" fillId="0" borderId="0" xfId="6" applyNumberFormat="1" applyFont="1"/>
    <xf numFmtId="3" fontId="42" fillId="0" borderId="0" xfId="6" applyNumberFormat="1" applyFont="1"/>
    <xf numFmtId="3" fontId="44" fillId="0" borderId="0" xfId="6" applyNumberFormat="1" applyFont="1"/>
    <xf numFmtId="3" fontId="42" fillId="0" borderId="0" xfId="6" applyNumberFormat="1" applyFont="1" applyAlignment="1"/>
    <xf numFmtId="0" fontId="42" fillId="0" borderId="0" xfId="6" applyNumberFormat="1" applyFont="1" applyAlignment="1">
      <alignment horizontal="center"/>
    </xf>
    <xf numFmtId="0" fontId="42" fillId="0" borderId="0" xfId="6" applyFont="1" applyAlignment="1">
      <alignment horizontal="center"/>
    </xf>
    <xf numFmtId="3" fontId="42" fillId="0" borderId="0" xfId="6" applyNumberFormat="1" applyFont="1" applyAlignment="1">
      <alignment horizontal="center"/>
    </xf>
    <xf numFmtId="0" fontId="42" fillId="0" borderId="1" xfId="6" applyNumberFormat="1" applyFont="1" applyBorder="1" applyAlignment="1">
      <alignment horizontal="center"/>
    </xf>
    <xf numFmtId="0" fontId="42" fillId="0" borderId="2" xfId="6" applyFont="1" applyBorder="1" applyAlignment="1">
      <alignment horizontal="center"/>
    </xf>
    <xf numFmtId="0" fontId="42" fillId="0" borderId="3" xfId="6" applyFont="1" applyBorder="1" applyAlignment="1">
      <alignment horizontal="center"/>
    </xf>
    <xf numFmtId="0" fontId="41" fillId="0" borderId="4" xfId="6" applyFont="1" applyBorder="1"/>
    <xf numFmtId="3" fontId="42" fillId="0" borderId="1" xfId="6" applyNumberFormat="1" applyFont="1" applyBorder="1" applyAlignment="1">
      <alignment horizontal="center"/>
    </xf>
    <xf numFmtId="0" fontId="42" fillId="0" borderId="5" xfId="6" applyNumberFormat="1" applyFont="1" applyBorder="1" applyAlignment="1">
      <alignment horizontal="center"/>
    </xf>
    <xf numFmtId="0" fontId="42" fillId="0" borderId="6" xfId="6" applyFont="1" applyBorder="1" applyAlignment="1">
      <alignment horizontal="center"/>
    </xf>
    <xf numFmtId="0" fontId="42" fillId="0" borderId="0" xfId="6" applyFont="1" applyBorder="1" applyAlignment="1">
      <alignment horizontal="center"/>
    </xf>
    <xf numFmtId="0" fontId="41" fillId="0" borderId="7" xfId="6" applyFont="1" applyBorder="1"/>
    <xf numFmtId="3" fontId="42" fillId="0" borderId="5" xfId="6" applyNumberFormat="1" applyFont="1" applyBorder="1" applyAlignment="1">
      <alignment horizontal="center"/>
    </xf>
    <xf numFmtId="0" fontId="42" fillId="0" borderId="8" xfId="6" applyNumberFormat="1" applyFont="1" applyBorder="1" applyAlignment="1">
      <alignment horizontal="center"/>
    </xf>
    <xf numFmtId="0" fontId="42" fillId="0" borderId="9" xfId="6" applyFont="1" applyBorder="1" applyAlignment="1">
      <alignment horizontal="center"/>
    </xf>
    <xf numFmtId="0" fontId="42" fillId="0" borderId="10" xfId="6" applyFont="1" applyBorder="1" applyAlignment="1">
      <alignment horizontal="center"/>
    </xf>
    <xf numFmtId="0" fontId="42" fillId="0" borderId="11" xfId="6" applyFont="1" applyBorder="1" applyAlignment="1">
      <alignment horizontal="center"/>
    </xf>
    <xf numFmtId="3" fontId="42" fillId="0" borderId="8" xfId="6" applyNumberFormat="1" applyFont="1" applyBorder="1" applyAlignment="1">
      <alignment horizontal="center"/>
    </xf>
    <xf numFmtId="0" fontId="41" fillId="0" borderId="0" xfId="6" applyNumberFormat="1" applyFont="1" applyAlignment="1">
      <alignment horizontal="center"/>
    </xf>
    <xf numFmtId="5" fontId="41" fillId="0" borderId="0" xfId="6" applyNumberFormat="1" applyFont="1"/>
    <xf numFmtId="37" fontId="41" fillId="0" borderId="0" xfId="6" applyNumberFormat="1" applyFont="1"/>
    <xf numFmtId="0" fontId="41" fillId="0" borderId="0" xfId="6" applyNumberFormat="1" applyFont="1" applyBorder="1" applyAlignment="1">
      <alignment horizontal="center"/>
    </xf>
    <xf numFmtId="37" fontId="41" fillId="0" borderId="0" xfId="6" applyNumberFormat="1" applyFont="1" applyBorder="1"/>
    <xf numFmtId="0" fontId="41" fillId="0" borderId="0" xfId="6" applyFont="1" applyBorder="1"/>
    <xf numFmtId="0" fontId="41" fillId="0" borderId="0" xfId="6" applyNumberFormat="1" applyFont="1" applyFill="1" applyAlignment="1">
      <alignment horizontal="left"/>
    </xf>
    <xf numFmtId="0" fontId="41" fillId="0" borderId="0" xfId="6" applyFont="1" applyFill="1"/>
    <xf numFmtId="0" fontId="41" fillId="0" borderId="0" xfId="5" applyFont="1" applyFill="1"/>
    <xf numFmtId="10" fontId="41" fillId="0" borderId="0" xfId="7" applyNumberFormat="1" applyFont="1" applyFill="1"/>
    <xf numFmtId="0" fontId="41" fillId="0" borderId="0" xfId="6" applyNumberFormat="1" applyFont="1" applyFill="1" applyAlignment="1">
      <alignment horizontal="center"/>
    </xf>
    <xf numFmtId="0" fontId="41" fillId="0" borderId="0" xfId="5" applyFont="1" applyFill="1" applyAlignment="1">
      <alignment horizontal="right"/>
    </xf>
    <xf numFmtId="10" fontId="35" fillId="0" borderId="0" xfId="7" applyNumberFormat="1" applyFont="1" applyFill="1" applyBorder="1"/>
    <xf numFmtId="10" fontId="34" fillId="0" borderId="0" xfId="7" applyNumberFormat="1" applyFont="1" applyFill="1" applyBorder="1"/>
    <xf numFmtId="170" fontId="31" fillId="0" borderId="0" xfId="7" applyNumberFormat="1" applyFont="1" applyFill="1" applyBorder="1"/>
    <xf numFmtId="10" fontId="31" fillId="0" borderId="0" xfId="7" applyNumberFormat="1" applyFont="1" applyFill="1" applyBorder="1"/>
    <xf numFmtId="0" fontId="31" fillId="0" borderId="0" xfId="0" applyFont="1" applyFill="1" applyBorder="1"/>
    <xf numFmtId="37" fontId="31" fillId="0" borderId="0" xfId="3" applyNumberFormat="1" applyFont="1" applyFill="1" applyBorder="1"/>
    <xf numFmtId="37" fontId="31" fillId="0" borderId="0" xfId="3" applyNumberFormat="1" applyFont="1" applyFill="1" applyBorder="1" applyAlignment="1">
      <alignment horizontal="center"/>
    </xf>
    <xf numFmtId="0" fontId="41" fillId="0" borderId="0" xfId="6" applyFont="1" applyAlignment="1">
      <alignment horizontal="left"/>
    </xf>
    <xf numFmtId="4" fontId="42" fillId="0" borderId="0" xfId="6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1" fontId="41" fillId="0" borderId="0" xfId="6" applyNumberFormat="1" applyFont="1"/>
    <xf numFmtId="41" fontId="41" fillId="0" borderId="10" xfId="6" applyNumberFormat="1" applyFont="1" applyBorder="1"/>
    <xf numFmtId="41" fontId="41" fillId="0" borderId="0" xfId="6" applyNumberFormat="1" applyFont="1" applyFill="1"/>
    <xf numFmtId="41" fontId="41" fillId="0" borderId="15" xfId="6" applyNumberFormat="1" applyFont="1" applyBorder="1"/>
    <xf numFmtId="41" fontId="41" fillId="0" borderId="0" xfId="6" applyNumberFormat="1" applyFont="1" applyBorder="1"/>
    <xf numFmtId="41" fontId="41" fillId="0" borderId="0" xfId="5" applyNumberFormat="1" applyFont="1" applyFill="1"/>
    <xf numFmtId="41" fontId="46" fillId="0" borderId="0" xfId="5" applyNumberFormat="1" applyFont="1" applyFill="1"/>
    <xf numFmtId="41" fontId="3" fillId="0" borderId="0" xfId="5" applyNumberFormat="1" applyFont="1" applyFill="1"/>
    <xf numFmtId="3" fontId="9" fillId="0" borderId="0" xfId="13" applyNumberFormat="1" applyFont="1"/>
    <xf numFmtId="4" fontId="9" fillId="0" borderId="0" xfId="13" applyNumberFormat="1" applyFont="1" applyBorder="1" applyAlignment="1">
      <alignment horizontal="centerContinuous"/>
    </xf>
    <xf numFmtId="3" fontId="9" fillId="0" borderId="0" xfId="13" applyNumberFormat="1" applyFont="1" applyBorder="1" applyAlignment="1">
      <alignment horizontal="left"/>
    </xf>
    <xf numFmtId="3" fontId="9" fillId="0" borderId="0" xfId="13" applyNumberFormat="1" applyFont="1" applyBorder="1" applyAlignment="1">
      <alignment horizontal="centerContinuous"/>
    </xf>
    <xf numFmtId="0" fontId="9" fillId="0" borderId="0" xfId="13" applyFont="1" applyBorder="1" applyAlignment="1">
      <alignment horizontal="centerContinuous"/>
    </xf>
    <xf numFmtId="3" fontId="9" fillId="0" borderId="0" xfId="13" applyNumberFormat="1" applyFont="1" applyAlignment="1">
      <alignment horizontal="center"/>
    </xf>
    <xf numFmtId="4" fontId="9" fillId="0" borderId="0" xfId="13" applyNumberFormat="1" applyFont="1" applyAlignment="1">
      <alignment horizontal="center"/>
    </xf>
    <xf numFmtId="3" fontId="9" fillId="0" borderId="0" xfId="13" applyNumberFormat="1" applyFont="1" applyAlignment="1">
      <alignment horizontal="left"/>
    </xf>
    <xf numFmtId="0" fontId="9" fillId="0" borderId="0" xfId="13" applyFont="1"/>
    <xf numFmtId="0" fontId="9" fillId="0" borderId="0" xfId="13" applyFont="1" applyAlignment="1">
      <alignment horizontal="center"/>
    </xf>
    <xf numFmtId="3" fontId="9" fillId="0" borderId="10" xfId="13" applyNumberFormat="1" applyFont="1" applyBorder="1" applyAlignment="1">
      <alignment horizontal="left"/>
    </xf>
    <xf numFmtId="0" fontId="9" fillId="0" borderId="10" xfId="13" applyFont="1" applyBorder="1" applyAlignment="1">
      <alignment horizontal="center"/>
    </xf>
    <xf numFmtId="3" fontId="9" fillId="0" borderId="10" xfId="13" applyNumberFormat="1" applyFont="1" applyBorder="1" applyAlignment="1">
      <alignment horizontal="center"/>
    </xf>
    <xf numFmtId="41" fontId="9" fillId="0" borderId="0" xfId="13" applyNumberFormat="1" applyFont="1" applyAlignment="1">
      <alignment horizontal="right"/>
    </xf>
    <xf numFmtId="4" fontId="9" fillId="0" borderId="0" xfId="13" applyNumberFormat="1" applyFont="1" applyAlignment="1">
      <alignment horizontal="left"/>
    </xf>
    <xf numFmtId="164" fontId="9" fillId="0" borderId="0" xfId="13" applyNumberFormat="1" applyFont="1"/>
    <xf numFmtId="0" fontId="9" fillId="0" borderId="0" xfId="13" applyFont="1" applyBorder="1"/>
    <xf numFmtId="4" fontId="25" fillId="0" borderId="0" xfId="13" applyNumberFormat="1" applyFont="1" applyAlignment="1">
      <alignment horizontal="center"/>
    </xf>
    <xf numFmtId="3" fontId="25" fillId="0" borderId="0" xfId="13" applyNumberFormat="1" applyFont="1" applyAlignment="1">
      <alignment horizontal="left"/>
    </xf>
    <xf numFmtId="164" fontId="15" fillId="0" borderId="0" xfId="13" applyNumberFormat="1" applyFont="1"/>
    <xf numFmtId="3" fontId="15" fillId="0" borderId="0" xfId="13" applyNumberFormat="1" applyFont="1"/>
    <xf numFmtId="164" fontId="9" fillId="0" borderId="3" xfId="13" applyNumberFormat="1" applyFont="1" applyBorder="1"/>
    <xf numFmtId="164" fontId="9" fillId="0" borderId="0" xfId="13" applyNumberFormat="1" applyFont="1" applyAlignment="1">
      <alignment horizontal="center"/>
    </xf>
    <xf numFmtId="164" fontId="9" fillId="0" borderId="0" xfId="13" applyNumberFormat="1" applyFont="1" applyFill="1"/>
    <xf numFmtId="10" fontId="9" fillId="0" borderId="0" xfId="13" applyNumberFormat="1" applyFont="1" applyFill="1"/>
    <xf numFmtId="0" fontId="25" fillId="0" borderId="0" xfId="13" applyFont="1"/>
    <xf numFmtId="3" fontId="9" fillId="0" borderId="0" xfId="13" applyNumberFormat="1" applyFont="1" applyFill="1" applyBorder="1"/>
    <xf numFmtId="164" fontId="9" fillId="0" borderId="3" xfId="13" applyNumberFormat="1" applyFont="1" applyFill="1" applyBorder="1"/>
    <xf numFmtId="10" fontId="9" fillId="0" borderId="3" xfId="13" applyNumberFormat="1" applyFont="1" applyFill="1" applyBorder="1"/>
    <xf numFmtId="3" fontId="9" fillId="0" borderId="0" xfId="13" applyNumberFormat="1" applyFont="1" applyFill="1"/>
    <xf numFmtId="170" fontId="9" fillId="0" borderId="0" xfId="7" applyNumberFormat="1" applyFont="1" applyFill="1"/>
    <xf numFmtId="170" fontId="9" fillId="0" borderId="0" xfId="13" applyNumberFormat="1" applyFont="1" applyFill="1"/>
    <xf numFmtId="170" fontId="9" fillId="0" borderId="3" xfId="13" applyNumberFormat="1" applyFont="1" applyFill="1" applyBorder="1"/>
    <xf numFmtId="4" fontId="10" fillId="0" borderId="0" xfId="13" applyNumberFormat="1" applyFont="1" applyAlignment="1">
      <alignment horizontal="centerContinuous"/>
    </xf>
    <xf numFmtId="3" fontId="9" fillId="0" borderId="0" xfId="13" applyNumberFormat="1" applyFont="1" applyAlignment="1">
      <alignment horizontal="centerContinuous"/>
    </xf>
    <xf numFmtId="0" fontId="9" fillId="0" borderId="0" xfId="13" applyFont="1" applyAlignment="1">
      <alignment horizontal="centerContinuous"/>
    </xf>
    <xf numFmtId="4" fontId="49" fillId="0" borderId="0" xfId="13" applyNumberFormat="1" applyFont="1" applyBorder="1" applyAlignment="1">
      <alignment horizontal="centerContinuous"/>
    </xf>
    <xf numFmtId="4" fontId="9" fillId="0" borderId="0" xfId="13" applyNumberFormat="1" applyFont="1" applyAlignment="1">
      <alignment horizontal="centerContinuous"/>
    </xf>
    <xf numFmtId="37" fontId="9" fillId="0" borderId="0" xfId="13" applyNumberFormat="1" applyFont="1" applyAlignment="1">
      <alignment horizontal="right"/>
    </xf>
    <xf numFmtId="3" fontId="50" fillId="0" borderId="0" xfId="13" applyNumberFormat="1" applyFont="1"/>
    <xf numFmtId="0" fontId="18" fillId="0" borderId="0" xfId="13" applyFont="1"/>
    <xf numFmtId="10" fontId="18" fillId="0" borderId="0" xfId="13" applyNumberFormat="1" applyFont="1"/>
    <xf numFmtId="10" fontId="25" fillId="0" borderId="10" xfId="13" applyNumberFormat="1" applyFont="1" applyFill="1" applyBorder="1"/>
    <xf numFmtId="3" fontId="50" fillId="0" borderId="0" xfId="13" applyNumberFormat="1" applyFont="1" applyFill="1"/>
    <xf numFmtId="3" fontId="15" fillId="0" borderId="10" xfId="13" applyNumberFormat="1" applyFont="1" applyBorder="1"/>
    <xf numFmtId="3" fontId="10" fillId="0" borderId="0" xfId="13" applyNumberFormat="1" applyFont="1"/>
    <xf numFmtId="171" fontId="9" fillId="0" borderId="0" xfId="13" applyNumberFormat="1" applyFont="1"/>
    <xf numFmtId="172" fontId="9" fillId="0" borderId="10" xfId="13" applyNumberFormat="1" applyFont="1" applyBorder="1"/>
    <xf numFmtId="164" fontId="9" fillId="0" borderId="17" xfId="13" applyNumberFormat="1" applyFont="1" applyBorder="1"/>
    <xf numFmtId="4" fontId="9" fillId="0" borderId="0" xfId="13" applyNumberFormat="1" applyFont="1"/>
    <xf numFmtId="10" fontId="9" fillId="0" borderId="0" xfId="13" applyNumberFormat="1" applyFont="1"/>
    <xf numFmtId="10" fontId="9" fillId="0" borderId="0" xfId="13" applyNumberFormat="1" applyFont="1" applyBorder="1"/>
    <xf numFmtId="3" fontId="9" fillId="0" borderId="0" xfId="13" applyNumberFormat="1" applyFont="1" applyBorder="1"/>
    <xf numFmtId="10" fontId="9" fillId="0" borderId="3" xfId="13" applyNumberFormat="1" applyFont="1" applyBorder="1"/>
    <xf numFmtId="170" fontId="9" fillId="0" borderId="0" xfId="7" applyNumberFormat="1" applyFont="1"/>
    <xf numFmtId="170" fontId="9" fillId="0" borderId="0" xfId="13" applyNumberFormat="1" applyFont="1"/>
    <xf numFmtId="170" fontId="9" fillId="0" borderId="3" xfId="13" applyNumberFormat="1" applyFont="1" applyBorder="1"/>
    <xf numFmtId="41" fontId="9" fillId="0" borderId="0" xfId="13" applyNumberFormat="1" applyFont="1"/>
    <xf numFmtId="41" fontId="9" fillId="0" borderId="0" xfId="1" applyNumberFormat="1" applyFont="1"/>
    <xf numFmtId="41" fontId="9" fillId="0" borderId="0" xfId="1" applyNumberFormat="1" applyFont="1" applyAlignment="1">
      <alignment horizontal="right"/>
    </xf>
    <xf numFmtId="41" fontId="17" fillId="0" borderId="0" xfId="1" applyNumberFormat="1" applyFont="1"/>
    <xf numFmtId="41" fontId="9" fillId="0" borderId="10" xfId="1" applyNumberFormat="1" applyFont="1" applyBorder="1"/>
    <xf numFmtId="41" fontId="15" fillId="0" borderId="10" xfId="1" applyNumberFormat="1" applyFont="1" applyFill="1" applyBorder="1"/>
    <xf numFmtId="41" fontId="9" fillId="0" borderId="12" xfId="1" applyNumberFormat="1" applyFont="1" applyBorder="1"/>
    <xf numFmtId="9" fontId="9" fillId="0" borderId="10" xfId="7" applyFont="1" applyBorder="1"/>
    <xf numFmtId="9" fontId="9" fillId="0" borderId="0" xfId="7" applyFont="1"/>
    <xf numFmtId="0" fontId="4" fillId="0" borderId="0" xfId="0" applyFont="1" applyAlignment="1">
      <alignment horizontal="center"/>
    </xf>
    <xf numFmtId="10" fontId="9" fillId="0" borderId="10" xfId="7" applyNumberFormat="1" applyFont="1" applyBorder="1"/>
    <xf numFmtId="10" fontId="41" fillId="0" borderId="0" xfId="7" applyNumberFormat="1" applyFont="1"/>
    <xf numFmtId="42" fontId="41" fillId="0" borderId="0" xfId="6" applyNumberFormat="1" applyFont="1"/>
    <xf numFmtId="37" fontId="4" fillId="0" borderId="15" xfId="0" applyNumberFormat="1" applyFont="1" applyBorder="1"/>
    <xf numFmtId="41" fontId="4" fillId="0" borderId="10" xfId="0" applyNumberFormat="1" applyFont="1" applyBorder="1"/>
    <xf numFmtId="41" fontId="3" fillId="0" borderId="0" xfId="6" applyNumberFormat="1" applyFont="1"/>
    <xf numFmtId="41" fontId="3" fillId="0" borderId="10" xfId="6" applyNumberFormat="1" applyFont="1" applyBorder="1"/>
    <xf numFmtId="41" fontId="3" fillId="0" borderId="10" xfId="6" applyNumberFormat="1" applyFont="1" applyFill="1" applyBorder="1"/>
    <xf numFmtId="41" fontId="3" fillId="0" borderId="15" xfId="6" applyNumberFormat="1" applyFont="1" applyBorder="1"/>
    <xf numFmtId="41" fontId="3" fillId="0" borderId="0" xfId="0" applyNumberFormat="1" applyFont="1"/>
    <xf numFmtId="41" fontId="3" fillId="0" borderId="12" xfId="6" applyNumberFormat="1" applyFont="1" applyBorder="1"/>
    <xf numFmtId="41" fontId="3" fillId="0" borderId="0" xfId="6" applyNumberFormat="1" applyFont="1" applyBorder="1"/>
    <xf numFmtId="17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5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5" fontId="52" fillId="0" borderId="0" xfId="0" applyNumberFormat="1" applyFont="1"/>
    <xf numFmtId="3" fontId="52" fillId="0" borderId="0" xfId="0" applyNumberFormat="1" applyFont="1"/>
    <xf numFmtId="49" fontId="52" fillId="0" borderId="0" xfId="0" applyNumberFormat="1" applyFont="1" applyFill="1" applyAlignment="1">
      <alignment horizontal="center"/>
    </xf>
    <xf numFmtId="3" fontId="52" fillId="0" borderId="0" xfId="0" applyNumberFormat="1" applyFont="1" applyFill="1"/>
    <xf numFmtId="175" fontId="52" fillId="0" borderId="0" xfId="0" applyNumberFormat="1" applyFont="1" applyAlignment="1">
      <alignment horizontal="center"/>
    </xf>
    <xf numFmtId="176" fontId="52" fillId="0" borderId="0" xfId="0" applyNumberFormat="1" applyFont="1"/>
    <xf numFmtId="176" fontId="52" fillId="0" borderId="0" xfId="0" applyNumberFormat="1" applyFont="1" applyAlignment="1">
      <alignment horizontal="center"/>
    </xf>
    <xf numFmtId="0" fontId="52" fillId="0" borderId="0" xfId="0" applyFont="1"/>
    <xf numFmtId="175" fontId="52" fillId="5" borderId="0" xfId="0" applyNumberFormat="1" applyFont="1" applyFill="1"/>
    <xf numFmtId="3" fontId="52" fillId="5" borderId="0" xfId="0" applyNumberFormat="1" applyFont="1" applyFill="1"/>
    <xf numFmtId="176" fontId="52" fillId="5" borderId="0" xfId="0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3" fontId="0" fillId="0" borderId="0" xfId="0" applyNumberFormat="1"/>
    <xf numFmtId="176" fontId="0" fillId="0" borderId="0" xfId="0" applyNumberFormat="1" applyAlignment="1">
      <alignment horizontal="center"/>
    </xf>
    <xf numFmtId="176" fontId="0" fillId="5" borderId="0" xfId="0" applyNumberFormat="1" applyFill="1" applyAlignment="1">
      <alignment horizontal="center"/>
    </xf>
    <xf numFmtId="3" fontId="0" fillId="5" borderId="0" xfId="0" applyNumberFormat="1" applyFill="1"/>
    <xf numFmtId="175" fontId="0" fillId="0" borderId="0" xfId="0" applyNumberFormat="1"/>
    <xf numFmtId="0" fontId="0" fillId="0" borderId="0" xfId="0" applyFont="1"/>
    <xf numFmtId="175" fontId="0" fillId="0" borderId="0" xfId="0" applyNumberFormat="1" applyFont="1"/>
    <xf numFmtId="0" fontId="4" fillId="0" borderId="0" xfId="0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5" fontId="42" fillId="0" borderId="0" xfId="6" applyNumberFormat="1" applyFont="1"/>
    <xf numFmtId="42" fontId="41" fillId="0" borderId="12" xfId="6" applyNumberFormat="1" applyFont="1" applyBorder="1"/>
    <xf numFmtId="42" fontId="42" fillId="0" borderId="12" xfId="6" applyNumberFormat="1" applyFont="1" applyBorder="1"/>
    <xf numFmtId="41" fontId="15" fillId="0" borderId="0" xfId="1" applyNumberFormat="1" applyFont="1" applyFill="1" applyBorder="1"/>
    <xf numFmtId="41" fontId="9" fillId="0" borderId="0" xfId="1" applyNumberFormat="1" applyFont="1" applyBorder="1"/>
    <xf numFmtId="3" fontId="53" fillId="0" borderId="0" xfId="13" applyNumberFormat="1" applyFont="1"/>
    <xf numFmtId="0" fontId="9" fillId="0" borderId="0" xfId="13" applyFont="1" applyBorder="1" applyAlignment="1">
      <alignment horizontal="center"/>
    </xf>
    <xf numFmtId="0" fontId="15" fillId="0" borderId="0" xfId="0" applyFont="1" applyFill="1"/>
    <xf numFmtId="10" fontId="3" fillId="0" borderId="10" xfId="7" applyNumberFormat="1" applyFont="1" applyBorder="1"/>
    <xf numFmtId="177" fontId="41" fillId="0" borderId="0" xfId="5" applyNumberFormat="1" applyFont="1" applyFill="1"/>
    <xf numFmtId="10" fontId="41" fillId="3" borderId="0" xfId="7" applyNumberFormat="1" applyFont="1" applyFill="1"/>
    <xf numFmtId="41" fontId="9" fillId="3" borderId="18" xfId="1" applyNumberFormat="1" applyFont="1" applyFill="1" applyBorder="1"/>
    <xf numFmtId="42" fontId="3" fillId="0" borderId="0" xfId="0" applyNumberFormat="1" applyFont="1"/>
    <xf numFmtId="42" fontId="3" fillId="0" borderId="10" xfId="0" applyNumberFormat="1" applyFont="1" applyBorder="1"/>
    <xf numFmtId="42" fontId="3" fillId="0" borderId="0" xfId="0" applyNumberFormat="1" applyFont="1" applyBorder="1"/>
    <xf numFmtId="37" fontId="3" fillId="0" borderId="0" xfId="6" applyNumberFormat="1" applyFont="1" applyFill="1"/>
    <xf numFmtId="41" fontId="3" fillId="0" borderId="0" xfId="6" applyNumberFormat="1" applyFont="1" applyFill="1"/>
    <xf numFmtId="0" fontId="10" fillId="0" borderId="0" xfId="0" applyFont="1" applyAlignment="1"/>
    <xf numFmtId="0" fontId="10" fillId="0" borderId="0" xfId="0" applyFont="1" applyFill="1"/>
    <xf numFmtId="0" fontId="22" fillId="0" borderId="0" xfId="0" applyFont="1" applyFill="1"/>
    <xf numFmtId="41" fontId="9" fillId="0" borderId="10" xfId="13" applyNumberFormat="1" applyFont="1" applyBorder="1"/>
    <xf numFmtId="41" fontId="9" fillId="0" borderId="10" xfId="13" applyNumberFormat="1" applyFont="1" applyBorder="1" applyAlignment="1">
      <alignment horizontal="right"/>
    </xf>
    <xf numFmtId="41" fontId="17" fillId="0" borderId="10" xfId="13" applyNumberFormat="1" applyFont="1" applyBorder="1"/>
    <xf numFmtId="5" fontId="9" fillId="0" borderId="0" xfId="1" applyNumberFormat="1" applyFont="1" applyBorder="1"/>
    <xf numFmtId="164" fontId="9" fillId="0" borderId="0" xfId="1" applyNumberFormat="1" applyFont="1" applyBorder="1"/>
    <xf numFmtId="5" fontId="13" fillId="0" borderId="0" xfId="0" applyNumberFormat="1" applyFont="1" applyFill="1"/>
    <xf numFmtId="0" fontId="9" fillId="0" borderId="19" xfId="0" applyFont="1" applyFill="1" applyBorder="1"/>
    <xf numFmtId="0" fontId="9" fillId="0" borderId="21" xfId="0" applyFont="1" applyFill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6" xfId="0" applyFont="1" applyBorder="1"/>
    <xf numFmtId="0" fontId="9" fillId="0" borderId="22" xfId="0" applyFont="1" applyFill="1" applyBorder="1"/>
    <xf numFmtId="0" fontId="9" fillId="0" borderId="23" xfId="0" applyFont="1" applyFill="1" applyBorder="1"/>
    <xf numFmtId="0" fontId="10" fillId="0" borderId="22" xfId="0" applyFont="1" applyBorder="1"/>
    <xf numFmtId="174" fontId="10" fillId="0" borderId="23" xfId="2" applyNumberFormat="1" applyFont="1" applyBorder="1"/>
    <xf numFmtId="0" fontId="10" fillId="0" borderId="0" xfId="0" applyFont="1" applyBorder="1" applyAlignment="1">
      <alignment horizontal="center"/>
    </xf>
    <xf numFmtId="169" fontId="9" fillId="0" borderId="0" xfId="0" applyNumberFormat="1" applyFont="1"/>
    <xf numFmtId="169" fontId="9" fillId="0" borderId="15" xfId="0" applyNumberFormat="1" applyFont="1" applyBorder="1"/>
    <xf numFmtId="166" fontId="54" fillId="0" borderId="0" xfId="0" applyNumberFormat="1" applyFont="1" applyFill="1"/>
    <xf numFmtId="41" fontId="5" fillId="0" borderId="1" xfId="20" applyNumberFormat="1" applyFont="1" applyFill="1" applyBorder="1" applyAlignment="1">
      <alignment horizontal="center"/>
    </xf>
    <xf numFmtId="42" fontId="9" fillId="0" borderId="0" xfId="0" applyNumberFormat="1" applyFont="1" applyFill="1" applyBorder="1"/>
    <xf numFmtId="10" fontId="5" fillId="0" borderId="16" xfId="7" applyNumberFormat="1" applyFont="1" applyBorder="1"/>
    <xf numFmtId="10" fontId="3" fillId="0" borderId="0" xfId="7" applyNumberFormat="1" applyFont="1" applyBorder="1"/>
    <xf numFmtId="0" fontId="5" fillId="0" borderId="0" xfId="0" applyFont="1" applyBorder="1" applyAlignment="1">
      <alignment horizontal="center" wrapText="1"/>
    </xf>
    <xf numFmtId="3" fontId="5" fillId="0" borderId="0" xfId="6" applyNumberFormat="1" applyFont="1"/>
    <xf numFmtId="3" fontId="3" fillId="0" borderId="0" xfId="6" applyNumberFormat="1" applyFont="1" applyFill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3" fontId="5" fillId="0" borderId="1" xfId="6" applyNumberFormat="1" applyFont="1" applyFill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3" fontId="5" fillId="0" borderId="5" xfId="6" applyNumberFormat="1" applyFont="1" applyFill="1" applyBorder="1" applyAlignment="1">
      <alignment horizontal="center"/>
    </xf>
    <xf numFmtId="3" fontId="5" fillId="0" borderId="5" xfId="5" applyNumberFormat="1" applyFont="1" applyBorder="1" applyAlignment="1">
      <alignment horizontal="center"/>
    </xf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3" fontId="5" fillId="0" borderId="8" xfId="5" applyNumberFormat="1" applyFont="1" applyBorder="1" applyAlignment="1">
      <alignment horizontal="center"/>
    </xf>
    <xf numFmtId="3" fontId="5" fillId="0" borderId="8" xfId="6" quotePrefix="1" applyNumberFormat="1" applyFont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5" fillId="0" borderId="0" xfId="6" applyNumberFormat="1" applyFont="1"/>
    <xf numFmtId="41" fontId="5" fillId="0" borderId="0" xfId="6" applyNumberFormat="1" applyFont="1"/>
    <xf numFmtId="41" fontId="3" fillId="0" borderId="0" xfId="4" applyNumberFormat="1" applyFont="1" applyFill="1" applyBorder="1"/>
    <xf numFmtId="41" fontId="3" fillId="0" borderId="10" xfId="4" applyNumberFormat="1" applyFont="1" applyFill="1" applyBorder="1"/>
    <xf numFmtId="41" fontId="5" fillId="0" borderId="10" xfId="6" applyNumberFormat="1" applyFont="1" applyBorder="1"/>
    <xf numFmtId="0" fontId="3" fillId="0" borderId="0" xfId="6" applyFont="1" applyBorder="1"/>
    <xf numFmtId="42" fontId="5" fillId="0" borderId="12" xfId="6" applyNumberFormat="1" applyFont="1" applyBorder="1"/>
    <xf numFmtId="41" fontId="5" fillId="0" borderId="15" xfId="6" applyNumberFormat="1" applyFont="1" applyBorder="1"/>
    <xf numFmtId="41" fontId="5" fillId="0" borderId="0" xfId="6" applyNumberFormat="1" applyFont="1" applyBorder="1"/>
    <xf numFmtId="5" fontId="5" fillId="0" borderId="0" xfId="6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3" fontId="9" fillId="0" borderId="0" xfId="0" applyNumberFormat="1" applyFont="1" applyFill="1" applyAlignment="1">
      <alignment horizontal="center"/>
    </xf>
    <xf numFmtId="10" fontId="5" fillId="0" borderId="0" xfId="7" quotePrefix="1" applyNumberFormat="1" applyFont="1" applyAlignment="1">
      <alignment horizontal="center"/>
    </xf>
    <xf numFmtId="41" fontId="9" fillId="0" borderId="0" xfId="0" applyNumberFormat="1" applyFont="1"/>
    <xf numFmtId="3" fontId="5" fillId="7" borderId="8" xfId="6" applyNumberFormat="1" applyFont="1" applyFill="1" applyBorder="1" applyAlignment="1">
      <alignment horizontal="center"/>
    </xf>
    <xf numFmtId="3" fontId="5" fillId="7" borderId="0" xfId="6" applyNumberFormat="1" applyFont="1" applyFill="1"/>
    <xf numFmtId="42" fontId="5" fillId="7" borderId="0" xfId="6" applyNumberFormat="1" applyFont="1" applyFill="1"/>
    <xf numFmtId="41" fontId="5" fillId="7" borderId="0" xfId="6" applyNumberFormat="1" applyFont="1" applyFill="1"/>
    <xf numFmtId="41" fontId="5" fillId="7" borderId="10" xfId="6" applyNumberFormat="1" applyFont="1" applyFill="1" applyBorder="1"/>
    <xf numFmtId="42" fontId="5" fillId="7" borderId="12" xfId="6" applyNumberFormat="1" applyFont="1" applyFill="1" applyBorder="1"/>
    <xf numFmtId="41" fontId="5" fillId="7" borderId="15" xfId="6" applyNumberFormat="1" applyFont="1" applyFill="1" applyBorder="1"/>
    <xf numFmtId="41" fontId="5" fillId="7" borderId="0" xfId="6" applyNumberFormat="1" applyFont="1" applyFill="1" applyBorder="1"/>
    <xf numFmtId="10" fontId="5" fillId="7" borderId="0" xfId="7" applyNumberFormat="1" applyFont="1" applyFill="1"/>
    <xf numFmtId="3" fontId="5" fillId="7" borderId="1" xfId="6" applyNumberFormat="1" applyFont="1" applyFill="1" applyBorder="1" applyAlignment="1">
      <alignment horizontal="center"/>
    </xf>
    <xf numFmtId="3" fontId="5" fillId="7" borderId="5" xfId="6" applyNumberFormat="1" applyFont="1" applyFill="1" applyBorder="1" applyAlignment="1">
      <alignment horizontal="center"/>
    </xf>
    <xf numFmtId="3" fontId="5" fillId="7" borderId="5" xfId="6" applyNumberFormat="1" applyFont="1" applyFill="1" applyBorder="1"/>
    <xf numFmtId="42" fontId="5" fillId="7" borderId="5" xfId="6" applyNumberFormat="1" applyFont="1" applyFill="1" applyBorder="1"/>
    <xf numFmtId="41" fontId="5" fillId="7" borderId="5" xfId="6" applyNumberFormat="1" applyFont="1" applyFill="1" applyBorder="1"/>
    <xf numFmtId="41" fontId="5" fillId="7" borderId="8" xfId="6" applyNumberFormat="1" applyFont="1" applyFill="1" applyBorder="1"/>
    <xf numFmtId="42" fontId="5" fillId="7" borderId="32" xfId="6" applyNumberFormat="1" applyFont="1" applyFill="1" applyBorder="1"/>
    <xf numFmtId="41" fontId="5" fillId="7" borderId="33" xfId="6" applyNumberFormat="1" applyFont="1" applyFill="1" applyBorder="1"/>
    <xf numFmtId="10" fontId="5" fillId="7" borderId="35" xfId="7" applyNumberFormat="1" applyFont="1" applyFill="1" applyBorder="1"/>
    <xf numFmtId="3" fontId="5" fillId="7" borderId="34" xfId="6" applyNumberFormat="1" applyFont="1" applyFill="1" applyBorder="1"/>
    <xf numFmtId="3" fontId="5" fillId="0" borderId="10" xfId="6" applyNumberFormat="1" applyFont="1" applyFill="1" applyBorder="1" applyAlignment="1">
      <alignment horizontal="center"/>
    </xf>
    <xf numFmtId="168" fontId="3" fillId="0" borderId="0" xfId="6" applyNumberFormat="1" applyFont="1" applyFill="1"/>
    <xf numFmtId="3" fontId="5" fillId="7" borderId="36" xfId="6" applyNumberFormat="1" applyFont="1" applyFill="1" applyBorder="1"/>
    <xf numFmtId="41" fontId="5" fillId="0" borderId="0" xfId="6" applyNumberFormat="1" applyFont="1" applyFill="1" applyBorder="1"/>
    <xf numFmtId="41" fontId="5" fillId="0" borderId="0" xfId="5" applyNumberFormat="1" applyFont="1" applyFill="1" applyBorder="1"/>
    <xf numFmtId="3" fontId="5" fillId="0" borderId="0" xfId="5" applyNumberFormat="1" applyFont="1" applyFill="1" applyBorder="1"/>
    <xf numFmtId="3" fontId="5" fillId="0" borderId="0" xfId="6" applyNumberFormat="1" applyFont="1" applyFill="1" applyBorder="1"/>
    <xf numFmtId="42" fontId="5" fillId="0" borderId="0" xfId="6" applyNumberFormat="1" applyFont="1" applyFill="1" applyBorder="1"/>
    <xf numFmtId="10" fontId="5" fillId="0" borderId="0" xfId="7" applyNumberFormat="1" applyFont="1" applyFill="1" applyBorder="1"/>
    <xf numFmtId="0" fontId="3" fillId="6" borderId="0" xfId="6" applyFont="1" applyFill="1" applyBorder="1"/>
    <xf numFmtId="177" fontId="3" fillId="6" borderId="0" xfId="6" applyNumberFormat="1" applyFont="1" applyFill="1" applyBorder="1"/>
    <xf numFmtId="41" fontId="5" fillId="6" borderId="0" xfId="6" applyNumberFormat="1" applyFont="1" applyFill="1" applyBorder="1"/>
    <xf numFmtId="41" fontId="5" fillId="0" borderId="0" xfId="20" applyNumberFormat="1" applyFont="1" applyFill="1" applyBorder="1" applyAlignment="1">
      <alignment horizontal="center"/>
    </xf>
    <xf numFmtId="1" fontId="3" fillId="6" borderId="0" xfId="6" applyNumberFormat="1" applyFont="1" applyFill="1"/>
    <xf numFmtId="0" fontId="3" fillId="0" borderId="0" xfId="0" applyFont="1"/>
    <xf numFmtId="0" fontId="9" fillId="0" borderId="0" xfId="0" applyFont="1"/>
    <xf numFmtId="0" fontId="9" fillId="0" borderId="0" xfId="0" applyFont="1" applyBorder="1"/>
    <xf numFmtId="0" fontId="13" fillId="0" borderId="0" xfId="0" applyFont="1"/>
    <xf numFmtId="5" fontId="15" fillId="0" borderId="0" xfId="0" applyNumberFormat="1" applyFont="1"/>
    <xf numFmtId="0" fontId="9" fillId="0" borderId="0" xfId="0" applyFont="1" applyFill="1" applyBorder="1"/>
    <xf numFmtId="0" fontId="9" fillId="0" borderId="0" xfId="0" applyFont="1" applyFill="1"/>
    <xf numFmtId="0" fontId="13" fillId="0" borderId="0" xfId="0" applyFont="1" applyFill="1"/>
    <xf numFmtId="5" fontId="17" fillId="0" borderId="0" xfId="0" applyNumberFormat="1" applyFont="1"/>
    <xf numFmtId="5" fontId="9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3" fontId="1" fillId="0" borderId="0" xfId="0" applyNumberFormat="1" applyFont="1" applyFill="1" applyAlignment="1">
      <alignment horizontal="left"/>
    </xf>
    <xf numFmtId="169" fontId="9" fillId="0" borderId="0" xfId="17" applyNumberFormat="1" applyFont="1"/>
    <xf numFmtId="169" fontId="24" fillId="0" borderId="0" xfId="17" applyNumberFormat="1" applyFont="1"/>
    <xf numFmtId="3" fontId="3" fillId="0" borderId="0" xfId="5" applyNumberFormat="1" applyFont="1" applyFill="1"/>
    <xf numFmtId="173" fontId="3" fillId="6" borderId="0" xfId="1" applyNumberFormat="1" applyFont="1" applyFill="1"/>
    <xf numFmtId="42" fontId="3" fillId="0" borderId="0" xfId="4" applyNumberFormat="1" applyFont="1" applyFill="1"/>
    <xf numFmtId="41" fontId="3" fillId="0" borderId="0" xfId="4" applyNumberFormat="1" applyFont="1" applyFill="1"/>
    <xf numFmtId="3" fontId="36" fillId="0" borderId="0" xfId="6" applyNumberFormat="1" applyFont="1" applyFill="1"/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" fontId="5" fillId="0" borderId="0" xfId="6" applyNumberFormat="1" applyFont="1" applyAlignment="1">
      <alignment horizontal="center"/>
    </xf>
    <xf numFmtId="42" fontId="3" fillId="0" borderId="12" xfId="6" applyNumberFormat="1" applyFont="1" applyBorder="1"/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10" fontId="3" fillId="0" borderId="0" xfId="7" applyNumberFormat="1" applyFont="1" applyFill="1"/>
    <xf numFmtId="5" fontId="5" fillId="0" borderId="18" xfId="0" applyNumberFormat="1" applyFont="1" applyFill="1" applyBorder="1"/>
    <xf numFmtId="3" fontId="31" fillId="0" borderId="0" xfId="6" applyNumberFormat="1" applyFont="1" applyFill="1"/>
    <xf numFmtId="0" fontId="56" fillId="0" borderId="0" xfId="0" applyFont="1" applyAlignment="1">
      <alignment horizontal="left"/>
    </xf>
    <xf numFmtId="3" fontId="56" fillId="0" borderId="0" xfId="0" applyNumberFormat="1" applyFont="1" applyAlignment="1">
      <alignment horizontal="left"/>
    </xf>
    <xf numFmtId="3" fontId="56" fillId="0" borderId="0" xfId="0" applyNumberFormat="1" applyFont="1" applyFill="1" applyAlignment="1">
      <alignment horizontal="left"/>
    </xf>
    <xf numFmtId="49" fontId="56" fillId="0" borderId="0" xfId="0" applyNumberFormat="1" applyFont="1" applyAlignment="1">
      <alignment horizontal="left"/>
    </xf>
    <xf numFmtId="3" fontId="56" fillId="0" borderId="0" xfId="0" applyNumberFormat="1" applyFont="1"/>
    <xf numFmtId="3" fontId="56" fillId="0" borderId="0" xfId="0" applyNumberFormat="1" applyFont="1" applyFill="1"/>
    <xf numFmtId="0" fontId="56" fillId="0" borderId="0" xfId="0" applyFont="1"/>
    <xf numFmtId="3" fontId="56" fillId="5" borderId="0" xfId="0" applyNumberFormat="1" applyFont="1" applyFill="1"/>
    <xf numFmtId="175" fontId="56" fillId="0" borderId="0" xfId="0" applyNumberFormat="1" applyFont="1"/>
    <xf numFmtId="0" fontId="9" fillId="0" borderId="0" xfId="0" applyFont="1"/>
    <xf numFmtId="0" fontId="9" fillId="0" borderId="0" xfId="0" applyFont="1" applyFill="1"/>
    <xf numFmtId="41" fontId="5" fillId="0" borderId="0" xfId="20" applyNumberFormat="1" applyFont="1" applyFill="1" applyAlignment="1">
      <alignment horizontal="center"/>
    </xf>
    <xf numFmtId="41" fontId="5" fillId="7" borderId="1" xfId="4" applyNumberFormat="1" applyFont="1" applyFill="1" applyBorder="1" applyAlignment="1">
      <alignment horizontal="center"/>
    </xf>
    <xf numFmtId="4" fontId="13" fillId="0" borderId="0" xfId="0" applyNumberFormat="1" applyFont="1" applyFill="1" applyAlignment="1">
      <alignment horizontal="center"/>
    </xf>
    <xf numFmtId="3" fontId="16" fillId="0" borderId="0" xfId="0" applyNumberFormat="1" applyFont="1" applyFill="1" applyAlignment="1">
      <alignment horizontal="center"/>
    </xf>
    <xf numFmtId="0" fontId="9" fillId="0" borderId="10" xfId="0" applyFont="1" applyFill="1" applyBorder="1" applyAlignment="1">
      <alignment horizontal="center"/>
    </xf>
    <xf numFmtId="3" fontId="13" fillId="0" borderId="0" xfId="0" applyNumberFormat="1" applyFont="1" applyFill="1" applyAlignment="1">
      <alignment horizontal="left"/>
    </xf>
    <xf numFmtId="0" fontId="10" fillId="3" borderId="0" xfId="0" applyFont="1" applyFill="1" applyAlignment="1"/>
    <xf numFmtId="37" fontId="3" fillId="0" borderId="0" xfId="3" applyNumberFormat="1" applyFont="1" applyFill="1" applyBorder="1"/>
    <xf numFmtId="3" fontId="5" fillId="0" borderId="5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42" fontId="3" fillId="0" borderId="0" xfId="6" applyNumberFormat="1" applyFont="1"/>
    <xf numFmtId="3" fontId="5" fillId="0" borderId="0" xfId="6" applyNumberFormat="1" applyFont="1" applyFill="1" applyBorder="1" applyAlignment="1">
      <alignment horizontal="right"/>
    </xf>
    <xf numFmtId="41" fontId="5" fillId="0" borderId="0" xfId="20" applyNumberFormat="1" applyFont="1" applyFill="1" applyBorder="1" applyAlignment="1">
      <alignment horizontal="right"/>
    </xf>
    <xf numFmtId="42" fontId="5" fillId="0" borderId="0" xfId="6" applyNumberFormat="1" applyFont="1" applyFill="1" applyBorder="1" applyAlignment="1">
      <alignment horizontal="right"/>
    </xf>
    <xf numFmtId="41" fontId="5" fillId="0" borderId="0" xfId="6" applyNumberFormat="1" applyFont="1" applyFill="1" applyBorder="1" applyAlignment="1">
      <alignment horizontal="right"/>
    </xf>
    <xf numFmtId="0" fontId="3" fillId="6" borderId="0" xfId="6" applyFont="1" applyFill="1" applyAlignment="1">
      <alignment horizontal="right"/>
    </xf>
    <xf numFmtId="41" fontId="5" fillId="0" borderId="0" xfId="5" applyNumberFormat="1" applyFont="1" applyFill="1" applyBorder="1" applyAlignment="1">
      <alignment horizontal="right"/>
    </xf>
    <xf numFmtId="3" fontId="5" fillId="0" borderId="0" xfId="5" applyNumberFormat="1" applyFont="1" applyFill="1" applyBorder="1" applyAlignment="1">
      <alignment horizontal="right"/>
    </xf>
    <xf numFmtId="3" fontId="3" fillId="0" borderId="0" xfId="22" applyNumberFormat="1" applyFont="1" applyBorder="1"/>
    <xf numFmtId="41" fontId="5" fillId="7" borderId="9" xfId="6" applyNumberFormat="1" applyFont="1" applyFill="1" applyBorder="1"/>
    <xf numFmtId="41" fontId="5" fillId="0" borderId="0" xfId="5" applyNumberFormat="1" applyFont="1" applyFill="1" applyAlignment="1">
      <alignment horizontal="center"/>
    </xf>
    <xf numFmtId="3" fontId="57" fillId="0" borderId="0" xfId="22" applyNumberFormat="1" applyFont="1"/>
    <xf numFmtId="14" fontId="36" fillId="0" borderId="0" xfId="20" applyNumberFormat="1" applyFont="1" applyFill="1" applyAlignment="1">
      <alignment horizontal="left" vertical="center"/>
    </xf>
    <xf numFmtId="41" fontId="36" fillId="0" borderId="0" xfId="20" applyNumberFormat="1" applyFont="1" applyFill="1" applyAlignment="1">
      <alignment horizontal="left" vertical="center"/>
    </xf>
    <xf numFmtId="3" fontId="5" fillId="7" borderId="6" xfId="6" applyNumberFormat="1" applyFont="1" applyFill="1" applyBorder="1" applyAlignment="1">
      <alignment horizontal="center"/>
    </xf>
    <xf numFmtId="3" fontId="5" fillId="7" borderId="6" xfId="6" applyNumberFormat="1" applyFont="1" applyFill="1" applyBorder="1"/>
    <xf numFmtId="42" fontId="5" fillId="7" borderId="6" xfId="6" applyNumberFormat="1" applyFont="1" applyFill="1" applyBorder="1"/>
    <xf numFmtId="41" fontId="5" fillId="7" borderId="6" xfId="6" applyNumberFormat="1" applyFont="1" applyFill="1" applyBorder="1"/>
    <xf numFmtId="42" fontId="5" fillId="7" borderId="37" xfId="6" applyNumberFormat="1" applyFont="1" applyFill="1" applyBorder="1"/>
    <xf numFmtId="41" fontId="5" fillId="7" borderId="13" xfId="6" applyNumberFormat="1" applyFont="1" applyFill="1" applyBorder="1"/>
    <xf numFmtId="10" fontId="5" fillId="7" borderId="38" xfId="7" applyNumberFormat="1" applyFont="1" applyFill="1" applyBorder="1"/>
    <xf numFmtId="0" fontId="13" fillId="0" borderId="20" xfId="0" applyFont="1" applyFill="1" applyBorder="1"/>
    <xf numFmtId="5" fontId="9" fillId="0" borderId="21" xfId="0" applyNumberFormat="1" applyFont="1" applyFill="1" applyBorder="1"/>
    <xf numFmtId="0" fontId="9" fillId="0" borderId="20" xfId="0" applyFont="1" applyBorder="1"/>
    <xf numFmtId="5" fontId="15" fillId="0" borderId="20" xfId="0" applyNumberFormat="1" applyFont="1" applyBorder="1"/>
    <xf numFmtId="0" fontId="9" fillId="0" borderId="20" xfId="0" applyFont="1" applyFill="1" applyBorder="1"/>
    <xf numFmtId="37" fontId="13" fillId="0" borderId="20" xfId="0" applyNumberFormat="1" applyFont="1" applyFill="1" applyBorder="1"/>
    <xf numFmtId="3" fontId="3" fillId="0" borderId="0" xfId="6" applyNumberFormat="1" applyFont="1" applyBorder="1"/>
    <xf numFmtId="3" fontId="3" fillId="0" borderId="0" xfId="5" applyNumberFormat="1" applyFont="1" applyFill="1" applyBorder="1"/>
    <xf numFmtId="0" fontId="3" fillId="0" borderId="0" xfId="5" applyFont="1" applyFill="1" applyBorder="1"/>
    <xf numFmtId="0" fontId="3" fillId="0" borderId="0" xfId="6" applyNumberFormat="1" applyFont="1" applyFill="1" applyBorder="1" applyAlignment="1">
      <alignment horizontal="center"/>
    </xf>
    <xf numFmtId="3" fontId="5" fillId="0" borderId="0" xfId="6" applyNumberFormat="1" applyFont="1" applyBorder="1"/>
    <xf numFmtId="41" fontId="5" fillId="0" borderId="0" xfId="4" applyNumberFormat="1" applyFont="1" applyFill="1" applyBorder="1" applyAlignment="1">
      <alignment horizontal="center"/>
    </xf>
    <xf numFmtId="0" fontId="3" fillId="0" borderId="0" xfId="6" applyFont="1" applyFill="1" applyBorder="1"/>
    <xf numFmtId="5" fontId="13" fillId="0" borderId="20" xfId="0" applyNumberFormat="1" applyFont="1" applyBorder="1"/>
    <xf numFmtId="0" fontId="3" fillId="0" borderId="0" xfId="5" applyFont="1" applyFill="1" applyBorder="1" applyAlignment="1">
      <alignment horizontal="right"/>
    </xf>
    <xf numFmtId="5" fontId="17" fillId="0" borderId="20" xfId="0" applyNumberFormat="1" applyFont="1" applyBorder="1"/>
    <xf numFmtId="41" fontId="5" fillId="7" borderId="5" xfId="20" applyNumberFormat="1" applyFont="1" applyFill="1" applyBorder="1" applyAlignment="1">
      <alignment horizontal="center"/>
    </xf>
    <xf numFmtId="41" fontId="5" fillId="7" borderId="8" xfId="20" applyNumberFormat="1" applyFont="1" applyFill="1" applyBorder="1" applyAlignment="1">
      <alignment horizontal="center"/>
    </xf>
    <xf numFmtId="2" fontId="5" fillId="7" borderId="5" xfId="20" applyNumberFormat="1" applyFont="1" applyFill="1" applyBorder="1" applyAlignment="1">
      <alignment horizontal="center"/>
    </xf>
    <xf numFmtId="41" fontId="5" fillId="7" borderId="1" xfId="20" quotePrefix="1" applyNumberFormat="1" applyFont="1" applyFill="1" applyBorder="1" applyAlignment="1">
      <alignment horizontal="center"/>
    </xf>
    <xf numFmtId="5" fontId="13" fillId="0" borderId="0" xfId="0" applyNumberFormat="1" applyFont="1" applyBorder="1"/>
    <xf numFmtId="37" fontId="13" fillId="0" borderId="0" xfId="0" applyNumberFormat="1" applyFont="1" applyFill="1" applyBorder="1"/>
    <xf numFmtId="5" fontId="15" fillId="0" borderId="0" xfId="0" applyNumberFormat="1" applyFont="1" applyBorder="1"/>
    <xf numFmtId="5" fontId="17" fillId="0" borderId="0" xfId="0" applyNumberFormat="1" applyFont="1" applyBorder="1"/>
    <xf numFmtId="5" fontId="9" fillId="0" borderId="23" xfId="0" applyNumberFormat="1" applyFont="1" applyFill="1" applyBorder="1"/>
    <xf numFmtId="0" fontId="13" fillId="0" borderId="25" xfId="0" applyFont="1" applyFill="1" applyBorder="1"/>
    <xf numFmtId="5" fontId="13" fillId="0" borderId="25" xfId="0" applyNumberFormat="1" applyFont="1" applyBorder="1"/>
    <xf numFmtId="37" fontId="13" fillId="0" borderId="25" xfId="0" applyNumberFormat="1" applyFont="1" applyFill="1" applyBorder="1"/>
    <xf numFmtId="0" fontId="9" fillId="0" borderId="25" xfId="0" applyFont="1" applyFill="1" applyBorder="1"/>
    <xf numFmtId="5" fontId="15" fillId="0" borderId="25" xfId="0" applyNumberFormat="1" applyFont="1" applyBorder="1"/>
    <xf numFmtId="0" fontId="9" fillId="0" borderId="25" xfId="0" applyFont="1" applyBorder="1"/>
    <xf numFmtId="5" fontId="17" fillId="0" borderId="25" xfId="0" applyNumberFormat="1" applyFont="1" applyBorder="1"/>
    <xf numFmtId="5" fontId="9" fillId="0" borderId="26" xfId="0" applyNumberFormat="1" applyFont="1" applyFill="1" applyBorder="1"/>
    <xf numFmtId="42" fontId="3" fillId="0" borderId="12" xfId="6" applyNumberFormat="1" applyFont="1" applyFill="1" applyBorder="1"/>
    <xf numFmtId="41" fontId="3" fillId="0" borderId="15" xfId="6" applyNumberFormat="1" applyFont="1" applyFill="1" applyBorder="1"/>
    <xf numFmtId="41" fontId="3" fillId="0" borderId="0" xfId="6" applyNumberFormat="1" applyFont="1" applyFill="1" applyBorder="1"/>
    <xf numFmtId="42" fontId="5" fillId="0" borderId="12" xfId="6" applyNumberFormat="1" applyFont="1" applyFill="1" applyBorder="1"/>
    <xf numFmtId="3" fontId="5" fillId="0" borderId="30" xfId="5" applyNumberFormat="1" applyFont="1" applyBorder="1" applyAlignment="1">
      <alignment horizontal="center"/>
    </xf>
    <xf numFmtId="41" fontId="29" fillId="0" borderId="0" xfId="20" applyNumberFormat="1" applyFont="1" applyFill="1" applyAlignment="1"/>
    <xf numFmtId="41" fontId="5" fillId="0" borderId="2" xfId="4" applyNumberFormat="1" applyFont="1" applyFill="1" applyBorder="1" applyAlignment="1">
      <alignment horizontal="center"/>
    </xf>
    <xf numFmtId="3" fontId="5" fillId="0" borderId="30" xfId="6" applyNumberFormat="1" applyFont="1" applyFill="1" applyBorder="1" applyAlignment="1">
      <alignment horizontal="center"/>
    </xf>
    <xf numFmtId="42" fontId="3" fillId="0" borderId="0" xfId="4" applyNumberFormat="1" applyFont="1" applyFill="1" applyBorder="1"/>
    <xf numFmtId="173" fontId="3" fillId="0" borderId="0" xfId="1" applyNumberFormat="1" applyFont="1" applyFill="1" applyBorder="1"/>
    <xf numFmtId="0" fontId="3" fillId="0" borderId="0" xfId="0" applyFont="1" applyAlignment="1">
      <alignment horizontal="center"/>
    </xf>
    <xf numFmtId="41" fontId="63" fillId="0" borderId="0" xfId="6" applyNumberFormat="1" applyFont="1" applyFill="1" applyBorder="1"/>
    <xf numFmtId="0" fontId="64" fillId="0" borderId="0" xfId="0" applyFont="1" applyBorder="1" applyAlignment="1">
      <alignment horizontal="left"/>
    </xf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41" fontId="5" fillId="0" borderId="7" xfId="20" applyNumberFormat="1" applyFont="1" applyFill="1" applyBorder="1" applyAlignment="1">
      <alignment horizontal="center"/>
    </xf>
    <xf numFmtId="41" fontId="5" fillId="0" borderId="11" xfId="20" applyNumberFormat="1" applyFont="1" applyFill="1" applyBorder="1" applyAlignment="1">
      <alignment horizontal="center"/>
    </xf>
    <xf numFmtId="3" fontId="5" fillId="0" borderId="6" xfId="6" applyNumberFormat="1" applyFont="1" applyFill="1" applyBorder="1" applyAlignment="1">
      <alignment horizontal="center"/>
    </xf>
    <xf numFmtId="3" fontId="5" fillId="0" borderId="31" xfId="6" applyNumberFormat="1" applyFont="1" applyFill="1" applyBorder="1" applyAlignment="1">
      <alignment horizontal="center"/>
    </xf>
    <xf numFmtId="42" fontId="5" fillId="6" borderId="0" xfId="6" applyNumberFormat="1" applyFont="1" applyFill="1" applyBorder="1" applyAlignment="1">
      <alignment horizontal="center"/>
    </xf>
    <xf numFmtId="41" fontId="5" fillId="0" borderId="0" xfId="6" applyNumberFormat="1" applyFont="1" applyFill="1" applyAlignment="1">
      <alignment horizontal="right"/>
    </xf>
    <xf numFmtId="0" fontId="3" fillId="0" borderId="0" xfId="6" applyFont="1" applyFill="1" applyAlignment="1">
      <alignment horizontal="right"/>
    </xf>
    <xf numFmtId="0" fontId="3" fillId="0" borderId="0" xfId="6" applyFont="1" applyFill="1" applyBorder="1" applyAlignment="1">
      <alignment horizontal="right"/>
    </xf>
    <xf numFmtId="41" fontId="5" fillId="0" borderId="4" xfId="23" applyNumberFormat="1" applyFont="1" applyFill="1" applyBorder="1" applyAlignment="1">
      <alignment horizontal="center"/>
    </xf>
    <xf numFmtId="41" fontId="5" fillId="0" borderId="8" xfId="20" applyNumberFormat="1" applyFont="1" applyFill="1" applyBorder="1" applyAlignment="1">
      <alignment horizontal="center"/>
    </xf>
    <xf numFmtId="4" fontId="5" fillId="0" borderId="5" xfId="6" applyNumberFormat="1" applyFont="1" applyFill="1" applyBorder="1" applyAlignment="1">
      <alignment horizontal="center"/>
    </xf>
    <xf numFmtId="3" fontId="3" fillId="0" borderId="5" xfId="6" applyNumberFormat="1" applyFont="1" applyFill="1" applyBorder="1"/>
    <xf numFmtId="42" fontId="3" fillId="0" borderId="5" xfId="4" applyNumberFormat="1" applyFont="1" applyFill="1" applyBorder="1"/>
    <xf numFmtId="41" fontId="3" fillId="0" borderId="5" xfId="4" applyNumberFormat="1" applyFont="1" applyFill="1" applyBorder="1"/>
    <xf numFmtId="41" fontId="3" fillId="0" borderId="8" xfId="4" applyNumberFormat="1" applyFont="1" applyFill="1" applyBorder="1"/>
    <xf numFmtId="41" fontId="3" fillId="0" borderId="5" xfId="6" applyNumberFormat="1" applyFont="1" applyFill="1" applyBorder="1"/>
    <xf numFmtId="41" fontId="3" fillId="0" borderId="8" xfId="6" applyNumberFormat="1" applyFont="1" applyFill="1" applyBorder="1"/>
    <xf numFmtId="42" fontId="3" fillId="0" borderId="32" xfId="6" applyNumberFormat="1" applyFont="1" applyFill="1" applyBorder="1"/>
    <xf numFmtId="173" fontId="3" fillId="0" borderId="5" xfId="1" applyNumberFormat="1" applyFont="1" applyFill="1" applyBorder="1"/>
    <xf numFmtId="173" fontId="3" fillId="0" borderId="8" xfId="1" applyNumberFormat="1" applyFont="1" applyFill="1" applyBorder="1"/>
    <xf numFmtId="41" fontId="3" fillId="0" borderId="33" xfId="6" applyNumberFormat="1" applyFont="1" applyFill="1" applyBorder="1"/>
    <xf numFmtId="42" fontId="5" fillId="0" borderId="32" xfId="6" applyNumberFormat="1" applyFont="1" applyFill="1" applyBorder="1"/>
    <xf numFmtId="174" fontId="5" fillId="0" borderId="5" xfId="2" applyNumberFormat="1" applyFont="1" applyFill="1" applyBorder="1"/>
    <xf numFmtId="169" fontId="3" fillId="0" borderId="0" xfId="0" applyNumberFormat="1" applyFont="1"/>
    <xf numFmtId="5" fontId="10" fillId="0" borderId="18" xfId="0" applyNumberFormat="1" applyFont="1" applyBorder="1"/>
    <xf numFmtId="178" fontId="3" fillId="0" borderId="0" xfId="5" applyNumberFormat="1" applyFont="1" applyFill="1"/>
    <xf numFmtId="178" fontId="3" fillId="6" borderId="0" xfId="6" applyNumberFormat="1" applyFont="1" applyFill="1" applyBorder="1"/>
    <xf numFmtId="42" fontId="3" fillId="0" borderId="0" xfId="0" applyNumberFormat="1" applyFont="1" applyFill="1" applyBorder="1"/>
    <xf numFmtId="173" fontId="5" fillId="0" borderId="0" xfId="1" applyNumberFormat="1" applyFont="1"/>
    <xf numFmtId="41" fontId="5" fillId="0" borderId="1" xfId="4" applyNumberFormat="1" applyFont="1" applyFill="1" applyBorder="1" applyAlignment="1">
      <alignment horizontal="center"/>
    </xf>
    <xf numFmtId="3" fontId="5" fillId="0" borderId="0" xfId="22" applyNumberFormat="1" applyFont="1" applyBorder="1"/>
    <xf numFmtId="3" fontId="5" fillId="0" borderId="40" xfId="6" applyNumberFormat="1" applyFont="1" applyFill="1" applyBorder="1" applyAlignment="1">
      <alignment horizontal="center"/>
    </xf>
    <xf numFmtId="42" fontId="5" fillId="0" borderId="39" xfId="6" quotePrefix="1" applyNumberFormat="1" applyFont="1" applyFill="1" applyBorder="1" applyAlignment="1">
      <alignment horizontal="center"/>
    </xf>
    <xf numFmtId="10" fontId="5" fillId="0" borderId="41" xfId="7" applyNumberFormat="1" applyFont="1" applyFill="1" applyBorder="1" applyAlignment="1">
      <alignment horizontal="center"/>
    </xf>
    <xf numFmtId="10" fontId="5" fillId="7" borderId="6" xfId="7" applyNumberFormat="1" applyFont="1" applyFill="1" applyBorder="1"/>
    <xf numFmtId="5" fontId="5" fillId="0" borderId="39" xfId="6" applyNumberFormat="1" applyFont="1" applyBorder="1" applyAlignment="1">
      <alignment horizontal="center"/>
    </xf>
    <xf numFmtId="5" fontId="5" fillId="0" borderId="40" xfId="6" applyNumberFormat="1" applyFont="1" applyBorder="1" applyAlignment="1">
      <alignment horizontal="center"/>
    </xf>
    <xf numFmtId="5" fontId="3" fillId="0" borderId="0" xfId="0" applyNumberFormat="1" applyFont="1" applyFill="1"/>
    <xf numFmtId="4" fontId="13" fillId="0" borderId="19" xfId="0" applyNumberFormat="1" applyFont="1" applyFill="1" applyBorder="1" applyAlignment="1">
      <alignment horizontal="center"/>
    </xf>
    <xf numFmtId="3" fontId="13" fillId="0" borderId="20" xfId="0" applyNumberFormat="1" applyFont="1" applyFill="1" applyBorder="1"/>
    <xf numFmtId="4" fontId="13" fillId="0" borderId="22" xfId="0" applyNumberFormat="1" applyFont="1" applyFill="1" applyBorder="1" applyAlignment="1">
      <alignment horizontal="center"/>
    </xf>
    <xf numFmtId="3" fontId="13" fillId="0" borderId="0" xfId="0" applyNumberFormat="1" applyFont="1" applyFill="1" applyBorder="1"/>
    <xf numFmtId="4" fontId="13" fillId="0" borderId="24" xfId="0" applyNumberFormat="1" applyFont="1" applyFill="1" applyBorder="1" applyAlignment="1">
      <alignment horizontal="center"/>
    </xf>
    <xf numFmtId="3" fontId="13" fillId="0" borderId="25" xfId="0" applyNumberFormat="1" applyFont="1" applyFill="1" applyBorder="1"/>
    <xf numFmtId="3" fontId="5" fillId="0" borderId="1" xfId="0" quotePrefix="1" applyNumberFormat="1" applyFont="1" applyBorder="1" applyAlignment="1">
      <alignment horizontal="center"/>
    </xf>
    <xf numFmtId="173" fontId="9" fillId="0" borderId="0" xfId="0" applyNumberFormat="1" applyFont="1"/>
    <xf numFmtId="0" fontId="10" fillId="6" borderId="10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5" fontId="3" fillId="0" borderId="0" xfId="0" applyNumberFormat="1" applyFont="1" applyFill="1" applyBorder="1"/>
    <xf numFmtId="169" fontId="7" fillId="0" borderId="0" xfId="0" applyNumberFormat="1" applyFont="1"/>
    <xf numFmtId="42" fontId="9" fillId="0" borderId="0" xfId="0" applyNumberFormat="1" applyFont="1"/>
    <xf numFmtId="5" fontId="9" fillId="0" borderId="10" xfId="0" applyNumberFormat="1" applyFont="1" applyBorder="1"/>
    <xf numFmtId="0" fontId="10" fillId="0" borderId="0" xfId="0" applyFont="1" applyBorder="1" applyAlignment="1"/>
    <xf numFmtId="0" fontId="10" fillId="0" borderId="0" xfId="0" quotePrefix="1" applyFont="1" applyAlignment="1">
      <alignment horizontal="center"/>
    </xf>
    <xf numFmtId="42" fontId="9" fillId="0" borderId="0" xfId="0" applyNumberFormat="1" applyFont="1" applyBorder="1"/>
    <xf numFmtId="42" fontId="9" fillId="0" borderId="10" xfId="0" applyNumberFormat="1" applyFont="1" applyBorder="1"/>
    <xf numFmtId="5" fontId="10" fillId="0" borderId="16" xfId="0" applyNumberFormat="1" applyFont="1" applyFill="1" applyBorder="1"/>
    <xf numFmtId="0" fontId="49" fillId="0" borderId="10" xfId="0" applyFont="1" applyBorder="1" applyAlignment="1"/>
    <xf numFmtId="174" fontId="9" fillId="0" borderId="0" xfId="2" applyNumberFormat="1" applyFont="1" applyFill="1" applyBorder="1"/>
    <xf numFmtId="174" fontId="9" fillId="0" borderId="10" xfId="2" applyNumberFormat="1" applyFont="1" applyFill="1" applyBorder="1"/>
    <xf numFmtId="0" fontId="5" fillId="0" borderId="0" xfId="20" quotePrefix="1" applyFont="1" applyFill="1" applyBorder="1" applyAlignment="1">
      <alignment horizontal="right"/>
    </xf>
    <xf numFmtId="10" fontId="7" fillId="0" borderId="0" xfId="7" applyNumberFormat="1" applyFont="1" applyFill="1" applyBorder="1" applyAlignment="1">
      <alignment horizontal="right"/>
    </xf>
    <xf numFmtId="10" fontId="5" fillId="0" borderId="16" xfId="7" applyNumberFormat="1" applyFont="1" applyFill="1" applyBorder="1"/>
    <xf numFmtId="37" fontId="3" fillId="0" borderId="0" xfId="5" applyNumberFormat="1" applyFont="1" applyFill="1" applyBorder="1"/>
    <xf numFmtId="42" fontId="9" fillId="0" borderId="0" xfId="0" applyNumberFormat="1" applyFont="1" applyFill="1"/>
    <xf numFmtId="0" fontId="10" fillId="0" borderId="0" xfId="0" quotePrefix="1" applyFont="1" applyFill="1" applyAlignment="1">
      <alignment horizontal="center"/>
    </xf>
    <xf numFmtId="174" fontId="10" fillId="0" borderId="15" xfId="2" applyNumberFormat="1" applyFont="1" applyBorder="1"/>
    <xf numFmtId="5" fontId="40" fillId="0" borderId="0" xfId="0" applyNumberFormat="1" applyFont="1" applyFill="1" applyBorder="1"/>
    <xf numFmtId="0" fontId="9" fillId="0" borderId="0" xfId="20" applyFont="1" applyBorder="1" applyAlignment="1">
      <alignment horizontal="center"/>
    </xf>
    <xf numFmtId="37" fontId="3" fillId="0" borderId="0" xfId="20" applyNumberFormat="1" applyFont="1" applyFill="1"/>
    <xf numFmtId="0" fontId="10" fillId="0" borderId="0" xfId="17" applyFont="1"/>
    <xf numFmtId="0" fontId="9" fillId="0" borderId="0" xfId="17" applyFont="1"/>
    <xf numFmtId="0" fontId="18" fillId="0" borderId="10" xfId="17" applyFont="1" applyBorder="1"/>
    <xf numFmtId="0" fontId="18" fillId="0" borderId="0" xfId="17" applyFont="1"/>
    <xf numFmtId="0" fontId="10" fillId="0" borderId="0" xfId="17" applyFont="1" applyAlignment="1">
      <alignment horizontal="center"/>
    </xf>
    <xf numFmtId="0" fontId="9" fillId="0" borderId="0" xfId="17" applyFont="1" applyAlignment="1">
      <alignment horizontal="center"/>
    </xf>
    <xf numFmtId="0" fontId="9" fillId="0" borderId="0" xfId="17" applyFont="1" applyFill="1" applyBorder="1" applyAlignment="1">
      <alignment horizontal="center"/>
    </xf>
    <xf numFmtId="170" fontId="9" fillId="0" borderId="0" xfId="17" applyNumberFormat="1" applyFont="1"/>
    <xf numFmtId="0" fontId="10" fillId="0" borderId="10" xfId="17" applyFont="1" applyBorder="1"/>
    <xf numFmtId="0" fontId="10" fillId="0" borderId="10" xfId="17" applyFont="1" applyBorder="1" applyAlignment="1">
      <alignment horizontal="center"/>
    </xf>
    <xf numFmtId="0" fontId="9" fillId="0" borderId="10" xfId="17" applyFont="1" applyBorder="1" applyAlignment="1">
      <alignment horizontal="center"/>
    </xf>
    <xf numFmtId="0" fontId="9" fillId="0" borderId="0" xfId="17" applyFont="1" applyBorder="1" applyAlignment="1">
      <alignment horizontal="center"/>
    </xf>
    <xf numFmtId="9" fontId="9" fillId="0" borderId="0" xfId="17" applyNumberFormat="1" applyFont="1"/>
    <xf numFmtId="2" fontId="10" fillId="0" borderId="0" xfId="17" quotePrefix="1" applyNumberFormat="1" applyFont="1"/>
    <xf numFmtId="41" fontId="10" fillId="0" borderId="0" xfId="17" applyNumberFormat="1" applyFont="1"/>
    <xf numFmtId="2" fontId="9" fillId="0" borderId="0" xfId="17" applyNumberFormat="1" applyFont="1"/>
    <xf numFmtId="41" fontId="9" fillId="0" borderId="0" xfId="17" applyNumberFormat="1" applyFont="1"/>
    <xf numFmtId="0" fontId="65" fillId="0" borderId="0" xfId="17" applyFont="1"/>
    <xf numFmtId="41" fontId="18" fillId="0" borderId="0" xfId="17" applyNumberFormat="1" applyFont="1"/>
    <xf numFmtId="0" fontId="9" fillId="0" borderId="10" xfId="17" applyFont="1" applyBorder="1"/>
    <xf numFmtId="10" fontId="9" fillId="0" borderId="0" xfId="17" applyNumberFormat="1" applyFont="1"/>
    <xf numFmtId="179" fontId="9" fillId="0" borderId="0" xfId="17" applyNumberFormat="1" applyFont="1"/>
    <xf numFmtId="0" fontId="9" fillId="0" borderId="0" xfId="17" applyFont="1" applyAlignment="1">
      <alignment horizontal="right"/>
    </xf>
    <xf numFmtId="180" fontId="9" fillId="0" borderId="0" xfId="17" applyNumberFormat="1" applyFont="1"/>
    <xf numFmtId="41" fontId="9" fillId="0" borderId="10" xfId="17" applyNumberFormat="1" applyFont="1" applyBorder="1"/>
    <xf numFmtId="41" fontId="10" fillId="0" borderId="12" xfId="17" applyNumberFormat="1" applyFont="1" applyBorder="1"/>
    <xf numFmtId="0" fontId="9" fillId="0" borderId="0" xfId="0" applyFont="1" applyAlignment="1">
      <alignment horizontal="center"/>
    </xf>
    <xf numFmtId="0" fontId="18" fillId="0" borderId="0" xfId="17" applyFont="1" applyBorder="1"/>
    <xf numFmtId="41" fontId="9" fillId="0" borderId="0" xfId="17" applyNumberFormat="1" applyFont="1" applyBorder="1"/>
    <xf numFmtId="0" fontId="10" fillId="0" borderId="10" xfId="0" applyFont="1" applyBorder="1"/>
    <xf numFmtId="0" fontId="10" fillId="0" borderId="0" xfId="17" applyFont="1" applyBorder="1" applyAlignment="1">
      <alignment horizontal="center"/>
    </xf>
    <xf numFmtId="3" fontId="5" fillId="8" borderId="0" xfId="6" applyNumberFormat="1" applyFont="1" applyFill="1" applyAlignment="1">
      <alignment horizontal="center"/>
    </xf>
    <xf numFmtId="41" fontId="3" fillId="8" borderId="0" xfId="4" applyNumberFormat="1" applyFont="1" applyFill="1"/>
    <xf numFmtId="41" fontId="3" fillId="8" borderId="0" xfId="6" applyNumberFormat="1" applyFont="1" applyFill="1"/>
    <xf numFmtId="41" fontId="3" fillId="8" borderId="0" xfId="4" applyNumberFormat="1" applyFont="1" applyFill="1" applyBorder="1"/>
    <xf numFmtId="42" fontId="3" fillId="8" borderId="0" xfId="4" applyNumberFormat="1" applyFont="1" applyFill="1" applyBorder="1"/>
    <xf numFmtId="41" fontId="3" fillId="8" borderId="10" xfId="4" applyNumberFormat="1" applyFont="1" applyFill="1" applyBorder="1"/>
    <xf numFmtId="0" fontId="18" fillId="0" borderId="0" xfId="0" applyFont="1" applyBorder="1"/>
    <xf numFmtId="0" fontId="10" fillId="0" borderId="0" xfId="0" applyFont="1" applyBorder="1"/>
    <xf numFmtId="3" fontId="5" fillId="0" borderId="8" xfId="0" quotePrefix="1" applyNumberFormat="1" applyFont="1" applyBorder="1" applyAlignment="1">
      <alignment horizontal="center"/>
    </xf>
    <xf numFmtId="41" fontId="3" fillId="0" borderId="0" xfId="7" applyNumberFormat="1" applyFont="1" applyBorder="1"/>
    <xf numFmtId="0" fontId="58" fillId="0" borderId="0" xfId="17" applyFont="1" applyAlignment="1">
      <alignment horizontal="center"/>
    </xf>
    <xf numFmtId="0" fontId="61" fillId="0" borderId="0" xfId="17" applyFont="1" applyAlignment="1">
      <alignment horizontal="center"/>
    </xf>
    <xf numFmtId="5" fontId="9" fillId="0" borderId="0" xfId="17" applyNumberFormat="1" applyFont="1" applyBorder="1"/>
    <xf numFmtId="0" fontId="9" fillId="0" borderId="0" xfId="17" applyFont="1" applyBorder="1" applyAlignment="1">
      <alignment horizontal="center"/>
    </xf>
    <xf numFmtId="0" fontId="59" fillId="0" borderId="0" xfId="17" applyFont="1" applyAlignment="1">
      <alignment horizontal="center"/>
    </xf>
    <xf numFmtId="0" fontId="9" fillId="0" borderId="0" xfId="17" applyFont="1" applyBorder="1"/>
    <xf numFmtId="0" fontId="9" fillId="0" borderId="0" xfId="17" applyFont="1" applyAlignment="1">
      <alignment horizontal="center"/>
    </xf>
    <xf numFmtId="0" fontId="59" fillId="0" borderId="0" xfId="17" applyFont="1" applyBorder="1" applyAlignment="1">
      <alignment horizontal="center"/>
    </xf>
    <xf numFmtId="0" fontId="61" fillId="0" borderId="0" xfId="17" applyFont="1" applyBorder="1" applyAlignment="1">
      <alignment horizontal="center"/>
    </xf>
    <xf numFmtId="3" fontId="9" fillId="0" borderId="0" xfId="17" applyNumberFormat="1" applyFont="1" applyBorder="1"/>
    <xf numFmtId="37" fontId="9" fillId="0" borderId="0" xfId="17" applyNumberFormat="1" applyFont="1" applyBorder="1"/>
    <xf numFmtId="0" fontId="9" fillId="0" borderId="0" xfId="17" applyFont="1" applyAlignment="1">
      <alignment horizontal="left"/>
    </xf>
    <xf numFmtId="0" fontId="9" fillId="0" borderId="15" xfId="17" applyFont="1" applyBorder="1" applyAlignment="1">
      <alignment horizontal="center"/>
    </xf>
    <xf numFmtId="0" fontId="60" fillId="0" borderId="0" xfId="17" applyFont="1" applyBorder="1" applyAlignment="1">
      <alignment horizontal="center"/>
    </xf>
    <xf numFmtId="0" fontId="62" fillId="0" borderId="0" xfId="17" applyFont="1" applyBorder="1" applyAlignment="1">
      <alignment horizontal="center"/>
    </xf>
    <xf numFmtId="0" fontId="11" fillId="0" borderId="0" xfId="17" applyFont="1" applyBorder="1"/>
    <xf numFmtId="0" fontId="10" fillId="0" borderId="0" xfId="17" applyFont="1" applyBorder="1" applyAlignment="1">
      <alignment horizontal="left"/>
    </xf>
    <xf numFmtId="4" fontId="9" fillId="0" borderId="0" xfId="17" applyNumberFormat="1" applyFont="1" applyAlignment="1">
      <alignment horizontal="center"/>
    </xf>
    <xf numFmtId="4" fontId="9" fillId="0" borderId="0" xfId="17" applyNumberFormat="1" applyFont="1" applyAlignment="1">
      <alignment horizontal="left"/>
    </xf>
    <xf numFmtId="3" fontId="9" fillId="0" borderId="0" xfId="17" applyNumberFormat="1" applyFont="1"/>
    <xf numFmtId="37" fontId="9" fillId="0" borderId="0" xfId="17" applyNumberFormat="1" applyFont="1" applyFill="1" applyBorder="1"/>
    <xf numFmtId="0" fontId="9" fillId="0" borderId="0" xfId="17" applyFont="1" applyFill="1"/>
    <xf numFmtId="37" fontId="9" fillId="0" borderId="0" xfId="17" applyNumberFormat="1" applyFont="1"/>
    <xf numFmtId="37" fontId="9" fillId="0" borderId="0" xfId="17" applyNumberFormat="1" applyFont="1" applyFill="1"/>
    <xf numFmtId="3" fontId="9" fillId="0" borderId="0" xfId="17" applyNumberFormat="1" applyFont="1" applyFill="1"/>
    <xf numFmtId="0" fontId="9" fillId="0" borderId="0" xfId="17" applyFont="1" applyFill="1" applyAlignment="1">
      <alignment horizontal="center"/>
    </xf>
    <xf numFmtId="0" fontId="10" fillId="0" borderId="0" xfId="17" applyFont="1" applyFill="1" applyAlignment="1">
      <alignment horizontal="center"/>
    </xf>
    <xf numFmtId="4" fontId="9" fillId="0" borderId="0" xfId="17" applyNumberFormat="1" applyFont="1" applyFill="1" applyAlignment="1">
      <alignment horizontal="center"/>
    </xf>
    <xf numFmtId="4" fontId="9" fillId="0" borderId="0" xfId="17" applyNumberFormat="1" applyFont="1" applyFill="1" applyAlignment="1">
      <alignment horizontal="left"/>
    </xf>
    <xf numFmtId="5" fontId="9" fillId="0" borderId="16" xfId="17" applyNumberFormat="1" applyFont="1" applyBorder="1"/>
    <xf numFmtId="10" fontId="9" fillId="0" borderId="0" xfId="17" applyNumberFormat="1" applyFont="1" applyBorder="1" applyAlignment="1">
      <alignment horizontal="center"/>
    </xf>
    <xf numFmtId="10" fontId="18" fillId="0" borderId="0" xfId="17" applyNumberFormat="1" applyFont="1" applyAlignment="1">
      <alignment horizontal="center"/>
    </xf>
    <xf numFmtId="0" fontId="10" fillId="0" borderId="0" xfId="17" applyFont="1" applyFill="1" applyAlignment="1">
      <alignment horizontal="left"/>
    </xf>
    <xf numFmtId="0" fontId="61" fillId="0" borderId="0" xfId="17" applyFont="1"/>
    <xf numFmtId="0" fontId="59" fillId="0" borderId="0" xfId="17" applyFont="1" applyFill="1" applyAlignment="1">
      <alignment horizontal="center"/>
    </xf>
    <xf numFmtId="0" fontId="61" fillId="0" borderId="0" xfId="17" applyFont="1" applyFill="1" applyAlignment="1">
      <alignment horizontal="center"/>
    </xf>
    <xf numFmtId="3" fontId="9" fillId="0" borderId="0" xfId="17" applyNumberFormat="1" applyFont="1" applyFill="1" applyAlignment="1">
      <alignment horizontal="center"/>
    </xf>
    <xf numFmtId="3" fontId="9" fillId="0" borderId="0" xfId="17" applyNumberFormat="1" applyFont="1" applyFill="1" applyAlignment="1">
      <alignment horizontal="left"/>
    </xf>
    <xf numFmtId="0" fontId="59" fillId="0" borderId="0" xfId="17" applyFont="1" applyFill="1"/>
    <xf numFmtId="0" fontId="61" fillId="0" borderId="0" xfId="17" applyFont="1" applyFill="1"/>
    <xf numFmtId="0" fontId="9" fillId="0" borderId="0" xfId="17" applyFont="1" applyFill="1" applyBorder="1"/>
    <xf numFmtId="10" fontId="10" fillId="0" borderId="12" xfId="17" applyNumberFormat="1" applyFont="1" applyBorder="1" applyAlignment="1">
      <alignment horizontal="center"/>
    </xf>
    <xf numFmtId="0" fontId="39" fillId="0" borderId="0" xfId="17" applyFont="1" applyAlignment="1">
      <alignment horizontal="center"/>
    </xf>
    <xf numFmtId="10" fontId="9" fillId="0" borderId="0" xfId="17" applyNumberFormat="1" applyFont="1" applyAlignment="1">
      <alignment horizontal="center"/>
    </xf>
    <xf numFmtId="3" fontId="9" fillId="0" borderId="0" xfId="17" applyNumberFormat="1" applyFont="1" applyAlignment="1">
      <alignment horizontal="center"/>
    </xf>
    <xf numFmtId="3" fontId="9" fillId="0" borderId="0" xfId="17" applyNumberFormat="1" applyFont="1" applyAlignment="1">
      <alignment horizontal="left"/>
    </xf>
    <xf numFmtId="42" fontId="9" fillId="0" borderId="0" xfId="17" applyNumberFormat="1" applyFont="1"/>
    <xf numFmtId="167" fontId="5" fillId="0" borderId="0" xfId="7" applyNumberFormat="1" applyFont="1"/>
    <xf numFmtId="167" fontId="3" fillId="0" borderId="0" xfId="7" applyNumberFormat="1" applyFont="1"/>
    <xf numFmtId="3" fontId="63" fillId="8" borderId="0" xfId="6" applyNumberFormat="1" applyFont="1" applyFill="1" applyAlignment="1">
      <alignment horizontal="center"/>
    </xf>
    <xf numFmtId="3" fontId="63" fillId="8" borderId="10" xfId="6" applyNumberFormat="1" applyFont="1" applyFill="1" applyBorder="1" applyAlignment="1"/>
    <xf numFmtId="3" fontId="5" fillId="8" borderId="10" xfId="6" applyNumberFormat="1" applyFont="1" applyFill="1" applyBorder="1" applyAlignment="1"/>
    <xf numFmtId="0" fontId="4" fillId="0" borderId="0" xfId="0" quotePrefix="1" applyFont="1" applyAlignment="1">
      <alignment horizontal="centerContinuous"/>
    </xf>
    <xf numFmtId="0" fontId="57" fillId="0" borderId="0" xfId="6" applyNumberFormat="1" applyFont="1" applyAlignment="1">
      <alignment horizontal="left"/>
    </xf>
    <xf numFmtId="0" fontId="57" fillId="0" borderId="0" xfId="5" applyNumberFormat="1" applyFont="1" applyAlignment="1">
      <alignment horizontal="left"/>
    </xf>
    <xf numFmtId="10" fontId="5" fillId="0" borderId="0" xfId="7" applyNumberFormat="1" applyFont="1" applyFill="1"/>
    <xf numFmtId="0" fontId="9" fillId="0" borderId="0" xfId="0" applyFont="1" applyAlignment="1">
      <alignment horizontal="centerContinuous"/>
    </xf>
    <xf numFmtId="169" fontId="9" fillId="0" borderId="0" xfId="0" applyNumberFormat="1" applyFont="1" applyAlignment="1">
      <alignment horizontal="center"/>
    </xf>
    <xf numFmtId="0" fontId="57" fillId="0" borderId="0" xfId="6" applyNumberFormat="1" applyFont="1" applyAlignment="1">
      <alignment horizontal="center"/>
    </xf>
    <xf numFmtId="0" fontId="57" fillId="0" borderId="0" xfId="6" applyNumberFormat="1" applyFont="1" applyAlignment="1">
      <alignment horizontal="centerContinuous"/>
    </xf>
    <xf numFmtId="0" fontId="3" fillId="0" borderId="0" xfId="5" applyNumberFormat="1" applyFont="1" applyAlignment="1">
      <alignment horizontal="centerContinuous"/>
    </xf>
    <xf numFmtId="169" fontId="9" fillId="0" borderId="0" xfId="0" applyNumberFormat="1" applyFont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17" applyFont="1" applyBorder="1"/>
    <xf numFmtId="0" fontId="10" fillId="0" borderId="0" xfId="17" applyFont="1" applyFill="1" applyBorder="1"/>
    <xf numFmtId="0" fontId="9" fillId="0" borderId="10" xfId="0" applyFont="1" applyBorder="1"/>
    <xf numFmtId="0" fontId="49" fillId="0" borderId="10" xfId="0" applyFont="1" applyBorder="1"/>
    <xf numFmtId="0" fontId="18" fillId="0" borderId="0" xfId="0" applyFont="1" applyFill="1" applyBorder="1"/>
    <xf numFmtId="3" fontId="5" fillId="0" borderId="0" xfId="0" applyNumberFormat="1" applyFont="1" applyFill="1"/>
    <xf numFmtId="0" fontId="3" fillId="0" borderId="0" xfId="0" applyFont="1" applyFill="1"/>
    <xf numFmtId="0" fontId="32" fillId="5" borderId="42" xfId="0" applyFont="1" applyFill="1" applyBorder="1" applyAlignment="1">
      <alignment horizontal="left"/>
    </xf>
    <xf numFmtId="0" fontId="9" fillId="5" borderId="15" xfId="0" applyFont="1" applyFill="1" applyBorder="1"/>
    <xf numFmtId="0" fontId="31" fillId="5" borderId="15" xfId="0" applyFont="1" applyFill="1" applyBorder="1"/>
    <xf numFmtId="0" fontId="32" fillId="5" borderId="44" xfId="0" applyFont="1" applyFill="1" applyBorder="1" applyAlignment="1">
      <alignment horizontal="center"/>
    </xf>
    <xf numFmtId="37" fontId="31" fillId="5" borderId="43" xfId="5" applyNumberFormat="1" applyFont="1" applyFill="1" applyBorder="1"/>
    <xf numFmtId="37" fontId="31" fillId="5" borderId="0" xfId="5" applyNumberFormat="1" applyFont="1" applyFill="1" applyBorder="1"/>
    <xf numFmtId="0" fontId="32" fillId="5" borderId="0" xfId="0" applyFont="1" applyFill="1" applyBorder="1"/>
    <xf numFmtId="37" fontId="32" fillId="5" borderId="0" xfId="5" applyNumberFormat="1" applyFont="1" applyFill="1" applyBorder="1" applyAlignment="1">
      <alignment horizontal="center"/>
    </xf>
    <xf numFmtId="0" fontId="32" fillId="5" borderId="0" xfId="0" applyFont="1" applyFill="1" applyBorder="1" applyAlignment="1">
      <alignment horizontal="center"/>
    </xf>
    <xf numFmtId="0" fontId="32" fillId="5" borderId="45" xfId="0" applyFont="1" applyFill="1" applyBorder="1" applyAlignment="1">
      <alignment horizontal="center"/>
    </xf>
    <xf numFmtId="0" fontId="33" fillId="5" borderId="0" xfId="0" applyFont="1" applyFill="1" applyBorder="1" applyAlignment="1">
      <alignment horizontal="center"/>
    </xf>
    <xf numFmtId="0" fontId="32" fillId="5" borderId="10" xfId="0" applyFont="1" applyFill="1" applyBorder="1" applyAlignment="1">
      <alignment horizontal="center"/>
    </xf>
    <xf numFmtId="37" fontId="31" fillId="5" borderId="45" xfId="5" applyNumberFormat="1" applyFont="1" applyFill="1" applyBorder="1"/>
    <xf numFmtId="0" fontId="9" fillId="5" borderId="0" xfId="0" applyFont="1" applyFill="1" applyBorder="1"/>
    <xf numFmtId="0" fontId="9" fillId="5" borderId="45" xfId="0" applyFont="1" applyFill="1" applyBorder="1"/>
    <xf numFmtId="0" fontId="31" fillId="5" borderId="0" xfId="0" applyFont="1" applyFill="1" applyBorder="1"/>
    <xf numFmtId="167" fontId="35" fillId="5" borderId="0" xfId="7" applyNumberFormat="1" applyFont="1" applyFill="1" applyBorder="1"/>
    <xf numFmtId="10" fontId="35" fillId="5" borderId="0" xfId="7" applyNumberFormat="1" applyFont="1" applyFill="1" applyBorder="1"/>
    <xf numFmtId="10" fontId="35" fillId="5" borderId="45" xfId="7" applyNumberFormat="1" applyFont="1" applyFill="1" applyBorder="1"/>
    <xf numFmtId="10" fontId="31" fillId="5" borderId="0" xfId="7" applyNumberFormat="1" applyFont="1" applyFill="1" applyBorder="1"/>
    <xf numFmtId="10" fontId="31" fillId="5" borderId="45" xfId="7" applyNumberFormat="1" applyFont="1" applyFill="1" applyBorder="1"/>
    <xf numFmtId="37" fontId="31" fillId="5" borderId="46" xfId="5" applyNumberFormat="1" applyFont="1" applyFill="1" applyBorder="1"/>
    <xf numFmtId="0" fontId="31" fillId="5" borderId="10" xfId="0" applyFont="1" applyFill="1" applyBorder="1"/>
    <xf numFmtId="0" fontId="31" fillId="5" borderId="47" xfId="0" applyFont="1" applyFill="1" applyBorder="1"/>
    <xf numFmtId="167" fontId="35" fillId="5" borderId="10" xfId="7" applyNumberFormat="1" applyFont="1" applyFill="1" applyBorder="1"/>
    <xf numFmtId="10" fontId="35" fillId="5" borderId="10" xfId="7" applyNumberFormat="1" applyFont="1" applyFill="1" applyBorder="1"/>
    <xf numFmtId="10" fontId="31" fillId="5" borderId="12" xfId="7" applyNumberFormat="1" applyFont="1" applyFill="1" applyBorder="1"/>
    <xf numFmtId="42" fontId="5" fillId="0" borderId="0" xfId="6" applyNumberFormat="1" applyFont="1" applyFill="1" applyBorder="1" applyAlignment="1">
      <alignment horizontal="center"/>
    </xf>
    <xf numFmtId="41" fontId="5" fillId="0" borderId="0" xfId="6" applyNumberFormat="1" applyFont="1" applyFill="1" applyAlignment="1">
      <alignment horizontal="left" vertical="top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3" fillId="0" borderId="0" xfId="20" applyFont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0" fillId="0" borderId="0" xfId="5" applyNumberFormat="1" applyFont="1" applyAlignment="1">
      <alignment horizontal="center"/>
    </xf>
    <xf numFmtId="0" fontId="5" fillId="6" borderId="1" xfId="0" applyFont="1" applyFill="1" applyBorder="1" applyAlignment="1">
      <alignment horizontal="center" wrapText="1"/>
    </xf>
    <xf numFmtId="0" fontId="5" fillId="6" borderId="8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9" fillId="0" borderId="27" xfId="13" applyFont="1" applyBorder="1" applyAlignment="1">
      <alignment horizontal="center"/>
    </xf>
    <xf numFmtId="0" fontId="9" fillId="0" borderId="28" xfId="13" applyFont="1" applyBorder="1" applyAlignment="1">
      <alignment horizontal="center"/>
    </xf>
    <xf numFmtId="0" fontId="9" fillId="0" borderId="29" xfId="13" applyFont="1" applyBorder="1" applyAlignment="1">
      <alignment horizontal="center"/>
    </xf>
    <xf numFmtId="4" fontId="47" fillId="0" borderId="0" xfId="13" applyNumberFormat="1" applyFont="1" applyBorder="1" applyAlignment="1">
      <alignment horizontal="center"/>
    </xf>
    <xf numFmtId="4" fontId="10" fillId="0" borderId="0" xfId="13" applyNumberFormat="1" applyFont="1" applyBorder="1" applyAlignment="1">
      <alignment horizontal="center"/>
    </xf>
    <xf numFmtId="4" fontId="48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0" fontId="10" fillId="0" borderId="0" xfId="17" applyFont="1" applyAlignment="1">
      <alignment horizontal="center"/>
    </xf>
    <xf numFmtId="0" fontId="9" fillId="0" borderId="0" xfId="17" applyFont="1" applyBorder="1" applyAlignment="1">
      <alignment horizontal="center"/>
    </xf>
    <xf numFmtId="0" fontId="9" fillId="0" borderId="0" xfId="17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</cellXfs>
  <cellStyles count="24">
    <cellStyle name="Comma" xfId="1" builtinId="3"/>
    <cellStyle name="Comma 2" xfId="21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IDGas6_97 2" xfId="23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B7C1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01m107/2005/2005%20WA%20E%20&amp;%20G%20General%20Case/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30_ava/3046-8%20-%20UE-160228%202016%20GRC/dir/_xls/Exh.%20No.%20BGM-5%20-%20Pro%20Forma%2009.2015%20WA%20Electric%20Mode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2%20WA%20Electric%20RR%20Mode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30_ava/3046-8%20-%20UE-160228%202016%20GRC/init/I.%20UE_AVA%20Dir%20Evidence-(Feb16)/3.%20UE_AVA%20WP's%20(Feb16)/L.%20UE__Smith%20WP(AVA-Feb16)/Elec.%20WP's/Pro%20Forma%2009.2015%20WA%20Gas%20Mode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wps/5)%202016%20WA%20GRC%20-%20Misc%20-%20BO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wps/1)%20(WA%202016)%20FLB%20Forecast%20Labor%20Non-Executiv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wps/Pro%20Forma%20CAP%20SUMMARY-W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No. BGM-5"/>
      <sheetName val="Exh. No. JSS-2 -&gt;"/>
      <sheetName val="PROPOSED RATES-2017"/>
      <sheetName val="PROPOSED RATES-2008 6-months"/>
      <sheetName val="RR SUMMARY"/>
      <sheetName val="CF "/>
      <sheetName val="ADJ DETAIL-INPUT"/>
      <sheetName val="LEAD SHEETS-DO NOT ENTER"/>
      <sheetName val="ADJ SUMMARY"/>
      <sheetName val="ROO INPUT"/>
      <sheetName val="DEBT CALC"/>
      <sheetName val="COMPARISON"/>
    </sheetNames>
    <sheetDataSet>
      <sheetData sheetId="0"/>
      <sheetData sheetId="1"/>
      <sheetData sheetId="2"/>
      <sheetData sheetId="3"/>
      <sheetData sheetId="4">
        <row r="14">
          <cell r="P14">
            <v>7.6399999999999996E-2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-2017"/>
      <sheetName val="PROP0SED RATES-2018 6 Months"/>
      <sheetName val="RR SUMMARY"/>
      <sheetName val="CF"/>
      <sheetName val="ADJ DETAIL INPUT"/>
      <sheetName val="LEAD SHEETS-DO NOT ENTER"/>
      <sheetName val="ADJ SUMMARY"/>
      <sheetName val="DEBT CALC"/>
      <sheetName val="ROO INPUT"/>
      <sheetName val="Recap Summary"/>
    </sheetNames>
    <sheetDataSet>
      <sheetData sheetId="0"/>
      <sheetData sheetId="1"/>
      <sheetData sheetId="2"/>
      <sheetData sheetId="3"/>
      <sheetData sheetId="4">
        <row r="84">
          <cell r="AJ84">
            <v>-1151.2018651522692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-BOD-1"/>
      <sheetName val="MR_BOD-2"/>
      <sheetName val="MR-BOD-3"/>
      <sheetName val="MR_BOD-4"/>
      <sheetName val="MR_BOD-5"/>
      <sheetName val="Transaction Detail"/>
      <sheetName val="Macro1"/>
    </sheetNames>
    <sheetDataSet>
      <sheetData sheetId="0"/>
      <sheetData sheetId="1"/>
      <sheetData sheetId="2">
        <row r="12">
          <cell r="L12">
            <v>330473</v>
          </cell>
        </row>
        <row r="17">
          <cell r="L17">
            <v>95754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"/>
      <sheetName val="AN Electric"/>
      <sheetName val="Washington Electric"/>
      <sheetName val="Idaho Electric"/>
      <sheetName val="AN Gas"/>
      <sheetName val="Washington Gas"/>
      <sheetName val="Idaho Gas"/>
      <sheetName val="Pro-Forma Increases"/>
      <sheetName val="Total Electric Download"/>
      <sheetName val="Gas North Download"/>
    </sheetNames>
    <sheetDataSet>
      <sheetData sheetId="0"/>
      <sheetData sheetId="1"/>
      <sheetData sheetId="2">
        <row r="131">
          <cell r="K131">
            <v>840127</v>
          </cell>
        </row>
      </sheetData>
      <sheetData sheetId="3"/>
      <sheetData sheetId="4"/>
      <sheetData sheetId="5">
        <row r="83">
          <cell r="K83">
            <v>250008</v>
          </cell>
        </row>
        <row r="89">
          <cell r="L89">
            <v>7.9341819999999998</v>
          </cell>
        </row>
        <row r="90">
          <cell r="L90">
            <v>7.5600000000000001E-2</v>
          </cell>
        </row>
        <row r="91">
          <cell r="L91">
            <v>113.424026</v>
          </cell>
        </row>
        <row r="92">
          <cell r="L92">
            <v>57.988702000000004</v>
          </cell>
        </row>
        <row r="93">
          <cell r="L93">
            <v>4.4480940000000002</v>
          </cell>
        </row>
        <row r="94">
          <cell r="L94">
            <v>66.137398000000005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CAP SUMMARY"/>
      <sheetName val="G-CAP SUMMARY"/>
      <sheetName val="E-CAP16, G-CAP-16"/>
      <sheetName val="E-CAP15, G-CAP15"/>
      <sheetName val="E-PHFFU Adj"/>
    </sheetNames>
    <sheetDataSet>
      <sheetData sheetId="0">
        <row r="10">
          <cell r="D10">
            <v>325.97500308110267</v>
          </cell>
        </row>
      </sheetData>
      <sheetData sheetId="1">
        <row r="10">
          <cell r="D10">
            <v>93.75070458300317</v>
          </cell>
        </row>
        <row r="12">
          <cell r="D12">
            <v>56.651071320535543</v>
          </cell>
        </row>
        <row r="13">
          <cell r="D13">
            <v>8.6967853383406801</v>
          </cell>
        </row>
        <row r="18">
          <cell r="G18">
            <v>315.85553875812053</v>
          </cell>
        </row>
        <row r="24">
          <cell r="D24">
            <v>861.49475362092267</v>
          </cell>
        </row>
        <row r="25">
          <cell r="D25">
            <v>0</v>
          </cell>
        </row>
        <row r="26">
          <cell r="D26">
            <v>5033.8143502171133</v>
          </cell>
        </row>
        <row r="27">
          <cell r="D27">
            <v>1736.3481775547739</v>
          </cell>
        </row>
        <row r="31">
          <cell r="D31">
            <v>-189.7507045830032</v>
          </cell>
        </row>
        <row r="32">
          <cell r="D32">
            <v>0</v>
          </cell>
        </row>
        <row r="33">
          <cell r="D33">
            <v>-120.15107132053555</v>
          </cell>
        </row>
        <row r="34">
          <cell r="D34">
            <v>-40.196785338340675</v>
          </cell>
        </row>
        <row r="42">
          <cell r="D42">
            <v>-1153</v>
          </cell>
        </row>
        <row r="44">
          <cell r="G44">
            <v>-11992.012097430134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tabSelected="1" zoomScaleNormal="100" zoomScaleSheetLayoutView="70" workbookViewId="0"/>
  </sheetViews>
  <sheetFormatPr defaultRowHeight="12.75"/>
  <cols>
    <col min="1" max="1" width="1.42578125" style="688" customWidth="1"/>
    <col min="2" max="2" width="5.7109375" style="688" customWidth="1"/>
    <col min="3" max="3" width="1.42578125" style="688" customWidth="1"/>
    <col min="4" max="4" width="5.7109375" style="688" customWidth="1"/>
    <col min="5" max="5" width="1.42578125" style="688" customWidth="1"/>
    <col min="6" max="6" width="41.42578125" style="688" customWidth="1"/>
    <col min="7" max="7" width="1.42578125" style="688" customWidth="1"/>
    <col min="8" max="8" width="1.42578125" style="733" customWidth="1"/>
    <col min="9" max="9" width="10.42578125" style="688" customWidth="1"/>
    <col min="10" max="10" width="1.42578125" style="688" customWidth="1"/>
    <col min="11" max="11" width="10.42578125" style="688" customWidth="1"/>
    <col min="12" max="12" width="1.42578125" style="688" customWidth="1"/>
    <col min="13" max="13" width="10.42578125" style="688" customWidth="1"/>
    <col min="14" max="14" width="1.42578125" style="688" customWidth="1"/>
    <col min="15" max="15" width="1.42578125" style="733" customWidth="1"/>
    <col min="16" max="16" width="10.42578125" style="688" customWidth="1"/>
    <col min="17" max="17" width="1.42578125" style="688" customWidth="1"/>
    <col min="18" max="18" width="10.42578125" style="688" customWidth="1"/>
    <col min="19" max="19" width="1.42578125" style="688" customWidth="1"/>
    <col min="20" max="20" width="10.42578125" style="688" customWidth="1"/>
    <col min="21" max="21" width="1.42578125" style="688" customWidth="1"/>
    <col min="22" max="22" width="1.42578125" style="733" customWidth="1"/>
    <col min="23" max="23" width="10.42578125" style="690" customWidth="1"/>
    <col min="24" max="24" width="1.42578125" style="690" customWidth="1"/>
    <col min="25" max="25" width="10.42578125" style="690" customWidth="1"/>
    <col min="26" max="26" width="1.42578125" style="690" customWidth="1"/>
    <col min="27" max="27" width="10.42578125" style="690" customWidth="1"/>
    <col min="28" max="28" width="1.42578125" style="690" customWidth="1"/>
    <col min="29" max="29" width="10.42578125" style="690" customWidth="1"/>
    <col min="30" max="30" width="1.42578125" style="690" customWidth="1"/>
    <col min="31" max="31" width="23.42578125" style="688" customWidth="1"/>
    <col min="32" max="32" width="2.5703125" style="688" customWidth="1"/>
    <col min="33" max="33" width="21.140625" style="688" customWidth="1"/>
    <col min="34" max="36" width="11.85546875" style="688" customWidth="1"/>
    <col min="37" max="16384" width="9.140625" style="688"/>
  </cols>
  <sheetData>
    <row r="1" spans="1:38">
      <c r="A1" s="172" t="s">
        <v>624</v>
      </c>
      <c r="B1" s="687"/>
      <c r="C1" s="687"/>
      <c r="D1" s="687"/>
      <c r="E1" s="687"/>
      <c r="G1" s="792"/>
      <c r="H1" s="792"/>
      <c r="I1" s="724"/>
      <c r="J1" s="725"/>
      <c r="K1" s="725"/>
      <c r="L1" s="725"/>
      <c r="M1" s="725"/>
      <c r="N1" s="792"/>
      <c r="O1" s="792"/>
      <c r="P1" s="687"/>
      <c r="Q1" s="687"/>
      <c r="R1" s="687"/>
      <c r="S1" s="687"/>
      <c r="T1" s="687"/>
      <c r="U1" s="768"/>
      <c r="V1" s="768"/>
      <c r="W1" s="714"/>
      <c r="X1" s="714"/>
      <c r="Y1" s="714"/>
      <c r="Z1" s="714"/>
      <c r="AA1" s="714"/>
      <c r="AB1" s="714"/>
      <c r="AC1" s="714"/>
      <c r="AD1" s="714"/>
      <c r="AE1" s="733"/>
      <c r="AF1" s="687"/>
      <c r="AG1" s="714"/>
      <c r="AH1" s="714"/>
      <c r="AI1" s="714"/>
      <c r="AJ1" s="714"/>
      <c r="AK1" s="690"/>
      <c r="AL1" s="690"/>
    </row>
    <row r="2" spans="1:38">
      <c r="B2" s="687"/>
      <c r="C2" s="687"/>
      <c r="D2" s="687"/>
      <c r="E2" s="687"/>
      <c r="G2" s="792"/>
      <c r="H2" s="792"/>
      <c r="I2" s="793" t="s">
        <v>645</v>
      </c>
      <c r="J2" s="794"/>
      <c r="K2" s="794"/>
      <c r="L2" s="794"/>
      <c r="M2" s="794"/>
      <c r="N2" s="795"/>
      <c r="O2" s="725"/>
      <c r="P2" s="793" t="s">
        <v>653</v>
      </c>
      <c r="Q2" s="716"/>
      <c r="R2" s="716"/>
      <c r="S2" s="716"/>
      <c r="T2" s="716"/>
      <c r="U2" s="768"/>
      <c r="V2" s="768"/>
      <c r="W2" s="706" t="s">
        <v>652</v>
      </c>
      <c r="X2" s="689"/>
      <c r="Y2" s="689"/>
      <c r="Z2" s="689"/>
      <c r="AA2" s="689"/>
      <c r="AB2" s="689"/>
      <c r="AC2" s="689"/>
      <c r="AD2" s="714"/>
      <c r="AE2" s="733"/>
      <c r="AF2" s="687"/>
      <c r="AG2" s="689" t="s">
        <v>606</v>
      </c>
      <c r="AH2" s="689"/>
      <c r="AI2" s="689"/>
      <c r="AJ2" s="689"/>
      <c r="AK2" s="690"/>
      <c r="AL2" s="690"/>
    </row>
    <row r="3" spans="1:38">
      <c r="B3" s="687"/>
      <c r="C3" s="687"/>
      <c r="D3" s="687"/>
      <c r="E3" s="687"/>
      <c r="F3" s="687"/>
      <c r="G3" s="792"/>
      <c r="H3" s="792"/>
      <c r="I3" s="734"/>
      <c r="J3" s="734"/>
      <c r="K3" s="734"/>
      <c r="L3" s="734"/>
      <c r="M3" s="734" t="s">
        <v>607</v>
      </c>
      <c r="N3" s="768"/>
      <c r="O3" s="768"/>
      <c r="P3" s="734"/>
      <c r="Q3" s="734"/>
      <c r="R3" s="734"/>
      <c r="S3" s="734"/>
      <c r="T3" s="734" t="s">
        <v>607</v>
      </c>
      <c r="U3" s="768"/>
      <c r="V3" s="768"/>
      <c r="W3" s="734" t="s">
        <v>608</v>
      </c>
      <c r="X3" s="734"/>
      <c r="Y3" s="734"/>
      <c r="Z3" s="734"/>
      <c r="AA3" s="734"/>
      <c r="AB3" s="731"/>
      <c r="AC3" s="734" t="s">
        <v>607</v>
      </c>
      <c r="AD3" s="731"/>
      <c r="AE3" s="731"/>
      <c r="AF3" s="687"/>
    </row>
    <row r="4" spans="1:38">
      <c r="B4" s="687"/>
      <c r="C4" s="687"/>
      <c r="D4" s="691" t="s">
        <v>609</v>
      </c>
      <c r="E4" s="687"/>
      <c r="F4" s="687"/>
      <c r="G4" s="792"/>
      <c r="H4" s="792"/>
      <c r="I4" s="734" t="s">
        <v>610</v>
      </c>
      <c r="J4" s="734"/>
      <c r="K4" s="734"/>
      <c r="L4" s="734"/>
      <c r="M4" s="693" t="s">
        <v>650</v>
      </c>
      <c r="N4" s="768"/>
      <c r="O4" s="768"/>
      <c r="P4" s="734" t="s">
        <v>610</v>
      </c>
      <c r="Q4" s="734"/>
      <c r="R4" s="734"/>
      <c r="S4" s="734"/>
      <c r="T4" s="693" t="s">
        <v>650</v>
      </c>
      <c r="U4" s="768"/>
      <c r="V4" s="768"/>
      <c r="W4" s="734" t="s">
        <v>610</v>
      </c>
      <c r="X4" s="734"/>
      <c r="Y4" s="734" t="s">
        <v>610</v>
      </c>
      <c r="Z4" s="734"/>
      <c r="AA4" s="734"/>
      <c r="AB4" s="734"/>
      <c r="AC4" s="693" t="s">
        <v>650</v>
      </c>
      <c r="AD4" s="693"/>
      <c r="AE4" s="693"/>
      <c r="AF4" s="687"/>
      <c r="AG4" s="688" t="s">
        <v>611</v>
      </c>
      <c r="AH4" s="694">
        <f>+'Exh. No. BGM-6 -4'!E27</f>
        <v>0.62000299999999997</v>
      </c>
    </row>
    <row r="5" spans="1:38">
      <c r="B5" s="695" t="s">
        <v>7</v>
      </c>
      <c r="C5" s="687"/>
      <c r="D5" s="696" t="s">
        <v>612</v>
      </c>
      <c r="E5" s="687"/>
      <c r="F5" s="695" t="s">
        <v>74</v>
      </c>
      <c r="G5" s="792"/>
      <c r="H5" s="792"/>
      <c r="I5" s="697" t="s">
        <v>613</v>
      </c>
      <c r="J5" s="734"/>
      <c r="K5" s="697" t="s">
        <v>20</v>
      </c>
      <c r="L5" s="734"/>
      <c r="M5" s="697" t="s">
        <v>651</v>
      </c>
      <c r="N5" s="768"/>
      <c r="O5" s="768"/>
      <c r="P5" s="697" t="s">
        <v>613</v>
      </c>
      <c r="Q5" s="734"/>
      <c r="R5" s="697" t="s">
        <v>20</v>
      </c>
      <c r="S5" s="734"/>
      <c r="T5" s="697" t="s">
        <v>651</v>
      </c>
      <c r="U5" s="768"/>
      <c r="V5" s="768"/>
      <c r="W5" s="697" t="s">
        <v>613</v>
      </c>
      <c r="X5" s="734"/>
      <c r="Y5" s="697" t="s">
        <v>613</v>
      </c>
      <c r="Z5" s="734"/>
      <c r="AA5" s="697" t="s">
        <v>20</v>
      </c>
      <c r="AB5" s="731"/>
      <c r="AC5" s="697" t="s">
        <v>651</v>
      </c>
      <c r="AD5" s="731"/>
      <c r="AE5" s="697" t="s">
        <v>644</v>
      </c>
      <c r="AF5" s="687"/>
      <c r="AG5" s="688" t="s">
        <v>614</v>
      </c>
      <c r="AH5" s="699">
        <v>0.35</v>
      </c>
    </row>
    <row r="6" spans="1:38">
      <c r="G6" s="733"/>
    </row>
    <row r="7" spans="1:38">
      <c r="B7" s="688">
        <v>1</v>
      </c>
      <c r="D7" s="700">
        <v>1</v>
      </c>
      <c r="E7" s="687"/>
      <c r="F7" s="172" t="s">
        <v>646</v>
      </c>
      <c r="G7" s="791"/>
      <c r="H7" s="791"/>
      <c r="I7" s="701">
        <f>+INDEX('Exh. No. BGM-6 -3'!$59:$59,1,MATCH($D7,'Exh. No. BGM-6 -3'!$11:$11,1))</f>
        <v>14549</v>
      </c>
      <c r="J7" s="701"/>
      <c r="K7" s="701">
        <f>+INDEX('Exh. No. BGM-6 -3'!$82:$82,1,MATCH($D7,'Exh. No. BGM-6 -3'!$11:$11,1))</f>
        <v>259389</v>
      </c>
      <c r="L7" s="701"/>
      <c r="M7" s="701">
        <f>+($K7*$AJ$12-$I7)/$AH$4</f>
        <v>6865.6159728259436</v>
      </c>
      <c r="N7" s="687"/>
      <c r="O7" s="791"/>
      <c r="P7" s="701">
        <f>+INDEX('Exh. No. BGM-6 -3'!$59:$59,1,MATCH($D7,'Exh. No. BGM-6 -3'!$11:$11,1))</f>
        <v>14549</v>
      </c>
      <c r="Q7" s="701"/>
      <c r="R7" s="701">
        <f>+INDEX('Exh. No. BGM-6 -3'!$82:$82,1,MATCH($D7,'Exh. No. BGM-6 -3'!$11:$11,1))</f>
        <v>259389</v>
      </c>
      <c r="S7" s="701"/>
      <c r="T7" s="701">
        <f>+($R7*$AJ$12-$P7)/$AH$4</f>
        <v>6865.6159728259436</v>
      </c>
      <c r="AF7" s="687"/>
    </row>
    <row r="8" spans="1:38">
      <c r="D8" s="702"/>
      <c r="G8" s="733"/>
      <c r="I8" s="703"/>
      <c r="J8" s="703"/>
      <c r="K8" s="703"/>
      <c r="L8" s="703"/>
      <c r="M8" s="703"/>
      <c r="P8" s="703"/>
      <c r="Q8" s="703"/>
      <c r="R8" s="703"/>
      <c r="S8" s="703"/>
      <c r="T8" s="703"/>
      <c r="AG8" s="688" t="s">
        <v>616</v>
      </c>
      <c r="AH8" s="688" t="s">
        <v>139</v>
      </c>
      <c r="AJ8" s="688" t="s">
        <v>140</v>
      </c>
    </row>
    <row r="9" spans="1:38">
      <c r="B9" s="704" t="s">
        <v>615</v>
      </c>
      <c r="D9" s="702"/>
      <c r="G9" s="733"/>
      <c r="I9" s="703"/>
      <c r="J9" s="703"/>
      <c r="K9" s="703"/>
      <c r="L9" s="703"/>
      <c r="M9" s="703"/>
      <c r="P9" s="703"/>
      <c r="Q9" s="703"/>
      <c r="R9" s="703"/>
      <c r="S9" s="703"/>
      <c r="T9" s="703"/>
      <c r="AG9" s="706" t="s">
        <v>141</v>
      </c>
      <c r="AH9" s="706" t="s">
        <v>142</v>
      </c>
      <c r="AI9" s="706" t="s">
        <v>143</v>
      </c>
      <c r="AJ9" s="706" t="s">
        <v>143</v>
      </c>
    </row>
    <row r="10" spans="1:38">
      <c r="B10" s="688">
        <f ca="1">+MAX(OFFSET($B$7,0,0,ROW($B10)-ROW($B$7),1))+1</f>
        <v>2</v>
      </c>
      <c r="D10" s="702">
        <f ca="1">+MAX(OFFSET($D$7,0,0,ROW($D10)-ROW($D$7),1))+0.01</f>
        <v>1.01</v>
      </c>
      <c r="F10" s="688" t="str">
        <f ca="1">+INDEX('Exh. No. BGM-6 -3'!$8:$8&amp;" "&amp;'Exh. No. BGM-6 -3'!$9:$9&amp;" "&amp;'Exh. No. BGM-6 -3'!$10:$10,1,MATCH($D10,'Exh. No. BGM-6 -3'!$11:$11,0))</f>
        <v>Deferred  FIT Rate Base</v>
      </c>
      <c r="G10" s="733"/>
      <c r="I10" s="703">
        <v>0.497</v>
      </c>
      <c r="J10" s="703"/>
      <c r="K10" s="715">
        <v>50</v>
      </c>
      <c r="L10" s="703"/>
      <c r="M10" s="703">
        <f t="shared" ref="M10:M27" si="0">+($K10*$AJ$12-$I10)/$AH$4</f>
        <v>5.0451368783699442</v>
      </c>
      <c r="P10" s="703">
        <f t="shared" ref="P10:P27" si="1">+I10+Y10</f>
        <v>0.497</v>
      </c>
      <c r="Q10" s="703"/>
      <c r="R10" s="703">
        <f t="shared" ref="R10:R27" si="2">+K10+AA10</f>
        <v>50</v>
      </c>
      <c r="S10" s="703"/>
      <c r="T10" s="703">
        <f t="shared" ref="T10:T27" si="3">+($R10*$AJ$12-$P10)/$AH$4</f>
        <v>5.0451368783699442</v>
      </c>
      <c r="W10" s="703">
        <v>0</v>
      </c>
      <c r="X10" s="703"/>
      <c r="Y10" s="703">
        <f t="shared" ref="Y10:Y24" si="4">+W10*(1-$AH$5)</f>
        <v>0</v>
      </c>
      <c r="Z10" s="703"/>
      <c r="AA10" s="703">
        <v>0</v>
      </c>
      <c r="AB10" s="705"/>
      <c r="AC10" s="703">
        <f t="shared" ref="AC10:AC27" si="5">+($AA10*$AJ$12-$Y10)/$AH$4</f>
        <v>0</v>
      </c>
      <c r="AE10" s="688" t="s">
        <v>642</v>
      </c>
      <c r="AG10" s="688" t="s">
        <v>462</v>
      </c>
      <c r="AH10" s="688">
        <f>100%-AH11</f>
        <v>0.51500000000000001</v>
      </c>
      <c r="AI10" s="707">
        <v>5.5100000000000003E-2</v>
      </c>
      <c r="AJ10" s="157">
        <f>ROUND(AH10*AI10,4)</f>
        <v>2.8400000000000002E-2</v>
      </c>
    </row>
    <row r="11" spans="1:38">
      <c r="B11" s="688">
        <f t="shared" ref="B11:B44" ca="1" si="6">+MAX(OFFSET($B$7,0,0,ROW($B11)-ROW($B$7),1))+1</f>
        <v>3</v>
      </c>
      <c r="D11" s="702">
        <f t="shared" ref="D11:D27" ca="1" si="7">+MAX(OFFSET($D$7,0,0,ROW($D11)-ROW($D$7),1))+0.01</f>
        <v>1.02</v>
      </c>
      <c r="F11" s="688" t="str">
        <f ca="1">+INDEX('Exh. No. BGM-6 -3'!$8:$8&amp;" "&amp;'Exh. No. BGM-6 -3'!$9:$9&amp;" "&amp;'Exh. No. BGM-6 -3'!$10:$10,1,MATCH($D11,'Exh. No. BGM-6 -3'!$11:$11,0))</f>
        <v>Deferred Debits and  Credits</v>
      </c>
      <c r="G11" s="733"/>
      <c r="I11" s="703">
        <v>-0.65</v>
      </c>
      <c r="J11" s="703"/>
      <c r="K11" s="715">
        <v>0</v>
      </c>
      <c r="L11" s="703"/>
      <c r="M11" s="703">
        <f t="shared" si="0"/>
        <v>1.0483820239579487</v>
      </c>
      <c r="P11" s="703">
        <f t="shared" si="1"/>
        <v>-0.65</v>
      </c>
      <c r="Q11" s="703"/>
      <c r="R11" s="703">
        <f t="shared" si="2"/>
        <v>0</v>
      </c>
      <c r="S11" s="703"/>
      <c r="T11" s="703">
        <f t="shared" si="3"/>
        <v>1.0483820239579487</v>
      </c>
      <c r="W11" s="703">
        <v>0</v>
      </c>
      <c r="X11" s="703"/>
      <c r="Y11" s="703">
        <f t="shared" si="4"/>
        <v>0</v>
      </c>
      <c r="Z11" s="703"/>
      <c r="AA11" s="703">
        <v>0</v>
      </c>
      <c r="AB11" s="705"/>
      <c r="AC11" s="703">
        <f t="shared" si="5"/>
        <v>0</v>
      </c>
      <c r="AE11" s="688" t="s">
        <v>642</v>
      </c>
      <c r="AG11" s="688" t="s">
        <v>617</v>
      </c>
      <c r="AH11" s="688">
        <v>0.48499999999999999</v>
      </c>
      <c r="AI11" s="707">
        <v>9.0999999999999998E-2</v>
      </c>
      <c r="AJ11" s="326">
        <f>ROUND(AH11*AI11,4)</f>
        <v>4.41E-2</v>
      </c>
    </row>
    <row r="12" spans="1:38">
      <c r="B12" s="688">
        <f t="shared" ca="1" si="6"/>
        <v>4</v>
      </c>
      <c r="D12" s="702">
        <f t="shared" ca="1" si="7"/>
        <v>1.03</v>
      </c>
      <c r="F12" s="688" t="str">
        <f ca="1">+INDEX('Exh. No. BGM-6 -3'!$8:$8&amp;" "&amp;'Exh. No. BGM-6 -3'!$9:$9&amp;" "&amp;'Exh. No. BGM-6 -3'!$10:$10,1,MATCH($D12,'Exh. No. BGM-6 -3'!$11:$11,0))</f>
        <v xml:space="preserve">Working Capital </v>
      </c>
      <c r="G12" s="733"/>
      <c r="I12" s="703">
        <v>28.110319999999998</v>
      </c>
      <c r="J12" s="703"/>
      <c r="K12" s="715">
        <v>2828</v>
      </c>
      <c r="L12" s="703"/>
      <c r="M12" s="703">
        <f t="shared" si="0"/>
        <v>285.35294184060405</v>
      </c>
      <c r="P12" s="703">
        <f t="shared" si="1"/>
        <v>28.110319999999998</v>
      </c>
      <c r="Q12" s="703"/>
      <c r="R12" s="703">
        <f t="shared" si="2"/>
        <v>2828</v>
      </c>
      <c r="S12" s="703"/>
      <c r="T12" s="703">
        <f t="shared" si="3"/>
        <v>285.35294184060405</v>
      </c>
      <c r="W12" s="703">
        <v>0</v>
      </c>
      <c r="X12" s="703"/>
      <c r="Y12" s="703">
        <f t="shared" si="4"/>
        <v>0</v>
      </c>
      <c r="Z12" s="703"/>
      <c r="AA12" s="703">
        <v>0</v>
      </c>
      <c r="AB12" s="705"/>
      <c r="AC12" s="703">
        <f t="shared" si="5"/>
        <v>0</v>
      </c>
      <c r="AE12" s="688" t="s">
        <v>642</v>
      </c>
      <c r="AG12" s="688" t="s">
        <v>27</v>
      </c>
      <c r="AH12" s="708">
        <f>SUM(AH10:AH11)</f>
        <v>1</v>
      </c>
      <c r="AJ12" s="157">
        <f>SUM(AJ10:AJ11)</f>
        <v>7.2500000000000009E-2</v>
      </c>
    </row>
    <row r="13" spans="1:38">
      <c r="B13" s="688">
        <f t="shared" ca="1" si="6"/>
        <v>5</v>
      </c>
      <c r="D13" s="702">
        <v>2.0099999999999998</v>
      </c>
      <c r="F13" s="688" t="str">
        <f>+INDEX('Exh. No. BGM-6 -3'!$8:$8&amp;" "&amp;'Exh. No. BGM-6 -3'!$9:$9&amp;" "&amp;'Exh. No. BGM-6 -3'!$10:$10,1,MATCH($D13,'Exh. No. BGM-6 -3'!$11:$11,0))</f>
        <v>Eliminate  B &amp; O  Taxes</v>
      </c>
      <c r="G13" s="733"/>
      <c r="I13" s="703">
        <v>-9.1000000000000014</v>
      </c>
      <c r="J13" s="703"/>
      <c r="K13" s="715">
        <v>0</v>
      </c>
      <c r="L13" s="703"/>
      <c r="M13" s="703">
        <f t="shared" si="0"/>
        <v>14.677348335411283</v>
      </c>
      <c r="P13" s="703">
        <f t="shared" si="1"/>
        <v>-9.1000000000000014</v>
      </c>
      <c r="Q13" s="703"/>
      <c r="R13" s="703">
        <f t="shared" si="2"/>
        <v>0</v>
      </c>
      <c r="S13" s="703"/>
      <c r="T13" s="703">
        <f t="shared" si="3"/>
        <v>14.677348335411283</v>
      </c>
      <c r="W13" s="703">
        <v>0</v>
      </c>
      <c r="X13" s="703"/>
      <c r="Y13" s="703">
        <f t="shared" si="4"/>
        <v>0</v>
      </c>
      <c r="Z13" s="703"/>
      <c r="AA13" s="703">
        <v>0</v>
      </c>
      <c r="AB13" s="705"/>
      <c r="AC13" s="703">
        <f t="shared" si="5"/>
        <v>0</v>
      </c>
      <c r="AE13" s="688" t="s">
        <v>642</v>
      </c>
      <c r="AJ13" s="707"/>
    </row>
    <row r="14" spans="1:38">
      <c r="B14" s="688">
        <f t="shared" ca="1" si="6"/>
        <v>6</v>
      </c>
      <c r="D14" s="702">
        <f t="shared" ca="1" si="7"/>
        <v>2.0199999999999996</v>
      </c>
      <c r="F14" s="688" t="str">
        <f ca="1">+INDEX('Exh. No. BGM-6 -3'!$8:$8&amp;" "&amp;'Exh. No. BGM-6 -3'!$9:$9&amp;" "&amp;'Exh. No. BGM-6 -3'!$10:$10,1,MATCH($D14,'Exh. No. BGM-6 -3'!$11:$11,0))</f>
        <v>Restate Property Tax</v>
      </c>
      <c r="G14" s="733"/>
      <c r="I14" s="703">
        <v>122.2</v>
      </c>
      <c r="J14" s="703"/>
      <c r="K14" s="715">
        <v>0</v>
      </c>
      <c r="L14" s="703"/>
      <c r="M14" s="703">
        <f t="shared" si="0"/>
        <v>-197.09582050409435</v>
      </c>
      <c r="P14" s="703">
        <f t="shared" si="1"/>
        <v>122.2</v>
      </c>
      <c r="Q14" s="703"/>
      <c r="R14" s="703">
        <f t="shared" si="2"/>
        <v>0</v>
      </c>
      <c r="S14" s="703"/>
      <c r="T14" s="703">
        <f t="shared" si="3"/>
        <v>-197.09582050409435</v>
      </c>
      <c r="W14" s="703">
        <v>0</v>
      </c>
      <c r="X14" s="703"/>
      <c r="Y14" s="703">
        <f t="shared" si="4"/>
        <v>0</v>
      </c>
      <c r="Z14" s="703"/>
      <c r="AA14" s="703">
        <v>0</v>
      </c>
      <c r="AB14" s="705"/>
      <c r="AC14" s="703">
        <f t="shared" si="5"/>
        <v>0</v>
      </c>
      <c r="AE14" s="688" t="s">
        <v>642</v>
      </c>
      <c r="AI14" s="709" t="s">
        <v>618</v>
      </c>
      <c r="AJ14" s="707">
        <f>+'[3]RR SUMMARY'!P14</f>
        <v>7.6399999999999996E-2</v>
      </c>
    </row>
    <row r="15" spans="1:38">
      <c r="B15" s="688">
        <f t="shared" ca="1" si="6"/>
        <v>7</v>
      </c>
      <c r="D15" s="702">
        <f t="shared" ca="1" si="7"/>
        <v>2.0299999999999994</v>
      </c>
      <c r="F15" s="688" t="str">
        <f ca="1">+INDEX('Exh. No. BGM-6 -3'!$8:$8&amp;" "&amp;'Exh. No. BGM-6 -3'!$9:$9&amp;" "&amp;'Exh. No. BGM-6 -3'!$10:$10,1,MATCH($D15,'Exh. No. BGM-6 -3'!$11:$11,0))</f>
        <v xml:space="preserve">Uncollectible Expense </v>
      </c>
      <c r="G15" s="733"/>
      <c r="I15" s="703">
        <v>203.45</v>
      </c>
      <c r="J15" s="703"/>
      <c r="K15" s="715">
        <v>0</v>
      </c>
      <c r="L15" s="703"/>
      <c r="M15" s="703">
        <f t="shared" si="0"/>
        <v>-328.1435734988379</v>
      </c>
      <c r="P15" s="703">
        <f t="shared" si="1"/>
        <v>203.45</v>
      </c>
      <c r="Q15" s="703"/>
      <c r="R15" s="703">
        <f t="shared" si="2"/>
        <v>0</v>
      </c>
      <c r="S15" s="703"/>
      <c r="T15" s="703">
        <f t="shared" si="3"/>
        <v>-328.1435734988379</v>
      </c>
      <c r="W15" s="703">
        <v>0</v>
      </c>
      <c r="X15" s="703"/>
      <c r="Y15" s="703">
        <f t="shared" si="4"/>
        <v>0</v>
      </c>
      <c r="Z15" s="703"/>
      <c r="AA15" s="703">
        <v>0</v>
      </c>
      <c r="AB15" s="705"/>
      <c r="AC15" s="703">
        <f t="shared" si="5"/>
        <v>0</v>
      </c>
      <c r="AE15" s="688" t="s">
        <v>642</v>
      </c>
      <c r="AI15" s="709"/>
      <c r="AJ15" s="707"/>
    </row>
    <row r="16" spans="1:38">
      <c r="B16" s="688">
        <f t="shared" ca="1" si="6"/>
        <v>8</v>
      </c>
      <c r="D16" s="702">
        <f t="shared" ca="1" si="7"/>
        <v>2.0399999999999991</v>
      </c>
      <c r="F16" s="688" t="str">
        <f ca="1">+INDEX('Exh. No. BGM-6 -3'!$8:$8&amp;" "&amp;'Exh. No. BGM-6 -3'!$9:$9&amp;" "&amp;'Exh. No. BGM-6 -3'!$10:$10,1,MATCH($D16,'Exh. No. BGM-6 -3'!$11:$11,0))</f>
        <v xml:space="preserve">Regulatory Expense </v>
      </c>
      <c r="G16" s="733"/>
      <c r="I16" s="703">
        <v>7.8000000000000007</v>
      </c>
      <c r="J16" s="703"/>
      <c r="K16" s="715">
        <v>0</v>
      </c>
      <c r="L16" s="703"/>
      <c r="M16" s="703">
        <f t="shared" si="0"/>
        <v>-12.580584287495386</v>
      </c>
      <c r="P16" s="703">
        <f t="shared" si="1"/>
        <v>7.8000000000000007</v>
      </c>
      <c r="Q16" s="703"/>
      <c r="R16" s="703">
        <f t="shared" si="2"/>
        <v>0</v>
      </c>
      <c r="S16" s="703"/>
      <c r="T16" s="703">
        <f t="shared" si="3"/>
        <v>-12.580584287495386</v>
      </c>
      <c r="W16" s="703">
        <v>0</v>
      </c>
      <c r="X16" s="703"/>
      <c r="Y16" s="703">
        <f t="shared" si="4"/>
        <v>0</v>
      </c>
      <c r="Z16" s="703"/>
      <c r="AA16" s="703">
        <v>0</v>
      </c>
      <c r="AB16" s="705"/>
      <c r="AC16" s="703">
        <f t="shared" si="5"/>
        <v>0</v>
      </c>
      <c r="AE16" s="688" t="s">
        <v>642</v>
      </c>
      <c r="AI16" s="709" t="s">
        <v>619</v>
      </c>
      <c r="AJ16" s="703">
        <f>+K44</f>
        <v>286493</v>
      </c>
    </row>
    <row r="17" spans="2:38">
      <c r="B17" s="688">
        <f t="shared" ca="1" si="6"/>
        <v>9</v>
      </c>
      <c r="D17" s="702">
        <f t="shared" ca="1" si="7"/>
        <v>2.0499999999999989</v>
      </c>
      <c r="F17" s="688" t="str">
        <f ca="1">+INDEX('Exh. No. BGM-6 -3'!$8:$8&amp;" "&amp;'Exh. No. BGM-6 -3'!$9:$9&amp;" "&amp;'Exh. No. BGM-6 -3'!$10:$10,1,MATCH($D17,'Exh. No. BGM-6 -3'!$11:$11,0))</f>
        <v>Injuries and  Damages</v>
      </c>
      <c r="G17" s="733"/>
      <c r="I17" s="703">
        <v>-150.15</v>
      </c>
      <c r="J17" s="703"/>
      <c r="K17" s="715">
        <v>0</v>
      </c>
      <c r="L17" s="703"/>
      <c r="M17" s="703">
        <f t="shared" si="0"/>
        <v>242.17624753428615</v>
      </c>
      <c r="P17" s="703">
        <f t="shared" si="1"/>
        <v>-150.15</v>
      </c>
      <c r="Q17" s="703"/>
      <c r="R17" s="703">
        <f t="shared" si="2"/>
        <v>0</v>
      </c>
      <c r="S17" s="703"/>
      <c r="T17" s="703">
        <f t="shared" si="3"/>
        <v>242.17624753428615</v>
      </c>
      <c r="W17" s="703">
        <v>0</v>
      </c>
      <c r="X17" s="703"/>
      <c r="Y17" s="703">
        <f t="shared" si="4"/>
        <v>0</v>
      </c>
      <c r="Z17" s="703"/>
      <c r="AA17" s="703">
        <v>0</v>
      </c>
      <c r="AB17" s="705"/>
      <c r="AC17" s="703">
        <f t="shared" si="5"/>
        <v>0</v>
      </c>
      <c r="AE17" s="688" t="s">
        <v>642</v>
      </c>
      <c r="AI17" s="709"/>
    </row>
    <row r="18" spans="2:38">
      <c r="B18" s="688">
        <f t="shared" ca="1" si="6"/>
        <v>10</v>
      </c>
      <c r="D18" s="702">
        <f t="shared" ca="1" si="7"/>
        <v>2.0599999999999987</v>
      </c>
      <c r="F18" s="688" t="str">
        <f ca="1">+INDEX('Exh. No. BGM-6 -3'!$8:$8&amp;" "&amp;'Exh. No. BGM-6 -3'!$9:$9&amp;" "&amp;'Exh. No. BGM-6 -3'!$10:$10,1,MATCH($D18,'Exh. No. BGM-6 -3'!$11:$11,0))</f>
        <v>FIT /  DFIT  Expense</v>
      </c>
      <c r="G18" s="733"/>
      <c r="I18" s="703">
        <v>223</v>
      </c>
      <c r="J18" s="703"/>
      <c r="K18" s="715">
        <v>0</v>
      </c>
      <c r="L18" s="703"/>
      <c r="M18" s="703">
        <f t="shared" si="0"/>
        <v>-359.67567898865008</v>
      </c>
      <c r="P18" s="703">
        <f t="shared" si="1"/>
        <v>223</v>
      </c>
      <c r="Q18" s="703"/>
      <c r="R18" s="703">
        <f t="shared" si="2"/>
        <v>0</v>
      </c>
      <c r="S18" s="703"/>
      <c r="T18" s="703">
        <f t="shared" si="3"/>
        <v>-359.67567898865008</v>
      </c>
      <c r="W18" s="703">
        <v>0</v>
      </c>
      <c r="X18" s="703"/>
      <c r="Y18" s="703">
        <f t="shared" si="4"/>
        <v>0</v>
      </c>
      <c r="Z18" s="703"/>
      <c r="AA18" s="703">
        <v>0</v>
      </c>
      <c r="AB18" s="705"/>
      <c r="AC18" s="703">
        <f t="shared" si="5"/>
        <v>0</v>
      </c>
      <c r="AE18" s="688" t="s">
        <v>642</v>
      </c>
      <c r="AI18" s="709" t="s">
        <v>620</v>
      </c>
      <c r="AJ18" s="710">
        <f>-((AJ16*AJ14)-(AJ16*AJ12))/AH4</f>
        <v>-1802.1246671386969</v>
      </c>
    </row>
    <row r="19" spans="2:38">
      <c r="B19" s="688">
        <f t="shared" ca="1" si="6"/>
        <v>11</v>
      </c>
      <c r="D19" s="702">
        <f t="shared" ca="1" si="7"/>
        <v>2.0699999999999985</v>
      </c>
      <c r="F19" s="688" t="str">
        <f ca="1">+INDEX('Exh. No. BGM-6 -3'!$8:$8&amp;" "&amp;'Exh. No. BGM-6 -3'!$9:$9&amp;" "&amp;'Exh. No. BGM-6 -3'!$10:$10,1,MATCH($D19,'Exh. No. BGM-6 -3'!$11:$11,0))</f>
        <v>Office Space Charges to Subs</v>
      </c>
      <c r="G19" s="733"/>
      <c r="I19" s="703">
        <v>5.85</v>
      </c>
      <c r="J19" s="703"/>
      <c r="K19" s="715">
        <v>0</v>
      </c>
      <c r="L19" s="703"/>
      <c r="M19" s="703">
        <f t="shared" si="0"/>
        <v>-9.4354382156215379</v>
      </c>
      <c r="P19" s="703">
        <f t="shared" si="1"/>
        <v>5.85</v>
      </c>
      <c r="Q19" s="703"/>
      <c r="R19" s="703">
        <f t="shared" si="2"/>
        <v>0</v>
      </c>
      <c r="S19" s="703"/>
      <c r="T19" s="703">
        <f t="shared" si="3"/>
        <v>-9.4354382156215379</v>
      </c>
      <c r="W19" s="703">
        <v>0</v>
      </c>
      <c r="X19" s="703"/>
      <c r="Y19" s="703">
        <f t="shared" si="4"/>
        <v>0</v>
      </c>
      <c r="Z19" s="703"/>
      <c r="AA19" s="703">
        <v>0</v>
      </c>
      <c r="AB19" s="705"/>
      <c r="AC19" s="703">
        <f t="shared" si="5"/>
        <v>0</v>
      </c>
      <c r="AE19" s="688" t="s">
        <v>642</v>
      </c>
      <c r="AI19" s="709"/>
      <c r="AJ19" s="710"/>
    </row>
    <row r="20" spans="2:38">
      <c r="B20" s="688">
        <f t="shared" ca="1" si="6"/>
        <v>12</v>
      </c>
      <c r="D20" s="702">
        <f t="shared" ca="1" si="7"/>
        <v>2.0799999999999983</v>
      </c>
      <c r="F20" s="688" t="str">
        <f ca="1">+INDEX('Exh. No. BGM-6 -3'!$8:$8&amp;" "&amp;'Exh. No. BGM-6 -3'!$9:$9&amp;" "&amp;'Exh. No. BGM-6 -3'!$10:$10,1,MATCH($D20,'Exh. No. BGM-6 -3'!$11:$11,0))</f>
        <v>Restate Excise Taxes</v>
      </c>
      <c r="G20" s="733"/>
      <c r="I20" s="703">
        <v>3.25</v>
      </c>
      <c r="J20" s="703"/>
      <c r="K20" s="715">
        <v>0</v>
      </c>
      <c r="L20" s="703"/>
      <c r="M20" s="703">
        <f t="shared" si="0"/>
        <v>-5.2419101197897433</v>
      </c>
      <c r="P20" s="703">
        <f t="shared" si="1"/>
        <v>3.25</v>
      </c>
      <c r="Q20" s="703"/>
      <c r="R20" s="703">
        <f t="shared" si="2"/>
        <v>0</v>
      </c>
      <c r="S20" s="703"/>
      <c r="T20" s="703">
        <f t="shared" si="3"/>
        <v>-5.2419101197897433</v>
      </c>
      <c r="W20" s="703">
        <v>0</v>
      </c>
      <c r="X20" s="703"/>
      <c r="Y20" s="703">
        <f t="shared" si="4"/>
        <v>0</v>
      </c>
      <c r="Z20" s="703"/>
      <c r="AA20" s="703">
        <v>0</v>
      </c>
      <c r="AB20" s="705"/>
      <c r="AC20" s="703">
        <f t="shared" si="5"/>
        <v>0</v>
      </c>
      <c r="AE20" s="688" t="s">
        <v>642</v>
      </c>
      <c r="AI20" s="709" t="s">
        <v>86</v>
      </c>
      <c r="AJ20" s="710">
        <f>(M44-'[5]ADJ DETAIL INPUT'!$AJ$84)</f>
        <v>-1802.1246671386969</v>
      </c>
    </row>
    <row r="21" spans="2:38">
      <c r="B21" s="688">
        <f t="shared" ca="1" si="6"/>
        <v>13</v>
      </c>
      <c r="D21" s="702">
        <f t="shared" ca="1" si="7"/>
        <v>2.0899999999999981</v>
      </c>
      <c r="F21" s="688" t="str">
        <f ca="1">+INDEX('Exh. No. BGM-6 -3'!$8:$8&amp;" "&amp;'Exh. No. BGM-6 -3'!$9:$9&amp;" "&amp;'Exh. No. BGM-6 -3'!$10:$10,1,MATCH($D21,'Exh. No. BGM-6 -3'!$11:$11,0))</f>
        <v xml:space="preserve">Net Gains/Losses </v>
      </c>
      <c r="G21" s="733"/>
      <c r="I21" s="703">
        <v>3.9000000000000004</v>
      </c>
      <c r="J21" s="703"/>
      <c r="K21" s="715">
        <v>0</v>
      </c>
      <c r="L21" s="703"/>
      <c r="M21" s="703">
        <f t="shared" si="0"/>
        <v>-6.2902921437476929</v>
      </c>
      <c r="P21" s="703">
        <f t="shared" si="1"/>
        <v>3.9000000000000004</v>
      </c>
      <c r="Q21" s="703"/>
      <c r="R21" s="703">
        <f t="shared" si="2"/>
        <v>0</v>
      </c>
      <c r="S21" s="703"/>
      <c r="T21" s="703">
        <f t="shared" si="3"/>
        <v>-6.2902921437476929</v>
      </c>
      <c r="W21" s="703">
        <v>0</v>
      </c>
      <c r="X21" s="703"/>
      <c r="Y21" s="703">
        <f t="shared" si="4"/>
        <v>0</v>
      </c>
      <c r="Z21" s="703"/>
      <c r="AA21" s="703">
        <v>0</v>
      </c>
      <c r="AB21" s="705"/>
      <c r="AC21" s="703">
        <f t="shared" si="5"/>
        <v>0</v>
      </c>
      <c r="AE21" s="688" t="s">
        <v>642</v>
      </c>
    </row>
    <row r="22" spans="2:38">
      <c r="B22" s="688">
        <f t="shared" ca="1" si="6"/>
        <v>14</v>
      </c>
      <c r="D22" s="702">
        <f t="shared" ca="1" si="7"/>
        <v>2.0999999999999979</v>
      </c>
      <c r="F22" s="688" t="str">
        <f ca="1">+INDEX('Exh. No. BGM-6 -3'!$8:$8&amp;" "&amp;'Exh. No. BGM-6 -3'!$9:$9&amp;" "&amp;'Exh. No. BGM-6 -3'!$10:$10,1,MATCH($D22,'Exh. No. BGM-6 -3'!$11:$11,0))</f>
        <v>Weather  Normalization / Gas Cost Adjust</v>
      </c>
      <c r="G22" s="733"/>
      <c r="I22" s="703">
        <v>1154.4000000000001</v>
      </c>
      <c r="J22" s="703"/>
      <c r="K22" s="715">
        <v>0</v>
      </c>
      <c r="L22" s="703"/>
      <c r="M22" s="703">
        <f t="shared" si="0"/>
        <v>-1861.9264745493169</v>
      </c>
      <c r="P22" s="703">
        <f t="shared" si="1"/>
        <v>1154.4000000000001</v>
      </c>
      <c r="Q22" s="703"/>
      <c r="R22" s="703">
        <f t="shared" si="2"/>
        <v>0</v>
      </c>
      <c r="S22" s="703"/>
      <c r="T22" s="703">
        <f t="shared" si="3"/>
        <v>-1861.9264745493169</v>
      </c>
      <c r="W22" s="703">
        <v>0</v>
      </c>
      <c r="X22" s="703"/>
      <c r="Y22" s="703">
        <f t="shared" si="4"/>
        <v>0</v>
      </c>
      <c r="Z22" s="703"/>
      <c r="AA22" s="703">
        <v>0</v>
      </c>
      <c r="AB22" s="705"/>
      <c r="AC22" s="703">
        <f t="shared" si="5"/>
        <v>0</v>
      </c>
      <c r="AE22" s="688" t="s">
        <v>642</v>
      </c>
    </row>
    <row r="23" spans="2:38">
      <c r="B23" s="688">
        <f t="shared" ca="1" si="6"/>
        <v>15</v>
      </c>
      <c r="D23" s="702">
        <f t="shared" ca="1" si="7"/>
        <v>2.1099999999999977</v>
      </c>
      <c r="F23" s="688" t="str">
        <f ca="1">+INDEX('Exh. No. BGM-6 -3'!$8:$8&amp;" "&amp;'Exh. No. BGM-6 -3'!$9:$9&amp;" "&amp;'Exh. No. BGM-6 -3'!$10:$10,1,MATCH($D23,'Exh. No. BGM-6 -3'!$11:$11,0))</f>
        <v>Eliminate Adder Schedules</v>
      </c>
      <c r="G23" s="733"/>
      <c r="I23" s="703">
        <v>0</v>
      </c>
      <c r="J23" s="703"/>
      <c r="K23" s="715">
        <v>0</v>
      </c>
      <c r="L23" s="703"/>
      <c r="M23" s="703">
        <f t="shared" si="0"/>
        <v>0</v>
      </c>
      <c r="P23" s="703">
        <f t="shared" si="1"/>
        <v>0</v>
      </c>
      <c r="Q23" s="703"/>
      <c r="R23" s="703">
        <f t="shared" si="2"/>
        <v>0</v>
      </c>
      <c r="S23" s="703"/>
      <c r="T23" s="703">
        <f t="shared" si="3"/>
        <v>0</v>
      </c>
      <c r="W23" s="703">
        <v>0</v>
      </c>
      <c r="X23" s="703"/>
      <c r="Y23" s="703">
        <f t="shared" si="4"/>
        <v>0</v>
      </c>
      <c r="Z23" s="703"/>
      <c r="AA23" s="703">
        <v>0</v>
      </c>
      <c r="AB23" s="705"/>
      <c r="AC23" s="703">
        <f t="shared" si="5"/>
        <v>0</v>
      </c>
      <c r="AE23" s="688" t="s">
        <v>642</v>
      </c>
    </row>
    <row r="24" spans="2:38">
      <c r="B24" s="688">
        <f t="shared" ca="1" si="6"/>
        <v>16</v>
      </c>
      <c r="D24" s="702">
        <f t="shared" ca="1" si="7"/>
        <v>2.1199999999999974</v>
      </c>
      <c r="F24" s="688" t="str">
        <f ca="1">+INDEX('Exh. No. BGM-6 -3'!$8:$8&amp;" "&amp;'Exh. No. BGM-6 -3'!$9:$9&amp;" "&amp;'Exh. No. BGM-6 -3'!$10:$10,1,MATCH($D24,'Exh. No. BGM-6 -3'!$11:$11,0))</f>
        <v>Misc Restating Adjustments</v>
      </c>
      <c r="G24" s="733"/>
      <c r="I24" s="703">
        <v>144.30000000000001</v>
      </c>
      <c r="J24" s="703"/>
      <c r="K24" s="715">
        <v>0</v>
      </c>
      <c r="L24" s="703"/>
      <c r="M24" s="703">
        <f t="shared" si="0"/>
        <v>-232.74080931866462</v>
      </c>
      <c r="P24" s="703">
        <f t="shared" si="1"/>
        <v>206.54010000000002</v>
      </c>
      <c r="Q24" s="703"/>
      <c r="R24" s="703">
        <f t="shared" si="2"/>
        <v>0</v>
      </c>
      <c r="S24" s="703"/>
      <c r="T24" s="703">
        <f t="shared" si="3"/>
        <v>-333.12758164073404</v>
      </c>
      <c r="W24" s="703">
        <f>+'[6]MR-BOD-3'!$L$17/1000</f>
        <v>95.754000000000005</v>
      </c>
      <c r="X24" s="703"/>
      <c r="Y24" s="703">
        <f t="shared" si="4"/>
        <v>62.240100000000005</v>
      </c>
      <c r="Z24" s="703"/>
      <c r="AA24" s="703">
        <v>0</v>
      </c>
      <c r="AB24" s="705"/>
      <c r="AC24" s="703">
        <f t="shared" si="5"/>
        <v>-100.38677232206942</v>
      </c>
      <c r="AE24" s="536" t="s">
        <v>643</v>
      </c>
    </row>
    <row r="25" spans="2:38">
      <c r="B25" s="688">
        <f t="shared" ca="1" si="6"/>
        <v>17</v>
      </c>
      <c r="D25" s="702">
        <f t="shared" ca="1" si="7"/>
        <v>2.1299999999999972</v>
      </c>
      <c r="F25" s="688" t="str">
        <f ca="1">+INDEX('Exh. No. BGM-6 -3'!$8:$8&amp;" "&amp;'Exh. No. BGM-6 -3'!$9:$9&amp;" "&amp;'Exh. No. BGM-6 -3'!$10:$10,1,MATCH($D25,'Exh. No. BGM-6 -3'!$11:$11,0))</f>
        <v>Restate Debt Interest</v>
      </c>
      <c r="G25" s="733"/>
      <c r="I25" s="703">
        <v>86</v>
      </c>
      <c r="J25" s="703"/>
      <c r="K25" s="715">
        <v>0</v>
      </c>
      <c r="L25" s="703"/>
      <c r="M25" s="703">
        <f t="shared" si="0"/>
        <v>-138.70900624674397</v>
      </c>
      <c r="P25" s="703">
        <f t="shared" si="1"/>
        <v>205.20060024845552</v>
      </c>
      <c r="Q25" s="703"/>
      <c r="R25" s="703">
        <f t="shared" si="2"/>
        <v>0</v>
      </c>
      <c r="S25" s="703"/>
      <c r="T25" s="703">
        <f t="shared" si="3"/>
        <v>-330.96710862440267</v>
      </c>
      <c r="W25" s="703">
        <v>0</v>
      </c>
      <c r="X25" s="703"/>
      <c r="Y25" s="703">
        <f>+-SUM($AA$10:$AA$24,$AA$26:$AA$27,$AA$32:$AA$42)*$AJ$10*$AH$5</f>
        <v>119.20060024845552</v>
      </c>
      <c r="Z25" s="703"/>
      <c r="AA25" s="703">
        <v>0</v>
      </c>
      <c r="AB25" s="705"/>
      <c r="AC25" s="703">
        <f t="shared" si="5"/>
        <v>-192.2581023776587</v>
      </c>
      <c r="AE25" s="536" t="s">
        <v>643</v>
      </c>
    </row>
    <row r="26" spans="2:38">
      <c r="B26" s="688">
        <f t="shared" ca="1" si="6"/>
        <v>18</v>
      </c>
      <c r="D26" s="702">
        <f t="shared" ca="1" si="7"/>
        <v>2.139999999999997</v>
      </c>
      <c r="F26" s="688" t="str">
        <f ca="1">+INDEX('Exh. No. BGM-6 -3'!$8:$8&amp;" "&amp;'Exh. No. BGM-6 -3'!$9:$9&amp;" "&amp;'Exh. No. BGM-6 -3'!$10:$10,1,MATCH($D26,'Exh. No. BGM-6 -3'!$11:$11,0))</f>
        <v>Restating Incentive Adjustment</v>
      </c>
      <c r="G26" s="733"/>
      <c r="I26" s="703">
        <v>317.85000000000002</v>
      </c>
      <c r="J26" s="703"/>
      <c r="K26" s="715">
        <v>0</v>
      </c>
      <c r="L26" s="703"/>
      <c r="M26" s="703">
        <f t="shared" si="0"/>
        <v>-512.65880971543697</v>
      </c>
      <c r="P26" s="703">
        <f t="shared" si="1"/>
        <v>317.85000000000002</v>
      </c>
      <c r="Q26" s="703"/>
      <c r="R26" s="703">
        <f t="shared" si="2"/>
        <v>0</v>
      </c>
      <c r="S26" s="703"/>
      <c r="T26" s="703">
        <f t="shared" si="3"/>
        <v>-512.65880971543697</v>
      </c>
      <c r="W26" s="703">
        <v>0</v>
      </c>
      <c r="X26" s="703"/>
      <c r="Y26" s="703">
        <v>0</v>
      </c>
      <c r="Z26" s="703"/>
      <c r="AA26" s="703">
        <v>0</v>
      </c>
      <c r="AB26" s="705"/>
      <c r="AC26" s="703">
        <f t="shared" si="5"/>
        <v>0</v>
      </c>
      <c r="AE26" s="536" t="s">
        <v>642</v>
      </c>
    </row>
    <row r="27" spans="2:38">
      <c r="B27" s="688">
        <f t="shared" ca="1" si="6"/>
        <v>19</v>
      </c>
      <c r="D27" s="702">
        <f t="shared" ca="1" si="7"/>
        <v>2.1499999999999968</v>
      </c>
      <c r="F27" s="688" t="str">
        <f ca="1">+INDEX('Exh. No. BGM-6 -3'!$8:$8&amp;" "&amp;'Exh. No. BGM-6 -3'!$9:$9&amp;" "&amp;'Exh. No. BGM-6 -3'!$10:$10,1,MATCH($D27,'Exh. No. BGM-6 -3'!$11:$11,0))</f>
        <v>Project  Compass Deferral</v>
      </c>
      <c r="G27" s="733"/>
      <c r="I27" s="711">
        <v>978.25</v>
      </c>
      <c r="J27" s="703"/>
      <c r="K27" s="711">
        <v>0</v>
      </c>
      <c r="L27" s="703"/>
      <c r="M27" s="711">
        <f t="shared" si="0"/>
        <v>-1577.8149460567126</v>
      </c>
      <c r="P27" s="711">
        <f t="shared" si="1"/>
        <v>978.25</v>
      </c>
      <c r="Q27" s="703"/>
      <c r="R27" s="711">
        <f t="shared" si="2"/>
        <v>0</v>
      </c>
      <c r="S27" s="703"/>
      <c r="T27" s="711">
        <f t="shared" si="3"/>
        <v>-1577.8149460567126</v>
      </c>
      <c r="W27" s="711">
        <v>0</v>
      </c>
      <c r="X27" s="703"/>
      <c r="Y27" s="711">
        <f>+W27*(1-$AH$5)</f>
        <v>0</v>
      </c>
      <c r="Z27" s="703"/>
      <c r="AA27" s="711">
        <v>0</v>
      </c>
      <c r="AB27" s="705"/>
      <c r="AC27" s="711">
        <f t="shared" si="5"/>
        <v>0</v>
      </c>
      <c r="AE27" s="536" t="s">
        <v>642</v>
      </c>
    </row>
    <row r="28" spans="2:38">
      <c r="C28" s="687"/>
      <c r="D28" s="687"/>
      <c r="E28" s="687"/>
      <c r="F28" s="687"/>
      <c r="G28" s="791"/>
      <c r="H28" s="791"/>
      <c r="I28" s="701"/>
      <c r="J28" s="701"/>
      <c r="K28" s="701"/>
      <c r="L28" s="701"/>
      <c r="M28" s="703"/>
      <c r="N28" s="687"/>
      <c r="O28" s="791"/>
      <c r="P28" s="701"/>
      <c r="Q28" s="701"/>
      <c r="R28" s="701"/>
      <c r="S28" s="701"/>
      <c r="T28" s="703"/>
      <c r="W28" s="701"/>
      <c r="X28" s="688"/>
      <c r="Y28" s="701"/>
      <c r="Z28" s="701"/>
      <c r="AA28" s="701"/>
      <c r="AB28" s="701"/>
      <c r="AC28" s="703"/>
      <c r="AF28" s="687"/>
    </row>
    <row r="29" spans="2:38">
      <c r="B29" s="688">
        <f t="shared" ca="1" si="6"/>
        <v>20</v>
      </c>
      <c r="C29" s="687"/>
      <c r="D29" s="687"/>
      <c r="E29" s="687"/>
      <c r="F29" s="687" t="s">
        <v>621</v>
      </c>
      <c r="G29" s="791"/>
      <c r="H29" s="791"/>
      <c r="I29" s="701">
        <f>+SUM(I$7:I$28)</f>
        <v>17667.957319999998</v>
      </c>
      <c r="J29" s="701"/>
      <c r="K29" s="701">
        <f>+SUM(K$7:K$28)</f>
        <v>262267</v>
      </c>
      <c r="L29" s="701"/>
      <c r="M29" s="701">
        <f>+($K29*$AJ$12-$I29)/$AH$4</f>
        <v>2171.6026857934626</v>
      </c>
      <c r="N29" s="687"/>
      <c r="O29" s="791"/>
      <c r="P29" s="701">
        <f>+SUM(P$7:P$28)</f>
        <v>17849.398020248453</v>
      </c>
      <c r="Q29" s="701"/>
      <c r="R29" s="701">
        <f>+SUM(R$7:R$28)</f>
        <v>262267</v>
      </c>
      <c r="S29" s="701"/>
      <c r="T29" s="701">
        <f>+($R29*$AJ$12-$P29)/$AH$4</f>
        <v>1878.9578110937355</v>
      </c>
      <c r="W29" s="701">
        <f>+SUM(W$7:W$27)</f>
        <v>95.754000000000005</v>
      </c>
      <c r="X29" s="701"/>
      <c r="Y29" s="701">
        <f>+SUM(Y$7:Y$27)</f>
        <v>181.44070024845553</v>
      </c>
      <c r="Z29" s="701"/>
      <c r="AA29" s="701">
        <f>+SUM(AA$7:AA$27)</f>
        <v>0</v>
      </c>
      <c r="AB29" s="701"/>
      <c r="AC29" s="701">
        <f>+SUM(AC$7:AC$27)</f>
        <v>-292.64487469972812</v>
      </c>
      <c r="AF29" s="687"/>
    </row>
    <row r="30" spans="2:38">
      <c r="G30" s="733"/>
      <c r="W30" s="688"/>
      <c r="X30" s="688"/>
      <c r="Y30" s="688"/>
      <c r="Z30" s="688"/>
      <c r="AA30" s="688"/>
    </row>
    <row r="31" spans="2:38">
      <c r="B31" s="704" t="s">
        <v>465</v>
      </c>
      <c r="D31" s="702"/>
      <c r="G31" s="733"/>
      <c r="W31" s="703"/>
      <c r="X31" s="703"/>
      <c r="Y31" s="703"/>
      <c r="Z31" s="703"/>
      <c r="AA31" s="703"/>
      <c r="AB31" s="705"/>
      <c r="AC31" s="705"/>
    </row>
    <row r="32" spans="2:38" s="690" customFormat="1">
      <c r="B32" s="688">
        <f t="shared" ca="1" si="6"/>
        <v>21</v>
      </c>
      <c r="C32" s="688"/>
      <c r="D32" s="702">
        <v>3</v>
      </c>
      <c r="E32" s="688"/>
      <c r="F32" s="688" t="str">
        <f>+INDEX('Exh. No. BGM-6 -3'!$8:$8&amp;" "&amp;'Exh. No. BGM-6 -3'!$9:$9&amp;" "&amp;'Exh. No. BGM-6 -3'!$10:$10,1,MATCH($D32,'Exh. No. BGM-6 -3'!$11:$11,0))</f>
        <v>Pro Forma Labor Non-Exec</v>
      </c>
      <c r="G32" s="733"/>
      <c r="H32" s="733"/>
      <c r="I32" s="703">
        <v>-418.68450000000001</v>
      </c>
      <c r="J32" s="703"/>
      <c r="K32" s="703">
        <v>0</v>
      </c>
      <c r="L32" s="703"/>
      <c r="M32" s="703">
        <f t="shared" ref="M32:M42" si="8">+($K32*$AJ$12-$I32)/$AH$4</f>
        <v>675.29431309203346</v>
      </c>
      <c r="N32" s="688"/>
      <c r="O32" s="733"/>
      <c r="P32" s="703">
        <f t="shared" ref="P32:P42" si="9">+I32+Y32</f>
        <v>-256.17930000000001</v>
      </c>
      <c r="Q32" s="703"/>
      <c r="R32" s="703">
        <f t="shared" ref="R32:R42" si="10">+K32+AA32</f>
        <v>0</v>
      </c>
      <c r="S32" s="703"/>
      <c r="T32" s="703">
        <f t="shared" ref="T32:T42" si="11">+($R32*$AJ$12-$P32)/$AH$4</f>
        <v>413.19042004635463</v>
      </c>
      <c r="U32" s="688"/>
      <c r="V32" s="733"/>
      <c r="W32" s="703">
        <f>+'[7]Washington Gas'!$K$83/1000</f>
        <v>250.00800000000001</v>
      </c>
      <c r="X32" s="703"/>
      <c r="Y32" s="703">
        <f t="shared" ref="Y32:Y42" si="12">+W32*(1-$AH$5)</f>
        <v>162.5052</v>
      </c>
      <c r="Z32" s="703"/>
      <c r="AA32" s="703">
        <v>0</v>
      </c>
      <c r="AB32" s="705"/>
      <c r="AC32" s="703">
        <f t="shared" ref="AC32:AC42" si="13">+($AA32*$AJ$12-$Y32)/$AH$4</f>
        <v>-262.10389304567883</v>
      </c>
      <c r="AE32" s="536" t="s">
        <v>643</v>
      </c>
      <c r="AF32" s="688"/>
      <c r="AG32" s="688"/>
      <c r="AH32" s="688"/>
      <c r="AI32" s="688"/>
      <c r="AJ32" s="688"/>
      <c r="AK32" s="688"/>
      <c r="AL32" s="688"/>
    </row>
    <row r="33" spans="2:38" s="690" customFormat="1">
      <c r="B33" s="688">
        <f t="shared" ca="1" si="6"/>
        <v>22</v>
      </c>
      <c r="C33" s="688"/>
      <c r="D33" s="702">
        <f t="shared" ref="D33:D42" ca="1" si="14">+MAX(OFFSET($D$7,0,0,ROW($D33)-ROW($D$7),1))+0.01</f>
        <v>3.01</v>
      </c>
      <c r="E33" s="688"/>
      <c r="F33" s="688" t="str">
        <f ca="1">+INDEX('Exh. No. BGM-6 -3'!$8:$8&amp;" "&amp;'Exh. No. BGM-6 -3'!$9:$9&amp;" "&amp;'Exh. No. BGM-6 -3'!$10:$10,1,MATCH($D33,'Exh. No. BGM-6 -3'!$11:$11,0))</f>
        <v>Pro Forma Labor Exec</v>
      </c>
      <c r="G33" s="733"/>
      <c r="H33" s="733"/>
      <c r="I33" s="703">
        <v>8.4499999999999993</v>
      </c>
      <c r="J33" s="703"/>
      <c r="K33" s="703">
        <v>0</v>
      </c>
      <c r="L33" s="703"/>
      <c r="M33" s="703">
        <f t="shared" si="8"/>
        <v>-13.628966311453331</v>
      </c>
      <c r="N33" s="688"/>
      <c r="O33" s="733"/>
      <c r="P33" s="703">
        <f t="shared" si="9"/>
        <v>8.4499999999999993</v>
      </c>
      <c r="Q33" s="703"/>
      <c r="R33" s="703">
        <f t="shared" si="10"/>
        <v>0</v>
      </c>
      <c r="S33" s="703"/>
      <c r="T33" s="703">
        <f t="shared" si="11"/>
        <v>-13.628966311453331</v>
      </c>
      <c r="U33" s="688"/>
      <c r="V33" s="733"/>
      <c r="W33" s="703">
        <v>0</v>
      </c>
      <c r="X33" s="703"/>
      <c r="Y33" s="703">
        <f t="shared" si="12"/>
        <v>0</v>
      </c>
      <c r="Z33" s="703"/>
      <c r="AA33" s="703">
        <v>0</v>
      </c>
      <c r="AB33" s="705"/>
      <c r="AC33" s="703">
        <f t="shared" si="13"/>
        <v>0</v>
      </c>
      <c r="AE33" s="536" t="s">
        <v>642</v>
      </c>
      <c r="AF33" s="688"/>
      <c r="AG33" s="688"/>
      <c r="AH33" s="688"/>
      <c r="AI33" s="688"/>
      <c r="AJ33" s="688"/>
      <c r="AK33" s="688"/>
      <c r="AL33" s="688"/>
    </row>
    <row r="34" spans="2:38" s="690" customFormat="1">
      <c r="B34" s="688">
        <f t="shared" ca="1" si="6"/>
        <v>23</v>
      </c>
      <c r="C34" s="688"/>
      <c r="D34" s="702">
        <f t="shared" ca="1" si="14"/>
        <v>3.0199999999999996</v>
      </c>
      <c r="E34" s="688"/>
      <c r="F34" s="688" t="str">
        <f ca="1">+INDEX('Exh. No. BGM-6 -3'!$8:$8&amp;" "&amp;'Exh. No. BGM-6 -3'!$9:$9&amp;" "&amp;'Exh. No. BGM-6 -3'!$10:$10,1,MATCH($D34,'Exh. No. BGM-6 -3'!$11:$11,0))</f>
        <v>Pro Forma Employee Benefits</v>
      </c>
      <c r="G34" s="733"/>
      <c r="H34" s="733"/>
      <c r="I34" s="703">
        <v>-224.11545000000001</v>
      </c>
      <c r="J34" s="703"/>
      <c r="K34" s="703">
        <v>0</v>
      </c>
      <c r="L34" s="703"/>
      <c r="M34" s="703">
        <f t="shared" si="8"/>
        <v>361.47478318653299</v>
      </c>
      <c r="N34" s="688"/>
      <c r="O34" s="733"/>
      <c r="P34" s="703">
        <f t="shared" si="9"/>
        <v>-224.11545000000001</v>
      </c>
      <c r="Q34" s="703"/>
      <c r="R34" s="703">
        <f t="shared" si="10"/>
        <v>0</v>
      </c>
      <c r="S34" s="703"/>
      <c r="T34" s="703">
        <f t="shared" si="11"/>
        <v>361.47478318653299</v>
      </c>
      <c r="U34" s="688"/>
      <c r="V34" s="733"/>
      <c r="W34" s="703">
        <v>0</v>
      </c>
      <c r="X34" s="703"/>
      <c r="Y34" s="703">
        <f t="shared" si="12"/>
        <v>0</v>
      </c>
      <c r="Z34" s="703"/>
      <c r="AA34" s="703">
        <v>0</v>
      </c>
      <c r="AB34" s="705"/>
      <c r="AC34" s="703">
        <f t="shared" si="13"/>
        <v>0</v>
      </c>
      <c r="AE34" s="536" t="s">
        <v>642</v>
      </c>
      <c r="AF34" s="688"/>
      <c r="AG34" s="688"/>
      <c r="AH34" s="688"/>
      <c r="AI34" s="688"/>
      <c r="AJ34" s="688"/>
      <c r="AK34" s="688"/>
      <c r="AL34" s="688"/>
    </row>
    <row r="35" spans="2:38" s="690" customFormat="1">
      <c r="B35" s="688">
        <f t="shared" ca="1" si="6"/>
        <v>24</v>
      </c>
      <c r="C35" s="688"/>
      <c r="D35" s="702">
        <f t="shared" ca="1" si="14"/>
        <v>3.0299999999999994</v>
      </c>
      <c r="E35" s="688"/>
      <c r="F35" s="688" t="str">
        <f ca="1">+INDEX('Exh. No. BGM-6 -3'!$8:$8&amp;" "&amp;'Exh. No. BGM-6 -3'!$9:$9&amp;" "&amp;'Exh. No. BGM-6 -3'!$10:$10,1,MATCH($D35,'Exh. No. BGM-6 -3'!$11:$11,0))</f>
        <v>Pro Forma  Pipeline Safety Labor</v>
      </c>
      <c r="G35" s="733"/>
      <c r="H35" s="733"/>
      <c r="I35" s="703">
        <v>-67.599999999999994</v>
      </c>
      <c r="J35" s="703"/>
      <c r="K35" s="703">
        <v>0</v>
      </c>
      <c r="L35" s="703"/>
      <c r="M35" s="703">
        <f t="shared" si="8"/>
        <v>109.03173049162665</v>
      </c>
      <c r="N35" s="688"/>
      <c r="O35" s="733"/>
      <c r="P35" s="703">
        <f t="shared" si="9"/>
        <v>-67.599999999999994</v>
      </c>
      <c r="Q35" s="703"/>
      <c r="R35" s="703">
        <f t="shared" si="10"/>
        <v>0</v>
      </c>
      <c r="S35" s="703"/>
      <c r="T35" s="703">
        <f t="shared" si="11"/>
        <v>109.03173049162665</v>
      </c>
      <c r="U35" s="688"/>
      <c r="V35" s="733"/>
      <c r="W35" s="703">
        <v>0</v>
      </c>
      <c r="X35" s="703"/>
      <c r="Y35" s="703">
        <f t="shared" si="12"/>
        <v>0</v>
      </c>
      <c r="Z35" s="703"/>
      <c r="AA35" s="703">
        <v>0</v>
      </c>
      <c r="AB35" s="705"/>
      <c r="AC35" s="703">
        <f t="shared" si="13"/>
        <v>0</v>
      </c>
      <c r="AE35" s="536" t="s">
        <v>642</v>
      </c>
      <c r="AF35" s="688"/>
      <c r="AG35" s="688"/>
      <c r="AH35" s="688"/>
      <c r="AI35" s="688"/>
      <c r="AJ35" s="688"/>
      <c r="AK35" s="688"/>
      <c r="AL35" s="688"/>
    </row>
    <row r="36" spans="2:38" s="690" customFormat="1">
      <c r="B36" s="688">
        <f t="shared" ca="1" si="6"/>
        <v>25</v>
      </c>
      <c r="C36" s="688"/>
      <c r="D36" s="702">
        <f t="shared" ca="1" si="14"/>
        <v>3.0399999999999991</v>
      </c>
      <c r="E36" s="688"/>
      <c r="F36" s="688" t="str">
        <f ca="1">+INDEX('Exh. No. BGM-6 -3'!$8:$8&amp;" "&amp;'Exh. No. BGM-6 -3'!$9:$9&amp;" "&amp;'Exh. No. BGM-6 -3'!$10:$10,1,MATCH($D36,'Exh. No. BGM-6 -3'!$11:$11,0))</f>
        <v>Pro Forma Property Tax</v>
      </c>
      <c r="G36" s="733"/>
      <c r="H36" s="733"/>
      <c r="I36" s="703">
        <v>-127.4</v>
      </c>
      <c r="J36" s="703"/>
      <c r="K36" s="703">
        <v>0</v>
      </c>
      <c r="L36" s="703"/>
      <c r="M36" s="703">
        <f t="shared" si="8"/>
        <v>205.48287669575794</v>
      </c>
      <c r="N36" s="688"/>
      <c r="O36" s="733"/>
      <c r="P36" s="703">
        <f t="shared" si="9"/>
        <v>-127.4</v>
      </c>
      <c r="Q36" s="703"/>
      <c r="R36" s="703">
        <f t="shared" si="10"/>
        <v>0</v>
      </c>
      <c r="S36" s="703"/>
      <c r="T36" s="703">
        <f t="shared" si="11"/>
        <v>205.48287669575794</v>
      </c>
      <c r="U36" s="688"/>
      <c r="V36" s="733"/>
      <c r="W36" s="703">
        <v>0</v>
      </c>
      <c r="X36" s="703"/>
      <c r="Y36" s="703">
        <f t="shared" si="12"/>
        <v>0</v>
      </c>
      <c r="Z36" s="703"/>
      <c r="AA36" s="703">
        <v>0</v>
      </c>
      <c r="AB36" s="705"/>
      <c r="AC36" s="703">
        <f t="shared" si="13"/>
        <v>0</v>
      </c>
      <c r="AE36" s="536" t="s">
        <v>642</v>
      </c>
      <c r="AF36" s="688"/>
      <c r="AG36" s="688"/>
      <c r="AH36" s="688"/>
      <c r="AI36" s="688"/>
      <c r="AJ36" s="688"/>
      <c r="AK36" s="688"/>
      <c r="AL36" s="688"/>
    </row>
    <row r="37" spans="2:38" s="690" customFormat="1">
      <c r="B37" s="688">
        <f t="shared" ca="1" si="6"/>
        <v>26</v>
      </c>
      <c r="C37" s="688"/>
      <c r="D37" s="702">
        <f t="shared" ca="1" si="14"/>
        <v>3.0499999999999989</v>
      </c>
      <c r="E37" s="688"/>
      <c r="F37" s="688" t="str">
        <f ca="1">+INDEX('Exh. No. BGM-6 -3'!$8:$8&amp;" "&amp;'Exh. No. BGM-6 -3'!$9:$9&amp;" "&amp;'Exh. No. BGM-6 -3'!$10:$10,1,MATCH($D37,'Exh. No. BGM-6 -3'!$11:$11,0))</f>
        <v xml:space="preserve">Pro Forma  Revenue Normalization </v>
      </c>
      <c r="G37" s="733"/>
      <c r="H37" s="733"/>
      <c r="I37" s="703">
        <v>8002.1500000000005</v>
      </c>
      <c r="J37" s="703"/>
      <c r="K37" s="703">
        <v>0</v>
      </c>
      <c r="L37" s="703"/>
      <c r="M37" s="703">
        <f t="shared" si="8"/>
        <v>-12906.631096946307</v>
      </c>
      <c r="N37" s="688"/>
      <c r="O37" s="733"/>
      <c r="P37" s="703">
        <f t="shared" si="9"/>
        <v>8002.1500000000005</v>
      </c>
      <c r="Q37" s="703"/>
      <c r="R37" s="703">
        <f t="shared" si="10"/>
        <v>0</v>
      </c>
      <c r="S37" s="703"/>
      <c r="T37" s="703">
        <f t="shared" si="11"/>
        <v>-12906.631096946307</v>
      </c>
      <c r="U37" s="688"/>
      <c r="V37" s="733"/>
      <c r="W37" s="703">
        <v>0</v>
      </c>
      <c r="X37" s="703"/>
      <c r="Y37" s="703">
        <f t="shared" si="12"/>
        <v>0</v>
      </c>
      <c r="Z37" s="703"/>
      <c r="AA37" s="703">
        <v>0</v>
      </c>
      <c r="AB37" s="705"/>
      <c r="AC37" s="703">
        <f t="shared" si="13"/>
        <v>0</v>
      </c>
      <c r="AE37" s="536" t="s">
        <v>642</v>
      </c>
      <c r="AF37" s="688"/>
      <c r="AG37" s="688"/>
      <c r="AH37" s="688"/>
      <c r="AI37" s="688"/>
      <c r="AJ37" s="688"/>
      <c r="AK37" s="688"/>
      <c r="AL37" s="688"/>
    </row>
    <row r="38" spans="2:38" s="690" customFormat="1">
      <c r="B38" s="688">
        <f t="shared" ca="1" si="6"/>
        <v>27</v>
      </c>
      <c r="C38" s="688"/>
      <c r="D38" s="702">
        <f t="shared" ca="1" si="14"/>
        <v>3.0599999999999987</v>
      </c>
      <c r="E38" s="688"/>
      <c r="F38" s="688" t="str">
        <f ca="1">+INDEX('Exh. No. BGM-6 -3'!$8:$8&amp;" "&amp;'Exh. No. BGM-6 -3'!$9:$9&amp;" "&amp;'Exh. No. BGM-6 -3'!$10:$10,1,MATCH($D38,'Exh. No. BGM-6 -3'!$11:$11,0))</f>
        <v>Pro Forma  Atmospheric Testing</v>
      </c>
      <c r="G38" s="733"/>
      <c r="H38" s="733"/>
      <c r="I38" s="703">
        <v>-153.4</v>
      </c>
      <c r="J38" s="703"/>
      <c r="K38" s="703">
        <v>0</v>
      </c>
      <c r="L38" s="703"/>
      <c r="M38" s="703">
        <f t="shared" si="8"/>
        <v>247.41815765407588</v>
      </c>
      <c r="N38" s="688"/>
      <c r="O38" s="733"/>
      <c r="P38" s="703">
        <f t="shared" si="9"/>
        <v>-153.4</v>
      </c>
      <c r="Q38" s="703"/>
      <c r="R38" s="703">
        <f t="shared" si="10"/>
        <v>0</v>
      </c>
      <c r="S38" s="703"/>
      <c r="T38" s="703">
        <f t="shared" si="11"/>
        <v>247.41815765407588</v>
      </c>
      <c r="U38" s="688"/>
      <c r="V38" s="733"/>
      <c r="W38" s="703">
        <v>0</v>
      </c>
      <c r="X38" s="703"/>
      <c r="Y38" s="703">
        <f t="shared" si="12"/>
        <v>0</v>
      </c>
      <c r="Z38" s="703"/>
      <c r="AA38" s="703">
        <v>0</v>
      </c>
      <c r="AB38" s="705"/>
      <c r="AC38" s="703">
        <f t="shared" si="13"/>
        <v>0</v>
      </c>
      <c r="AE38" s="536" t="s">
        <v>642</v>
      </c>
      <c r="AF38" s="688"/>
      <c r="AG38" s="688"/>
      <c r="AH38" s="688"/>
      <c r="AI38" s="688"/>
      <c r="AJ38" s="688"/>
      <c r="AK38" s="688"/>
      <c r="AL38" s="688"/>
    </row>
    <row r="39" spans="2:38" s="690" customFormat="1">
      <c r="B39" s="688">
        <f t="shared" ca="1" si="6"/>
        <v>28</v>
      </c>
      <c r="C39" s="688"/>
      <c r="D39" s="702">
        <f t="shared" ca="1" si="14"/>
        <v>3.0699999999999985</v>
      </c>
      <c r="E39" s="688"/>
      <c r="F39" s="688" t="str">
        <f ca="1">+INDEX('Exh. No. BGM-6 -3'!$8:$8&amp;" "&amp;'Exh. No. BGM-6 -3'!$9:$9&amp;" "&amp;'Exh. No. BGM-6 -3'!$10:$10,1,MATCH($D39,'Exh. No. BGM-6 -3'!$11:$11,0))</f>
        <v>Pro Forma Regulatory Amortization</v>
      </c>
      <c r="G39" s="733"/>
      <c r="H39" s="733"/>
      <c r="I39" s="703">
        <v>-1679.6</v>
      </c>
      <c r="J39" s="703"/>
      <c r="K39" s="703">
        <v>0</v>
      </c>
      <c r="L39" s="703"/>
      <c r="M39" s="703">
        <f t="shared" si="8"/>
        <v>2709.0191499073389</v>
      </c>
      <c r="N39" s="688"/>
      <c r="O39" s="733"/>
      <c r="P39" s="703">
        <f t="shared" si="9"/>
        <v>-1679.6</v>
      </c>
      <c r="Q39" s="703"/>
      <c r="R39" s="703">
        <f t="shared" si="10"/>
        <v>0</v>
      </c>
      <c r="S39" s="703"/>
      <c r="T39" s="703">
        <f t="shared" si="11"/>
        <v>2709.0191499073389</v>
      </c>
      <c r="U39" s="688"/>
      <c r="V39" s="733"/>
      <c r="W39" s="703">
        <v>0</v>
      </c>
      <c r="X39" s="703"/>
      <c r="Y39" s="703">
        <f t="shared" si="12"/>
        <v>0</v>
      </c>
      <c r="Z39" s="703"/>
      <c r="AA39" s="703">
        <v>0</v>
      </c>
      <c r="AB39" s="705"/>
      <c r="AC39" s="703">
        <f t="shared" si="13"/>
        <v>0</v>
      </c>
      <c r="AE39" s="536" t="s">
        <v>642</v>
      </c>
      <c r="AF39" s="688"/>
      <c r="AG39" s="688"/>
      <c r="AH39" s="688"/>
      <c r="AI39" s="688"/>
      <c r="AJ39" s="688"/>
      <c r="AK39" s="688"/>
      <c r="AL39" s="688"/>
    </row>
    <row r="40" spans="2:38" s="690" customFormat="1">
      <c r="B40" s="688">
        <f t="shared" ca="1" si="6"/>
        <v>29</v>
      </c>
      <c r="C40" s="688"/>
      <c r="D40" s="702">
        <f t="shared" ca="1" si="14"/>
        <v>3.0799999999999983</v>
      </c>
      <c r="E40" s="688"/>
      <c r="F40" s="688" t="str">
        <f ca="1">+INDEX('Exh. No. BGM-6 -3'!$8:$8&amp;" "&amp;'Exh. No. BGM-6 -3'!$9:$9&amp;" "&amp;'Exh. No. BGM-6 -3'!$10:$10,1,MATCH($D40,'Exh. No. BGM-6 -3'!$11:$11,0))</f>
        <v>Pro Forma Capital Add Dec 2015 AMA</v>
      </c>
      <c r="G40" s="733"/>
      <c r="H40" s="733"/>
      <c r="I40" s="703">
        <v>-313.70636000000002</v>
      </c>
      <c r="J40" s="703"/>
      <c r="K40" s="703">
        <v>6106</v>
      </c>
      <c r="L40" s="703"/>
      <c r="M40" s="703">
        <f t="shared" si="8"/>
        <v>1219.980161386316</v>
      </c>
      <c r="N40" s="688"/>
      <c r="O40" s="733"/>
      <c r="P40" s="703">
        <f t="shared" si="9"/>
        <v>-313.70636000000002</v>
      </c>
      <c r="Q40" s="703"/>
      <c r="R40" s="703">
        <f t="shared" si="10"/>
        <v>6106</v>
      </c>
      <c r="S40" s="703"/>
      <c r="T40" s="703">
        <f t="shared" si="11"/>
        <v>1219.980161386316</v>
      </c>
      <c r="U40" s="688"/>
      <c r="V40" s="733"/>
      <c r="W40" s="703">
        <v>0</v>
      </c>
      <c r="X40" s="703"/>
      <c r="Y40" s="703">
        <f t="shared" si="12"/>
        <v>0</v>
      </c>
      <c r="Z40" s="703"/>
      <c r="AA40" s="703">
        <v>0</v>
      </c>
      <c r="AB40" s="705"/>
      <c r="AC40" s="703">
        <f t="shared" si="13"/>
        <v>0</v>
      </c>
      <c r="AE40" s="536" t="s">
        <v>642</v>
      </c>
      <c r="AF40" s="688"/>
      <c r="AG40" s="688"/>
      <c r="AH40" s="688"/>
      <c r="AI40" s="688"/>
      <c r="AJ40" s="688"/>
      <c r="AK40" s="688"/>
      <c r="AL40" s="688"/>
    </row>
    <row r="41" spans="2:38" s="690" customFormat="1">
      <c r="B41" s="688">
        <f t="shared" ca="1" si="6"/>
        <v>30</v>
      </c>
      <c r="C41" s="688"/>
      <c r="D41" s="702">
        <f t="shared" ca="1" si="14"/>
        <v>3.0899999999999981</v>
      </c>
      <c r="E41" s="688"/>
      <c r="F41" s="688" t="str">
        <f ca="1">+INDEX('Exh. No. BGM-6 -3'!$8:$8&amp;" "&amp;'Exh. No. BGM-6 -3'!$9:$9&amp;" "&amp;'Exh. No. BGM-6 -3'!$10:$10,1,MATCH($D41,'Exh. No. BGM-6 -3'!$11:$11,0))</f>
        <v>Pro Forma  2016 Limited Capital Adds</v>
      </c>
      <c r="G41" s="733"/>
      <c r="H41" s="733"/>
      <c r="I41" s="703">
        <v>-128.63720000000001</v>
      </c>
      <c r="J41" s="703"/>
      <c r="K41" s="703">
        <v>18120</v>
      </c>
      <c r="L41" s="703"/>
      <c r="M41" s="703">
        <f t="shared" si="8"/>
        <v>2326.3390661012936</v>
      </c>
      <c r="N41" s="688"/>
      <c r="O41" s="733"/>
      <c r="P41" s="703">
        <f t="shared" si="9"/>
        <v>76.668900192778352</v>
      </c>
      <c r="Q41" s="703"/>
      <c r="R41" s="703">
        <f t="shared" si="10"/>
        <v>6127.9879025698665</v>
      </c>
      <c r="S41" s="703"/>
      <c r="T41" s="703">
        <f t="shared" si="11"/>
        <v>592.91684515000259</v>
      </c>
      <c r="U41" s="688"/>
      <c r="V41" s="733"/>
      <c r="W41" s="703">
        <f>+'[8]G-CAP SUMMARY'!$G$18</f>
        <v>315.85553875812053</v>
      </c>
      <c r="X41" s="703"/>
      <c r="Y41" s="703">
        <f t="shared" si="12"/>
        <v>205.30610019277836</v>
      </c>
      <c r="Z41" s="703"/>
      <c r="AA41" s="703">
        <f>+'[8]G-CAP SUMMARY'!$G$44</f>
        <v>-11992.012097430134</v>
      </c>
      <c r="AB41" s="705"/>
      <c r="AC41" s="703">
        <f t="shared" si="13"/>
        <v>-1733.4222209512909</v>
      </c>
      <c r="AE41" s="536" t="s">
        <v>643</v>
      </c>
      <c r="AF41" s="688"/>
      <c r="AG41" s="688"/>
      <c r="AH41" s="688"/>
      <c r="AI41" s="688"/>
      <c r="AJ41" s="688"/>
      <c r="AK41" s="688"/>
      <c r="AL41" s="688"/>
    </row>
    <row r="42" spans="2:38" s="690" customFormat="1">
      <c r="B42" s="688">
        <f t="shared" ca="1" si="6"/>
        <v>31</v>
      </c>
      <c r="C42" s="688"/>
      <c r="D42" s="702">
        <f t="shared" ca="1" si="14"/>
        <v>3.0999999999999979</v>
      </c>
      <c r="E42" s="688"/>
      <c r="F42" s="688" t="str">
        <f ca="1">+INDEX('Exh. No. BGM-6 -3'!$8:$8&amp;" "&amp;'Exh. No. BGM-6 -3'!$9:$9&amp;" "&amp;'Exh. No. BGM-6 -3'!$10:$10,1,MATCH($D42,'Exh. No. BGM-6 -3'!$11:$11,0))</f>
        <v>Pro Forma O&amp;M Offsets</v>
      </c>
      <c r="G42" s="733"/>
      <c r="H42" s="733"/>
      <c r="I42" s="711">
        <v>36.400000000000006</v>
      </c>
      <c r="J42" s="703"/>
      <c r="K42" s="711">
        <v>0</v>
      </c>
      <c r="L42" s="703"/>
      <c r="M42" s="711">
        <f t="shared" si="8"/>
        <v>-58.709393341645132</v>
      </c>
      <c r="N42" s="688"/>
      <c r="O42" s="733"/>
      <c r="P42" s="711">
        <f t="shared" si="9"/>
        <v>36.400000000000006</v>
      </c>
      <c r="Q42" s="703"/>
      <c r="R42" s="711">
        <f t="shared" si="10"/>
        <v>0</v>
      </c>
      <c r="S42" s="703"/>
      <c r="T42" s="711">
        <f t="shared" si="11"/>
        <v>-58.709393341645132</v>
      </c>
      <c r="U42" s="688"/>
      <c r="V42" s="733"/>
      <c r="W42" s="711">
        <v>0</v>
      </c>
      <c r="X42" s="703"/>
      <c r="Y42" s="711">
        <f t="shared" si="12"/>
        <v>0</v>
      </c>
      <c r="Z42" s="703"/>
      <c r="AA42" s="711">
        <v>0</v>
      </c>
      <c r="AB42" s="705"/>
      <c r="AC42" s="703">
        <f t="shared" si="13"/>
        <v>0</v>
      </c>
      <c r="AE42" s="536" t="s">
        <v>642</v>
      </c>
      <c r="AF42" s="688"/>
      <c r="AG42" s="688"/>
      <c r="AH42" s="688"/>
      <c r="AI42" s="688"/>
      <c r="AJ42" s="688"/>
      <c r="AK42" s="688"/>
      <c r="AL42" s="688"/>
    </row>
    <row r="43" spans="2:38" s="690" customFormat="1">
      <c r="B43" s="688"/>
      <c r="C43" s="688"/>
      <c r="D43" s="702"/>
      <c r="E43" s="688"/>
      <c r="F43" s="688"/>
      <c r="G43" s="733"/>
      <c r="H43" s="733"/>
      <c r="I43" s="703"/>
      <c r="J43" s="703"/>
      <c r="K43" s="703"/>
      <c r="L43" s="703"/>
      <c r="M43" s="703"/>
      <c r="N43" s="688"/>
      <c r="O43" s="733"/>
      <c r="P43" s="703"/>
      <c r="Q43" s="703"/>
      <c r="R43" s="703"/>
      <c r="S43" s="703"/>
      <c r="T43" s="703"/>
      <c r="U43" s="688"/>
      <c r="V43" s="733"/>
      <c r="W43" s="705"/>
      <c r="X43" s="705"/>
      <c r="Y43" s="705"/>
      <c r="Z43" s="705"/>
      <c r="AA43" s="705"/>
      <c r="AB43" s="705"/>
      <c r="AC43" s="705"/>
      <c r="AE43" s="688"/>
      <c r="AF43" s="688"/>
      <c r="AG43" s="688"/>
      <c r="AH43" s="688"/>
      <c r="AI43" s="688"/>
      <c r="AJ43" s="688"/>
      <c r="AK43" s="688"/>
      <c r="AL43" s="688"/>
    </row>
    <row r="44" spans="2:38" s="690" customFormat="1" ht="13.5" thickBot="1">
      <c r="B44" s="688">
        <f t="shared" ca="1" si="6"/>
        <v>32</v>
      </c>
      <c r="C44" s="688"/>
      <c r="D44" s="702"/>
      <c r="E44" s="688"/>
      <c r="F44" s="687" t="s">
        <v>622</v>
      </c>
      <c r="G44" s="733"/>
      <c r="H44" s="733"/>
      <c r="I44" s="712">
        <f>+SUM(I$29:I$43)</f>
        <v>22601.81381</v>
      </c>
      <c r="J44" s="703"/>
      <c r="K44" s="712">
        <f>+SUM(K$29:K$43)</f>
        <v>286493</v>
      </c>
      <c r="L44" s="703"/>
      <c r="M44" s="712">
        <f>+($K44*$AJ$12-$I44)/$AH$4</f>
        <v>-2953.326532290966</v>
      </c>
      <c r="N44" s="688"/>
      <c r="O44" s="733"/>
      <c r="P44" s="712">
        <f>+SUM(P$29:P$43)</f>
        <v>23151.065810441232</v>
      </c>
      <c r="Q44" s="703"/>
      <c r="R44" s="712">
        <f>+SUM(R$29:R$43)</f>
        <v>274500.98790256988</v>
      </c>
      <c r="S44" s="703"/>
      <c r="T44" s="712">
        <f>+($R44*$AJ$12-$P44)/$AH$4</f>
        <v>-5241.4975209876657</v>
      </c>
      <c r="U44" s="688"/>
      <c r="V44" s="714"/>
      <c r="W44" s="712">
        <f>+SUM(W$29:W$43)</f>
        <v>661.61753875812053</v>
      </c>
      <c r="X44" s="705"/>
      <c r="Y44" s="712">
        <f>+SUM(Y$29:Y$43)</f>
        <v>549.25200044123392</v>
      </c>
      <c r="Z44" s="703"/>
      <c r="AA44" s="712">
        <f>+SUM(AA$29:AA$43)</f>
        <v>-11992.012097430134</v>
      </c>
      <c r="AB44" s="703"/>
      <c r="AC44" s="712">
        <f>+($AA44*$AJ$12-$Y44)/$AH$4</f>
        <v>-2288.1709886966978</v>
      </c>
      <c r="AE44" s="688"/>
      <c r="AF44" s="688"/>
      <c r="AG44" s="688"/>
      <c r="AH44" s="688"/>
      <c r="AI44" s="688"/>
      <c r="AJ44" s="688"/>
      <c r="AK44" s="688"/>
      <c r="AL44" s="688"/>
    </row>
    <row r="45" spans="2:38" s="690" customFormat="1" ht="13.5" thickTop="1">
      <c r="B45" s="688"/>
      <c r="C45" s="688"/>
      <c r="D45" s="688"/>
      <c r="E45" s="688"/>
      <c r="F45" s="688"/>
      <c r="G45" s="733"/>
      <c r="H45" s="733"/>
      <c r="I45" s="688"/>
      <c r="J45" s="688"/>
      <c r="K45" s="688"/>
      <c r="L45" s="688"/>
      <c r="M45" s="688"/>
      <c r="N45" s="688"/>
      <c r="O45" s="733"/>
      <c r="P45" s="688"/>
      <c r="Q45" s="688"/>
      <c r="R45" s="688"/>
      <c r="S45" s="688"/>
      <c r="T45" s="688"/>
      <c r="U45" s="688"/>
      <c r="V45" s="733"/>
      <c r="W45" s="705"/>
      <c r="X45" s="705"/>
      <c r="Y45" s="705"/>
      <c r="Z45" s="705"/>
      <c r="AA45" s="705"/>
      <c r="AB45" s="705"/>
      <c r="AC45" s="705"/>
      <c r="AE45" s="688"/>
      <c r="AF45" s="688"/>
      <c r="AG45" s="688"/>
      <c r="AH45" s="688"/>
      <c r="AI45" s="688"/>
      <c r="AJ45" s="688"/>
      <c r="AK45" s="688"/>
      <c r="AL45" s="688"/>
    </row>
    <row r="46" spans="2:38">
      <c r="G46" s="733"/>
    </row>
  </sheetData>
  <printOptions verticalCentered="1"/>
  <pageMargins left="0.25" right="0.25" top="0.75" bottom="0.75" header="0.3" footer="0.3"/>
  <pageSetup scale="75" orientation="portrait" r:id="rId1"/>
  <colBreaks count="1" manualBreakCount="1">
    <brk id="20" max="4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7"/>
  <sheetViews>
    <sheetView view="pageBreakPreview" zoomScale="85" zoomScaleNormal="100" zoomScaleSheetLayoutView="85" workbookViewId="0">
      <selection sqref="A1:O1"/>
    </sheetView>
  </sheetViews>
  <sheetFormatPr defaultColWidth="11.42578125" defaultRowHeight="12.75"/>
  <cols>
    <col min="1" max="1" width="6.42578125" style="36" customWidth="1"/>
    <col min="2" max="2" width="34.85546875" style="36" customWidth="1"/>
    <col min="3" max="3" width="4.42578125" style="36" customWidth="1"/>
    <col min="4" max="4" width="3.140625" style="36" customWidth="1"/>
    <col min="5" max="5" width="12.28515625" style="36" customWidth="1"/>
    <col min="6" max="6" width="11.42578125" style="36" customWidth="1"/>
    <col min="7" max="7" width="4.42578125" style="36" customWidth="1"/>
    <col min="8" max="9" width="11.42578125" style="36" customWidth="1"/>
    <col min="10" max="10" width="4.85546875" style="36" customWidth="1"/>
    <col min="11" max="12" width="11.42578125" style="36"/>
    <col min="13" max="13" width="4.28515625" style="36" customWidth="1"/>
    <col min="14" max="15" width="11.42578125" style="36"/>
    <col min="16" max="16" width="11.42578125" style="139"/>
    <col min="17" max="17" width="5.85546875" style="139" bestFit="1" customWidth="1"/>
    <col min="18" max="18" width="18.5703125" style="139" customWidth="1"/>
    <col min="19" max="21" width="11.42578125" style="52"/>
    <col min="22" max="16384" width="11.42578125" style="36"/>
  </cols>
  <sheetData>
    <row r="1" spans="1:21" ht="18.75">
      <c r="A1" s="853"/>
      <c r="B1" s="853"/>
      <c r="C1" s="853"/>
      <c r="D1" s="853"/>
      <c r="E1" s="853"/>
      <c r="F1" s="853"/>
      <c r="G1" s="853"/>
      <c r="H1" s="853"/>
      <c r="I1" s="853"/>
      <c r="J1" s="853"/>
      <c r="K1" s="853"/>
      <c r="L1" s="853"/>
      <c r="M1" s="853"/>
      <c r="N1" s="853"/>
      <c r="O1" s="853"/>
      <c r="P1" s="374"/>
    </row>
    <row r="2" spans="1:21" ht="18.75">
      <c r="A2" s="853" t="s">
        <v>115</v>
      </c>
      <c r="B2" s="853"/>
      <c r="C2" s="853"/>
      <c r="D2" s="853"/>
      <c r="E2" s="853"/>
      <c r="F2" s="853"/>
      <c r="G2" s="853"/>
      <c r="H2" s="853"/>
      <c r="I2" s="853"/>
      <c r="J2" s="853"/>
      <c r="K2" s="853"/>
      <c r="L2" s="853"/>
      <c r="M2" s="853"/>
      <c r="N2" s="853"/>
      <c r="O2" s="853"/>
      <c r="P2" s="374"/>
    </row>
    <row r="3" spans="1:21" ht="18.75">
      <c r="A3" s="853" t="s">
        <v>187</v>
      </c>
      <c r="B3" s="853"/>
      <c r="C3" s="853"/>
      <c r="D3" s="853"/>
      <c r="E3" s="853"/>
      <c r="F3" s="853"/>
      <c r="G3" s="853"/>
      <c r="H3" s="853"/>
      <c r="I3" s="853"/>
      <c r="J3" s="853"/>
      <c r="K3" s="853"/>
      <c r="L3" s="853"/>
      <c r="M3" s="853"/>
      <c r="N3" s="853"/>
      <c r="O3" s="853"/>
      <c r="P3" s="374"/>
    </row>
    <row r="4" spans="1:21" s="52" customFormat="1" ht="18.75">
      <c r="A4" s="162"/>
      <c r="B4" s="162"/>
      <c r="C4" s="162"/>
      <c r="D4" s="162"/>
      <c r="E4" s="162"/>
      <c r="F4" s="162"/>
      <c r="H4" s="160"/>
      <c r="I4" s="162"/>
      <c r="J4" s="162"/>
      <c r="K4" s="162"/>
      <c r="L4" s="162"/>
      <c r="M4" s="162"/>
      <c r="N4" s="160"/>
      <c r="O4" s="160"/>
      <c r="P4" s="138"/>
      <c r="Q4" s="138"/>
      <c r="R4" s="138"/>
    </row>
    <row r="5" spans="1:21" ht="14.25">
      <c r="H5" s="173" t="s">
        <v>155</v>
      </c>
    </row>
    <row r="7" spans="1:21" s="52" customFormat="1">
      <c r="A7" s="36"/>
      <c r="B7" s="36"/>
      <c r="C7" s="36"/>
      <c r="D7" s="36"/>
      <c r="E7" s="36"/>
      <c r="F7" s="36"/>
      <c r="G7" s="36"/>
      <c r="I7" s="36"/>
      <c r="J7" s="36"/>
      <c r="K7" s="54"/>
      <c r="L7" s="827" t="s">
        <v>177</v>
      </c>
      <c r="M7" s="827"/>
      <c r="N7" s="827"/>
      <c r="P7" s="138"/>
      <c r="Q7" s="138"/>
      <c r="R7" s="138"/>
    </row>
    <row r="8" spans="1:21" s="52" customFormat="1">
      <c r="A8" s="36"/>
      <c r="B8" s="36"/>
      <c r="C8" s="36"/>
      <c r="D8" s="36"/>
      <c r="E8" s="827" t="s">
        <v>178</v>
      </c>
      <c r="F8" s="827"/>
      <c r="G8" s="54"/>
      <c r="H8" s="854"/>
      <c r="I8" s="854"/>
      <c r="J8" s="36"/>
      <c r="K8" s="827" t="s">
        <v>179</v>
      </c>
      <c r="L8" s="827"/>
      <c r="N8" s="827" t="s">
        <v>180</v>
      </c>
      <c r="O8" s="827"/>
      <c r="P8" s="138"/>
      <c r="Q8" s="138"/>
      <c r="R8" s="138"/>
    </row>
    <row r="9" spans="1:21" s="52" customFormat="1">
      <c r="A9" s="36"/>
      <c r="B9" s="36"/>
      <c r="C9" s="36"/>
      <c r="D9" s="36"/>
      <c r="E9" s="852" t="s">
        <v>72</v>
      </c>
      <c r="F9" s="852"/>
      <c r="G9" s="56"/>
      <c r="H9" s="852" t="s">
        <v>72</v>
      </c>
      <c r="I9" s="852"/>
      <c r="J9" s="36"/>
      <c r="K9" s="852" t="s">
        <v>72</v>
      </c>
      <c r="L9" s="852"/>
      <c r="N9" s="37" t="s">
        <v>181</v>
      </c>
      <c r="O9" s="37" t="s">
        <v>20</v>
      </c>
      <c r="P9" s="138"/>
      <c r="Q9" s="138"/>
      <c r="R9" s="138"/>
    </row>
    <row r="10" spans="1:21">
      <c r="A10" s="55" t="s">
        <v>182</v>
      </c>
      <c r="B10" s="55" t="s">
        <v>74</v>
      </c>
      <c r="C10" s="37"/>
      <c r="D10" s="37"/>
      <c r="E10" s="55" t="s">
        <v>75</v>
      </c>
      <c r="F10" s="55" t="s">
        <v>20</v>
      </c>
      <c r="G10" s="38"/>
      <c r="H10" s="55" t="s">
        <v>75</v>
      </c>
      <c r="I10" s="55" t="s">
        <v>20</v>
      </c>
      <c r="K10" s="55" t="s">
        <v>75</v>
      </c>
      <c r="L10" s="55" t="s">
        <v>20</v>
      </c>
      <c r="N10" s="146">
        <f>'Exh. No. BGM-6 -5'!F22</f>
        <v>0.62000299999999997</v>
      </c>
      <c r="O10" s="147">
        <f>'Exh. No. BGM-6 -5'!N17</f>
        <v>7.2500000000000009E-2</v>
      </c>
    </row>
    <row r="11" spans="1:21">
      <c r="A11" s="249">
        <f>'Exh. No. BGM-6 -3'!E$11</f>
        <v>1</v>
      </c>
      <c r="B11" s="58" t="str">
        <f>TRIM(CONCATENATE('Exh. No. BGM-6 -3'!E$8," ",'Exh. No. BGM-6 -3'!E$9," ",'Exh. No. BGM-6 -3'!E$10))</f>
        <v>Per Results Report</v>
      </c>
      <c r="C11" s="59"/>
      <c r="D11" s="59"/>
      <c r="E11" s="60">
        <v>14549</v>
      </c>
      <c r="F11" s="60">
        <v>259389</v>
      </c>
      <c r="G11" s="60"/>
      <c r="H11" s="60">
        <f>'Exh. No. BGM-6 -3'!E$59</f>
        <v>14549</v>
      </c>
      <c r="I11" s="60">
        <f>'Exh. No. BGM-6 -3'!E$82</f>
        <v>259389</v>
      </c>
      <c r="J11" s="52"/>
      <c r="K11" s="148">
        <f>H11-E11</f>
        <v>0</v>
      </c>
      <c r="L11" s="148">
        <f>I11-F11</f>
        <v>0</v>
      </c>
      <c r="N11" s="151">
        <f>K11/$N$10*-1</f>
        <v>0</v>
      </c>
      <c r="O11" s="151">
        <f>L11*$O$10/$N$10</f>
        <v>0</v>
      </c>
      <c r="P11" s="192">
        <f>N11+O11</f>
        <v>0</v>
      </c>
      <c r="S11" s="138"/>
    </row>
    <row r="12" spans="1:21" s="68" customFormat="1">
      <c r="A12" s="249">
        <f>'Exh. No. BGM-6 -3'!F$11</f>
        <v>1.01</v>
      </c>
      <c r="B12" s="58" t="str">
        <f>TRIM(CONCATENATE('Exh. No. BGM-6 -3'!F$8," ",'Exh. No. BGM-6 -3'!F$9," ",'Exh. No. BGM-6 -3'!F$10))</f>
        <v>Deferred FIT Rate Base</v>
      </c>
      <c r="C12" s="59"/>
      <c r="D12" s="59"/>
      <c r="E12" s="60">
        <v>0.497</v>
      </c>
      <c r="F12" s="60">
        <v>50</v>
      </c>
      <c r="G12" s="66"/>
      <c r="H12" s="66">
        <f>'Exh. No. BGM-6 -3'!F$59</f>
        <v>0.497</v>
      </c>
      <c r="I12" s="66">
        <f>'Exh. No. BGM-6 -3'!F$82</f>
        <v>50</v>
      </c>
      <c r="J12" s="70"/>
      <c r="K12" s="148">
        <f t="shared" ref="K12:K14" si="0">H12-E12</f>
        <v>0</v>
      </c>
      <c r="L12" s="148">
        <f t="shared" ref="L12:L14" si="1">I12-F12</f>
        <v>0</v>
      </c>
      <c r="N12" s="151">
        <f t="shared" ref="N12:N14" si="2">K12/$N$10*-1</f>
        <v>0</v>
      </c>
      <c r="O12" s="151">
        <f t="shared" ref="O12:O14" si="3">L12*$O$10/$N$10</f>
        <v>0</v>
      </c>
      <c r="P12" s="192">
        <f t="shared" ref="P12:P14" si="4">N12+O12</f>
        <v>0</v>
      </c>
      <c r="Q12" s="140"/>
      <c r="R12" s="140"/>
      <c r="S12" s="141"/>
      <c r="T12" s="70"/>
      <c r="U12" s="70"/>
    </row>
    <row r="13" spans="1:21" s="68" customFormat="1">
      <c r="A13" s="249">
        <f>'Exh. No. BGM-6 -3'!G$11</f>
        <v>1.02</v>
      </c>
      <c r="B13" s="58" t="str">
        <f>TRIM(CONCATENATE('Exh. No. BGM-6 -3'!G$8," ",'Exh. No. BGM-6 -3'!G$9," ",'Exh. No. BGM-6 -3'!G$10))</f>
        <v>Deferred Debits and Credits</v>
      </c>
      <c r="C13" s="59"/>
      <c r="D13" s="59"/>
      <c r="E13" s="60">
        <v>-0.65</v>
      </c>
      <c r="F13" s="60">
        <v>0</v>
      </c>
      <c r="G13" s="66"/>
      <c r="H13" s="66">
        <f>'Exh. No. BGM-6 -3'!G$59</f>
        <v>-0.65</v>
      </c>
      <c r="I13" s="66">
        <f>'Exh. No. BGM-6 -3'!G$82</f>
        <v>0</v>
      </c>
      <c r="J13" s="70"/>
      <c r="K13" s="148">
        <f t="shared" si="0"/>
        <v>0</v>
      </c>
      <c r="L13" s="148">
        <f t="shared" si="1"/>
        <v>0</v>
      </c>
      <c r="N13" s="151">
        <f t="shared" si="2"/>
        <v>0</v>
      </c>
      <c r="O13" s="151">
        <f t="shared" si="3"/>
        <v>0</v>
      </c>
      <c r="P13" s="192">
        <f t="shared" si="4"/>
        <v>0</v>
      </c>
      <c r="Q13" s="139"/>
      <c r="R13" s="140"/>
      <c r="S13" s="141"/>
      <c r="T13" s="70"/>
      <c r="U13" s="70"/>
    </row>
    <row r="14" spans="1:21" s="68" customFormat="1">
      <c r="A14" s="249">
        <f>'Exh. No. BGM-6 -3'!H$11</f>
        <v>1.03</v>
      </c>
      <c r="B14" s="58" t="str">
        <f>TRIM(CONCATENATE('Exh. No. BGM-6 -3'!H$8," ",'Exh. No. BGM-6 -3'!H$9," ",'Exh. No. BGM-6 -3'!H$10))</f>
        <v>Working Capital</v>
      </c>
      <c r="C14" s="59"/>
      <c r="D14" s="59"/>
      <c r="E14" s="60">
        <v>28.110319999999998</v>
      </c>
      <c r="F14" s="60">
        <v>2828</v>
      </c>
      <c r="G14" s="66"/>
      <c r="H14" s="66">
        <f>'Exh. No. BGM-6 -3'!H$59</f>
        <v>28.110319999999998</v>
      </c>
      <c r="I14" s="66">
        <f>'Exh. No. BGM-6 -3'!H$82</f>
        <v>2828</v>
      </c>
      <c r="J14" s="70"/>
      <c r="K14" s="148">
        <f t="shared" si="0"/>
        <v>0</v>
      </c>
      <c r="L14" s="148">
        <f t="shared" si="1"/>
        <v>0</v>
      </c>
      <c r="N14" s="151">
        <f t="shared" si="2"/>
        <v>0</v>
      </c>
      <c r="O14" s="151">
        <f t="shared" si="3"/>
        <v>0</v>
      </c>
      <c r="P14" s="192">
        <f t="shared" si="4"/>
        <v>0</v>
      </c>
      <c r="Q14" s="139"/>
      <c r="R14" s="139"/>
      <c r="S14" s="141"/>
      <c r="T14" s="70"/>
      <c r="U14" s="70"/>
    </row>
    <row r="15" spans="1:21" ht="15.75" customHeight="1">
      <c r="A15" s="249"/>
      <c r="B15" s="135"/>
      <c r="C15" s="136"/>
      <c r="D15" s="136"/>
      <c r="E15" s="60"/>
      <c r="F15" s="60"/>
      <c r="G15" s="137"/>
      <c r="H15" s="137"/>
      <c r="I15" s="137"/>
      <c r="J15" s="141"/>
      <c r="K15" s="148"/>
      <c r="L15" s="148"/>
      <c r="M15" s="150"/>
      <c r="N15" s="151"/>
      <c r="O15" s="151"/>
      <c r="P15" s="192"/>
      <c r="S15" s="138"/>
    </row>
    <row r="16" spans="1:21" ht="8.25" customHeight="1">
      <c r="A16" s="249"/>
      <c r="B16" s="58"/>
      <c r="C16" s="59"/>
      <c r="D16" s="59"/>
      <c r="E16" s="60"/>
      <c r="F16" s="60"/>
      <c r="G16" s="66"/>
      <c r="H16" s="66"/>
      <c r="I16" s="66"/>
      <c r="J16" s="52"/>
      <c r="K16" s="148"/>
      <c r="L16" s="148"/>
      <c r="M16" s="68"/>
      <c r="N16" s="151"/>
      <c r="O16" s="151"/>
      <c r="S16" s="138"/>
    </row>
    <row r="17" spans="1:21">
      <c r="A17" s="249"/>
      <c r="B17" s="36" t="s">
        <v>77</v>
      </c>
      <c r="E17" s="61">
        <f>SUM(E11:E16)</f>
        <v>14576.95732</v>
      </c>
      <c r="F17" s="61">
        <f>SUM(F11:F16)</f>
        <v>262267</v>
      </c>
      <c r="G17" s="61"/>
      <c r="H17" s="61">
        <f>SUM(H11:H16)</f>
        <v>14576.95732</v>
      </c>
      <c r="I17" s="61">
        <f>SUM(I11:I16)</f>
        <v>262267</v>
      </c>
      <c r="J17" s="52"/>
      <c r="K17" s="61">
        <f>SUM(K11:K16)</f>
        <v>0</v>
      </c>
      <c r="L17" s="61">
        <f>SUM(L11:L16)</f>
        <v>0</v>
      </c>
      <c r="N17" s="61">
        <f>SUM(N11:N16)</f>
        <v>0</v>
      </c>
      <c r="O17" s="61">
        <f>SUM(O11:O16)</f>
        <v>0</v>
      </c>
      <c r="S17" s="138"/>
    </row>
    <row r="18" spans="1:21" ht="5.25" customHeight="1">
      <c r="A18" s="249"/>
      <c r="B18" s="58"/>
      <c r="C18" s="59"/>
      <c r="D18" s="59"/>
      <c r="E18" s="60"/>
      <c r="F18" s="60"/>
      <c r="G18" s="60"/>
      <c r="H18" s="60"/>
      <c r="I18" s="60"/>
      <c r="J18" s="52"/>
    </row>
    <row r="19" spans="1:21" s="68" customFormat="1">
      <c r="A19" s="540">
        <f>'Exh. No. BGM-6 -3'!I$11</f>
        <v>2.0099999999999998</v>
      </c>
      <c r="B19" s="58" t="str">
        <f>TRIM(CONCATENATE('Exh. No. BGM-6 -3'!I$8," ",'Exh. No. BGM-6 -3'!I$9," ",'Exh. No. BGM-6 -3'!I$10))</f>
        <v>Eliminate B &amp; O Taxes</v>
      </c>
      <c r="C19" s="59"/>
      <c r="D19" s="59"/>
      <c r="E19" s="60">
        <v>-9.1000000000000014</v>
      </c>
      <c r="F19" s="60">
        <v>0</v>
      </c>
      <c r="G19" s="66"/>
      <c r="H19" s="66">
        <f>'Exh. No. BGM-6 -3'!I$59</f>
        <v>-9.1000000000000014</v>
      </c>
      <c r="I19" s="66">
        <f>'Exh. No. BGM-6 -3'!I$82</f>
        <v>0</v>
      </c>
      <c r="J19" s="70"/>
      <c r="K19" s="148">
        <f t="shared" ref="K19:K30" si="5">H19-E19</f>
        <v>0</v>
      </c>
      <c r="L19" s="148">
        <f t="shared" ref="L19:L30" si="6">I19-F19</f>
        <v>0</v>
      </c>
      <c r="M19" s="36"/>
      <c r="N19" s="151">
        <f t="shared" ref="N19:N30" si="7">K19/$N$10*-1</f>
        <v>0</v>
      </c>
      <c r="O19" s="151">
        <f t="shared" ref="O19:O30" si="8">L19*$O$10/$N$10</f>
        <v>0</v>
      </c>
      <c r="P19" s="192">
        <f t="shared" ref="P19:P30" si="9">N19+O19</f>
        <v>0</v>
      </c>
      <c r="Q19" s="140"/>
      <c r="R19" s="139"/>
      <c r="S19" s="52"/>
      <c r="T19" s="70"/>
      <c r="U19" s="70"/>
    </row>
    <row r="20" spans="1:21" s="68" customFormat="1">
      <c r="A20" s="540">
        <f>'Exh. No. BGM-6 -3'!J$11</f>
        <v>2.0199999999999996</v>
      </c>
      <c r="B20" s="58" t="str">
        <f>TRIM(CONCATENATE('Exh. No. BGM-6 -3'!J$8," ",'Exh. No. BGM-6 -3'!J$9," ",'Exh. No. BGM-6 -3'!J$10))</f>
        <v>Restate Property Tax</v>
      </c>
      <c r="C20" s="59"/>
      <c r="D20" s="59"/>
      <c r="E20" s="60">
        <v>122.2</v>
      </c>
      <c r="F20" s="60">
        <v>0</v>
      </c>
      <c r="G20" s="66"/>
      <c r="H20" s="66">
        <f>'Exh. No. BGM-6 -3'!J$59</f>
        <v>122.2</v>
      </c>
      <c r="I20" s="66">
        <f>'Exh. No. BGM-6 -3'!J$82</f>
        <v>0</v>
      </c>
      <c r="J20" s="70"/>
      <c r="K20" s="148">
        <f t="shared" si="5"/>
        <v>0</v>
      </c>
      <c r="L20" s="148">
        <f t="shared" si="6"/>
        <v>0</v>
      </c>
      <c r="M20" s="36"/>
      <c r="N20" s="151">
        <f t="shared" si="7"/>
        <v>0</v>
      </c>
      <c r="O20" s="151">
        <f t="shared" si="8"/>
        <v>0</v>
      </c>
      <c r="P20" s="192">
        <f t="shared" si="9"/>
        <v>0</v>
      </c>
      <c r="Q20" s="140"/>
      <c r="R20" s="139"/>
      <c r="S20" s="198"/>
      <c r="T20" s="70"/>
      <c r="U20" s="70"/>
    </row>
    <row r="21" spans="1:21" s="68" customFormat="1">
      <c r="A21" s="540">
        <f>'Exh. No. BGM-6 -3'!K$11</f>
        <v>2.0299999999999994</v>
      </c>
      <c r="B21" s="58" t="str">
        <f>TRIM(CONCATENATE('Exh. No. BGM-6 -3'!K$8," ",'Exh. No. BGM-6 -3'!K$9," ",'Exh. No. BGM-6 -3'!K$10))</f>
        <v>Uncollectible Expense</v>
      </c>
      <c r="C21" s="59"/>
      <c r="D21" s="59"/>
      <c r="E21" s="60">
        <v>203.45</v>
      </c>
      <c r="F21" s="60">
        <v>0</v>
      </c>
      <c r="G21" s="66"/>
      <c r="H21" s="66">
        <f>'Exh. No. BGM-6 -3'!K$59</f>
        <v>203.45</v>
      </c>
      <c r="I21" s="66">
        <f>'Exh. No. BGM-6 -3'!K$82</f>
        <v>0</v>
      </c>
      <c r="J21" s="70"/>
      <c r="K21" s="148">
        <f t="shared" ref="K21" si="10">H21-E21</f>
        <v>0</v>
      </c>
      <c r="L21" s="148">
        <f t="shared" ref="L21" si="11">I21-F21</f>
        <v>0</v>
      </c>
      <c r="M21" s="36"/>
      <c r="N21" s="151">
        <f t="shared" ref="N21" si="12">K21/$N$10*-1</f>
        <v>0</v>
      </c>
      <c r="O21" s="151">
        <f t="shared" ref="O21" si="13">L21*$O$10/$N$10</f>
        <v>0</v>
      </c>
      <c r="P21" s="192">
        <f t="shared" ref="P21" si="14">N21+O21</f>
        <v>0</v>
      </c>
      <c r="Q21" s="140"/>
      <c r="R21" s="139"/>
      <c r="S21" s="198"/>
      <c r="T21" s="70"/>
      <c r="U21" s="70"/>
    </row>
    <row r="22" spans="1:21" s="68" customFormat="1">
      <c r="A22" s="540">
        <f>'Exh. No. BGM-6 -3'!L$11</f>
        <v>2.0399999999999991</v>
      </c>
      <c r="B22" s="58" t="str">
        <f>TRIM(CONCATENATE('Exh. No. BGM-6 -3'!L$8," ",'Exh. No. BGM-6 -3'!L$9," ",'Exh. No. BGM-6 -3'!L$10))</f>
        <v>Regulatory Expense</v>
      </c>
      <c r="C22" s="59"/>
      <c r="D22" s="59"/>
      <c r="E22" s="60">
        <v>7.8000000000000007</v>
      </c>
      <c r="F22" s="60">
        <v>0</v>
      </c>
      <c r="G22" s="66"/>
      <c r="H22" s="66">
        <f>'Exh. No. BGM-6 -3'!L$59</f>
        <v>7.8000000000000007</v>
      </c>
      <c r="I22" s="66">
        <f>'Exh. No. BGM-6 -3'!L$82</f>
        <v>0</v>
      </c>
      <c r="J22" s="70"/>
      <c r="K22" s="148">
        <f t="shared" si="5"/>
        <v>0</v>
      </c>
      <c r="L22" s="148">
        <f t="shared" si="6"/>
        <v>0</v>
      </c>
      <c r="M22" s="36"/>
      <c r="N22" s="151">
        <f t="shared" si="7"/>
        <v>0</v>
      </c>
      <c r="O22" s="151">
        <f t="shared" si="8"/>
        <v>0</v>
      </c>
      <c r="P22" s="192">
        <f t="shared" si="9"/>
        <v>0</v>
      </c>
      <c r="Q22" s="140"/>
      <c r="R22" s="139"/>
      <c r="S22" s="198"/>
      <c r="T22" s="70"/>
      <c r="U22" s="70"/>
    </row>
    <row r="23" spans="1:21" s="68" customFormat="1">
      <c r="A23" s="540">
        <f>'Exh. No. BGM-6 -3'!M$11</f>
        <v>2.0499999999999989</v>
      </c>
      <c r="B23" s="58" t="str">
        <f>TRIM(CONCATENATE('Exh. No. BGM-6 -3'!M$8," ",'Exh. No. BGM-6 -3'!M$9," ",'Exh. No. BGM-6 -3'!M$10))</f>
        <v>Injuries and Damages</v>
      </c>
      <c r="C23" s="59"/>
      <c r="D23" s="59"/>
      <c r="E23" s="60">
        <v>-150.15</v>
      </c>
      <c r="F23" s="60">
        <v>0</v>
      </c>
      <c r="G23" s="66"/>
      <c r="H23" s="66">
        <f>'Exh. No. BGM-6 -3'!M$59</f>
        <v>-150.15</v>
      </c>
      <c r="I23" s="66">
        <f>'Exh. No. BGM-6 -3'!M$82</f>
        <v>0</v>
      </c>
      <c r="J23" s="70"/>
      <c r="K23" s="148">
        <f t="shared" si="5"/>
        <v>0</v>
      </c>
      <c r="L23" s="148">
        <f t="shared" si="6"/>
        <v>0</v>
      </c>
      <c r="M23" s="36"/>
      <c r="N23" s="151">
        <f t="shared" si="7"/>
        <v>0</v>
      </c>
      <c r="O23" s="151">
        <f t="shared" si="8"/>
        <v>0</v>
      </c>
      <c r="P23" s="192">
        <f t="shared" si="9"/>
        <v>0</v>
      </c>
      <c r="Q23" s="140"/>
      <c r="R23" s="139"/>
      <c r="S23" s="198"/>
      <c r="T23" s="70"/>
      <c r="U23" s="70"/>
    </row>
    <row r="24" spans="1:21" s="68" customFormat="1">
      <c r="A24" s="540">
        <f>'Exh. No. BGM-6 -3'!N$11</f>
        <v>2.0599999999999987</v>
      </c>
      <c r="B24" s="58" t="str">
        <f>TRIM(CONCATENATE('Exh. No. BGM-6 -3'!N$8," ",'Exh. No. BGM-6 -3'!N$9," ",'Exh. No. BGM-6 -3'!N$10))</f>
        <v>FIT / DFIT Expense</v>
      </c>
      <c r="C24" s="59"/>
      <c r="D24" s="59"/>
      <c r="E24" s="60">
        <v>223</v>
      </c>
      <c r="F24" s="60">
        <v>0</v>
      </c>
      <c r="G24" s="66"/>
      <c r="H24" s="66">
        <f>'Exh. No. BGM-6 -3'!N$59</f>
        <v>223</v>
      </c>
      <c r="I24" s="66">
        <f>'Exh. No. BGM-6 -3'!N$82</f>
        <v>0</v>
      </c>
      <c r="J24" s="70"/>
      <c r="K24" s="148">
        <f t="shared" si="5"/>
        <v>0</v>
      </c>
      <c r="L24" s="148">
        <f t="shared" si="6"/>
        <v>0</v>
      </c>
      <c r="M24" s="36"/>
      <c r="N24" s="151">
        <f t="shared" si="7"/>
        <v>0</v>
      </c>
      <c r="O24" s="151">
        <f t="shared" si="8"/>
        <v>0</v>
      </c>
      <c r="P24" s="192">
        <f t="shared" si="9"/>
        <v>0</v>
      </c>
      <c r="Q24" s="140"/>
      <c r="R24" s="139"/>
      <c r="S24" s="141"/>
      <c r="T24" s="70"/>
      <c r="U24" s="70"/>
    </row>
    <row r="25" spans="1:21" s="68" customFormat="1">
      <c r="A25" s="540">
        <f>'Exh. No. BGM-6 -3'!O$11</f>
        <v>2.0699999999999985</v>
      </c>
      <c r="B25" s="58" t="str">
        <f>TRIM(CONCATENATE('Exh. No. BGM-6 -3'!O$8," ",'Exh. No. BGM-6 -3'!O$9," ",'Exh. No. BGM-6 -3'!O$10))</f>
        <v>Office Space Charges to Subs</v>
      </c>
      <c r="C25" s="59"/>
      <c r="D25" s="59"/>
      <c r="E25" s="60">
        <v>5.85</v>
      </c>
      <c r="F25" s="60">
        <v>0</v>
      </c>
      <c r="G25" s="66"/>
      <c r="H25" s="66">
        <f>'Exh. No. BGM-6 -3'!O$59</f>
        <v>5.85</v>
      </c>
      <c r="I25" s="66">
        <f>'Exh. No. BGM-6 -3'!O$82</f>
        <v>0</v>
      </c>
      <c r="J25" s="70"/>
      <c r="K25" s="148">
        <f t="shared" si="5"/>
        <v>0</v>
      </c>
      <c r="L25" s="148">
        <f t="shared" si="6"/>
        <v>0</v>
      </c>
      <c r="M25" s="150"/>
      <c r="N25" s="151">
        <f t="shared" si="7"/>
        <v>0</v>
      </c>
      <c r="O25" s="151">
        <f t="shared" si="8"/>
        <v>0</v>
      </c>
      <c r="P25" s="192">
        <f t="shared" si="9"/>
        <v>0</v>
      </c>
      <c r="Q25" s="140"/>
      <c r="R25" s="139"/>
      <c r="S25" s="198"/>
      <c r="T25" s="70"/>
      <c r="U25" s="70"/>
    </row>
    <row r="26" spans="1:21" s="68" customFormat="1">
      <c r="A26" s="540">
        <f>'Exh. No. BGM-6 -3'!P$11</f>
        <v>2.0799999999999983</v>
      </c>
      <c r="B26" s="58" t="str">
        <f>TRIM(CONCATENATE('Exh. No. BGM-6 -3'!P$8," ",'Exh. No. BGM-6 -3'!P$9," ",'Exh. No. BGM-6 -3'!P$10))</f>
        <v>Restate Excise Taxes</v>
      </c>
      <c r="C26" s="59"/>
      <c r="D26" s="59"/>
      <c r="E26" s="60">
        <v>3.25</v>
      </c>
      <c r="F26" s="60">
        <v>0</v>
      </c>
      <c r="G26" s="66"/>
      <c r="H26" s="66">
        <f>'Exh. No. BGM-6 -3'!P$59</f>
        <v>3.25</v>
      </c>
      <c r="I26" s="66">
        <f>'Exh. No. BGM-6 -3'!P$82</f>
        <v>0</v>
      </c>
      <c r="J26" s="70"/>
      <c r="K26" s="148">
        <f t="shared" si="5"/>
        <v>0</v>
      </c>
      <c r="L26" s="148">
        <f t="shared" si="6"/>
        <v>0</v>
      </c>
      <c r="M26" s="150"/>
      <c r="N26" s="151">
        <f t="shared" si="7"/>
        <v>0</v>
      </c>
      <c r="O26" s="151">
        <f t="shared" si="8"/>
        <v>0</v>
      </c>
      <c r="P26" s="192">
        <f t="shared" si="9"/>
        <v>0</v>
      </c>
      <c r="Q26" s="140"/>
      <c r="R26" s="139"/>
      <c r="S26" s="70"/>
      <c r="T26" s="70"/>
      <c r="U26" s="70"/>
    </row>
    <row r="27" spans="1:21" s="68" customFormat="1">
      <c r="A27" s="540">
        <f>'Exh. No. BGM-6 -3'!Q$11</f>
        <v>2.0899999999999981</v>
      </c>
      <c r="B27" s="58" t="str">
        <f>TRIM(CONCATENATE('Exh. No. BGM-6 -3'!Q$8," ",'Exh. No. BGM-6 -3'!Q$9," ",'Exh. No. BGM-6 -3'!Q$10))</f>
        <v>Net Gains/Losses</v>
      </c>
      <c r="C27" s="59"/>
      <c r="D27" s="59"/>
      <c r="E27" s="60">
        <v>3.9000000000000004</v>
      </c>
      <c r="F27" s="60">
        <v>0</v>
      </c>
      <c r="G27" s="66"/>
      <c r="H27" s="66">
        <f>'Exh. No. BGM-6 -3'!Q$59</f>
        <v>3.9000000000000004</v>
      </c>
      <c r="I27" s="66">
        <f>'Exh. No. BGM-6 -3'!Q$82</f>
        <v>0</v>
      </c>
      <c r="J27" s="70"/>
      <c r="K27" s="148">
        <f t="shared" ref="K27:L28" si="15">H27-E27</f>
        <v>0</v>
      </c>
      <c r="L27" s="148">
        <f t="shared" si="15"/>
        <v>0</v>
      </c>
      <c r="M27" s="150"/>
      <c r="N27" s="151">
        <f>K27/$N$10*-1</f>
        <v>0</v>
      </c>
      <c r="O27" s="151">
        <f>L27*$O$10/$N$10</f>
        <v>0</v>
      </c>
      <c r="P27" s="192">
        <f>N27+O27</f>
        <v>0</v>
      </c>
      <c r="Q27" s="140"/>
      <c r="R27" s="139"/>
      <c r="S27" s="198"/>
      <c r="T27" s="70"/>
      <c r="U27" s="70"/>
    </row>
    <row r="28" spans="1:21" s="59" customFormat="1">
      <c r="A28" s="540">
        <f>'Exh. No. BGM-6 -3'!R$11</f>
        <v>2.0999999999999979</v>
      </c>
      <c r="B28" s="58" t="str">
        <f>TRIM(CONCATENATE('Exh. No. BGM-6 -3'!R$8," ",'Exh. No. BGM-6 -3'!R$9," ",'Exh. No. BGM-6 -3'!R$10))</f>
        <v>Weather Normalization / Gas Cost Adjust</v>
      </c>
      <c r="E28" s="60">
        <v>1154.4000000000001</v>
      </c>
      <c r="F28" s="60">
        <v>0</v>
      </c>
      <c r="G28" s="66"/>
      <c r="H28" s="66">
        <f>'Exh. No. BGM-6 -3'!R$59</f>
        <v>1154.4000000000001</v>
      </c>
      <c r="I28" s="66">
        <f>'Exh. No. BGM-6 -3'!R$82</f>
        <v>0</v>
      </c>
      <c r="J28" s="67"/>
      <c r="K28" s="148">
        <f t="shared" si="15"/>
        <v>0</v>
      </c>
      <c r="L28" s="148">
        <f t="shared" si="15"/>
        <v>0</v>
      </c>
      <c r="M28" s="36"/>
      <c r="N28" s="151">
        <f>K28/$N$10*-1</f>
        <v>0</v>
      </c>
      <c r="O28" s="151">
        <f>L28*$O$10/$N$10</f>
        <v>0</v>
      </c>
      <c r="P28" s="192">
        <f>N28+O28</f>
        <v>0</v>
      </c>
      <c r="Q28" s="136"/>
      <c r="R28" s="139"/>
      <c r="S28" s="52"/>
      <c r="T28" s="67"/>
      <c r="U28" s="67"/>
    </row>
    <row r="29" spans="1:21" s="500" customFormat="1">
      <c r="A29" s="540">
        <f>'Exh. No. BGM-6 -3'!S$11</f>
        <v>2.1099999999999977</v>
      </c>
      <c r="B29" s="58" t="str">
        <f>TRIM(CONCATENATE('Exh. No. BGM-6 -3'!S$8," ",'Exh. No. BGM-6 -3'!S$9," ",'Exh. No. BGM-6 -3'!S$10))</f>
        <v>Eliminate Adder Schedules</v>
      </c>
      <c r="E29" s="60">
        <v>0</v>
      </c>
      <c r="F29" s="60">
        <v>0</v>
      </c>
      <c r="G29" s="66"/>
      <c r="H29" s="66">
        <f>'Exh. No. BGM-6 -3'!S$59</f>
        <v>0</v>
      </c>
      <c r="I29" s="66">
        <f>'Exh. No. BGM-6 -3'!S$82</f>
        <v>0</v>
      </c>
      <c r="J29" s="67"/>
      <c r="K29" s="501">
        <f t="shared" ref="K29" si="16">H29-E29</f>
        <v>0</v>
      </c>
      <c r="L29" s="501">
        <f t="shared" ref="L29" si="17">I29-F29</f>
        <v>0</v>
      </c>
      <c r="M29" s="498"/>
      <c r="N29" s="505">
        <f>K29/$N$10*-1</f>
        <v>0</v>
      </c>
      <c r="O29" s="505">
        <f>L29*$O$10/$N$10</f>
        <v>0</v>
      </c>
      <c r="P29" s="506">
        <f>N29+O29</f>
        <v>0</v>
      </c>
      <c r="Q29" s="504"/>
      <c r="R29" s="503"/>
      <c r="S29" s="499"/>
      <c r="T29" s="67"/>
      <c r="U29" s="67"/>
    </row>
    <row r="30" spans="1:21" s="140" customFormat="1">
      <c r="A30" s="540">
        <f>'Exh. No. BGM-6 -3'!T$11</f>
        <v>2.1199999999999974</v>
      </c>
      <c r="B30" s="135" t="str">
        <f>TRIM(CONCATENATE('Exh. No. BGM-6 -3'!T$8," ",'Exh. No. BGM-6 -3'!T$9," ",'Exh. No. BGM-6 -3'!T$10))</f>
        <v>Misc Restating Adjustments</v>
      </c>
      <c r="C30" s="136"/>
      <c r="D30" s="136"/>
      <c r="E30" s="60">
        <v>144.30000000000001</v>
      </c>
      <c r="F30" s="60">
        <v>0</v>
      </c>
      <c r="G30" s="137"/>
      <c r="H30" s="137">
        <f>'Exh. No. BGM-6 -3'!T$59</f>
        <v>206.54010000000002</v>
      </c>
      <c r="I30" s="137">
        <f>'Exh. No. BGM-6 -3'!T$82</f>
        <v>0</v>
      </c>
      <c r="J30" s="141"/>
      <c r="K30" s="148">
        <f t="shared" si="5"/>
        <v>62.240100000000012</v>
      </c>
      <c r="L30" s="148">
        <f t="shared" si="6"/>
        <v>0</v>
      </c>
      <c r="M30" s="150"/>
      <c r="N30" s="151">
        <f t="shared" si="7"/>
        <v>-100.38677232206943</v>
      </c>
      <c r="O30" s="151">
        <f t="shared" si="8"/>
        <v>0</v>
      </c>
      <c r="P30" s="192">
        <f t="shared" si="9"/>
        <v>-100.38677232206943</v>
      </c>
      <c r="R30" s="139"/>
      <c r="S30" s="198"/>
      <c r="T30" s="141"/>
      <c r="U30" s="141"/>
    </row>
    <row r="31" spans="1:21" s="140" customFormat="1">
      <c r="A31" s="540">
        <f>'Exh. No. BGM-6 -3'!U$11</f>
        <v>2.1299999999999972</v>
      </c>
      <c r="B31" s="135" t="str">
        <f>TRIM(CONCATENATE('Exh. No. BGM-6 -3'!U$8," ",'Exh. No. BGM-6 -3'!U$9," ",'Exh. No. BGM-6 -3'!U$10))</f>
        <v>Restate Debt Interest</v>
      </c>
      <c r="C31" s="136"/>
      <c r="D31" s="136"/>
      <c r="E31" s="60">
        <v>86</v>
      </c>
      <c r="F31" s="60">
        <v>0</v>
      </c>
      <c r="G31" s="137"/>
      <c r="H31" s="137">
        <f>'Exh. No. BGM-6 -3'!U$59</f>
        <v>205.20060024845552</v>
      </c>
      <c r="I31" s="137">
        <f>'Exh. No. BGM-6 -3'!U$82</f>
        <v>0</v>
      </c>
      <c r="J31" s="141"/>
      <c r="K31" s="148">
        <f>H31-E31</f>
        <v>119.20060024845552</v>
      </c>
      <c r="L31" s="148">
        <f>I31-F31</f>
        <v>0</v>
      </c>
      <c r="M31" s="150"/>
      <c r="N31" s="151">
        <f>K31/$N$10*-1</f>
        <v>-192.2581023776587</v>
      </c>
      <c r="O31" s="151">
        <f>L31*$O$10/$N$10</f>
        <v>0</v>
      </c>
      <c r="P31" s="192">
        <f>N31+O31</f>
        <v>-192.2581023776587</v>
      </c>
      <c r="Q31" s="139" t="s">
        <v>198</v>
      </c>
      <c r="R31" s="139"/>
      <c r="S31" s="141"/>
      <c r="T31" s="141"/>
      <c r="U31" s="141"/>
    </row>
    <row r="32" spans="1:21" s="140" customFormat="1">
      <c r="A32" s="540">
        <f>'Exh. No. BGM-6 -3'!V$11</f>
        <v>2.139999999999997</v>
      </c>
      <c r="B32" s="135" t="str">
        <f>TRIM(CONCATENATE('Exh. No. BGM-6 -3'!V$8," ",'Exh. No. BGM-6 -3'!V$9," ",'Exh. No. BGM-6 -3'!V$10))</f>
        <v>Restating Incentive Adjustment</v>
      </c>
      <c r="C32" s="136"/>
      <c r="D32" s="136"/>
      <c r="E32" s="60">
        <v>317.85000000000002</v>
      </c>
      <c r="F32" s="60">
        <v>0</v>
      </c>
      <c r="G32" s="137"/>
      <c r="H32" s="137">
        <f>'Exh. No. BGM-6 -3'!V$59</f>
        <v>317.85000000000002</v>
      </c>
      <c r="I32" s="137">
        <f>'Exh. No. BGM-6 -3'!V$82</f>
        <v>0</v>
      </c>
      <c r="J32" s="141"/>
      <c r="K32" s="148">
        <f t="shared" ref="K32" si="18">H32-E32</f>
        <v>0</v>
      </c>
      <c r="L32" s="148">
        <f t="shared" ref="L32" si="19">I32-F32</f>
        <v>0</v>
      </c>
      <c r="M32" s="150"/>
      <c r="N32" s="151">
        <f>K32/$N$10*-1</f>
        <v>0</v>
      </c>
      <c r="O32" s="151">
        <f>L32*$O$10/$N$10</f>
        <v>0</v>
      </c>
      <c r="P32" s="192">
        <f>N32+O32</f>
        <v>0</v>
      </c>
      <c r="R32" s="139"/>
      <c r="S32" s="198"/>
      <c r="T32" s="141"/>
      <c r="U32" s="141"/>
    </row>
    <row r="33" spans="1:21" s="140" customFormat="1">
      <c r="A33" s="540">
        <f>'Exh. No. BGM-6 -3'!W$11</f>
        <v>2.1499999999999968</v>
      </c>
      <c r="B33" s="135" t="str">
        <f>TRIM(CONCATENATE('Exh. No. BGM-6 -3'!W$8," ",'Exh. No. BGM-6 -3'!W$9," ",'Exh. No. BGM-6 -3'!W$10))</f>
        <v>Project Compass Deferral</v>
      </c>
      <c r="C33" s="504"/>
      <c r="D33" s="504"/>
      <c r="E33" s="60">
        <v>978.25</v>
      </c>
      <c r="F33" s="60">
        <v>0</v>
      </c>
      <c r="G33" s="137"/>
      <c r="H33" s="137">
        <f>'Exh. No. BGM-6 -3'!W$59</f>
        <v>978.25</v>
      </c>
      <c r="I33" s="137">
        <f>'Exh. No. BGM-6 -3'!W$82</f>
        <v>0</v>
      </c>
      <c r="J33" s="141"/>
      <c r="K33" s="501">
        <f>H33-E33</f>
        <v>0</v>
      </c>
      <c r="L33" s="501">
        <f>I33-F33</f>
        <v>0</v>
      </c>
      <c r="M33" s="150"/>
      <c r="N33" s="505">
        <f>K33/$N$10*-1</f>
        <v>0</v>
      </c>
      <c r="O33" s="505">
        <f>L33*$O$10/$N$10</f>
        <v>0</v>
      </c>
      <c r="P33" s="506">
        <f>N33+O33</f>
        <v>0</v>
      </c>
      <c r="Q33" s="537"/>
      <c r="R33" s="537"/>
      <c r="S33" s="141"/>
      <c r="T33" s="141"/>
      <c r="U33" s="141"/>
    </row>
    <row r="34" spans="1:21">
      <c r="A34" s="540"/>
      <c r="B34" s="58"/>
      <c r="E34" s="66"/>
      <c r="F34" s="66"/>
      <c r="G34" s="66"/>
      <c r="H34" s="66"/>
      <c r="I34" s="66"/>
      <c r="J34" s="52"/>
      <c r="N34" s="177"/>
      <c r="O34" s="177"/>
      <c r="S34" s="138"/>
    </row>
    <row r="35" spans="1:21" ht="18" customHeight="1" thickBot="1">
      <c r="A35" s="540"/>
      <c r="B35" s="36" t="s">
        <v>78</v>
      </c>
      <c r="E35" s="65">
        <f>SUM(E17:E34)</f>
        <v>17667.957319999998</v>
      </c>
      <c r="F35" s="65">
        <f>SUM(F17:F34)</f>
        <v>262267</v>
      </c>
      <c r="G35" s="65"/>
      <c r="H35" s="65">
        <f>SUM(H17:H34)</f>
        <v>17849.398020248453</v>
      </c>
      <c r="I35" s="65">
        <f>SUM(I17:I34)</f>
        <v>262267</v>
      </c>
      <c r="J35" s="52"/>
      <c r="K35" s="65">
        <f>SUM(K17:K34)</f>
        <v>181.44070024845553</v>
      </c>
      <c r="L35" s="65">
        <f>SUM(L17:L34)</f>
        <v>0</v>
      </c>
      <c r="M35" s="65"/>
      <c r="N35" s="65">
        <f>SUM(N17:N34)</f>
        <v>-292.64487469972812</v>
      </c>
      <c r="O35" s="65">
        <f>SUM(O17:O34)</f>
        <v>0</v>
      </c>
      <c r="S35" s="138"/>
    </row>
    <row r="36" spans="1:21" ht="6.75" customHeight="1" thickTop="1">
      <c r="A36" s="540"/>
      <c r="D36" s="62"/>
      <c r="E36" s="62"/>
      <c r="H36" s="62"/>
      <c r="J36" s="52"/>
      <c r="K36" s="149"/>
      <c r="L36" s="149"/>
      <c r="N36" s="63"/>
      <c r="O36" s="63"/>
      <c r="S36" s="138"/>
    </row>
    <row r="37" spans="1:21">
      <c r="A37" s="540">
        <f>'Exh. No. BGM-6 -3'!Y$11</f>
        <v>3</v>
      </c>
      <c r="B37" s="58" t="str">
        <f>TRIM(CONCATENATE('Exh. No. BGM-6 -3'!Y$8," ",'Exh. No. BGM-6 -3'!Y$9," ",'Exh. No. BGM-6 -3'!Y$10))</f>
        <v>Pro Forma Labor Non-Exec</v>
      </c>
      <c r="C37" s="59"/>
      <c r="D37" s="59"/>
      <c r="E37" s="60">
        <v>-418.68450000000001</v>
      </c>
      <c r="F37" s="60">
        <v>0</v>
      </c>
      <c r="G37" s="66"/>
      <c r="H37" s="66">
        <f>'Exh. No. BGM-6 -3'!Y$59</f>
        <v>-256.1792987</v>
      </c>
      <c r="I37" s="66">
        <f>'Exh. No. BGM-6 -3'!Y$82</f>
        <v>0</v>
      </c>
      <c r="J37" s="52"/>
      <c r="K37" s="148">
        <f t="shared" ref="K37:K38" si="20">H37-E37</f>
        <v>162.50520130000001</v>
      </c>
      <c r="L37" s="148">
        <f t="shared" ref="L37:L38" si="21">I37-F37</f>
        <v>0</v>
      </c>
      <c r="N37" s="151">
        <f t="shared" ref="N37:N38" si="22">K37/$N$10*-1</f>
        <v>-262.10389514244287</v>
      </c>
      <c r="O37" s="151">
        <f t="shared" ref="O37:O38" si="23">L37*$O$10/$N$10</f>
        <v>0</v>
      </c>
      <c r="P37" s="192">
        <f t="shared" ref="P37:P38" si="24">N37+O37</f>
        <v>-262.10389514244287</v>
      </c>
      <c r="S37" s="198"/>
    </row>
    <row r="38" spans="1:21" ht="13.5" customHeight="1">
      <c r="A38" s="540">
        <f>'Exh. No. BGM-6 -3'!Z$11</f>
        <v>3.01</v>
      </c>
      <c r="B38" s="58" t="str">
        <f>TRIM(CONCATENATE('Exh. No. BGM-6 -3'!Z$8," ",'Exh. No. BGM-6 -3'!Z$9," ",'Exh. No. BGM-6 -3'!Z$10))</f>
        <v>Pro Forma Labor Exec</v>
      </c>
      <c r="C38" s="59"/>
      <c r="D38" s="59"/>
      <c r="E38" s="60">
        <v>8.4499999999999993</v>
      </c>
      <c r="F38" s="60">
        <v>0</v>
      </c>
      <c r="G38" s="66"/>
      <c r="H38" s="66">
        <f>'Exh. No. BGM-6 -3'!Z$59</f>
        <v>8.4499999999999993</v>
      </c>
      <c r="I38" s="66">
        <f>'Exh. No. BGM-6 -3'!Z$82</f>
        <v>0</v>
      </c>
      <c r="J38" s="52"/>
      <c r="K38" s="148">
        <f t="shared" si="20"/>
        <v>0</v>
      </c>
      <c r="L38" s="148">
        <f t="shared" si="21"/>
        <v>0</v>
      </c>
      <c r="N38" s="151">
        <f t="shared" si="22"/>
        <v>0</v>
      </c>
      <c r="O38" s="151">
        <f t="shared" si="23"/>
        <v>0</v>
      </c>
      <c r="P38" s="192">
        <f t="shared" si="24"/>
        <v>0</v>
      </c>
      <c r="S38" s="198"/>
    </row>
    <row r="39" spans="1:21">
      <c r="A39" s="540">
        <f>'Exh. No. BGM-6 -3'!AA$11</f>
        <v>3.0199999999999996</v>
      </c>
      <c r="B39" s="58" t="str">
        <f>TRIM(CONCATENATE('Exh. No. BGM-6 -3'!AA$8," ",'Exh. No. BGM-6 -3'!AA$9," ",'Exh. No. BGM-6 -3'!AA$10))</f>
        <v>Pro Forma Employee Benefits</v>
      </c>
      <c r="C39" s="59"/>
      <c r="D39" s="59"/>
      <c r="E39" s="60">
        <v>-224.11545000000001</v>
      </c>
      <c r="F39" s="60">
        <v>0</v>
      </c>
      <c r="G39" s="66"/>
      <c r="H39" s="66">
        <f>'Exh. No. BGM-6 -3'!AA$59</f>
        <v>-224.11545000000001</v>
      </c>
      <c r="I39" s="66">
        <f>'Exh. No. BGM-6 -3'!AA$82</f>
        <v>0</v>
      </c>
      <c r="J39" s="52"/>
      <c r="K39" s="148">
        <f t="shared" ref="K39:L39" si="25">H39-E39</f>
        <v>0</v>
      </c>
      <c r="L39" s="148">
        <f t="shared" si="25"/>
        <v>0</v>
      </c>
      <c r="N39" s="151">
        <f>K39/$N$10*-1</f>
        <v>0</v>
      </c>
      <c r="O39" s="151">
        <f>L39*$O$10/$N$10</f>
        <v>0</v>
      </c>
      <c r="P39" s="192">
        <f>N39+O39</f>
        <v>0</v>
      </c>
      <c r="S39" s="198"/>
    </row>
    <row r="40" spans="1:21" s="68" customFormat="1">
      <c r="A40" s="540">
        <f>'Exh. No. BGM-6 -3'!AB$11</f>
        <v>3.0299999999999994</v>
      </c>
      <c r="B40" s="58" t="str">
        <f>TRIM(CONCATENATE('Exh. No. BGM-6 -3'!AB$8," ",'Exh. No. BGM-6 -3'!AB$9," ",'Exh. No. BGM-6 -3'!AB$10))</f>
        <v>Pro Forma Pipeline Safety Labor</v>
      </c>
      <c r="C40" s="59"/>
      <c r="D40" s="59"/>
      <c r="E40" s="60">
        <v>-67.599999999999994</v>
      </c>
      <c r="F40" s="60">
        <v>0</v>
      </c>
      <c r="G40" s="66"/>
      <c r="H40" s="66">
        <f>'Exh. No. BGM-6 -3'!AB$59</f>
        <v>-67.599999999999994</v>
      </c>
      <c r="I40" s="66">
        <f>'Exh. No. BGM-6 -3'!AB$82</f>
        <v>0</v>
      </c>
      <c r="J40" s="70"/>
      <c r="K40" s="148">
        <f>H40-E40</f>
        <v>0</v>
      </c>
      <c r="L40" s="148">
        <f>I40-F40</f>
        <v>0</v>
      </c>
      <c r="M40" s="36"/>
      <c r="N40" s="151">
        <f>K40/$N$10*-1</f>
        <v>0</v>
      </c>
      <c r="O40" s="151">
        <f>L40*$O$10/$N$10</f>
        <v>0</v>
      </c>
      <c r="P40" s="192">
        <f>N40+O40</f>
        <v>0</v>
      </c>
      <c r="Q40" s="140"/>
      <c r="R40" s="139"/>
      <c r="S40" s="141"/>
      <c r="T40" s="70"/>
      <c r="U40" s="70"/>
    </row>
    <row r="41" spans="1:21">
      <c r="A41" s="540">
        <f>'Exh. No. BGM-6 -3'!AC$11</f>
        <v>3.0399999999999991</v>
      </c>
      <c r="B41" s="58" t="str">
        <f>TRIM(CONCATENATE('Exh. No. BGM-6 -3'!AC$8," ",'Exh. No. BGM-6 -3'!AC$9," ",'Exh. No. BGM-6 -3'!AC$10))</f>
        <v>Pro Forma Property Tax</v>
      </c>
      <c r="C41" s="59"/>
      <c r="D41" s="59"/>
      <c r="E41" s="60">
        <v>-127.4</v>
      </c>
      <c r="F41" s="60">
        <v>0</v>
      </c>
      <c r="G41" s="66"/>
      <c r="H41" s="66">
        <f>'Exh. No. BGM-6 -3'!AC$59</f>
        <v>-127.4</v>
      </c>
      <c r="I41" s="66">
        <f>'Exh. No. BGM-6 -3'!AC$82</f>
        <v>0</v>
      </c>
      <c r="J41" s="52"/>
      <c r="K41" s="148">
        <f t="shared" ref="K41" si="26">H41-E41</f>
        <v>0</v>
      </c>
      <c r="L41" s="148">
        <f t="shared" ref="L41" si="27">I41-F41</f>
        <v>0</v>
      </c>
      <c r="N41" s="151">
        <f>K41/$N$10*-1</f>
        <v>0</v>
      </c>
      <c r="O41" s="151">
        <f>L41*$O$10/$N$10</f>
        <v>0</v>
      </c>
      <c r="P41" s="192">
        <f>N41+O41</f>
        <v>0</v>
      </c>
      <c r="S41" s="198"/>
    </row>
    <row r="42" spans="1:21" s="139" customFormat="1">
      <c r="A42" s="540">
        <f>'Exh. No. BGM-6 -3'!AD$11</f>
        <v>3.0499999999999989</v>
      </c>
      <c r="B42" s="135" t="str">
        <f>TRIM(CONCATENATE('Exh. No. BGM-6 -3'!AD$8," ",'Exh. No. BGM-6 -3'!AD$9," ",'Exh. No. BGM-6 -3'!AD$10))</f>
        <v>Pro Forma Revenue Normalization</v>
      </c>
      <c r="C42" s="136"/>
      <c r="D42" s="136"/>
      <c r="E42" s="60">
        <v>8002.1500000000005</v>
      </c>
      <c r="F42" s="60">
        <v>0</v>
      </c>
      <c r="G42" s="137"/>
      <c r="H42" s="137">
        <f>'Exh. No. BGM-6 -3'!AD$59</f>
        <v>8002.1500000000005</v>
      </c>
      <c r="I42" s="137">
        <f>'Exh. No. BGM-6 -3'!AD$82</f>
        <v>0</v>
      </c>
      <c r="J42" s="138"/>
      <c r="K42" s="148">
        <f>H42-E42</f>
        <v>0</v>
      </c>
      <c r="L42" s="148">
        <f>I42-F42</f>
        <v>0</v>
      </c>
      <c r="M42" s="36"/>
      <c r="N42" s="151">
        <f>K42/$N$10*-1</f>
        <v>0</v>
      </c>
      <c r="O42" s="151">
        <f>L42*$O$10/$N$10</f>
        <v>0</v>
      </c>
      <c r="P42" s="192">
        <f>N42+O42</f>
        <v>0</v>
      </c>
      <c r="S42" s="138"/>
      <c r="T42" s="138"/>
      <c r="U42" s="138"/>
    </row>
    <row r="43" spans="1:21" s="503" customFormat="1">
      <c r="A43" s="540">
        <f>'Exh. No. BGM-6 -3'!AE$11</f>
        <v>3.0599999999999987</v>
      </c>
      <c r="B43" s="135" t="str">
        <f>TRIM(CONCATENATE('Exh. No. BGM-6 -3'!AE$8," ",'Exh. No. BGM-6 -3'!AE$9," ",'Exh. No. BGM-6 -3'!AE$10))</f>
        <v>Pro Forma Atmospheric Testing</v>
      </c>
      <c r="C43" s="504"/>
      <c r="D43" s="504"/>
      <c r="E43" s="60">
        <v>-153.4</v>
      </c>
      <c r="F43" s="60">
        <v>0</v>
      </c>
      <c r="G43" s="137"/>
      <c r="H43" s="137">
        <f>'Exh. No. BGM-6 -3'!AE$59</f>
        <v>-153.4</v>
      </c>
      <c r="I43" s="137">
        <f>'Exh. No. BGM-6 -3'!AE$82</f>
        <v>0</v>
      </c>
      <c r="J43" s="502"/>
      <c r="K43" s="501">
        <f t="shared" ref="K43" si="28">H43-E43</f>
        <v>0</v>
      </c>
      <c r="L43" s="501">
        <f t="shared" ref="L43" si="29">I43-F43</f>
        <v>0</v>
      </c>
      <c r="M43" s="498"/>
      <c r="N43" s="505">
        <f t="shared" ref="N43" si="30">K43/$N$10*-1</f>
        <v>0</v>
      </c>
      <c r="O43" s="505">
        <f t="shared" ref="O43" si="31">L43*$O$10/$N$10</f>
        <v>0</v>
      </c>
      <c r="P43" s="506">
        <f t="shared" ref="P43" si="32">N43+O43</f>
        <v>0</v>
      </c>
      <c r="S43" s="502"/>
      <c r="T43" s="502"/>
      <c r="U43" s="502"/>
    </row>
    <row r="44" spans="1:21" s="503" customFormat="1">
      <c r="A44" s="540">
        <f>'Exh. No. BGM-6 -3'!AF$11</f>
        <v>3.0699999999999985</v>
      </c>
      <c r="B44" s="135" t="str">
        <f>TRIM(CONCATENATE('Exh. No. BGM-6 -3'!AF$8," ",'Exh. No. BGM-6 -3'!AF$9," ",'Exh. No. BGM-6 -3'!AF$10))</f>
        <v>Pro Forma Regulatory Amortization</v>
      </c>
      <c r="C44" s="504"/>
      <c r="D44" s="504"/>
      <c r="E44" s="60">
        <v>-1679.6</v>
      </c>
      <c r="F44" s="60">
        <v>0</v>
      </c>
      <c r="G44" s="137"/>
      <c r="H44" s="137">
        <f>'Exh. No. BGM-6 -3'!AF$59</f>
        <v>-1679.6</v>
      </c>
      <c r="I44" s="137">
        <f>'Exh. No. BGM-6 -3'!AF$82</f>
        <v>0</v>
      </c>
      <c r="J44" s="502"/>
      <c r="K44" s="501">
        <f t="shared" ref="K44" si="33">H44-E44</f>
        <v>0</v>
      </c>
      <c r="L44" s="501">
        <f t="shared" ref="L44" si="34">I44-F44</f>
        <v>0</v>
      </c>
      <c r="M44" s="498"/>
      <c r="N44" s="505">
        <f t="shared" ref="N44" si="35">K44/$N$10*-1</f>
        <v>0</v>
      </c>
      <c r="O44" s="505">
        <f t="shared" ref="O44" si="36">L44*$O$10/$N$10</f>
        <v>0</v>
      </c>
      <c r="P44" s="506">
        <f t="shared" ref="P44" si="37">N44+O44</f>
        <v>0</v>
      </c>
      <c r="S44" s="502"/>
      <c r="T44" s="502"/>
      <c r="U44" s="502"/>
    </row>
    <row r="45" spans="1:21" s="537" customFormat="1">
      <c r="A45" s="540">
        <f>'Exh. No. BGM-6 -3'!AG$11</f>
        <v>3.0799999999999983</v>
      </c>
      <c r="B45" s="135" t="str">
        <f>TRIM(CONCATENATE('Exh. No. BGM-6 -3'!AG$8," ",'Exh. No. BGM-6 -3'!AG$9," ",'Exh. No. BGM-6 -3'!AG$10))</f>
        <v>Pro Forma Capital Add Dec 2015 AMA</v>
      </c>
      <c r="C45" s="504"/>
      <c r="D45" s="504"/>
      <c r="E45" s="60">
        <v>-313.70636000000002</v>
      </c>
      <c r="F45" s="60">
        <v>6106</v>
      </c>
      <c r="G45" s="137"/>
      <c r="H45" s="137">
        <f>'Exh. No. BGM-6 -3'!AG$59</f>
        <v>-313.70636000000002</v>
      </c>
      <c r="I45" s="137">
        <f>'Exh. No. BGM-6 -3'!AG$82</f>
        <v>6106</v>
      </c>
      <c r="J45" s="502"/>
      <c r="K45" s="501">
        <f t="shared" ref="K45" si="38">H45-E45</f>
        <v>0</v>
      </c>
      <c r="L45" s="501">
        <f t="shared" ref="L45" si="39">I45-F45</f>
        <v>0</v>
      </c>
      <c r="M45" s="536"/>
      <c r="N45" s="505">
        <f t="shared" ref="N45" si="40">K45/$N$10*-1</f>
        <v>0</v>
      </c>
      <c r="O45" s="505">
        <f t="shared" ref="O45" si="41">L45*$O$10/$N$10</f>
        <v>0</v>
      </c>
      <c r="P45" s="506">
        <f t="shared" ref="P45" si="42">N45+O45</f>
        <v>0</v>
      </c>
      <c r="S45" s="502"/>
      <c r="T45" s="502"/>
      <c r="U45" s="502"/>
    </row>
    <row r="46" spans="1:21" s="139" customFormat="1">
      <c r="A46" s="540">
        <f>'Exh. No. BGM-6 -3'!AH$11</f>
        <v>3.0899999999999981</v>
      </c>
      <c r="B46" s="135" t="str">
        <f>TRIM(CONCATENATE('Exh. No. BGM-6 -3'!AH$8," ",'Exh. No. BGM-6 -3'!AH$9," ",'Exh. No. BGM-6 -3'!AH$10))</f>
        <v>Pro Forma 2016 Limited Capital Adds</v>
      </c>
      <c r="C46" s="136"/>
      <c r="D46" s="136"/>
      <c r="E46" s="60">
        <v>-128.63720000000001</v>
      </c>
      <c r="F46" s="60">
        <v>18120</v>
      </c>
      <c r="G46" s="137"/>
      <c r="H46" s="137">
        <f>'Exh. No. BGM-6 -3'!AH$59</f>
        <v>76.698735192778429</v>
      </c>
      <c r="I46" s="137">
        <f>'Exh. No. BGM-6 -3'!AH$82</f>
        <v>6128.5587201509297</v>
      </c>
      <c r="J46" s="138"/>
      <c r="K46" s="148">
        <f t="shared" ref="K46" si="43">H46-E46</f>
        <v>205.33593519277844</v>
      </c>
      <c r="L46" s="148">
        <f t="shared" ref="L46" si="44">I46-F46</f>
        <v>-11991.44127984907</v>
      </c>
      <c r="M46" s="36"/>
      <c r="N46" s="151">
        <f t="shared" ref="N46" si="45">K46/$N$10*-1</f>
        <v>-331.1853897364665</v>
      </c>
      <c r="O46" s="151">
        <f t="shared" ref="O46" si="46">L46*$O$10/$N$10</f>
        <v>-1402.2182034426571</v>
      </c>
      <c r="P46" s="192">
        <f t="shared" ref="P46" si="47">N46+O46</f>
        <v>-1733.4035931791236</v>
      </c>
      <c r="S46" s="138"/>
      <c r="T46" s="138"/>
      <c r="U46" s="138"/>
    </row>
    <row r="47" spans="1:21" s="139" customFormat="1" ht="13.5" thickBot="1">
      <c r="A47" s="540">
        <f>'Exh. No. BGM-6 -3'!AI$11</f>
        <v>3.0999999999999979</v>
      </c>
      <c r="B47" s="135" t="str">
        <f>TRIM(CONCATENATE('Exh. No. BGM-6 -3'!AI$8," ",'Exh. No. BGM-6 -3'!AI$9," ",'Exh. No. BGM-6 -3'!AI$10))</f>
        <v>Pro Forma O&amp;M Offsets</v>
      </c>
      <c r="C47" s="136"/>
      <c r="D47" s="136"/>
      <c r="E47" s="392">
        <v>36.400000000000006</v>
      </c>
      <c r="F47" s="392">
        <v>0</v>
      </c>
      <c r="G47" s="137"/>
      <c r="H47" s="137">
        <f>'Exh. No. BGM-6 -3'!AI$59</f>
        <v>36.400000000000006</v>
      </c>
      <c r="I47" s="137">
        <f>'Exh. No. BGM-6 -3'!AI$82</f>
        <v>0</v>
      </c>
      <c r="J47" s="138"/>
      <c r="K47" s="148">
        <f t="shared" ref="K47:K48" si="48">H47-E47</f>
        <v>0</v>
      </c>
      <c r="L47" s="148">
        <f t="shared" ref="L47:L48" si="49">I47-F47</f>
        <v>0</v>
      </c>
      <c r="M47" s="36"/>
      <c r="N47" s="151">
        <f t="shared" ref="N47:N48" si="50">K47/$N$10*-1</f>
        <v>0</v>
      </c>
      <c r="O47" s="151">
        <f t="shared" ref="O47:O48" si="51">L47*$O$10/$N$10</f>
        <v>0</v>
      </c>
      <c r="P47" s="192">
        <f t="shared" ref="P47:P48" si="52">N47+O47</f>
        <v>0</v>
      </c>
      <c r="S47" s="138"/>
      <c r="T47" s="138"/>
      <c r="U47" s="138"/>
    </row>
    <row r="48" spans="1:21" s="537" customFormat="1">
      <c r="A48" s="655">
        <f>'Exh. No. BGM-6 -3'!AK$11</f>
        <v>4</v>
      </c>
      <c r="B48" s="656" t="str">
        <f>TRIM(CONCATENATE('Exh. No. BGM-6 -3'!AK$8," ",'Exh. No. BGM-6 -3'!AK$9," ",'Exh. No. BGM-6 -3'!AK$10))</f>
        <v>Cross Check Labor Non-Exec</v>
      </c>
      <c r="C48" s="569"/>
      <c r="D48" s="569"/>
      <c r="E48" s="582">
        <v>-107.9</v>
      </c>
      <c r="F48" s="582">
        <v>0</v>
      </c>
      <c r="G48" s="574"/>
      <c r="H48" s="574">
        <f>'Exh. No. BGM-6 -3'!AK$59</f>
        <v>0</v>
      </c>
      <c r="I48" s="574">
        <f>'Exh. No. BGM-6 -3'!AK$82</f>
        <v>0</v>
      </c>
      <c r="J48" s="573"/>
      <c r="K48" s="572">
        <f t="shared" si="48"/>
        <v>107.9</v>
      </c>
      <c r="L48" s="572">
        <f t="shared" si="49"/>
        <v>0</v>
      </c>
      <c r="M48" s="571"/>
      <c r="N48" s="584">
        <f t="shared" si="50"/>
        <v>-174.03141597701949</v>
      </c>
      <c r="O48" s="584">
        <f t="shared" si="51"/>
        <v>0</v>
      </c>
      <c r="P48" s="570">
        <f t="shared" si="52"/>
        <v>-174.03141597701949</v>
      </c>
      <c r="R48" s="64">
        <v>2017</v>
      </c>
      <c r="S48" s="502"/>
      <c r="T48" s="502"/>
      <c r="U48" s="502"/>
    </row>
    <row r="49" spans="1:22" s="139" customFormat="1">
      <c r="A49" s="657">
        <f>'Exh. No. BGM-6 -3'!AL$11</f>
        <v>4.01</v>
      </c>
      <c r="B49" s="658" t="str">
        <f>TRIM(CONCATENATE('Exh. No. BGM-6 -3'!AL$8," ",'Exh. No. BGM-6 -3'!AL$9," ",'Exh. No. BGM-6 -3'!AL$10))</f>
        <v>Cross Check Capital Add 2016 AMA</v>
      </c>
      <c r="C49" s="193"/>
      <c r="D49" s="193"/>
      <c r="E49" s="589">
        <v>-945.65297999999996</v>
      </c>
      <c r="F49" s="589">
        <v>1383</v>
      </c>
      <c r="G49" s="590"/>
      <c r="H49" s="590">
        <f>'Exh. No. BGM-6 -3'!AL$59</f>
        <v>0</v>
      </c>
      <c r="I49" s="590">
        <f>'Exh. No. BGM-6 -3'!AL$82</f>
        <v>0</v>
      </c>
      <c r="J49" s="502"/>
      <c r="K49" s="591">
        <f t="shared" ref="K49:K50" si="53">H49-E49</f>
        <v>945.65297999999996</v>
      </c>
      <c r="L49" s="591">
        <f t="shared" ref="L49:L50" si="54">I49-F49</f>
        <v>-1383</v>
      </c>
      <c r="M49" s="499"/>
      <c r="N49" s="592">
        <f t="shared" ref="N49:N50" si="55">K49/$N$10*-1</f>
        <v>-1525.2393617450239</v>
      </c>
      <c r="O49" s="592">
        <f t="shared" ref="O49:O50" si="56">L49*$O$10/$N$10</f>
        <v>-161.72099167262095</v>
      </c>
      <c r="P49" s="593">
        <f t="shared" ref="P49:P50" si="57">N49+O49</f>
        <v>-1686.9603534176449</v>
      </c>
      <c r="R49" s="64"/>
      <c r="S49" s="138"/>
      <c r="T49" s="138"/>
      <c r="U49" s="138"/>
    </row>
    <row r="50" spans="1:22" s="139" customFormat="1">
      <c r="A50" s="657">
        <f>'Exh. No. BGM-6 -3'!AM$11</f>
        <v>4.0199999999999996</v>
      </c>
      <c r="B50" s="658" t="str">
        <f>TRIM(CONCATENATE('Exh. No. BGM-6 -3'!AM$8," ",'Exh. No. BGM-6 -3'!AM$9," ",'Exh. No. BGM-6 -3'!AM$10))</f>
        <v>Cross Check Capital Add 2017 AMA</v>
      </c>
      <c r="C50" s="193"/>
      <c r="D50" s="193"/>
      <c r="E50" s="589">
        <v>-1000.3773600000001</v>
      </c>
      <c r="F50" s="589">
        <v>8956</v>
      </c>
      <c r="G50" s="590"/>
      <c r="H50" s="590">
        <f>'Exh. No. BGM-6 -3'!AM$59</f>
        <v>0</v>
      </c>
      <c r="I50" s="590">
        <f>'Exh. No. BGM-6 -3'!AM$82</f>
        <v>0</v>
      </c>
      <c r="J50" s="502"/>
      <c r="K50" s="591">
        <f t="shared" si="53"/>
        <v>1000.3773600000001</v>
      </c>
      <c r="L50" s="591">
        <f t="shared" si="54"/>
        <v>-8956</v>
      </c>
      <c r="M50" s="499"/>
      <c r="N50" s="592">
        <f t="shared" si="55"/>
        <v>-1613.5040636900146</v>
      </c>
      <c r="O50" s="592">
        <f t="shared" si="56"/>
        <v>-1047.2691261171319</v>
      </c>
      <c r="P50" s="593">
        <f t="shared" si="57"/>
        <v>-2660.7731898071465</v>
      </c>
      <c r="R50" s="64" t="s">
        <v>559</v>
      </c>
      <c r="S50" s="138"/>
      <c r="T50" s="138"/>
      <c r="U50" s="138"/>
    </row>
    <row r="51" spans="1:22" s="537" customFormat="1">
      <c r="A51" s="657">
        <f>'Exh. No. BGM-6 -3'!AN$11</f>
        <v>4.0299999999999994</v>
      </c>
      <c r="B51" s="658" t="str">
        <f>TRIM(CONCATENATE('Exh. No. BGM-6 -3'!AN$8," ",'Exh. No. BGM-6 -3'!AN$9," ",'Exh. No. BGM-6 -3'!AN$10))</f>
        <v>Cross Check 2017 AMI Capital &amp; Expense</v>
      </c>
      <c r="C51" s="193"/>
      <c r="D51" s="193"/>
      <c r="E51" s="589">
        <v>-661.26017999999999</v>
      </c>
      <c r="F51" s="589">
        <v>9003</v>
      </c>
      <c r="G51" s="590"/>
      <c r="H51" s="590">
        <f>'Exh. No. BGM-6 -3'!AN$59</f>
        <v>0</v>
      </c>
      <c r="I51" s="590">
        <f>'Exh. No. BGM-6 -3'!AN$82</f>
        <v>0</v>
      </c>
      <c r="J51" s="502"/>
      <c r="K51" s="591">
        <f t="shared" ref="K51:K53" si="58">H51-E51</f>
        <v>661.26017999999999</v>
      </c>
      <c r="L51" s="591">
        <f t="shared" ref="L51:L53" si="59">I51-F51</f>
        <v>-9003</v>
      </c>
      <c r="M51" s="499"/>
      <c r="N51" s="592">
        <f t="shared" ref="N51:N53" si="60">K51/$N$10*-1</f>
        <v>-1066.5435167249191</v>
      </c>
      <c r="O51" s="592">
        <f t="shared" ref="O51:O53" si="61">L51*$O$10/$N$10</f>
        <v>-1052.7650672658037</v>
      </c>
      <c r="P51" s="593">
        <f t="shared" ref="P51:P53" si="62">N51+O51</f>
        <v>-2119.3085839907226</v>
      </c>
      <c r="S51" s="502"/>
      <c r="T51" s="502"/>
      <c r="U51" s="502"/>
    </row>
    <row r="52" spans="1:22" s="537" customFormat="1">
      <c r="A52" s="657">
        <f>'Exh. No. BGM-6 -3'!AO$11</f>
        <v>4.0399999999999991</v>
      </c>
      <c r="B52" s="658" t="str">
        <f>TRIM(CONCATENATE('Exh. No. BGM-6 -3'!AO$8," ",'Exh. No. BGM-6 -3'!AO$9," ",'Exh. No. BGM-6 -3'!AO$10))</f>
        <v>Cross Check Information Tech/Serv Exp</v>
      </c>
      <c r="C52" s="193"/>
      <c r="D52" s="193"/>
      <c r="E52" s="589">
        <v>-298.35000000000002</v>
      </c>
      <c r="F52" s="589">
        <v>0</v>
      </c>
      <c r="G52" s="590"/>
      <c r="H52" s="590">
        <f>'Exh. No. BGM-6 -3'!AO$59</f>
        <v>0</v>
      </c>
      <c r="I52" s="590">
        <f>'Exh. No. BGM-6 -3'!AO$82</f>
        <v>0</v>
      </c>
      <c r="J52" s="502"/>
      <c r="K52" s="591">
        <f t="shared" ref="K52" si="63">H52-E52</f>
        <v>298.35000000000002</v>
      </c>
      <c r="L52" s="591">
        <f t="shared" ref="L52" si="64">I52-F52</f>
        <v>0</v>
      </c>
      <c r="M52" s="499"/>
      <c r="N52" s="592">
        <f t="shared" ref="N52" si="65">K52/$N$10*-1</f>
        <v>-481.20734899669844</v>
      </c>
      <c r="O52" s="592">
        <f t="shared" ref="O52" si="66">L52*$O$10/$N$10</f>
        <v>0</v>
      </c>
      <c r="P52" s="593">
        <f t="shared" ref="P52" si="67">N52+O52</f>
        <v>-481.20734899669844</v>
      </c>
      <c r="S52" s="502"/>
      <c r="T52" s="502"/>
      <c r="U52" s="502"/>
    </row>
    <row r="53" spans="1:22" s="537" customFormat="1" ht="12" customHeight="1">
      <c r="A53" s="657">
        <f>'Exh. No. BGM-6 -3'!AP$11</f>
        <v>4.0499999999999989</v>
      </c>
      <c r="B53" s="658" t="str">
        <f>TRIM(CONCATENATE('Exh. No. BGM-6 -3'!AP$8," ",'Exh. No. BGM-6 -3'!AP$9," ",'Exh. No. BGM-6 -3'!AP$10))</f>
        <v>Cross Check Insurance Expense</v>
      </c>
      <c r="C53" s="193"/>
      <c r="D53" s="193"/>
      <c r="E53" s="589">
        <v>-14.3</v>
      </c>
      <c r="F53" s="589">
        <v>0</v>
      </c>
      <c r="G53" s="590"/>
      <c r="H53" s="590">
        <f>'Exh. No. BGM-6 -3'!AP$59</f>
        <v>0</v>
      </c>
      <c r="I53" s="590">
        <f>'Exh. No. BGM-6 -3'!AP$82</f>
        <v>0</v>
      </c>
      <c r="J53" s="502"/>
      <c r="K53" s="591">
        <f t="shared" si="58"/>
        <v>14.3</v>
      </c>
      <c r="L53" s="591">
        <f t="shared" si="59"/>
        <v>0</v>
      </c>
      <c r="M53" s="499"/>
      <c r="N53" s="592">
        <f t="shared" si="60"/>
        <v>-23.064404527074871</v>
      </c>
      <c r="O53" s="592">
        <f t="shared" si="61"/>
        <v>0</v>
      </c>
      <c r="P53" s="593">
        <f t="shared" si="62"/>
        <v>-23.064404527074871</v>
      </c>
      <c r="S53" s="502"/>
      <c r="T53" s="502"/>
      <c r="U53" s="502"/>
    </row>
    <row r="54" spans="1:22" s="537" customFormat="1" ht="12" customHeight="1">
      <c r="A54" s="657">
        <f>'Exh. No. BGM-6 -3'!AQ$11</f>
        <v>4.0599999999999987</v>
      </c>
      <c r="B54" s="658" t="str">
        <f>TRIM(CONCATENATE('Exh. No. BGM-6 -3'!AQ$8," ",'Exh. No. BGM-6 -3'!AQ$9," ",'Exh. No. BGM-6 -3'!AQ$10))</f>
        <v>Cross Check Property Tax Exp</v>
      </c>
      <c r="C54" s="193"/>
      <c r="D54" s="193"/>
      <c r="E54" s="589">
        <v>-167.7</v>
      </c>
      <c r="F54" s="589">
        <v>0</v>
      </c>
      <c r="G54" s="590"/>
      <c r="H54" s="590">
        <f>'Exh. No. BGM-6 -3'!AQ$59</f>
        <v>0</v>
      </c>
      <c r="I54" s="590">
        <f>'Exh. No. BGM-6 -3'!AQ$82</f>
        <v>0</v>
      </c>
      <c r="J54" s="502"/>
      <c r="K54" s="591">
        <f t="shared" ref="K54" si="68">H54-E54</f>
        <v>167.7</v>
      </c>
      <c r="L54" s="591">
        <f t="shared" ref="L54" si="69">I54-F54</f>
        <v>0</v>
      </c>
      <c r="M54" s="499"/>
      <c r="N54" s="592">
        <f t="shared" ref="N54" si="70">K54/$N$10*-1</f>
        <v>-270.48256218115074</v>
      </c>
      <c r="O54" s="592">
        <f t="shared" ref="O54" si="71">L54*$O$10/$N$10</f>
        <v>0</v>
      </c>
      <c r="P54" s="593">
        <f t="shared" ref="P54" si="72">N54+O54</f>
        <v>-270.48256218115074</v>
      </c>
      <c r="S54" s="502"/>
      <c r="T54" s="502"/>
      <c r="U54" s="502"/>
    </row>
    <row r="55" spans="1:22" s="139" customFormat="1" ht="13.5" thickBot="1">
      <c r="A55" s="659">
        <f>'Exh. No. BGM-6 -3'!AS$11</f>
        <v>4.0699999999999985</v>
      </c>
      <c r="B55" s="660" t="str">
        <f>TRIM(CONCATENATE('Exh. No. BGM-6 -3'!AS$8," ",'Exh. No. BGM-6 -3'!AS$9," ",'Exh. No. BGM-6 -3'!AS$10))</f>
        <v>Reconcile 2017 Cross Check to Attrition</v>
      </c>
      <c r="C55" s="594"/>
      <c r="D55" s="594"/>
      <c r="E55" s="595">
        <v>659.10120000000006</v>
      </c>
      <c r="F55" s="595">
        <v>-7520</v>
      </c>
      <c r="G55" s="596"/>
      <c r="H55" s="596">
        <f>'Exh. No. BGM-6 -3'!AS$59</f>
        <v>0</v>
      </c>
      <c r="I55" s="596">
        <f>'Exh. No. BGM-6 -3'!AS$82</f>
        <v>0</v>
      </c>
      <c r="J55" s="597"/>
      <c r="K55" s="598">
        <f t="shared" ref="K55" si="73">H55-E55</f>
        <v>-659.10120000000006</v>
      </c>
      <c r="L55" s="598">
        <f t="shared" ref="L55" si="74">I55-F55</f>
        <v>7520</v>
      </c>
      <c r="M55" s="599"/>
      <c r="N55" s="600">
        <f t="shared" ref="N55" si="75">K55/$N$10*-1</f>
        <v>1063.0613077678659</v>
      </c>
      <c r="O55" s="600">
        <f t="shared" ref="O55" si="76">L55*$O$10/$N$10</f>
        <v>879.35058378749795</v>
      </c>
      <c r="P55" s="601">
        <f t="shared" ref="P55" si="77">N55+O55</f>
        <v>1942.4118915553638</v>
      </c>
      <c r="S55" s="138"/>
      <c r="T55" s="138"/>
      <c r="U55" s="138"/>
    </row>
    <row r="56" spans="1:22" s="139" customFormat="1">
      <c r="A56" s="540"/>
      <c r="B56" s="135"/>
      <c r="C56" s="136"/>
      <c r="D56" s="136"/>
      <c r="E56" s="60"/>
      <c r="F56" s="60"/>
      <c r="G56" s="137"/>
      <c r="H56" s="137"/>
      <c r="I56" s="137"/>
      <c r="J56" s="138"/>
      <c r="K56" s="148"/>
      <c r="L56" s="148"/>
      <c r="M56" s="36"/>
      <c r="N56" s="151"/>
      <c r="O56" s="151"/>
      <c r="P56" s="192"/>
      <c r="S56" s="138"/>
      <c r="T56" s="138"/>
      <c r="U56" s="138"/>
    </row>
    <row r="57" spans="1:22" ht="16.5" customHeight="1" thickBot="1">
      <c r="A57" s="540"/>
      <c r="B57" s="36" t="s">
        <v>129</v>
      </c>
      <c r="E57" s="65">
        <f>SUM(E35:E56)</f>
        <v>20065.374490000002</v>
      </c>
      <c r="F57" s="65">
        <f>SUM(F35:F56)</f>
        <v>298315</v>
      </c>
      <c r="G57" s="159"/>
      <c r="H57" s="65">
        <f>SUM(H35:H56)</f>
        <v>23151.095646741232</v>
      </c>
      <c r="I57" s="65">
        <f>SUM(I35:I56)</f>
        <v>274501.5587201509</v>
      </c>
      <c r="J57" s="52"/>
      <c r="K57" s="65">
        <f>SUM(K35:K56)</f>
        <v>3085.7211567412337</v>
      </c>
      <c r="L57" s="65">
        <f>SUM(L35:L56)</f>
        <v>-23813.44127984907</v>
      </c>
      <c r="M57" s="159"/>
      <c r="N57" s="65">
        <f>SUM(N35:N56)</f>
        <v>-4976.9455256526726</v>
      </c>
      <c r="O57" s="65">
        <f>SUM(O35:O56)</f>
        <v>-2784.6228047107161</v>
      </c>
      <c r="P57" s="138"/>
      <c r="Q57" s="138"/>
      <c r="R57" s="138"/>
      <c r="S57" s="199"/>
      <c r="V57" s="52"/>
    </row>
    <row r="58" spans="1:22" ht="13.5" thickTop="1">
      <c r="A58" s="64"/>
      <c r="D58" s="62"/>
      <c r="E58" s="62"/>
      <c r="H58" s="200" t="e">
        <f>H57-#REF!</f>
        <v>#REF!</v>
      </c>
      <c r="I58" s="200" t="e">
        <f>I57-#REF!</f>
        <v>#REF!</v>
      </c>
      <c r="J58" s="52"/>
      <c r="K58" s="148"/>
      <c r="L58" s="148"/>
      <c r="O58" s="50">
        <f>N57+O57</f>
        <v>-7761.5683303633887</v>
      </c>
      <c r="P58" s="138"/>
      <c r="Q58" s="138"/>
      <c r="R58" s="138"/>
      <c r="S58" s="138"/>
      <c r="V58" s="52"/>
    </row>
    <row r="59" spans="1:22" hidden="1">
      <c r="A59" s="64"/>
      <c r="D59" s="62"/>
      <c r="E59" s="62"/>
      <c r="H59" s="62"/>
      <c r="J59" s="52"/>
      <c r="K59" s="148">
        <f t="shared" ref="K59:L61" si="78">E59-H59</f>
        <v>0</v>
      </c>
      <c r="L59" s="148">
        <f t="shared" si="78"/>
        <v>0</v>
      </c>
      <c r="N59" s="158" t="s">
        <v>183</v>
      </c>
      <c r="O59" s="190">
        <v>584</v>
      </c>
      <c r="P59" s="138"/>
      <c r="Q59" s="138"/>
      <c r="R59" s="138"/>
      <c r="S59" s="138"/>
      <c r="V59" s="52"/>
    </row>
    <row r="60" spans="1:22" ht="13.5" hidden="1" thickBot="1">
      <c r="A60" s="134"/>
      <c r="B60" s="58"/>
      <c r="D60" s="62"/>
      <c r="E60" s="62"/>
      <c r="H60" s="62"/>
      <c r="J60" s="52"/>
      <c r="K60" s="148">
        <f t="shared" si="78"/>
        <v>0</v>
      </c>
      <c r="L60" s="148">
        <f t="shared" si="78"/>
        <v>0</v>
      </c>
      <c r="N60" s="158" t="s">
        <v>184</v>
      </c>
      <c r="O60" s="191">
        <f>SUM(O58:O59)</f>
        <v>-7177.5683303633887</v>
      </c>
      <c r="P60" s="138"/>
      <c r="Q60" s="138"/>
      <c r="R60" s="138"/>
      <c r="S60" s="138"/>
      <c r="V60" s="52"/>
    </row>
    <row r="61" spans="1:22" hidden="1">
      <c r="A61" s="134"/>
      <c r="B61" s="58"/>
      <c r="D61" s="62"/>
      <c r="E61" s="62"/>
      <c r="H61" s="62"/>
      <c r="J61" s="52"/>
      <c r="K61" s="152">
        <f t="shared" si="78"/>
        <v>0</v>
      </c>
      <c r="L61" s="152">
        <f t="shared" si="78"/>
        <v>0</v>
      </c>
      <c r="N61" s="151">
        <f>K61/$O$10*-1</f>
        <v>0</v>
      </c>
      <c r="O61" s="151" t="e">
        <f>L61*#REF!/$O$10</f>
        <v>#REF!</v>
      </c>
      <c r="P61" s="138"/>
      <c r="Q61" s="138"/>
      <c r="R61" s="138"/>
      <c r="S61" s="138"/>
      <c r="V61" s="52"/>
    </row>
    <row r="62" spans="1:22" hidden="1">
      <c r="A62" s="134"/>
      <c r="B62" s="58"/>
      <c r="D62" s="62"/>
      <c r="E62" s="62"/>
      <c r="H62" s="62"/>
      <c r="J62" s="52"/>
      <c r="K62" s="153">
        <f>E62-H62</f>
        <v>0</v>
      </c>
      <c r="L62" s="153">
        <f>F62-I62</f>
        <v>0</v>
      </c>
      <c r="N62" s="154">
        <f>K62/$O$10*-1</f>
        <v>0</v>
      </c>
      <c r="O62" s="154" t="e">
        <f>L62*#REF!/$O$10</f>
        <v>#REF!</v>
      </c>
      <c r="P62" s="138"/>
      <c r="Q62" s="138"/>
      <c r="R62" s="138"/>
      <c r="S62" s="138"/>
      <c r="V62" s="52"/>
    </row>
    <row r="63" spans="1:22" ht="13.5" hidden="1" thickBot="1">
      <c r="A63" s="134"/>
      <c r="B63" s="58"/>
      <c r="D63" s="62"/>
      <c r="E63" s="62"/>
      <c r="H63" s="62"/>
      <c r="J63" s="52"/>
      <c r="K63" s="65">
        <f>SUM(K57:K62)</f>
        <v>3085.7211567412337</v>
      </c>
      <c r="L63" s="65">
        <f>SUM(L57:L62)</f>
        <v>-23813.44127984907</v>
      </c>
      <c r="N63" s="155">
        <f>SUM(N57:N62)+1</f>
        <v>-4975.9455256526726</v>
      </c>
      <c r="O63" s="155" t="e">
        <f>SUM(O57:O62)</f>
        <v>#REF!</v>
      </c>
      <c r="P63" s="138"/>
      <c r="Q63" s="138"/>
      <c r="R63" s="138"/>
      <c r="S63" s="138"/>
      <c r="V63" s="52"/>
    </row>
    <row r="64" spans="1:22" hidden="1">
      <c r="A64" s="134"/>
      <c r="B64" s="58"/>
      <c r="D64" s="62"/>
      <c r="E64" s="62"/>
      <c r="H64" s="62"/>
      <c r="J64" s="52"/>
      <c r="K64" s="51"/>
      <c r="L64" s="56"/>
      <c r="M64" s="156"/>
      <c r="O64" s="50" t="e">
        <f>N63+O63</f>
        <v>#REF!</v>
      </c>
      <c r="P64" s="138"/>
      <c r="Q64" s="138"/>
      <c r="R64" s="138"/>
      <c r="S64" s="138"/>
      <c r="V64" s="52"/>
    </row>
    <row r="65" spans="1:22" hidden="1">
      <c r="A65" s="541"/>
      <c r="B65" s="58"/>
      <c r="D65" s="62"/>
      <c r="E65" s="62"/>
      <c r="H65" s="62"/>
      <c r="J65" s="52"/>
      <c r="L65" s="157"/>
      <c r="M65" s="132"/>
      <c r="N65" s="158" t="s">
        <v>183</v>
      </c>
      <c r="O65" s="190">
        <v>584</v>
      </c>
      <c r="P65" s="138"/>
      <c r="Q65" s="138"/>
      <c r="R65" s="138"/>
      <c r="S65" s="138"/>
      <c r="V65" s="52"/>
    </row>
    <row r="66" spans="1:22" ht="13.5" hidden="1" thickBot="1">
      <c r="A66" s="541"/>
      <c r="B66" s="58"/>
      <c r="D66" s="62"/>
      <c r="E66" s="62"/>
      <c r="H66" s="62"/>
      <c r="J66" s="52"/>
      <c r="L66" s="52"/>
      <c r="M66" s="133"/>
      <c r="N66" s="158" t="s">
        <v>184</v>
      </c>
      <c r="O66" s="191" t="e">
        <f>SUM(O64:O65)</f>
        <v>#REF!</v>
      </c>
      <c r="P66" s="138"/>
      <c r="Q66" s="138"/>
      <c r="R66" s="138"/>
      <c r="S66" s="138"/>
      <c r="V66" s="52"/>
    </row>
    <row r="67" spans="1:22" hidden="1">
      <c r="A67" s="541"/>
      <c r="D67" s="62"/>
      <c r="J67" s="52"/>
      <c r="P67" s="138"/>
      <c r="Q67" s="138"/>
      <c r="R67" s="138"/>
      <c r="S67" s="138"/>
      <c r="V67" s="52"/>
    </row>
    <row r="68" spans="1:22" hidden="1">
      <c r="A68" s="537"/>
      <c r="B68" s="52"/>
      <c r="C68" s="52"/>
      <c r="D68" s="53"/>
      <c r="J68" s="52"/>
      <c r="P68" s="138"/>
      <c r="Q68" s="138"/>
      <c r="R68" s="138"/>
      <c r="S68" s="138"/>
      <c r="V68" s="52"/>
    </row>
    <row r="69" spans="1:22" hidden="1">
      <c r="A69" s="537"/>
      <c r="J69" s="52"/>
      <c r="P69" s="138"/>
      <c r="Q69" s="138"/>
      <c r="R69" s="138"/>
      <c r="S69" s="138"/>
      <c r="V69" s="52"/>
    </row>
    <row r="70" spans="1:22" hidden="1">
      <c r="A70" s="537"/>
      <c r="B70" s="52"/>
      <c r="C70" s="52"/>
      <c r="D70" s="53"/>
      <c r="J70" s="52"/>
      <c r="P70" s="138"/>
      <c r="Q70" s="138"/>
      <c r="R70" s="138"/>
      <c r="S70" s="138"/>
      <c r="V70" s="52"/>
    </row>
    <row r="71" spans="1:22" hidden="1">
      <c r="A71" s="537"/>
      <c r="B71" s="52"/>
      <c r="C71" s="52"/>
      <c r="D71" s="53"/>
      <c r="J71" s="52"/>
      <c r="P71" s="138"/>
      <c r="Q71" s="138"/>
      <c r="R71" s="138"/>
      <c r="S71" s="138"/>
      <c r="V71" s="52"/>
    </row>
    <row r="72" spans="1:22" hidden="1">
      <c r="A72" s="537"/>
      <c r="C72" s="51" t="e">
        <f>#REF!</f>
        <v>#REF!</v>
      </c>
      <c r="P72" s="138"/>
      <c r="Q72" s="138"/>
      <c r="R72" s="138"/>
      <c r="S72" s="138"/>
      <c r="V72" s="52"/>
    </row>
    <row r="73" spans="1:22" hidden="1">
      <c r="A73" s="537"/>
      <c r="C73" s="37"/>
      <c r="P73" s="138"/>
      <c r="Q73" s="138"/>
      <c r="R73" s="138"/>
      <c r="S73" s="138"/>
      <c r="V73" s="52"/>
    </row>
    <row r="74" spans="1:22" s="52" customFormat="1" hidden="1">
      <c r="A74" s="537"/>
      <c r="B74" s="36"/>
      <c r="C74" s="37" t="s">
        <v>71</v>
      </c>
      <c r="D74" s="36"/>
      <c r="E74" s="36"/>
      <c r="F74" s="36"/>
      <c r="G74" s="36"/>
      <c r="H74" s="36"/>
      <c r="I74" s="36"/>
      <c r="P74" s="138"/>
      <c r="Q74" s="138"/>
      <c r="R74" s="138"/>
      <c r="S74" s="138"/>
    </row>
    <row r="75" spans="1:22" s="52" customFormat="1" hidden="1">
      <c r="A75" s="537"/>
      <c r="B75" s="36"/>
      <c r="C75" s="37" t="s">
        <v>79</v>
      </c>
      <c r="D75" s="36"/>
      <c r="E75" s="36"/>
      <c r="F75" s="36"/>
      <c r="G75" s="36"/>
      <c r="H75" s="36"/>
      <c r="I75" s="36"/>
      <c r="P75" s="138"/>
      <c r="Q75" s="138"/>
      <c r="R75" s="138"/>
      <c r="S75" s="138"/>
    </row>
    <row r="76" spans="1:22" s="52" customFormat="1" hidden="1">
      <c r="A76" s="537"/>
      <c r="B76" s="36"/>
      <c r="C76" s="39" t="e">
        <f>#REF!</f>
        <v>#REF!</v>
      </c>
      <c r="D76" s="36"/>
      <c r="E76" s="36"/>
      <c r="F76" s="36"/>
      <c r="G76" s="36"/>
      <c r="H76" s="36"/>
      <c r="I76" s="36"/>
      <c r="P76" s="138"/>
      <c r="Q76" s="138"/>
      <c r="R76" s="138"/>
      <c r="S76" s="138"/>
    </row>
    <row r="77" spans="1:22" hidden="1">
      <c r="A77" s="537"/>
      <c r="P77" s="138"/>
      <c r="Q77" s="138"/>
      <c r="R77" s="138"/>
      <c r="S77" s="138"/>
      <c r="V77" s="52"/>
    </row>
    <row r="78" spans="1:22" hidden="1">
      <c r="A78" s="537"/>
      <c r="P78" s="138"/>
      <c r="Q78" s="138"/>
      <c r="R78" s="138"/>
      <c r="S78" s="138"/>
      <c r="V78" s="52"/>
    </row>
    <row r="79" spans="1:22" hidden="1">
      <c r="A79" s="537"/>
      <c r="E79" s="55"/>
      <c r="F79" s="55" t="s">
        <v>79</v>
      </c>
      <c r="G79" s="55"/>
      <c r="H79" s="55"/>
      <c r="I79" s="55" t="s">
        <v>79</v>
      </c>
      <c r="P79" s="138"/>
      <c r="Q79" s="138"/>
      <c r="R79" s="138"/>
      <c r="S79" s="138"/>
      <c r="V79" s="52"/>
    </row>
    <row r="80" spans="1:22" hidden="1">
      <c r="A80" s="542" t="s">
        <v>73</v>
      </c>
      <c r="B80" s="55" t="s">
        <v>74</v>
      </c>
      <c r="C80" s="37"/>
      <c r="E80" s="55" t="s">
        <v>75</v>
      </c>
      <c r="F80" s="55" t="s">
        <v>20</v>
      </c>
      <c r="G80" s="55"/>
      <c r="H80" s="55" t="s">
        <v>75</v>
      </c>
      <c r="I80" s="55" t="s">
        <v>20</v>
      </c>
      <c r="J80" s="52"/>
      <c r="P80" s="138"/>
      <c r="Q80" s="138"/>
      <c r="R80" s="138"/>
      <c r="S80" s="138"/>
      <c r="V80" s="52"/>
    </row>
    <row r="81" spans="1:22" hidden="1">
      <c r="A81" s="134" t="e">
        <f>#REF!</f>
        <v>#REF!</v>
      </c>
      <c r="B81" s="58" t="e">
        <f>TRIM(CONCATENATE(#REF!," ",#REF!," ",#REF!))</f>
        <v>#REF!</v>
      </c>
      <c r="C81" s="59"/>
      <c r="D81" s="59"/>
      <c r="E81" s="60" t="e">
        <f>#REF!</f>
        <v>#REF!</v>
      </c>
      <c r="F81" s="60" t="e">
        <f>#REF!</f>
        <v>#REF!</v>
      </c>
      <c r="G81" s="60"/>
      <c r="H81" s="60" t="e">
        <f>#REF!</f>
        <v>#REF!</v>
      </c>
      <c r="I81" s="60" t="e">
        <f>#REF!</f>
        <v>#REF!</v>
      </c>
      <c r="J81" s="52"/>
      <c r="P81" s="138"/>
      <c r="Q81" s="138"/>
      <c r="R81" s="138"/>
      <c r="S81" s="138"/>
      <c r="V81" s="52"/>
    </row>
    <row r="82" spans="1:22" s="68" customFormat="1" hidden="1">
      <c r="A82" s="134" t="e">
        <f>#REF!</f>
        <v>#REF!</v>
      </c>
      <c r="B82" s="58" t="e">
        <f>TRIM(CONCATENATE(#REF!," ",#REF!," ",#REF!))</f>
        <v>#REF!</v>
      </c>
      <c r="C82" s="59"/>
      <c r="D82" s="59"/>
      <c r="E82" s="66" t="e">
        <f>#REF!</f>
        <v>#REF!</v>
      </c>
      <c r="F82" s="66" t="e">
        <f>#REF!</f>
        <v>#REF!</v>
      </c>
      <c r="G82" s="66"/>
      <c r="H82" s="66" t="e">
        <f>#REF!</f>
        <v>#REF!</v>
      </c>
      <c r="I82" s="66" t="e">
        <f>#REF!</f>
        <v>#REF!</v>
      </c>
      <c r="J82" s="70"/>
      <c r="P82" s="141"/>
      <c r="Q82" s="141"/>
      <c r="R82" s="138"/>
      <c r="S82" s="141"/>
      <c r="T82" s="70"/>
      <c r="U82" s="70"/>
      <c r="V82" s="70"/>
    </row>
    <row r="83" spans="1:22" s="68" customFormat="1" hidden="1">
      <c r="A83" s="134" t="e">
        <f>#REF!</f>
        <v>#REF!</v>
      </c>
      <c r="B83" s="135" t="e">
        <f>TRIM(CONCATENATE(#REF!," ",#REF!," ",#REF!))</f>
        <v>#REF!</v>
      </c>
      <c r="C83" s="136"/>
      <c r="D83" s="136"/>
      <c r="E83" s="137" t="e">
        <f>#REF!</f>
        <v>#REF!</v>
      </c>
      <c r="F83" s="137" t="e">
        <f>#REF!</f>
        <v>#REF!</v>
      </c>
      <c r="G83" s="137"/>
      <c r="H83" s="137" t="e">
        <f>#REF!</f>
        <v>#REF!</v>
      </c>
      <c r="I83" s="137" t="e">
        <f>#REF!</f>
        <v>#REF!</v>
      </c>
      <c r="J83" s="70"/>
      <c r="P83" s="141"/>
      <c r="Q83" s="141"/>
      <c r="R83" s="138"/>
      <c r="S83" s="141"/>
      <c r="T83" s="70"/>
      <c r="U83" s="70"/>
      <c r="V83" s="70"/>
    </row>
    <row r="84" spans="1:22" s="68" customFormat="1" hidden="1">
      <c r="A84" s="134" t="e">
        <f>#REF!</f>
        <v>#REF!</v>
      </c>
      <c r="B84" s="58" t="e">
        <f>TRIM(CONCATENATE(#REF!," ",#REF!," ",#REF!))</f>
        <v>#REF!</v>
      </c>
      <c r="C84" s="59"/>
      <c r="D84" s="59"/>
      <c r="E84" s="66" t="e">
        <f>#REF!</f>
        <v>#REF!</v>
      </c>
      <c r="F84" s="66" t="e">
        <f>#REF!</f>
        <v>#REF!</v>
      </c>
      <c r="G84" s="66"/>
      <c r="H84" s="66" t="e">
        <f>#REF!</f>
        <v>#REF!</v>
      </c>
      <c r="I84" s="66" t="e">
        <f>#REF!</f>
        <v>#REF!</v>
      </c>
      <c r="J84" s="69"/>
      <c r="P84" s="141"/>
      <c r="Q84" s="141"/>
      <c r="R84" s="138"/>
      <c r="S84" s="141"/>
      <c r="T84" s="70"/>
      <c r="U84" s="70"/>
      <c r="V84" s="70"/>
    </row>
    <row r="85" spans="1:22" s="68" customFormat="1" hidden="1">
      <c r="A85" s="134" t="e">
        <f>#REF!</f>
        <v>#REF!</v>
      </c>
      <c r="B85" s="58" t="e">
        <f>TRIM(CONCATENATE(#REF!," ",#REF!," ",#REF!))</f>
        <v>#REF!</v>
      </c>
      <c r="C85" s="59"/>
      <c r="D85" s="59"/>
      <c r="E85" s="66" t="e">
        <f>#REF!</f>
        <v>#REF!</v>
      </c>
      <c r="F85" s="66" t="e">
        <f>#REF!</f>
        <v>#REF!</v>
      </c>
      <c r="G85" s="66"/>
      <c r="H85" s="66" t="e">
        <f>#REF!</f>
        <v>#REF!</v>
      </c>
      <c r="I85" s="66" t="e">
        <f>#REF!</f>
        <v>#REF!</v>
      </c>
      <c r="J85" s="69"/>
      <c r="P85" s="141"/>
      <c r="Q85" s="141"/>
      <c r="R85" s="138"/>
      <c r="S85" s="141"/>
      <c r="T85" s="70"/>
      <c r="U85" s="70"/>
      <c r="V85" s="70"/>
    </row>
    <row r="86" spans="1:22" s="68" customFormat="1" hidden="1">
      <c r="A86" s="134" t="e">
        <f>#REF!</f>
        <v>#REF!</v>
      </c>
      <c r="B86" s="58" t="e">
        <f>TRIM(CONCATENATE(#REF!," ",#REF!," ",#REF!))</f>
        <v>#REF!</v>
      </c>
      <c r="C86" s="59"/>
      <c r="D86" s="59"/>
      <c r="E86" s="66" t="e">
        <f>#REF!</f>
        <v>#REF!</v>
      </c>
      <c r="F86" s="66" t="e">
        <f>#REF!</f>
        <v>#REF!</v>
      </c>
      <c r="G86" s="66"/>
      <c r="H86" s="66" t="e">
        <f>#REF!</f>
        <v>#REF!</v>
      </c>
      <c r="I86" s="66" t="e">
        <f>#REF!</f>
        <v>#REF!</v>
      </c>
      <c r="J86" s="69"/>
      <c r="P86" s="141"/>
      <c r="Q86" s="141"/>
      <c r="R86" s="138"/>
      <c r="S86" s="141"/>
      <c r="T86" s="70"/>
      <c r="U86" s="70"/>
      <c r="V86" s="70"/>
    </row>
    <row r="87" spans="1:22" hidden="1">
      <c r="A87" s="134"/>
      <c r="B87" s="58"/>
      <c r="C87" s="59"/>
      <c r="D87" s="59"/>
      <c r="E87" s="60"/>
      <c r="F87" s="60"/>
      <c r="G87" s="60"/>
      <c r="H87" s="60"/>
      <c r="I87" s="60"/>
      <c r="J87" s="52"/>
      <c r="P87" s="138"/>
      <c r="Q87" s="138"/>
      <c r="R87" s="138"/>
      <c r="S87" s="138"/>
      <c r="V87" s="52"/>
    </row>
    <row r="88" spans="1:22" hidden="1">
      <c r="A88" s="537"/>
      <c r="B88" s="36" t="s">
        <v>77</v>
      </c>
      <c r="E88" s="61" t="e">
        <f>SUM(E81:E87)</f>
        <v>#REF!</v>
      </c>
      <c r="F88" s="61" t="e">
        <f>SUM(F81:F87)</f>
        <v>#REF!</v>
      </c>
      <c r="G88" s="61"/>
      <c r="H88" s="61" t="e">
        <f>SUM(H81:H87)</f>
        <v>#REF!</v>
      </c>
      <c r="I88" s="61" t="e">
        <f>SUM(I81:I87)</f>
        <v>#REF!</v>
      </c>
      <c r="J88" s="52"/>
      <c r="P88" s="138"/>
      <c r="Q88" s="138"/>
      <c r="R88" s="138"/>
      <c r="S88" s="138"/>
      <c r="V88" s="52"/>
    </row>
    <row r="89" spans="1:22" hidden="1">
      <c r="A89" s="134"/>
      <c r="B89" s="58"/>
      <c r="C89" s="59"/>
      <c r="D89" s="59"/>
      <c r="E89" s="60"/>
      <c r="F89" s="60"/>
      <c r="G89" s="60"/>
      <c r="H89" s="60"/>
      <c r="I89" s="60"/>
      <c r="J89" s="52"/>
      <c r="P89" s="138"/>
      <c r="Q89" s="138"/>
      <c r="R89" s="138"/>
      <c r="S89" s="138"/>
      <c r="V89" s="52"/>
    </row>
    <row r="90" spans="1:22" s="68" customFormat="1" hidden="1">
      <c r="A90" s="134" t="e">
        <f>#REF!</f>
        <v>#REF!</v>
      </c>
      <c r="B90" s="58" t="e">
        <f>TRIM(CONCATENATE(#REF!," ",#REF!," ",#REF!))</f>
        <v>#REF!</v>
      </c>
      <c r="C90" s="59"/>
      <c r="D90" s="59"/>
      <c r="E90" s="66" t="e">
        <f>#REF!</f>
        <v>#REF!</v>
      </c>
      <c r="F90" s="66" t="e">
        <f>#REF!</f>
        <v>#REF!</v>
      </c>
      <c r="G90" s="66"/>
      <c r="H90" s="66" t="e">
        <f>#REF!</f>
        <v>#REF!</v>
      </c>
      <c r="I90" s="66" t="e">
        <f>#REF!</f>
        <v>#REF!</v>
      </c>
      <c r="J90" s="70"/>
      <c r="P90" s="141"/>
      <c r="Q90" s="141"/>
      <c r="R90" s="138"/>
      <c r="S90" s="141"/>
      <c r="T90" s="70"/>
      <c r="U90" s="70"/>
      <c r="V90" s="70"/>
    </row>
    <row r="91" spans="1:22" s="59" customFormat="1" hidden="1">
      <c r="A91" s="134" t="e">
        <f>#REF!</f>
        <v>#REF!</v>
      </c>
      <c r="B91" s="58" t="e">
        <f>TRIM(CONCATENATE(#REF!," ",#REF!," ",#REF!))</f>
        <v>#REF!</v>
      </c>
      <c r="E91" s="66" t="e">
        <f>#REF!</f>
        <v>#REF!</v>
      </c>
      <c r="F91" s="66" t="e">
        <f>#REF!</f>
        <v>#REF!</v>
      </c>
      <c r="G91" s="66"/>
      <c r="H91" s="66" t="e">
        <f>#REF!</f>
        <v>#REF!</v>
      </c>
      <c r="I91" s="66" t="e">
        <f>#REF!</f>
        <v>#REF!</v>
      </c>
      <c r="J91" s="67"/>
      <c r="P91" s="193"/>
      <c r="Q91" s="193"/>
      <c r="R91" s="138"/>
      <c r="S91" s="193"/>
      <c r="T91" s="67"/>
      <c r="U91" s="67"/>
      <c r="V91" s="67"/>
    </row>
    <row r="92" spans="1:22" s="68" customFormat="1" hidden="1">
      <c r="A92" s="134" t="e">
        <f>#REF!</f>
        <v>#REF!</v>
      </c>
      <c r="B92" s="58" t="e">
        <f>TRIM(CONCATENATE(#REF!," ",#REF!," ",#REF!))</f>
        <v>#REF!</v>
      </c>
      <c r="C92" s="59"/>
      <c r="D92" s="59"/>
      <c r="E92" s="66" t="e">
        <f>#REF!</f>
        <v>#REF!</v>
      </c>
      <c r="F92" s="66" t="e">
        <f>#REF!</f>
        <v>#REF!</v>
      </c>
      <c r="G92" s="66"/>
      <c r="H92" s="66" t="e">
        <f>#REF!</f>
        <v>#REF!</v>
      </c>
      <c r="I92" s="66" t="e">
        <f>#REF!</f>
        <v>#REF!</v>
      </c>
      <c r="J92" s="70"/>
      <c r="P92" s="141"/>
      <c r="Q92" s="141"/>
      <c r="R92" s="138"/>
      <c r="S92" s="141"/>
      <c r="T92" s="70"/>
      <c r="U92" s="70"/>
      <c r="V92" s="70"/>
    </row>
    <row r="93" spans="1:22" s="68" customFormat="1" hidden="1">
      <c r="A93" s="134" t="e">
        <f>#REF!</f>
        <v>#REF!</v>
      </c>
      <c r="B93" s="58" t="e">
        <f>TRIM(CONCATENATE(#REF!," ",#REF!," ",#REF!))</f>
        <v>#REF!</v>
      </c>
      <c r="C93" s="59"/>
      <c r="D93" s="59"/>
      <c r="E93" s="66" t="e">
        <f>#REF!</f>
        <v>#REF!</v>
      </c>
      <c r="F93" s="66" t="e">
        <f>#REF!</f>
        <v>#REF!</v>
      </c>
      <c r="G93" s="66"/>
      <c r="H93" s="66" t="e">
        <f>#REF!</f>
        <v>#REF!</v>
      </c>
      <c r="I93" s="66" t="e">
        <f>#REF!</f>
        <v>#REF!</v>
      </c>
      <c r="J93" s="70"/>
      <c r="P93" s="141"/>
      <c r="Q93" s="141"/>
      <c r="R93" s="138"/>
      <c r="S93" s="141"/>
      <c r="T93" s="70"/>
      <c r="U93" s="70"/>
      <c r="V93" s="70"/>
    </row>
    <row r="94" spans="1:22" s="68" customFormat="1" hidden="1">
      <c r="A94" s="134" t="e">
        <f>#REF!</f>
        <v>#REF!</v>
      </c>
      <c r="B94" s="58" t="e">
        <f>TRIM(CONCATENATE(#REF!," ",#REF!," ",#REF!))</f>
        <v>#REF!</v>
      </c>
      <c r="C94" s="59"/>
      <c r="D94" s="59"/>
      <c r="E94" s="66" t="e">
        <f>#REF!</f>
        <v>#REF!</v>
      </c>
      <c r="F94" s="66" t="e">
        <f>#REF!</f>
        <v>#REF!</v>
      </c>
      <c r="G94" s="66"/>
      <c r="H94" s="66" t="e">
        <f>#REF!</f>
        <v>#REF!</v>
      </c>
      <c r="I94" s="66" t="e">
        <f>#REF!</f>
        <v>#REF!</v>
      </c>
      <c r="J94" s="70"/>
      <c r="P94" s="141"/>
      <c r="Q94" s="141"/>
      <c r="R94" s="138"/>
      <c r="S94" s="141"/>
      <c r="T94" s="70"/>
      <c r="U94" s="70"/>
      <c r="V94" s="70"/>
    </row>
    <row r="95" spans="1:22" s="68" customFormat="1" hidden="1">
      <c r="A95" s="134" t="e">
        <f>#REF!</f>
        <v>#REF!</v>
      </c>
      <c r="B95" s="58" t="e">
        <f>TRIM(CONCATENATE(#REF!," ",#REF!," ",#REF!))</f>
        <v>#REF!</v>
      </c>
      <c r="C95" s="59"/>
      <c r="D95" s="59"/>
      <c r="E95" s="66" t="e">
        <f>#REF!</f>
        <v>#REF!</v>
      </c>
      <c r="F95" s="66" t="e">
        <f>#REF!</f>
        <v>#REF!</v>
      </c>
      <c r="G95" s="66"/>
      <c r="H95" s="66" t="e">
        <f>#REF!</f>
        <v>#REF!</v>
      </c>
      <c r="I95" s="66" t="e">
        <f>#REF!</f>
        <v>#REF!</v>
      </c>
      <c r="J95" s="70"/>
      <c r="P95" s="141"/>
      <c r="Q95" s="141"/>
      <c r="R95" s="138"/>
      <c r="S95" s="141"/>
      <c r="T95" s="70"/>
      <c r="U95" s="70"/>
      <c r="V95" s="70"/>
    </row>
    <row r="96" spans="1:22" s="68" customFormat="1" hidden="1">
      <c r="A96" s="134" t="e">
        <f>#REF!</f>
        <v>#REF!</v>
      </c>
      <c r="B96" s="58" t="e">
        <f>TRIM(CONCATENATE(#REF!," ",#REF!," ",#REF!))</f>
        <v>#REF!</v>
      </c>
      <c r="C96" s="59"/>
      <c r="D96" s="59"/>
      <c r="E96" s="66" t="e">
        <f>#REF!</f>
        <v>#REF!</v>
      </c>
      <c r="F96" s="66" t="e">
        <f>#REF!</f>
        <v>#REF!</v>
      </c>
      <c r="G96" s="66"/>
      <c r="H96" s="66" t="e">
        <f>#REF!</f>
        <v>#REF!</v>
      </c>
      <c r="I96" s="66" t="e">
        <f>#REF!</f>
        <v>#REF!</v>
      </c>
      <c r="J96" s="70"/>
      <c r="P96" s="141"/>
      <c r="Q96" s="141"/>
      <c r="R96" s="138"/>
      <c r="S96" s="141"/>
      <c r="T96" s="70"/>
      <c r="U96" s="70"/>
      <c r="V96" s="70"/>
    </row>
    <row r="97" spans="1:22" s="68" customFormat="1" hidden="1">
      <c r="A97" s="134" t="e">
        <f>#REF!</f>
        <v>#REF!</v>
      </c>
      <c r="B97" s="58" t="e">
        <f>TRIM(CONCATENATE(#REF!," ",#REF!," ",#REF!))</f>
        <v>#REF!</v>
      </c>
      <c r="C97" s="59"/>
      <c r="D97" s="59"/>
      <c r="E97" s="66" t="e">
        <f>#REF!</f>
        <v>#REF!</v>
      </c>
      <c r="F97" s="66" t="e">
        <f>#REF!</f>
        <v>#REF!</v>
      </c>
      <c r="G97" s="66"/>
      <c r="H97" s="66" t="e">
        <f>#REF!</f>
        <v>#REF!</v>
      </c>
      <c r="I97" s="66" t="e">
        <f>#REF!</f>
        <v>#REF!</v>
      </c>
      <c r="J97" s="70"/>
      <c r="P97" s="141"/>
      <c r="Q97" s="141"/>
      <c r="R97" s="138"/>
      <c r="S97" s="141"/>
      <c r="T97" s="70"/>
      <c r="U97" s="70"/>
      <c r="V97" s="70"/>
    </row>
    <row r="98" spans="1:22" s="68" customFormat="1" ht="12" hidden="1" customHeight="1">
      <c r="A98" s="134" t="e">
        <f>#REF!</f>
        <v>#REF!</v>
      </c>
      <c r="B98" s="135" t="e">
        <f>TRIM(CONCATENATE(#REF!," ",#REF!," ",#REF!))</f>
        <v>#REF!</v>
      </c>
      <c r="C98" s="136"/>
      <c r="D98" s="136"/>
      <c r="E98" s="137" t="e">
        <f>#REF!</f>
        <v>#REF!</v>
      </c>
      <c r="F98" s="137" t="e">
        <f>#REF!</f>
        <v>#REF!</v>
      </c>
      <c r="G98" s="137"/>
      <c r="H98" s="137" t="e">
        <f>#REF!</f>
        <v>#REF!</v>
      </c>
      <c r="I98" s="137" t="e">
        <f>#REF!</f>
        <v>#REF!</v>
      </c>
      <c r="J98" s="70"/>
      <c r="P98" s="141"/>
      <c r="Q98" s="141"/>
      <c r="R98" s="138"/>
      <c r="S98" s="141"/>
      <c r="T98" s="70"/>
      <c r="U98" s="70"/>
      <c r="V98" s="70"/>
    </row>
    <row r="99" spans="1:22" s="140" customFormat="1" hidden="1">
      <c r="A99" s="134" t="e">
        <f>#REF!</f>
        <v>#REF!</v>
      </c>
      <c r="B99" s="135" t="e">
        <f>TRIM(CONCATENATE(#REF!," ",#REF!," ",#REF!))</f>
        <v>#REF!</v>
      </c>
      <c r="C99" s="136"/>
      <c r="D99" s="136"/>
      <c r="E99" s="137" t="e">
        <f>#REF!</f>
        <v>#REF!</v>
      </c>
      <c r="F99" s="137" t="e">
        <f>#REF!</f>
        <v>#REF!</v>
      </c>
      <c r="G99" s="137"/>
      <c r="H99" s="137" t="e">
        <f>#REF!</f>
        <v>#REF!</v>
      </c>
      <c r="I99" s="137" t="e">
        <f>#REF!</f>
        <v>#REF!</v>
      </c>
      <c r="J99" s="142"/>
      <c r="P99" s="141"/>
      <c r="Q99" s="141"/>
      <c r="R99" s="138"/>
      <c r="S99" s="141"/>
      <c r="T99" s="141"/>
      <c r="U99" s="141"/>
      <c r="V99" s="141"/>
    </row>
    <row r="100" spans="1:22" ht="4.5" hidden="1" customHeight="1">
      <c r="A100" s="537"/>
      <c r="B100" s="62"/>
      <c r="E100" s="63"/>
      <c r="F100" s="63"/>
      <c r="G100" s="63"/>
      <c r="H100" s="63"/>
      <c r="I100" s="63"/>
      <c r="J100" s="52"/>
      <c r="P100" s="138"/>
      <c r="Q100" s="138"/>
      <c r="R100" s="138"/>
      <c r="S100" s="138"/>
      <c r="V100" s="52"/>
    </row>
    <row r="101" spans="1:22" ht="12" hidden="1" customHeight="1">
      <c r="A101" s="461"/>
      <c r="B101" s="62"/>
      <c r="E101" s="63"/>
      <c r="F101" s="63"/>
      <c r="G101" s="63"/>
      <c r="H101" s="63"/>
      <c r="I101" s="63"/>
      <c r="J101" s="52"/>
      <c r="P101" s="138"/>
      <c r="Q101" s="138"/>
      <c r="R101" s="138"/>
      <c r="S101" s="138"/>
      <c r="V101" s="52"/>
    </row>
    <row r="102" spans="1:22" ht="12" hidden="1" customHeight="1">
      <c r="A102" s="461"/>
      <c r="B102" s="62"/>
      <c r="E102" s="63"/>
      <c r="F102" s="63"/>
      <c r="G102" s="63"/>
      <c r="H102" s="63"/>
      <c r="I102" s="63"/>
      <c r="J102" s="52"/>
      <c r="P102" s="138"/>
      <c r="Q102" s="138"/>
      <c r="R102" s="138"/>
      <c r="S102" s="138"/>
      <c r="V102" s="52"/>
    </row>
    <row r="103" spans="1:22" ht="12" hidden="1" customHeight="1" thickBot="1">
      <c r="A103" s="64"/>
      <c r="B103" s="36" t="s">
        <v>78</v>
      </c>
      <c r="E103" s="65" t="e">
        <f>SUM(E88:E101)</f>
        <v>#REF!</v>
      </c>
      <c r="F103" s="65" t="e">
        <f>SUM(F88:F101)</f>
        <v>#REF!</v>
      </c>
      <c r="G103" s="65"/>
      <c r="H103" s="65" t="e">
        <f>SUM(H88:H101)</f>
        <v>#REF!</v>
      </c>
      <c r="I103" s="65" t="e">
        <f>SUM(I88:I101)</f>
        <v>#REF!</v>
      </c>
      <c r="J103" s="52"/>
      <c r="P103" s="138"/>
      <c r="Q103" s="138"/>
      <c r="R103" s="138"/>
      <c r="S103" s="138"/>
      <c r="V103" s="52"/>
    </row>
    <row r="104" spans="1:22" ht="12" hidden="1" customHeight="1" thickTop="1">
      <c r="A104" s="64"/>
      <c r="D104" s="62"/>
      <c r="E104" s="62"/>
      <c r="H104" s="62"/>
      <c r="J104" s="52"/>
      <c r="P104" s="138"/>
      <c r="Q104" s="138"/>
      <c r="R104" s="138"/>
      <c r="S104" s="138"/>
      <c r="V104" s="52"/>
    </row>
    <row r="105" spans="1:22" hidden="1">
      <c r="A105" s="134" t="e">
        <f>#REF!</f>
        <v>#REF!</v>
      </c>
      <c r="B105" s="58" t="e">
        <f>TRIM(CONCATENATE(#REF!," ",#REF!," ",#REF!))</f>
        <v>#REF!</v>
      </c>
      <c r="C105" s="59"/>
      <c r="D105" s="59"/>
      <c r="E105" s="66" t="e">
        <f>#REF!</f>
        <v>#REF!</v>
      </c>
      <c r="F105" s="66" t="e">
        <f>#REF!</f>
        <v>#REF!</v>
      </c>
      <c r="G105" s="66"/>
      <c r="H105" s="66" t="e">
        <f>#REF!</f>
        <v>#REF!</v>
      </c>
      <c r="I105" s="66" t="e">
        <f>#REF!</f>
        <v>#REF!</v>
      </c>
      <c r="J105" s="52"/>
      <c r="P105" s="138"/>
      <c r="Q105" s="138"/>
      <c r="R105" s="138"/>
      <c r="S105" s="138"/>
      <c r="V105" s="52"/>
    </row>
    <row r="106" spans="1:22" ht="14.25" hidden="1" customHeight="1">
      <c r="A106" s="134" t="e">
        <f>#REF!</f>
        <v>#REF!</v>
      </c>
      <c r="B106" s="58" t="e">
        <f>TRIM(CONCATENATE(#REF!," ",#REF!," ",#REF!))</f>
        <v>#REF!</v>
      </c>
      <c r="C106" s="59"/>
      <c r="D106" s="59"/>
      <c r="E106" s="66" t="e">
        <f>#REF!</f>
        <v>#REF!</v>
      </c>
      <c r="F106" s="66" t="e">
        <f>#REF!</f>
        <v>#REF!</v>
      </c>
      <c r="G106" s="66"/>
      <c r="H106" s="66" t="e">
        <f>#REF!</f>
        <v>#REF!</v>
      </c>
      <c r="I106" s="66" t="e">
        <f>#REF!</f>
        <v>#REF!</v>
      </c>
      <c r="J106" s="52"/>
      <c r="P106" s="138"/>
      <c r="Q106" s="138"/>
      <c r="R106" s="138"/>
      <c r="S106" s="138"/>
      <c r="V106" s="52"/>
    </row>
    <row r="107" spans="1:22" s="139" customFormat="1" ht="15" hidden="1" customHeight="1">
      <c r="A107" s="134" t="e">
        <f>#REF!</f>
        <v>#REF!</v>
      </c>
      <c r="B107" s="135" t="e">
        <f>TRIM(CONCATENATE(#REF!," ",#REF!," ",#REF!))</f>
        <v>#REF!</v>
      </c>
      <c r="C107" s="136"/>
      <c r="D107" s="136"/>
      <c r="E107" s="137" t="e">
        <f>#REF!</f>
        <v>#REF!</v>
      </c>
      <c r="F107" s="137" t="e">
        <f>#REF!</f>
        <v>#REF!</v>
      </c>
      <c r="G107" s="137"/>
      <c r="H107" s="137" t="e">
        <f>#REF!</f>
        <v>#REF!</v>
      </c>
      <c r="I107" s="137" t="e">
        <f>#REF!</f>
        <v>#REF!</v>
      </c>
      <c r="J107" s="138"/>
      <c r="P107" s="138"/>
      <c r="Q107" s="138"/>
      <c r="R107" s="138"/>
      <c r="S107" s="138"/>
      <c r="T107" s="138"/>
      <c r="U107" s="138"/>
      <c r="V107" s="138"/>
    </row>
    <row r="108" spans="1:22" ht="15" hidden="1" customHeight="1">
      <c r="A108" s="134" t="e">
        <f>#REF!</f>
        <v>#REF!</v>
      </c>
      <c r="B108" s="58" t="e">
        <f>TRIM(CONCATENATE(#REF!," ",#REF!," ",#REF!))</f>
        <v>#REF!</v>
      </c>
      <c r="C108" s="59"/>
      <c r="D108" s="59"/>
      <c r="E108" s="66" t="e">
        <f>#REF!</f>
        <v>#REF!</v>
      </c>
      <c r="F108" s="66" t="e">
        <f>#REF!</f>
        <v>#REF!</v>
      </c>
      <c r="G108" s="66"/>
      <c r="H108" s="66" t="e">
        <f>#REF!</f>
        <v>#REF!</v>
      </c>
      <c r="I108" s="66" t="e">
        <f>#REF!</f>
        <v>#REF!</v>
      </c>
      <c r="J108" s="52"/>
      <c r="P108" s="138"/>
      <c r="Q108" s="138"/>
      <c r="R108" s="138"/>
      <c r="S108" s="138"/>
      <c r="V108" s="52"/>
    </row>
    <row r="109" spans="1:22" ht="15" hidden="1" customHeight="1">
      <c r="A109" s="134" t="e">
        <f>#REF!</f>
        <v>#REF!</v>
      </c>
      <c r="B109" s="58" t="e">
        <f>TRIM(CONCATENATE(#REF!," ",#REF!," ",#REF!))</f>
        <v>#REF!</v>
      </c>
      <c r="C109" s="59"/>
      <c r="D109" s="59"/>
      <c r="E109" s="66" t="e">
        <f>#REF!</f>
        <v>#REF!</v>
      </c>
      <c r="F109" s="66" t="e">
        <f>#REF!</f>
        <v>#REF!</v>
      </c>
      <c r="G109" s="66"/>
      <c r="H109" s="66" t="e">
        <f>#REF!</f>
        <v>#REF!</v>
      </c>
      <c r="I109" s="66" t="e">
        <f>#REF!</f>
        <v>#REF!</v>
      </c>
      <c r="J109" s="52"/>
      <c r="P109" s="138"/>
      <c r="Q109" s="138"/>
      <c r="R109" s="138"/>
      <c r="S109" s="138"/>
      <c r="V109" s="52"/>
    </row>
    <row r="110" spans="1:22" hidden="1">
      <c r="A110" s="134" t="e">
        <f>#REF!</f>
        <v>#REF!</v>
      </c>
      <c r="B110" s="58" t="e">
        <f>TRIM(CONCATENATE(#REF!," ",#REF!," ",#REF!))</f>
        <v>#REF!</v>
      </c>
      <c r="C110" s="59"/>
      <c r="D110" s="59"/>
      <c r="E110" s="66" t="e">
        <f>#REF!</f>
        <v>#REF!</v>
      </c>
      <c r="F110" s="66" t="e">
        <f>#REF!</f>
        <v>#REF!</v>
      </c>
      <c r="G110" s="66"/>
      <c r="H110" s="66" t="e">
        <f>#REF!</f>
        <v>#REF!</v>
      </c>
      <c r="I110" s="66" t="e">
        <f>#REF!</f>
        <v>#REF!</v>
      </c>
      <c r="J110" s="52"/>
      <c r="P110" s="138"/>
      <c r="Q110" s="138"/>
      <c r="R110" s="138"/>
      <c r="S110" s="138"/>
      <c r="V110" s="52"/>
    </row>
    <row r="111" spans="1:22" s="139" customFormat="1" hidden="1">
      <c r="A111" s="134" t="e">
        <f>#REF!</f>
        <v>#REF!</v>
      </c>
      <c r="B111" s="135" t="e">
        <f>TRIM(CONCATENATE(#REF!," ",#REF!," ",#REF!))</f>
        <v>#REF!</v>
      </c>
      <c r="C111" s="136"/>
      <c r="D111" s="136"/>
      <c r="E111" s="137" t="e">
        <f>#REF!</f>
        <v>#REF!</v>
      </c>
      <c r="F111" s="137" t="e">
        <f>#REF!</f>
        <v>#REF!</v>
      </c>
      <c r="G111" s="137"/>
      <c r="H111" s="137" t="e">
        <f>#REF!</f>
        <v>#REF!</v>
      </c>
      <c r="I111" s="137" t="e">
        <f>#REF!</f>
        <v>#REF!</v>
      </c>
      <c r="J111" s="138"/>
      <c r="P111" s="138"/>
      <c r="Q111" s="138"/>
      <c r="R111" s="138"/>
      <c r="S111" s="138"/>
      <c r="T111" s="138"/>
      <c r="U111" s="138"/>
      <c r="V111" s="138"/>
    </row>
    <row r="112" spans="1:22" hidden="1">
      <c r="A112" s="134" t="e">
        <f>#REF!</f>
        <v>#REF!</v>
      </c>
      <c r="B112" s="58" t="e">
        <f>TRIM(CONCATENATE(#REF!," ",#REF!," ",#REF!))</f>
        <v>#REF!</v>
      </c>
      <c r="C112" s="59"/>
      <c r="D112" s="59"/>
      <c r="E112" s="66" t="e">
        <f>#REF!</f>
        <v>#REF!</v>
      </c>
      <c r="F112" s="66" t="e">
        <f>#REF!</f>
        <v>#REF!</v>
      </c>
      <c r="G112" s="66"/>
      <c r="H112" s="66" t="e">
        <f>#REF!</f>
        <v>#REF!</v>
      </c>
      <c r="I112" s="66" t="e">
        <f>#REF!</f>
        <v>#REF!</v>
      </c>
      <c r="J112" s="52"/>
      <c r="K112" s="129" t="s">
        <v>170</v>
      </c>
      <c r="P112" s="138"/>
      <c r="Q112" s="138"/>
      <c r="R112" s="138"/>
      <c r="S112" s="138"/>
      <c r="V112" s="52"/>
    </row>
    <row r="113" spans="1:22" hidden="1">
      <c r="A113" s="134"/>
      <c r="B113" s="58"/>
      <c r="C113" s="59"/>
      <c r="D113" s="59"/>
      <c r="E113" s="66"/>
      <c r="F113" s="66"/>
      <c r="G113" s="66"/>
      <c r="H113" s="66"/>
      <c r="I113" s="66"/>
      <c r="J113" s="52"/>
      <c r="K113" s="128">
        <v>8.14E-2</v>
      </c>
      <c r="P113" s="138"/>
      <c r="Q113" s="138"/>
      <c r="R113" s="138"/>
      <c r="S113" s="138"/>
      <c r="V113" s="52"/>
    </row>
    <row r="114" spans="1:22" ht="13.5" hidden="1" thickBot="1">
      <c r="A114" s="64"/>
      <c r="B114" s="36" t="s">
        <v>129</v>
      </c>
      <c r="E114" s="65" t="e">
        <f>SUM(E103:E113)</f>
        <v>#REF!</v>
      </c>
      <c r="F114" s="65" t="e">
        <f>SUM(F103:F113)</f>
        <v>#REF!</v>
      </c>
      <c r="G114" s="65"/>
      <c r="H114" s="65" t="e">
        <f>SUM(H103:H113)</f>
        <v>#REF!</v>
      </c>
      <c r="I114" s="65" t="e">
        <f>SUM(I103:I113)</f>
        <v>#REF!</v>
      </c>
      <c r="J114" s="52"/>
      <c r="K114" s="130" t="e">
        <f>#REF!</f>
        <v>#REF!</v>
      </c>
      <c r="P114" s="138"/>
      <c r="Q114" s="138"/>
      <c r="R114" s="138"/>
      <c r="S114" s="138"/>
      <c r="V114" s="52"/>
    </row>
    <row r="115" spans="1:22" hidden="1">
      <c r="A115" s="64"/>
      <c r="D115" s="62"/>
      <c r="E115" s="62"/>
      <c r="H115" s="62"/>
      <c r="J115" s="52"/>
      <c r="K115" s="127"/>
      <c r="P115" s="138"/>
      <c r="Q115" s="138"/>
      <c r="R115" s="138"/>
      <c r="S115" s="138"/>
      <c r="V115" s="52"/>
    </row>
    <row r="116" spans="1:22" hidden="1">
      <c r="A116" s="134"/>
      <c r="B116" s="58"/>
      <c r="D116" s="62"/>
      <c r="E116" s="62"/>
      <c r="H116" s="62"/>
      <c r="J116" s="52"/>
      <c r="K116" s="131" t="e">
        <f>((I103*K113)-H103)/0.64/K114</f>
        <v>#REF!</v>
      </c>
      <c r="P116" s="138"/>
      <c r="Q116" s="138"/>
      <c r="R116" s="138"/>
      <c r="S116" s="138"/>
      <c r="V116" s="52"/>
    </row>
    <row r="117" spans="1:22">
      <c r="A117" s="543"/>
      <c r="B117" s="135"/>
      <c r="D117" s="62"/>
      <c r="E117" s="62"/>
      <c r="F117" s="63"/>
      <c r="H117" s="62"/>
      <c r="J117" s="52"/>
      <c r="K117" s="131"/>
      <c r="N117" s="158" t="s">
        <v>204</v>
      </c>
      <c r="O117" s="654"/>
      <c r="P117" s="138"/>
      <c r="Q117" s="138"/>
      <c r="R117" s="138"/>
      <c r="S117" s="194"/>
      <c r="V117" s="52"/>
    </row>
    <row r="118" spans="1:22" ht="13.5" thickBot="1">
      <c r="A118" s="134"/>
      <c r="B118" s="58"/>
      <c r="D118" s="62"/>
      <c r="E118" s="62"/>
      <c r="F118" s="63"/>
      <c r="H118" s="62"/>
      <c r="J118" s="52"/>
      <c r="N118" s="158" t="s">
        <v>184</v>
      </c>
      <c r="O118" s="191">
        <f>O58+O117</f>
        <v>-7761.5683303633887</v>
      </c>
      <c r="P118" s="138"/>
      <c r="Q118" s="138"/>
      <c r="R118" s="195"/>
      <c r="S118" s="138"/>
      <c r="V118" s="52"/>
    </row>
    <row r="119" spans="1:22" ht="13.5" thickTop="1">
      <c r="A119" s="57"/>
      <c r="B119" s="58"/>
      <c r="D119" s="62"/>
      <c r="E119" s="62"/>
      <c r="F119" s="63"/>
      <c r="H119" s="62"/>
      <c r="J119" s="52"/>
      <c r="N119" s="158" t="s">
        <v>188</v>
      </c>
      <c r="O119" s="654">
        <v>4397</v>
      </c>
      <c r="P119" s="138"/>
      <c r="Q119" s="138"/>
      <c r="R119" s="138"/>
      <c r="S119" s="138"/>
      <c r="V119" s="52"/>
    </row>
    <row r="120" spans="1:22">
      <c r="A120" s="57"/>
      <c r="B120" s="58"/>
      <c r="D120" s="62"/>
      <c r="E120" s="62"/>
      <c r="F120" s="63"/>
      <c r="H120" s="62"/>
      <c r="J120" s="52"/>
      <c r="N120" s="158" t="s">
        <v>189</v>
      </c>
      <c r="O120" s="197">
        <f>O119+O118</f>
        <v>-3364.5683303633887</v>
      </c>
      <c r="P120" s="138"/>
      <c r="Q120" s="138"/>
      <c r="R120" s="138"/>
      <c r="S120" s="138"/>
      <c r="V120" s="52"/>
    </row>
    <row r="121" spans="1:22">
      <c r="A121" s="57"/>
      <c r="B121" s="58"/>
      <c r="D121" s="62"/>
      <c r="H121" s="62"/>
      <c r="J121" s="52"/>
      <c r="N121" s="196"/>
      <c r="O121" s="194" t="s">
        <v>197</v>
      </c>
      <c r="P121" s="138"/>
      <c r="Q121" s="138"/>
      <c r="R121" s="196"/>
      <c r="S121" s="138"/>
      <c r="V121" s="52"/>
    </row>
    <row r="122" spans="1:22">
      <c r="A122" s="37"/>
      <c r="D122" s="62"/>
      <c r="E122" s="62"/>
      <c r="F122" s="187"/>
      <c r="H122" s="62"/>
      <c r="J122" s="52"/>
      <c r="N122" s="196"/>
      <c r="O122" s="194"/>
      <c r="P122" s="138"/>
      <c r="Q122" s="138"/>
      <c r="R122" s="196"/>
      <c r="S122" s="138"/>
      <c r="V122" s="52"/>
    </row>
    <row r="123" spans="1:22">
      <c r="A123" s="37"/>
      <c r="D123" s="62"/>
      <c r="E123" s="62"/>
      <c r="F123" s="63"/>
      <c r="H123" s="62"/>
      <c r="J123" s="52"/>
      <c r="N123" s="138"/>
      <c r="O123" s="194"/>
      <c r="P123" s="138"/>
      <c r="Q123" s="138"/>
      <c r="R123" s="138"/>
      <c r="S123" s="138"/>
      <c r="V123" s="52"/>
    </row>
    <row r="124" spans="1:22">
      <c r="A124" s="37"/>
      <c r="D124" s="62"/>
      <c r="E124" s="62"/>
      <c r="H124" s="62"/>
      <c r="J124" s="52"/>
      <c r="N124" s="138"/>
      <c r="O124" s="194">
        <f>'Exh. No. BGM-6 -5'!F24</f>
        <v>-5241</v>
      </c>
      <c r="P124" s="194">
        <f>O120-O124</f>
        <v>1876.4316696366113</v>
      </c>
      <c r="S124" s="138"/>
    </row>
    <row r="125" spans="1:22">
      <c r="A125" s="37"/>
      <c r="J125" s="52"/>
      <c r="N125" s="138"/>
      <c r="O125" s="194"/>
      <c r="P125" s="138"/>
      <c r="S125" s="138"/>
    </row>
    <row r="126" spans="1:22">
      <c r="A126" s="37"/>
      <c r="J126" s="52"/>
      <c r="N126" s="138"/>
      <c r="O126" s="138"/>
      <c r="P126" s="138"/>
    </row>
    <row r="127" spans="1:22">
      <c r="N127" s="138"/>
      <c r="O127" s="138"/>
      <c r="P127" s="138"/>
    </row>
  </sheetData>
  <mergeCells count="11">
    <mergeCell ref="E9:F9"/>
    <mergeCell ref="H9:I9"/>
    <mergeCell ref="K9:L9"/>
    <mergeCell ref="A1:O1"/>
    <mergeCell ref="A2:O2"/>
    <mergeCell ref="A3:O3"/>
    <mergeCell ref="L7:N7"/>
    <mergeCell ref="E8:F8"/>
    <mergeCell ref="H8:I8"/>
    <mergeCell ref="K8:L8"/>
    <mergeCell ref="N8:O8"/>
  </mergeCells>
  <phoneticPr fontId="28" type="noConversion"/>
  <pageMargins left="0.75" right="0.5" top="1" bottom="1" header="0.5" footer="0.5"/>
  <pageSetup scale="59" orientation="landscape" horizontalDpi="4294967292" r:id="rId1"/>
  <headerFooter alignWithMargins="0"/>
  <rowBreaks count="1" manualBreakCount="1">
    <brk id="71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S83"/>
  <sheetViews>
    <sheetView zoomScaleNormal="100" zoomScaleSheetLayoutView="70" workbookViewId="0"/>
  </sheetViews>
  <sheetFormatPr defaultColWidth="9.140625" defaultRowHeight="12.75"/>
  <cols>
    <col min="1" max="1" width="4.7109375" style="78" customWidth="1"/>
    <col min="2" max="3" width="1.7109375" style="76" customWidth="1"/>
    <col min="4" max="4" width="2.7109375" style="76" customWidth="1"/>
    <col min="5" max="5" width="33.5703125" style="41" customWidth="1"/>
    <col min="6" max="6" width="12.7109375" style="41" customWidth="1"/>
    <col min="7" max="8" width="12.7109375" style="184" customWidth="1"/>
    <col min="9" max="11" width="12.7109375" style="41" customWidth="1"/>
    <col min="12" max="12" width="12.7109375" style="36" customWidth="1"/>
    <col min="13" max="14" width="9" style="36" customWidth="1"/>
    <col min="15" max="15" width="9.140625" style="36"/>
    <col min="16" max="16" width="9.85546875" style="36" bestFit="1" customWidth="1"/>
    <col min="17" max="18" width="9.140625" style="36"/>
    <col min="19" max="19" width="11.140625" style="36" bestFit="1" customWidth="1"/>
    <col min="20" max="32" width="9.140625" style="36"/>
    <col min="33" max="33" width="14.7109375" style="36" customWidth="1"/>
    <col min="34" max="34" width="13" style="36" customWidth="1"/>
    <col min="35" max="16384" width="9.140625" style="36"/>
  </cols>
  <sheetData>
    <row r="1" spans="1:45">
      <c r="E1" s="184"/>
      <c r="F1" s="184"/>
      <c r="I1" s="184"/>
      <c r="J1" s="184"/>
      <c r="K1" s="184"/>
    </row>
    <row r="2" spans="1:45">
      <c r="A2" s="782" t="str">
        <f>'ROO INPUT'!A3:C3</f>
        <v>Traditional Revenue Requirement Calculations for Avista Corporation</v>
      </c>
      <c r="D2" s="78"/>
    </row>
    <row r="3" spans="1:45" s="497" customFormat="1" ht="12">
      <c r="A3" s="77" t="s">
        <v>636</v>
      </c>
      <c r="B3" s="76"/>
      <c r="C3" s="76"/>
      <c r="D3" s="78"/>
      <c r="E3" s="184"/>
      <c r="F3" s="184"/>
      <c r="G3" s="184"/>
      <c r="H3" s="184"/>
      <c r="I3" s="796"/>
      <c r="J3" s="145"/>
      <c r="K3" s="145"/>
      <c r="L3" s="797"/>
      <c r="M3" s="797"/>
      <c r="N3" s="797"/>
      <c r="O3" s="797"/>
      <c r="P3" s="797"/>
    </row>
    <row r="4" spans="1:45">
      <c r="A4" s="77" t="str">
        <f>'ROO INPUT'!A5:C5</f>
        <v>Twelve Months Ended September 31, 2015</v>
      </c>
      <c r="D4" s="78"/>
    </row>
    <row r="5" spans="1:45" ht="13.5" thickBot="1">
      <c r="A5" s="77" t="str">
        <f>'ROO INPUT'!A6:C6</f>
        <v xml:space="preserve">($000)   </v>
      </c>
      <c r="D5" s="78"/>
    </row>
    <row r="6" spans="1:45">
      <c r="D6" s="78"/>
      <c r="F6" s="536"/>
      <c r="G6" s="536"/>
      <c r="H6" s="536"/>
      <c r="I6" s="536"/>
      <c r="J6" s="536"/>
      <c r="K6" s="536"/>
      <c r="L6" s="536"/>
      <c r="AF6" s="139"/>
      <c r="AG6" s="393"/>
      <c r="AH6" s="394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</row>
    <row r="7" spans="1:45">
      <c r="A7" s="79"/>
      <c r="B7" s="79"/>
      <c r="C7" s="80"/>
      <c r="D7" s="80"/>
      <c r="E7" s="79"/>
      <c r="F7" s="81" t="s">
        <v>150</v>
      </c>
      <c r="G7" s="82"/>
      <c r="H7" s="82"/>
      <c r="I7" s="82"/>
      <c r="J7" s="83"/>
      <c r="K7" s="83" t="s">
        <v>629</v>
      </c>
      <c r="L7" s="83"/>
      <c r="R7" s="139"/>
      <c r="AA7" s="139"/>
      <c r="AB7" s="139"/>
      <c r="AF7" s="139"/>
      <c r="AG7" s="399"/>
      <c r="AH7" s="400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</row>
    <row r="8" spans="1:45">
      <c r="A8" s="84"/>
      <c r="B8" s="85"/>
      <c r="C8" s="86"/>
      <c r="D8" s="87"/>
      <c r="E8" s="88"/>
      <c r="F8" s="43" t="s">
        <v>151</v>
      </c>
      <c r="G8" s="43" t="s">
        <v>585</v>
      </c>
      <c r="H8" s="43"/>
      <c r="I8" s="43" t="s">
        <v>585</v>
      </c>
      <c r="J8" s="661"/>
      <c r="K8" s="43" t="s">
        <v>152</v>
      </c>
      <c r="L8" s="661"/>
      <c r="AG8" s="395"/>
      <c r="AH8" s="396"/>
    </row>
    <row r="9" spans="1:45">
      <c r="A9" s="89" t="s">
        <v>7</v>
      </c>
      <c r="B9" s="90"/>
      <c r="C9" s="91"/>
      <c r="D9" s="92"/>
      <c r="E9" s="93"/>
      <c r="F9" s="45" t="s">
        <v>628</v>
      </c>
      <c r="G9" s="45" t="s">
        <v>625</v>
      </c>
      <c r="H9" s="45" t="s">
        <v>626</v>
      </c>
      <c r="I9" s="45" t="s">
        <v>475</v>
      </c>
      <c r="J9" s="45" t="s">
        <v>627</v>
      </c>
      <c r="K9" s="45" t="s">
        <v>153</v>
      </c>
      <c r="L9" s="45" t="s">
        <v>152</v>
      </c>
      <c r="AG9" s="395"/>
      <c r="AH9" s="396"/>
    </row>
    <row r="10" spans="1:45">
      <c r="A10" s="94" t="s">
        <v>17</v>
      </c>
      <c r="B10" s="95"/>
      <c r="C10" s="96"/>
      <c r="D10" s="97"/>
      <c r="E10" s="98" t="s">
        <v>18</v>
      </c>
      <c r="F10" s="726" t="s">
        <v>647</v>
      </c>
      <c r="G10" s="47" t="s">
        <v>120</v>
      </c>
      <c r="H10" s="47" t="s">
        <v>27</v>
      </c>
      <c r="I10" s="47" t="s">
        <v>120</v>
      </c>
      <c r="J10" s="47" t="s">
        <v>27</v>
      </c>
      <c r="K10" s="47" t="s">
        <v>154</v>
      </c>
      <c r="L10" s="47" t="s">
        <v>27</v>
      </c>
      <c r="AG10" s="395"/>
      <c r="AH10" s="396"/>
    </row>
    <row r="11" spans="1:45">
      <c r="A11" s="99"/>
      <c r="B11" s="99"/>
      <c r="C11" s="100"/>
      <c r="D11" s="100"/>
      <c r="E11" s="100" t="s">
        <v>28</v>
      </c>
      <c r="F11" s="49" t="s">
        <v>29</v>
      </c>
      <c r="G11" s="49" t="s">
        <v>30</v>
      </c>
      <c r="H11" s="49" t="s">
        <v>31</v>
      </c>
      <c r="I11" s="49" t="s">
        <v>32</v>
      </c>
      <c r="J11" s="49" t="s">
        <v>33</v>
      </c>
      <c r="K11" s="49" t="s">
        <v>586</v>
      </c>
      <c r="L11" s="49" t="s">
        <v>631</v>
      </c>
      <c r="AG11" s="395"/>
      <c r="AH11" s="396"/>
    </row>
    <row r="12" spans="1:45" ht="3.75" customHeight="1">
      <c r="A12" s="99"/>
      <c r="B12" s="99"/>
      <c r="C12" s="100"/>
      <c r="D12" s="100"/>
      <c r="E12" s="100"/>
      <c r="F12" s="49"/>
      <c r="G12" s="49"/>
      <c r="H12" s="49"/>
      <c r="I12" s="49"/>
      <c r="J12" s="49"/>
      <c r="K12" s="49"/>
      <c r="L12" s="49"/>
      <c r="AG12" s="395"/>
      <c r="AH12" s="396"/>
    </row>
    <row r="13" spans="1:45" ht="2.25" customHeight="1">
      <c r="A13" s="99"/>
      <c r="B13" s="99"/>
      <c r="C13" s="100"/>
      <c r="D13" s="100"/>
      <c r="E13" s="100"/>
      <c r="F13" s="49"/>
      <c r="G13" s="49"/>
      <c r="H13" s="49"/>
      <c r="I13" s="49"/>
      <c r="J13" s="49"/>
      <c r="K13" s="49"/>
      <c r="L13" s="49"/>
      <c r="AG13" s="395"/>
      <c r="AH13" s="396"/>
    </row>
    <row r="14" spans="1:45">
      <c r="A14" s="2"/>
      <c r="B14" s="1" t="s">
        <v>34</v>
      </c>
      <c r="C14" s="1"/>
      <c r="D14" s="1"/>
      <c r="E14" s="1"/>
      <c r="F14" s="71"/>
      <c r="G14" s="71"/>
      <c r="H14" s="71"/>
      <c r="I14" s="71"/>
      <c r="L14" s="41"/>
      <c r="AG14" s="395"/>
      <c r="AH14" s="396"/>
    </row>
    <row r="15" spans="1:45">
      <c r="A15" s="2">
        <v>1</v>
      </c>
      <c r="B15" s="3"/>
      <c r="C15" s="3" t="s">
        <v>35</v>
      </c>
      <c r="D15" s="3"/>
      <c r="E15" s="3"/>
      <c r="F15" s="331">
        <f>'Exh. No. BGM-6 -3'!E15</f>
        <v>152492</v>
      </c>
      <c r="G15" s="331">
        <f>+SUM('Exh. No. BGM-6 -3'!F15:W15)</f>
        <v>4139</v>
      </c>
      <c r="H15" s="331">
        <f>+F15+G15</f>
        <v>156631</v>
      </c>
      <c r="I15" s="331">
        <f>+SUM('Exh. No. BGM-6 -3'!Y15:AI15)</f>
        <v>-72574</v>
      </c>
      <c r="J15" s="331">
        <f t="shared" ref="J15:J17" si="0">+H15+I15</f>
        <v>84057</v>
      </c>
      <c r="K15" s="484">
        <f>'Exh. No. BGM-6 -4'!J12</f>
        <v>-5241</v>
      </c>
      <c r="L15" s="72">
        <f>J15+K15</f>
        <v>78816</v>
      </c>
      <c r="AG15" s="395"/>
      <c r="AH15" s="396"/>
    </row>
    <row r="16" spans="1:45">
      <c r="A16" s="2">
        <v>2</v>
      </c>
      <c r="B16" s="1"/>
      <c r="C16" s="4" t="s">
        <v>36</v>
      </c>
      <c r="D16" s="4"/>
      <c r="E16" s="4"/>
      <c r="F16" s="331">
        <f>'Exh. No. BGM-6 -3'!E16</f>
        <v>4114</v>
      </c>
      <c r="G16" s="331">
        <f>+SUM('Exh. No. BGM-6 -3'!F16:W16)</f>
        <v>-106</v>
      </c>
      <c r="H16" s="331">
        <f t="shared" ref="H16:H17" si="1">+F16+G16</f>
        <v>4008</v>
      </c>
      <c r="I16" s="331">
        <f>+SUM('Exh. No. BGM-6 -3'!Y16:AI16)</f>
        <v>408</v>
      </c>
      <c r="J16" s="331">
        <f t="shared" si="0"/>
        <v>4416</v>
      </c>
      <c r="K16" s="331"/>
      <c r="L16" s="331">
        <f>J16+K16</f>
        <v>4416</v>
      </c>
      <c r="AG16" s="395"/>
      <c r="AH16" s="396"/>
    </row>
    <row r="17" spans="1:34">
      <c r="A17" s="2">
        <v>3</v>
      </c>
      <c r="B17" s="1"/>
      <c r="C17" s="4" t="s">
        <v>37</v>
      </c>
      <c r="D17" s="4"/>
      <c r="E17" s="4"/>
      <c r="F17" s="332">
        <f>'Exh. No. BGM-6 -3'!E17</f>
        <v>105088</v>
      </c>
      <c r="G17" s="332">
        <f>+SUM('Exh. No. BGM-6 -3'!F17:W17)</f>
        <v>-99392</v>
      </c>
      <c r="H17" s="332">
        <f t="shared" si="1"/>
        <v>5696</v>
      </c>
      <c r="I17" s="332">
        <f>+SUM('Exh. No. BGM-6 -3'!Y17:AI17)</f>
        <v>-5413</v>
      </c>
      <c r="J17" s="332">
        <f t="shared" si="0"/>
        <v>283</v>
      </c>
      <c r="K17" s="332"/>
      <c r="L17" s="332">
        <f>J17+K17</f>
        <v>283</v>
      </c>
      <c r="AG17" s="395"/>
      <c r="AH17" s="396"/>
    </row>
    <row r="18" spans="1:34">
      <c r="A18" s="2">
        <v>4</v>
      </c>
      <c r="B18" s="1" t="s">
        <v>38</v>
      </c>
      <c r="C18" s="4"/>
      <c r="D18" s="4"/>
      <c r="E18" s="4"/>
      <c r="F18" s="331">
        <f>SUM(F15:F17)</f>
        <v>261694</v>
      </c>
      <c r="G18" s="331">
        <f>SUM(G15:G17)</f>
        <v>-95359</v>
      </c>
      <c r="H18" s="331">
        <f>SUM(H15:H17)</f>
        <v>166335</v>
      </c>
      <c r="I18" s="331">
        <f t="shared" ref="I18:L18" si="2">SUM(I15:I17)</f>
        <v>-77579</v>
      </c>
      <c r="J18" s="331">
        <f t="shared" si="2"/>
        <v>88756</v>
      </c>
      <c r="K18" s="331">
        <f t="shared" si="2"/>
        <v>-5241</v>
      </c>
      <c r="L18" s="331">
        <f t="shared" si="2"/>
        <v>83515</v>
      </c>
      <c r="AG18" s="395"/>
      <c r="AH18" s="396"/>
    </row>
    <row r="19" spans="1:34" ht="4.5" customHeight="1">
      <c r="A19" s="2"/>
      <c r="B19" s="1"/>
      <c r="C19" s="4"/>
      <c r="D19" s="4"/>
      <c r="E19" s="4"/>
      <c r="F19" s="331"/>
      <c r="G19" s="331"/>
      <c r="H19" s="331"/>
      <c r="I19" s="331"/>
      <c r="J19" s="331"/>
      <c r="K19" s="331"/>
      <c r="L19" s="331"/>
      <c r="AG19" s="395"/>
      <c r="AH19" s="396"/>
    </row>
    <row r="20" spans="1:34">
      <c r="A20" s="2"/>
      <c r="B20" s="1" t="s">
        <v>39</v>
      </c>
      <c r="C20" s="4"/>
      <c r="D20" s="4"/>
      <c r="E20" s="4"/>
      <c r="F20" s="331"/>
      <c r="G20" s="331"/>
      <c r="H20" s="331"/>
      <c r="I20" s="331"/>
      <c r="J20" s="331"/>
      <c r="K20" s="331"/>
      <c r="L20" s="331"/>
      <c r="AG20" s="395"/>
      <c r="AH20" s="396"/>
    </row>
    <row r="21" spans="1:34">
      <c r="A21" s="2"/>
      <c r="B21" s="1"/>
      <c r="C21" s="4" t="s">
        <v>265</v>
      </c>
      <c r="D21" s="4"/>
      <c r="E21" s="4"/>
      <c r="F21" s="331"/>
      <c r="G21" s="331"/>
      <c r="H21" s="331"/>
      <c r="I21" s="331"/>
      <c r="J21" s="331"/>
      <c r="K21" s="331"/>
      <c r="L21" s="331"/>
      <c r="AG21" s="395"/>
      <c r="AH21" s="396"/>
    </row>
    <row r="22" spans="1:34">
      <c r="A22" s="2">
        <v>5</v>
      </c>
      <c r="B22" s="1"/>
      <c r="C22" s="4"/>
      <c r="D22" s="4" t="s">
        <v>40</v>
      </c>
      <c r="E22" s="4"/>
      <c r="F22" s="331">
        <f>'Exh. No. BGM-6 -3'!E22</f>
        <v>164944</v>
      </c>
      <c r="G22" s="331">
        <f>+SUM('Exh. No. BGM-6 -3'!F22:W22)</f>
        <v>-78385</v>
      </c>
      <c r="H22" s="331">
        <f t="shared" ref="H22:H24" si="3">+F22+G22</f>
        <v>86559</v>
      </c>
      <c r="I22" s="331">
        <f>+SUM('Exh. No. BGM-6 -3'!Y22:AI22)</f>
        <v>-86559</v>
      </c>
      <c r="J22" s="331">
        <f t="shared" ref="J22:J24" si="4">+H22+I22</f>
        <v>0</v>
      </c>
      <c r="K22" s="331"/>
      <c r="L22" s="331">
        <f>J22+K22</f>
        <v>0</v>
      </c>
      <c r="AG22" s="395"/>
      <c r="AH22" s="396"/>
    </row>
    <row r="23" spans="1:34">
      <c r="A23" s="2">
        <v>6</v>
      </c>
      <c r="B23" s="1"/>
      <c r="C23" s="4"/>
      <c r="D23" s="4" t="s">
        <v>41</v>
      </c>
      <c r="E23" s="4"/>
      <c r="F23" s="331">
        <f>'Exh. No. BGM-6 -3'!E23</f>
        <v>810</v>
      </c>
      <c r="G23" s="331">
        <f>+SUM('Exh. No. BGM-6 -3'!F23:W23)</f>
        <v>-7</v>
      </c>
      <c r="H23" s="331">
        <f t="shared" si="3"/>
        <v>803</v>
      </c>
      <c r="I23" s="331">
        <f>+SUM('Exh. No. BGM-6 -3'!Y23:AI23)</f>
        <v>6.5818000000000154E-2</v>
      </c>
      <c r="J23" s="331">
        <f t="shared" si="4"/>
        <v>803.06581800000004</v>
      </c>
      <c r="K23" s="331"/>
      <c r="L23" s="331">
        <f>J23+K23</f>
        <v>803.06581800000004</v>
      </c>
      <c r="AG23" s="395"/>
      <c r="AH23" s="396"/>
    </row>
    <row r="24" spans="1:34">
      <c r="A24" s="2">
        <v>7</v>
      </c>
      <c r="B24" s="1"/>
      <c r="C24" s="4"/>
      <c r="D24" s="4" t="s">
        <v>42</v>
      </c>
      <c r="E24" s="4"/>
      <c r="F24" s="332">
        <f>'Exh. No. BGM-6 -3'!E24</f>
        <v>8665</v>
      </c>
      <c r="G24" s="332">
        <f>+SUM('Exh. No. BGM-6 -3'!F24:W24)</f>
        <v>-8665</v>
      </c>
      <c r="H24" s="332">
        <f t="shared" si="3"/>
        <v>0</v>
      </c>
      <c r="I24" s="332">
        <f>+SUM('Exh. No. BGM-6 -3'!Y24:AI24)</f>
        <v>0</v>
      </c>
      <c r="J24" s="332">
        <f t="shared" si="4"/>
        <v>0</v>
      </c>
      <c r="K24" s="332"/>
      <c r="L24" s="332">
        <f>J24+K24</f>
        <v>0</v>
      </c>
      <c r="AG24" s="395"/>
      <c r="AH24" s="396"/>
    </row>
    <row r="25" spans="1:34">
      <c r="A25" s="2">
        <v>8</v>
      </c>
      <c r="B25" s="1"/>
      <c r="C25" s="4"/>
      <c r="D25" s="4"/>
      <c r="E25" s="4" t="s">
        <v>43</v>
      </c>
      <c r="F25" s="331">
        <f>SUM(F22:F24)</f>
        <v>174419</v>
      </c>
      <c r="G25" s="331">
        <f>SUM(G22:G24)</f>
        <v>-87057</v>
      </c>
      <c r="H25" s="331">
        <f>SUM(H22:H24)</f>
        <v>87362</v>
      </c>
      <c r="I25" s="331">
        <f t="shared" ref="I25:L25" si="5">SUM(I22:I24)</f>
        <v>-86558.934181999997</v>
      </c>
      <c r="J25" s="331">
        <f t="shared" si="5"/>
        <v>803.06581800000004</v>
      </c>
      <c r="K25" s="331">
        <f t="shared" si="5"/>
        <v>0</v>
      </c>
      <c r="L25" s="331">
        <f t="shared" si="5"/>
        <v>803.06581800000004</v>
      </c>
      <c r="AG25" s="395"/>
      <c r="AH25" s="396"/>
    </row>
    <row r="26" spans="1:34" ht="5.25" customHeight="1">
      <c r="A26" s="186"/>
      <c r="B26" s="1"/>
      <c r="C26" s="4"/>
      <c r="D26" s="4"/>
      <c r="E26" s="4"/>
      <c r="F26" s="331"/>
      <c r="G26" s="331"/>
      <c r="H26" s="331"/>
      <c r="I26" s="331"/>
      <c r="J26" s="331"/>
      <c r="K26" s="331"/>
      <c r="L26" s="331"/>
      <c r="AG26" s="395"/>
      <c r="AH26" s="396"/>
    </row>
    <row r="27" spans="1:34">
      <c r="A27" s="2"/>
      <c r="B27" s="1"/>
      <c r="C27" s="4" t="s">
        <v>44</v>
      </c>
      <c r="D27" s="4"/>
      <c r="E27" s="4"/>
      <c r="F27" s="331"/>
      <c r="G27" s="331"/>
      <c r="H27" s="331"/>
      <c r="I27" s="331"/>
      <c r="J27" s="331"/>
      <c r="K27" s="331"/>
      <c r="L27" s="331"/>
      <c r="AG27" s="395"/>
      <c r="AH27" s="396"/>
    </row>
    <row r="28" spans="1:34">
      <c r="A28" s="2">
        <v>9</v>
      </c>
      <c r="B28" s="1"/>
      <c r="C28" s="4"/>
      <c r="D28" s="4" t="s">
        <v>45</v>
      </c>
      <c r="E28" s="4"/>
      <c r="F28" s="331">
        <f>'Exh. No. BGM-6 -3'!E28</f>
        <v>833</v>
      </c>
      <c r="G28" s="331">
        <f>+SUM('Exh. No. BGM-6 -3'!F28:W28)</f>
        <v>0</v>
      </c>
      <c r="H28" s="331">
        <f t="shared" ref="H28:H30" si="6">+F28+G28</f>
        <v>833</v>
      </c>
      <c r="I28" s="331">
        <f>+SUM('Exh. No. BGM-6 -3'!Y28:AI28)</f>
        <v>-0.28259999999999996</v>
      </c>
      <c r="J28" s="331">
        <f t="shared" ref="J28" si="7">+H28+I28</f>
        <v>832.7174</v>
      </c>
      <c r="K28" s="331"/>
      <c r="L28" s="331">
        <f>J28+K28</f>
        <v>832.7174</v>
      </c>
      <c r="AG28" s="395"/>
      <c r="AH28" s="396"/>
    </row>
    <row r="29" spans="1:34">
      <c r="A29" s="2">
        <v>10</v>
      </c>
      <c r="B29" s="1"/>
      <c r="C29" s="4"/>
      <c r="D29" s="4" t="s">
        <v>46</v>
      </c>
      <c r="E29" s="4"/>
      <c r="F29" s="331">
        <f>'Exh. No. BGM-6 -3'!E29</f>
        <v>429</v>
      </c>
      <c r="G29" s="331">
        <f>+SUM('Exh. No. BGM-6 -3'!F29:W29)</f>
        <v>0</v>
      </c>
      <c r="H29" s="331">
        <f t="shared" si="6"/>
        <v>429</v>
      </c>
      <c r="I29" s="331">
        <f>+SUM('Exh. No. BGM-6 -3'!Y29:AI29)</f>
        <v>-2</v>
      </c>
      <c r="J29" s="331">
        <f t="shared" ref="J29" si="8">+H29+I29</f>
        <v>427</v>
      </c>
      <c r="K29" s="331"/>
      <c r="L29" s="331">
        <f>J29+K29</f>
        <v>427</v>
      </c>
      <c r="AG29" s="395"/>
      <c r="AH29" s="396"/>
    </row>
    <row r="30" spans="1:34">
      <c r="A30" s="366">
        <v>11</v>
      </c>
      <c r="B30" s="1"/>
      <c r="C30" s="4"/>
      <c r="D30" s="4" t="s">
        <v>22</v>
      </c>
      <c r="E30" s="4"/>
      <c r="F30" s="332">
        <f>'Exh. No. BGM-6 -3'!E30</f>
        <v>292</v>
      </c>
      <c r="G30" s="332">
        <f>+SUM('Exh. No. BGM-6 -3'!F30:W30)</f>
        <v>-14</v>
      </c>
      <c r="H30" s="332">
        <f t="shared" si="6"/>
        <v>278</v>
      </c>
      <c r="I30" s="332">
        <f>+SUM('Exh. No. BGM-6 -3'!Y30:AI30)</f>
        <v>15</v>
      </c>
      <c r="J30" s="332">
        <f t="shared" ref="J30" si="9">+H30+I30</f>
        <v>293</v>
      </c>
      <c r="K30" s="332"/>
      <c r="L30" s="332">
        <f>J30+K30</f>
        <v>293</v>
      </c>
      <c r="AG30" s="395"/>
      <c r="AH30" s="396"/>
    </row>
    <row r="31" spans="1:34">
      <c r="A31" s="2">
        <v>12</v>
      </c>
      <c r="B31" s="1"/>
      <c r="C31" s="4"/>
      <c r="D31" s="4"/>
      <c r="E31" s="4" t="s">
        <v>47</v>
      </c>
      <c r="F31" s="331">
        <f t="shared" ref="F31:L31" si="10">SUM(F28:F30)</f>
        <v>1554</v>
      </c>
      <c r="G31" s="331">
        <f t="shared" si="10"/>
        <v>-14</v>
      </c>
      <c r="H31" s="331">
        <f t="shared" si="10"/>
        <v>1540</v>
      </c>
      <c r="I31" s="331">
        <f t="shared" si="10"/>
        <v>12.7174</v>
      </c>
      <c r="J31" s="331">
        <f t="shared" si="10"/>
        <v>1552.7174</v>
      </c>
      <c r="K31" s="331">
        <f t="shared" si="10"/>
        <v>0</v>
      </c>
      <c r="L31" s="331">
        <f t="shared" si="10"/>
        <v>1552.7174</v>
      </c>
      <c r="AG31" s="395"/>
      <c r="AH31" s="396"/>
    </row>
    <row r="32" spans="1:34" ht="3" customHeight="1">
      <c r="A32" s="186"/>
      <c r="B32" s="1"/>
      <c r="C32" s="4"/>
      <c r="D32" s="4"/>
      <c r="E32" s="4"/>
      <c r="F32" s="331"/>
      <c r="G32" s="331"/>
      <c r="H32" s="331"/>
      <c r="I32" s="331"/>
      <c r="J32" s="331"/>
      <c r="K32" s="331"/>
      <c r="L32" s="331"/>
      <c r="AG32" s="395"/>
      <c r="AH32" s="396"/>
    </row>
    <row r="33" spans="1:34">
      <c r="A33" s="2"/>
      <c r="B33" s="1"/>
      <c r="C33" s="4" t="s">
        <v>48</v>
      </c>
      <c r="D33" s="4"/>
      <c r="E33" s="4"/>
      <c r="F33" s="331"/>
      <c r="G33" s="331"/>
      <c r="H33" s="331"/>
      <c r="I33" s="331"/>
      <c r="J33" s="331"/>
      <c r="K33" s="331"/>
      <c r="L33" s="331"/>
      <c r="AG33" s="395"/>
      <c r="AH33" s="396"/>
    </row>
    <row r="34" spans="1:34">
      <c r="A34" s="2">
        <v>13</v>
      </c>
      <c r="B34" s="1"/>
      <c r="C34" s="4"/>
      <c r="D34" s="4" t="s">
        <v>45</v>
      </c>
      <c r="E34" s="4"/>
      <c r="F34" s="331">
        <f>'Exh. No. BGM-6 -3'!E34</f>
        <v>11531</v>
      </c>
      <c r="G34" s="331">
        <f>+SUM('Exh. No. BGM-6 -3'!F34:W34)</f>
        <v>-218</v>
      </c>
      <c r="H34" s="331">
        <f t="shared" ref="H34:H36" si="11">+F34+G34</f>
        <v>11313</v>
      </c>
      <c r="I34" s="331">
        <f>+SUM('Exh. No. BGM-6 -3'!Y34:AI34)</f>
        <v>654.57597399999997</v>
      </c>
      <c r="J34" s="331">
        <f t="shared" ref="J34" si="12">+H34+I34</f>
        <v>11967.575973999999</v>
      </c>
      <c r="K34" s="331"/>
      <c r="L34" s="331">
        <f>J34+K34</f>
        <v>11967.575973999999</v>
      </c>
      <c r="AG34" s="395"/>
      <c r="AH34" s="396"/>
    </row>
    <row r="35" spans="1:34">
      <c r="A35" s="2">
        <v>14</v>
      </c>
      <c r="B35" s="1"/>
      <c r="C35" s="4"/>
      <c r="D35" s="4" t="s">
        <v>46</v>
      </c>
      <c r="E35" s="4"/>
      <c r="F35" s="331">
        <f>'Exh. No. BGM-6 -3'!E35</f>
        <v>8931</v>
      </c>
      <c r="G35" s="331">
        <f>+SUM('Exh. No. BGM-6 -3'!F35:W35)</f>
        <v>-6</v>
      </c>
      <c r="H35" s="331">
        <f t="shared" si="11"/>
        <v>8925</v>
      </c>
      <c r="I35" s="331">
        <f>+SUM('Exh. No. BGM-6 -3'!Y35:AI35)</f>
        <v>182.65107132053555</v>
      </c>
      <c r="J35" s="331">
        <f t="shared" ref="J35" si="13">+H35+I35</f>
        <v>9107.6510713205353</v>
      </c>
      <c r="K35" s="331"/>
      <c r="L35" s="331">
        <f>J35+K35</f>
        <v>9107.6510713205353</v>
      </c>
      <c r="AG35" s="395"/>
      <c r="AH35" s="396"/>
    </row>
    <row r="36" spans="1:34">
      <c r="A36" s="2">
        <v>15</v>
      </c>
      <c r="B36" s="1"/>
      <c r="C36" s="4"/>
      <c r="D36" s="4" t="s">
        <v>22</v>
      </c>
      <c r="E36" s="4"/>
      <c r="F36" s="333">
        <f>'Exh. No. BGM-6 -3'!E36</f>
        <v>14014</v>
      </c>
      <c r="G36" s="333">
        <f>+SUM('Exh. No. BGM-6 -3'!F36:W36)</f>
        <v>-5421</v>
      </c>
      <c r="H36" s="333">
        <f t="shared" si="11"/>
        <v>8593</v>
      </c>
      <c r="I36" s="333">
        <f>+SUM('Exh. No. BGM-6 -3'!Y36:AI36)</f>
        <v>-2583</v>
      </c>
      <c r="J36" s="333">
        <f t="shared" ref="J36" si="14">+H36+I36</f>
        <v>6010</v>
      </c>
      <c r="K36" s="332">
        <f>'Exh. No. BGM-6 -4'!J19</f>
        <v>-201</v>
      </c>
      <c r="L36" s="332">
        <f>J36+K36</f>
        <v>5809</v>
      </c>
      <c r="AG36" s="395"/>
      <c r="AH36" s="396"/>
    </row>
    <row r="37" spans="1:34">
      <c r="A37" s="2">
        <v>16</v>
      </c>
      <c r="B37" s="1"/>
      <c r="C37" s="4"/>
      <c r="D37" s="4"/>
      <c r="E37" s="4" t="s">
        <v>49</v>
      </c>
      <c r="F37" s="331">
        <f>SUM(F34:F36)</f>
        <v>34476</v>
      </c>
      <c r="G37" s="331">
        <f>SUM(G34:G36)</f>
        <v>-5645</v>
      </c>
      <c r="H37" s="331">
        <f>SUM(H34:H36)</f>
        <v>28831</v>
      </c>
      <c r="I37" s="331">
        <f t="shared" ref="I37:L37" si="15">SUM(I34:I36)</f>
        <v>-1745.7729546794644</v>
      </c>
      <c r="J37" s="331">
        <f t="shared" si="15"/>
        <v>27085.227045320535</v>
      </c>
      <c r="K37" s="331">
        <f t="shared" si="15"/>
        <v>-201</v>
      </c>
      <c r="L37" s="331">
        <f t="shared" si="15"/>
        <v>26884.227045320535</v>
      </c>
      <c r="AG37" s="395"/>
      <c r="AH37" s="396"/>
    </row>
    <row r="38" spans="1:34" ht="5.25" customHeight="1">
      <c r="A38" s="2"/>
      <c r="B38" s="1"/>
      <c r="C38" s="4"/>
      <c r="D38" s="4"/>
      <c r="E38" s="4"/>
      <c r="F38" s="331"/>
      <c r="G38" s="331"/>
      <c r="H38" s="331"/>
      <c r="I38" s="331"/>
      <c r="J38" s="331"/>
      <c r="K38" s="331"/>
      <c r="L38" s="331"/>
      <c r="AG38" s="395"/>
      <c r="AH38" s="396"/>
    </row>
    <row r="39" spans="1:34">
      <c r="A39" s="2">
        <v>17</v>
      </c>
      <c r="B39" s="1" t="s">
        <v>50</v>
      </c>
      <c r="C39" s="4"/>
      <c r="D39" s="4"/>
      <c r="E39" s="4"/>
      <c r="F39" s="331">
        <f>'Exh. No. BGM-6 -3'!E39</f>
        <v>6595</v>
      </c>
      <c r="G39" s="331">
        <f>+SUM('Exh. No. BGM-6 -3'!F39:W39)</f>
        <v>-369</v>
      </c>
      <c r="H39" s="331">
        <f t="shared" ref="H39:H41" si="16">+F39+G39</f>
        <v>6226</v>
      </c>
      <c r="I39" s="331">
        <f>+SUM('Exh. No. BGM-6 -3'!Y39:AI39)</f>
        <v>-247.98870199999999</v>
      </c>
      <c r="J39" s="331">
        <f t="shared" ref="J39" si="17">+H39+I39</f>
        <v>5978.0112980000004</v>
      </c>
      <c r="K39" s="331">
        <f>'Exh. No. BGM-6 -4'!J15</f>
        <v>-31</v>
      </c>
      <c r="L39" s="331">
        <f>J39+K39</f>
        <v>5947.0112980000004</v>
      </c>
      <c r="AG39" s="395"/>
      <c r="AH39" s="396"/>
    </row>
    <row r="40" spans="1:34">
      <c r="A40" s="2">
        <v>18</v>
      </c>
      <c r="B40" s="1" t="s">
        <v>51</v>
      </c>
      <c r="C40" s="4"/>
      <c r="D40" s="4"/>
      <c r="E40" s="4"/>
      <c r="F40" s="331">
        <f>'Exh. No. BGM-6 -3'!E40</f>
        <v>5790</v>
      </c>
      <c r="G40" s="331">
        <f>+SUM('Exh. No. BGM-6 -3'!F40:W40)</f>
        <v>-4923</v>
      </c>
      <c r="H40" s="331">
        <f t="shared" si="16"/>
        <v>867</v>
      </c>
      <c r="I40" s="331">
        <f>+SUM('Exh. No. BGM-6 -3'!Y40:AI40)</f>
        <v>14.551905999999999</v>
      </c>
      <c r="J40" s="331">
        <f t="shared" ref="J40" si="18">+H40+I40</f>
        <v>881.55190600000003</v>
      </c>
      <c r="K40" s="331"/>
      <c r="L40" s="331">
        <f>J40+K40</f>
        <v>881.55190600000003</v>
      </c>
      <c r="AG40" s="395"/>
      <c r="AH40" s="396"/>
    </row>
    <row r="41" spans="1:34">
      <c r="A41" s="2">
        <v>19</v>
      </c>
      <c r="B41" s="1" t="s">
        <v>52</v>
      </c>
      <c r="C41" s="4"/>
      <c r="D41" s="4"/>
      <c r="E41" s="4"/>
      <c r="F41" s="331">
        <f>'Exh. No. BGM-6 -3'!E41</f>
        <v>0</v>
      </c>
      <c r="G41" s="331">
        <f>+SUM('Exh. No. BGM-6 -3'!F41:W41)</f>
        <v>0</v>
      </c>
      <c r="H41" s="331">
        <f t="shared" si="16"/>
        <v>0</v>
      </c>
      <c r="I41" s="331">
        <f>+SUM('Exh. No. BGM-6 -3'!Y41:AI41)</f>
        <v>0.13</v>
      </c>
      <c r="J41" s="331">
        <f t="shared" ref="J41" si="19">+H41+I41</f>
        <v>0.13</v>
      </c>
      <c r="K41" s="331"/>
      <c r="L41" s="331">
        <f>J41+K41</f>
        <v>0.13</v>
      </c>
      <c r="AG41" s="395"/>
      <c r="AH41" s="396"/>
    </row>
    <row r="42" spans="1:34" ht="4.5" customHeight="1">
      <c r="A42" s="186"/>
      <c r="B42" s="1"/>
      <c r="C42" s="4"/>
      <c r="D42" s="4"/>
      <c r="E42" s="4"/>
      <c r="F42" s="331"/>
      <c r="G42" s="331"/>
      <c r="H42" s="331"/>
      <c r="I42" s="331"/>
      <c r="J42" s="331"/>
      <c r="K42" s="331"/>
      <c r="L42" s="331"/>
      <c r="AG42" s="395"/>
      <c r="AH42" s="396"/>
    </row>
    <row r="43" spans="1:34">
      <c r="A43" s="2"/>
      <c r="B43" s="1" t="s">
        <v>53</v>
      </c>
      <c r="C43" s="4"/>
      <c r="D43" s="4"/>
      <c r="E43" s="4"/>
      <c r="F43" s="331"/>
      <c r="G43" s="331"/>
      <c r="H43" s="331"/>
      <c r="I43" s="331"/>
      <c r="J43" s="331"/>
      <c r="K43" s="331"/>
      <c r="L43" s="331"/>
      <c r="AG43" s="395"/>
      <c r="AH43" s="396"/>
    </row>
    <row r="44" spans="1:34">
      <c r="A44" s="2">
        <v>20</v>
      </c>
      <c r="B44" s="1"/>
      <c r="C44" s="4" t="s">
        <v>45</v>
      </c>
      <c r="D44" s="4"/>
      <c r="E44" s="4"/>
      <c r="F44" s="331">
        <f>'Exh. No. BGM-6 -3'!E44</f>
        <v>13388</v>
      </c>
      <c r="G44" s="331">
        <f>+SUM('Exh. No. BGM-6 -3'!F44:W44)</f>
        <v>-220.75400000000002</v>
      </c>
      <c r="H44" s="331">
        <f>+F44+G44</f>
        <v>13167.245999999999</v>
      </c>
      <c r="I44" s="331">
        <f>+SUM('Exh. No. BGM-6 -3'!Y44:AI44)</f>
        <v>21.862601999999981</v>
      </c>
      <c r="J44" s="331">
        <f t="shared" ref="J44" si="20">+H44+I44</f>
        <v>13189.108601999998</v>
      </c>
      <c r="K44" s="331">
        <f>'Exh. No. BGM-6 -4'!J17</f>
        <v>-10</v>
      </c>
      <c r="L44" s="331">
        <f>J44+K44</f>
        <v>13179.108601999998</v>
      </c>
      <c r="AG44" s="395"/>
      <c r="AH44" s="396"/>
    </row>
    <row r="45" spans="1:34">
      <c r="A45" s="2">
        <v>21</v>
      </c>
      <c r="B45" s="1"/>
      <c r="C45" s="4" t="s">
        <v>224</v>
      </c>
      <c r="D45" s="4"/>
      <c r="E45" s="4"/>
      <c r="F45" s="331">
        <f>'Exh. No. BGM-6 -3'!E45</f>
        <v>5206</v>
      </c>
      <c r="G45" s="331">
        <f>+SUM('Exh. No. BGM-6 -3'!F45:W45)</f>
        <v>0</v>
      </c>
      <c r="H45" s="331">
        <f>+F45+G45</f>
        <v>5206</v>
      </c>
      <c r="I45" s="331">
        <f>+SUM('Exh. No. BGM-6 -3'!Y45:AI45)</f>
        <v>554.44748992134384</v>
      </c>
      <c r="J45" s="331">
        <f t="shared" ref="J45" si="21">+H45+I45</f>
        <v>5760.4474899213437</v>
      </c>
      <c r="K45" s="331"/>
      <c r="L45" s="331">
        <f>J45+K45</f>
        <v>5760.4474899213437</v>
      </c>
      <c r="AG45" s="395"/>
      <c r="AH45" s="396"/>
    </row>
    <row r="46" spans="1:34">
      <c r="A46" s="186">
        <v>22</v>
      </c>
      <c r="B46" s="1"/>
      <c r="C46" s="9" t="s">
        <v>441</v>
      </c>
      <c r="D46" s="4"/>
      <c r="E46" s="4"/>
      <c r="F46" s="331">
        <f>'Exh. No. BGM-6 -3'!E46</f>
        <v>0</v>
      </c>
      <c r="G46" s="331">
        <f>+SUM('Exh. No. BGM-6 -3'!F46:W46)</f>
        <v>-1505</v>
      </c>
      <c r="H46" s="331">
        <f>+F46+G46</f>
        <v>-1505</v>
      </c>
      <c r="I46" s="331">
        <f>+SUM('Exh. No. BGM-6 -3'!Y46:AI46)</f>
        <v>2584</v>
      </c>
      <c r="J46" s="331">
        <f t="shared" ref="J46" si="22">+H46+I46</f>
        <v>1079</v>
      </c>
      <c r="K46" s="331"/>
      <c r="L46" s="331">
        <f>J46+K46</f>
        <v>1079</v>
      </c>
      <c r="AG46" s="395"/>
      <c r="AH46" s="396"/>
    </row>
    <row r="47" spans="1:34">
      <c r="A47" s="2">
        <v>23</v>
      </c>
      <c r="B47" s="1"/>
      <c r="C47" s="4" t="s">
        <v>22</v>
      </c>
      <c r="D47" s="4"/>
      <c r="E47" s="4"/>
      <c r="F47" s="332">
        <f>'Exh. No. BGM-6 -3'!E47</f>
        <v>0</v>
      </c>
      <c r="G47" s="332">
        <f>+SUM('Exh. No. BGM-6 -3'!F47:W47)</f>
        <v>0</v>
      </c>
      <c r="H47" s="332">
        <f>+F47+G47</f>
        <v>0</v>
      </c>
      <c r="I47" s="332">
        <f>+SUM('Exh. No. BGM-6 -3'!Y47:AI47)</f>
        <v>0</v>
      </c>
      <c r="J47" s="332">
        <f t="shared" ref="J47" si="23">+H47+I47</f>
        <v>0</v>
      </c>
      <c r="K47" s="332"/>
      <c r="L47" s="332">
        <f>J47+K47</f>
        <v>0</v>
      </c>
      <c r="AG47" s="395"/>
      <c r="AH47" s="396"/>
    </row>
    <row r="48" spans="1:34">
      <c r="A48" s="2">
        <v>24</v>
      </c>
      <c r="B48" s="1"/>
      <c r="C48" s="4"/>
      <c r="D48" s="4" t="s">
        <v>54</v>
      </c>
      <c r="E48" s="36"/>
      <c r="F48" s="334">
        <f>SUM(F44:F47)</f>
        <v>18594</v>
      </c>
      <c r="G48" s="334">
        <f t="shared" ref="G48:H48" si="24">SUM(G44:G47)</f>
        <v>-1725.7539999999999</v>
      </c>
      <c r="H48" s="334">
        <f t="shared" si="24"/>
        <v>16868.245999999999</v>
      </c>
      <c r="I48" s="334">
        <f t="shared" ref="I48:L48" si="25">SUM(I44:I47)</f>
        <v>3160.3100919213439</v>
      </c>
      <c r="J48" s="334">
        <f t="shared" si="25"/>
        <v>20028.556091921342</v>
      </c>
      <c r="K48" s="334">
        <f t="shared" si="25"/>
        <v>-10</v>
      </c>
      <c r="L48" s="334">
        <f t="shared" si="25"/>
        <v>20018.556091921342</v>
      </c>
      <c r="AG48" s="395"/>
      <c r="AH48" s="396"/>
    </row>
    <row r="49" spans="1:34">
      <c r="A49" s="2">
        <v>25</v>
      </c>
      <c r="B49" s="1" t="s">
        <v>55</v>
      </c>
      <c r="C49" s="4"/>
      <c r="D49" s="4"/>
      <c r="E49" s="4"/>
      <c r="F49" s="332">
        <f>F48+F37+F31+F25+F39+F40+F41</f>
        <v>241428</v>
      </c>
      <c r="G49" s="332">
        <f t="shared" ref="G49:H49" si="26">G48+G37+G31+G25+G39+G40+G41</f>
        <v>-99733.754000000001</v>
      </c>
      <c r="H49" s="332">
        <f t="shared" si="26"/>
        <v>141694.24599999998</v>
      </c>
      <c r="I49" s="332">
        <f>I48+I37+I31+I25+I39+I40+I41</f>
        <v>-85364.986440758119</v>
      </c>
      <c r="J49" s="332">
        <f>J48+J37+J31+J25+J39+J40+J41</f>
        <v>56329.259559241873</v>
      </c>
      <c r="K49" s="332">
        <f>K48+K37+K31+K25+K39+K40+K41</f>
        <v>-242</v>
      </c>
      <c r="L49" s="332">
        <f>L48+L37+L31+L25+L39+L40+L41</f>
        <v>56087.259559241873</v>
      </c>
      <c r="AG49" s="395"/>
      <c r="AH49" s="396"/>
    </row>
    <row r="50" spans="1:34" ht="8.25" customHeight="1">
      <c r="A50" s="2"/>
      <c r="B50" s="1"/>
      <c r="C50" s="4"/>
      <c r="D50" s="4"/>
      <c r="E50" s="4"/>
      <c r="F50" s="331"/>
      <c r="G50" s="331"/>
      <c r="H50" s="331"/>
      <c r="I50" s="331"/>
      <c r="J50" s="331"/>
      <c r="K50" s="331"/>
      <c r="L50" s="331"/>
      <c r="AG50" s="395"/>
      <c r="AH50" s="396"/>
    </row>
    <row r="51" spans="1:34">
      <c r="A51" s="2">
        <v>26</v>
      </c>
      <c r="B51" s="1" t="s">
        <v>56</v>
      </c>
      <c r="C51" s="4"/>
      <c r="D51" s="4"/>
      <c r="E51" s="4"/>
      <c r="F51" s="331">
        <f>F18-F49</f>
        <v>20266</v>
      </c>
      <c r="G51" s="331">
        <f t="shared" ref="G51:H51" si="27">G18-G49</f>
        <v>4374.7540000000008</v>
      </c>
      <c r="H51" s="331">
        <f t="shared" si="27"/>
        <v>24640.754000000015</v>
      </c>
      <c r="I51" s="331">
        <f>I18-I49</f>
        <v>7785.986440758119</v>
      </c>
      <c r="J51" s="331">
        <f>J18-J49</f>
        <v>32426.740440758127</v>
      </c>
      <c r="K51" s="331">
        <f>K18-K49</f>
        <v>-4999</v>
      </c>
      <c r="L51" s="331">
        <f>L18-L49</f>
        <v>27427.740440758127</v>
      </c>
      <c r="AG51" s="395"/>
      <c r="AH51" s="396"/>
    </row>
    <row r="52" spans="1:34" ht="6.75" customHeight="1">
      <c r="A52" s="2"/>
      <c r="B52" s="1"/>
      <c r="C52" s="4"/>
      <c r="D52" s="4"/>
      <c r="E52" s="4"/>
      <c r="F52" s="331"/>
      <c r="G52" s="331"/>
      <c r="H52" s="331"/>
      <c r="I52" s="331"/>
      <c r="J52" s="331"/>
      <c r="K52" s="331"/>
      <c r="L52" s="331"/>
      <c r="AG52" s="395"/>
      <c r="AH52" s="396"/>
    </row>
    <row r="53" spans="1:34">
      <c r="A53" s="2"/>
      <c r="B53" s="1" t="s">
        <v>57</v>
      </c>
      <c r="C53" s="4"/>
      <c r="D53" s="4"/>
      <c r="E53" s="4"/>
      <c r="F53" s="331"/>
      <c r="G53" s="331"/>
      <c r="H53" s="331"/>
      <c r="I53" s="331"/>
      <c r="J53" s="331"/>
      <c r="K53" s="331"/>
      <c r="L53" s="331"/>
      <c r="P53" s="463"/>
      <c r="AG53" s="395"/>
      <c r="AH53" s="396"/>
    </row>
    <row r="54" spans="1:34">
      <c r="A54" s="2">
        <v>27</v>
      </c>
      <c r="B54" s="1"/>
      <c r="C54" s="4" t="s">
        <v>58</v>
      </c>
      <c r="D54" s="4"/>
      <c r="E54" s="4"/>
      <c r="F54" s="331">
        <f>'Exh. No. BGM-6 -3'!E54</f>
        <v>-6651</v>
      </c>
      <c r="G54" s="331">
        <f>+SUM('Exh. No. BGM-6 -3'!F54:W54)</f>
        <v>1102.9632997515444</v>
      </c>
      <c r="H54" s="331">
        <f t="shared" ref="H54:H57" si="28">+F54+G54</f>
        <v>-5548.0367002484554</v>
      </c>
      <c r="I54" s="331">
        <f>+SUM('Exh. No. BGM-6 -3'!Y54:AI54)</f>
        <v>2725.0952542653417</v>
      </c>
      <c r="J54" s="331">
        <f t="shared" ref="J54" si="29">+H54+I54</f>
        <v>-2822.9414459831137</v>
      </c>
      <c r="K54" s="331">
        <f>'Exh. No. BGM-6 -4'!J25</f>
        <v>-1750</v>
      </c>
      <c r="L54" s="331">
        <f>J54+K54</f>
        <v>-4572.9414459831132</v>
      </c>
      <c r="P54" s="116"/>
      <c r="S54" s="116"/>
      <c r="AG54" s="395"/>
      <c r="AH54" s="396"/>
    </row>
    <row r="55" spans="1:34">
      <c r="A55" s="186">
        <v>28</v>
      </c>
      <c r="B55" s="1"/>
      <c r="C55" s="230" t="s">
        <v>205</v>
      </c>
      <c r="D55" s="4"/>
      <c r="E55" s="4"/>
      <c r="F55" s="331">
        <f>'Exh. No. BGM-6 -3'!E55</f>
        <v>0</v>
      </c>
      <c r="G55" s="331">
        <f>+SUM('Exh. No. BGM-6 -3'!F55:W55)</f>
        <v>-28.607319999999998</v>
      </c>
      <c r="H55" s="331">
        <f t="shared" si="28"/>
        <v>-28.607319999999998</v>
      </c>
      <c r="I55" s="331">
        <f>+SUM('Exh. No. BGM-6 -3'!Y55:AI55)</f>
        <v>-240.80644000000001</v>
      </c>
      <c r="J55" s="331">
        <f t="shared" ref="J55" si="30">+H55+I55</f>
        <v>-269.41376000000002</v>
      </c>
      <c r="K55" s="331">
        <f>'Exh. No. BGM-6 -4'!J26</f>
        <v>0</v>
      </c>
      <c r="L55" s="331">
        <f>J55+K55</f>
        <v>-269.41376000000002</v>
      </c>
      <c r="P55" s="463"/>
      <c r="AG55" s="395"/>
      <c r="AH55" s="396"/>
    </row>
    <row r="56" spans="1:34">
      <c r="A56" s="2">
        <v>29</v>
      </c>
      <c r="B56" s="1"/>
      <c r="C56" s="4" t="s">
        <v>59</v>
      </c>
      <c r="D56" s="4"/>
      <c r="E56" s="4"/>
      <c r="F56" s="331">
        <f>'Exh. No. BGM-6 -3'!E56</f>
        <v>12388</v>
      </c>
      <c r="G56" s="331">
        <f>+SUM('Exh. No. BGM-6 -3'!F56:W56)</f>
        <v>0</v>
      </c>
      <c r="H56" s="331">
        <f t="shared" si="28"/>
        <v>12388</v>
      </c>
      <c r="I56" s="331">
        <f>+SUM('Exh. No. BGM-6 -3'!Y56:AI56)</f>
        <v>0</v>
      </c>
      <c r="J56" s="331">
        <f t="shared" ref="J56" si="31">+H56+I56</f>
        <v>12388</v>
      </c>
      <c r="K56" s="331"/>
      <c r="L56" s="331">
        <f>J56+K56</f>
        <v>12388</v>
      </c>
      <c r="AG56" s="395"/>
      <c r="AH56" s="396"/>
    </row>
    <row r="57" spans="1:34">
      <c r="A57" s="2">
        <v>30</v>
      </c>
      <c r="B57" s="1"/>
      <c r="C57" s="4" t="s">
        <v>60</v>
      </c>
      <c r="D57" s="4"/>
      <c r="E57" s="4"/>
      <c r="F57" s="332">
        <f>'Exh. No. BGM-6 -3'!E57</f>
        <v>-20</v>
      </c>
      <c r="G57" s="332">
        <f>+SUM('Exh. No. BGM-6 -3'!F57:W57)</f>
        <v>0</v>
      </c>
      <c r="H57" s="332">
        <f t="shared" si="28"/>
        <v>-20</v>
      </c>
      <c r="I57" s="332">
        <f>+SUM('Exh. No. BGM-6 -3'!Y57:AI57)</f>
        <v>0</v>
      </c>
      <c r="J57" s="332">
        <f t="shared" ref="J57" si="32">+H57+I57</f>
        <v>-20</v>
      </c>
      <c r="K57" s="332"/>
      <c r="L57" s="332">
        <f>J57+K57</f>
        <v>-20</v>
      </c>
      <c r="P57" s="187"/>
      <c r="AG57" s="395"/>
      <c r="AH57" s="396"/>
    </row>
    <row r="58" spans="1:34" ht="6" customHeight="1">
      <c r="A58" s="2"/>
      <c r="B58" s="1"/>
      <c r="C58" s="1"/>
      <c r="D58" s="1"/>
      <c r="E58" s="1"/>
      <c r="F58" s="331"/>
      <c r="G58" s="331"/>
      <c r="H58" s="331"/>
      <c r="I58" s="331"/>
      <c r="J58" s="331"/>
      <c r="K58" s="335"/>
      <c r="L58" s="331"/>
      <c r="AG58" s="395"/>
      <c r="AH58" s="396"/>
    </row>
    <row r="59" spans="1:34" ht="13.5" thickBot="1">
      <c r="A59" s="2">
        <v>31</v>
      </c>
      <c r="B59" s="3" t="s">
        <v>61</v>
      </c>
      <c r="C59" s="3"/>
      <c r="D59" s="3"/>
      <c r="E59" s="3"/>
      <c r="F59" s="336">
        <f t="shared" ref="F59:L59" si="33">F51-SUM(F54:F57)</f>
        <v>14549</v>
      </c>
      <c r="G59" s="336">
        <f t="shared" si="33"/>
        <v>3300.3980202484563</v>
      </c>
      <c r="H59" s="336">
        <f t="shared" si="33"/>
        <v>17849.398020248471</v>
      </c>
      <c r="I59" s="336">
        <f t="shared" si="33"/>
        <v>5301.6976264927771</v>
      </c>
      <c r="J59" s="336">
        <f t="shared" si="33"/>
        <v>23151.09564674124</v>
      </c>
      <c r="K59" s="336">
        <f t="shared" si="33"/>
        <v>-3249</v>
      </c>
      <c r="L59" s="336">
        <f t="shared" si="33"/>
        <v>19902.09564674124</v>
      </c>
      <c r="P59" s="157"/>
      <c r="AG59" s="395"/>
      <c r="AH59" s="396"/>
    </row>
    <row r="60" spans="1:34" ht="7.5" customHeight="1" thickTop="1">
      <c r="A60" s="2"/>
      <c r="B60" s="1"/>
      <c r="C60" s="1"/>
      <c r="D60" s="1"/>
      <c r="E60" s="1"/>
      <c r="F60" s="331"/>
      <c r="G60" s="331"/>
      <c r="H60" s="331"/>
      <c r="I60" s="331"/>
      <c r="J60" s="331"/>
      <c r="K60" s="331"/>
      <c r="L60" s="331"/>
      <c r="AG60" s="395"/>
      <c r="AH60" s="396"/>
    </row>
    <row r="61" spans="1:34" hidden="1">
      <c r="A61" s="2"/>
      <c r="B61" s="1"/>
      <c r="C61" s="1"/>
      <c r="D61" s="1"/>
      <c r="E61" s="1"/>
      <c r="F61" s="331"/>
      <c r="G61" s="331"/>
      <c r="H61" s="331"/>
      <c r="I61" s="331"/>
      <c r="J61" s="331"/>
      <c r="K61" s="331"/>
      <c r="L61" s="331"/>
      <c r="AG61" s="395"/>
      <c r="AH61" s="396"/>
    </row>
    <row r="62" spans="1:34">
      <c r="A62" s="2"/>
      <c r="B62" s="1" t="s">
        <v>62</v>
      </c>
      <c r="C62" s="1"/>
      <c r="D62" s="1"/>
      <c r="E62" s="1"/>
      <c r="F62" s="331"/>
      <c r="G62" s="331"/>
      <c r="H62" s="331"/>
      <c r="I62" s="331"/>
      <c r="J62" s="331"/>
      <c r="K62" s="331"/>
      <c r="L62" s="331"/>
      <c r="AG62" s="395"/>
      <c r="AH62" s="396"/>
    </row>
    <row r="63" spans="1:34">
      <c r="A63" s="2">
        <v>32</v>
      </c>
      <c r="B63" s="4"/>
      <c r="C63" s="4" t="s">
        <v>44</v>
      </c>
      <c r="D63" s="4"/>
      <c r="E63" s="4"/>
      <c r="F63" s="331">
        <f>'Exh. No. BGM-6 -3'!E63</f>
        <v>25622</v>
      </c>
      <c r="G63" s="331">
        <f>+SUM('Exh. No. BGM-6 -3'!F63:W63)</f>
        <v>0</v>
      </c>
      <c r="H63" s="331">
        <f t="shared" ref="H63:H65" si="34">+F63+G63</f>
        <v>25622</v>
      </c>
      <c r="I63" s="331">
        <f>+SUM('Exh. No. BGM-6 -3'!Y63:AI63)</f>
        <v>163</v>
      </c>
      <c r="J63" s="331">
        <f t="shared" ref="J63" si="35">+H63+I63</f>
        <v>25785</v>
      </c>
      <c r="K63" s="331"/>
      <c r="L63" s="331">
        <f>J63+K63</f>
        <v>25785</v>
      </c>
      <c r="AG63" s="395"/>
      <c r="AH63" s="396"/>
    </row>
    <row r="64" spans="1:34">
      <c r="A64" s="2">
        <v>33</v>
      </c>
      <c r="B64" s="4"/>
      <c r="C64" s="4" t="s">
        <v>63</v>
      </c>
      <c r="D64" s="4"/>
      <c r="E64" s="4"/>
      <c r="F64" s="331">
        <f>'Exh. No. BGM-6 -3'!E64</f>
        <v>354360</v>
      </c>
      <c r="G64" s="331">
        <f>+SUM('Exh. No. BGM-6 -3'!F64:W64)</f>
        <v>0</v>
      </c>
      <c r="H64" s="331">
        <f t="shared" si="34"/>
        <v>354360</v>
      </c>
      <c r="I64" s="331">
        <f>+SUM('Exh. No. BGM-6 -3'!Y64:AI64)</f>
        <v>10294.814350217113</v>
      </c>
      <c r="J64" s="331">
        <f t="shared" ref="J64" si="36">+H64+I64</f>
        <v>364654.81435021712</v>
      </c>
      <c r="K64" s="331"/>
      <c r="L64" s="331">
        <f>J64+K64</f>
        <v>364654.81435021712</v>
      </c>
      <c r="AG64" s="395"/>
      <c r="AH64" s="396"/>
    </row>
    <row r="65" spans="1:34">
      <c r="A65" s="2">
        <v>34</v>
      </c>
      <c r="B65" s="4"/>
      <c r="C65" s="4" t="s">
        <v>64</v>
      </c>
      <c r="D65" s="4"/>
      <c r="E65" s="4"/>
      <c r="F65" s="332">
        <f>'Exh. No. BGM-6 -3'!E65</f>
        <v>69725</v>
      </c>
      <c r="G65" s="332">
        <f>+SUM('Exh. No. BGM-6 -3'!F65:W65)</f>
        <v>0</v>
      </c>
      <c r="H65" s="332">
        <f t="shared" si="34"/>
        <v>69725</v>
      </c>
      <c r="I65" s="332">
        <f>+SUM('Exh. No. BGM-6 -3'!Y65:AI65)</f>
        <v>6046.8429311756963</v>
      </c>
      <c r="J65" s="332">
        <f t="shared" ref="J65" si="37">+H65+I65</f>
        <v>75771.842931175692</v>
      </c>
      <c r="K65" s="332"/>
      <c r="L65" s="332">
        <f>J65+K65</f>
        <v>75771.842931175692</v>
      </c>
      <c r="AG65" s="395"/>
      <c r="AH65" s="396"/>
    </row>
    <row r="66" spans="1:34">
      <c r="A66" s="2">
        <v>35</v>
      </c>
      <c r="B66" s="4"/>
      <c r="C66" s="4"/>
      <c r="D66" s="4"/>
      <c r="E66" s="4" t="s">
        <v>65</v>
      </c>
      <c r="F66" s="337">
        <f>SUM(F63:F65)</f>
        <v>449707</v>
      </c>
      <c r="G66" s="337">
        <f>SUM(G63:G65)</f>
        <v>0</v>
      </c>
      <c r="H66" s="337">
        <f>SUM(H63:H65)</f>
        <v>449707</v>
      </c>
      <c r="I66" s="337">
        <f t="shared" ref="I66:L66" si="38">SUM(I63:I65)</f>
        <v>16504.657281392811</v>
      </c>
      <c r="J66" s="337">
        <f t="shared" si="38"/>
        <v>466211.65728139284</v>
      </c>
      <c r="K66" s="337">
        <f t="shared" si="38"/>
        <v>0</v>
      </c>
      <c r="L66" s="337">
        <f t="shared" si="38"/>
        <v>466211.65728139284</v>
      </c>
      <c r="AG66" s="395"/>
      <c r="AH66" s="396"/>
    </row>
    <row r="67" spans="1:34" ht="5.25" customHeight="1">
      <c r="A67" s="186"/>
      <c r="B67" s="4"/>
      <c r="C67" s="4"/>
      <c r="D67" s="4"/>
      <c r="E67" s="4"/>
      <c r="F67" s="337"/>
      <c r="G67" s="337"/>
      <c r="H67" s="337"/>
      <c r="I67" s="337"/>
      <c r="J67" s="337"/>
      <c r="K67" s="337"/>
      <c r="L67" s="337"/>
      <c r="AG67" s="395"/>
      <c r="AH67" s="396"/>
    </row>
    <row r="68" spans="1:34">
      <c r="A68" s="2"/>
      <c r="B68" s="4" t="s">
        <v>446</v>
      </c>
      <c r="C68" s="4"/>
      <c r="D68" s="4"/>
      <c r="E68" s="4"/>
      <c r="F68" s="331"/>
      <c r="G68" s="331"/>
      <c r="H68" s="331"/>
      <c r="I68" s="331"/>
      <c r="J68" s="331"/>
      <c r="K68" s="331"/>
      <c r="L68" s="331"/>
      <c r="AG68" s="395"/>
      <c r="AH68" s="396"/>
    </row>
    <row r="69" spans="1:34">
      <c r="A69" s="2">
        <v>36</v>
      </c>
      <c r="B69" s="4"/>
      <c r="C69" s="4" t="s">
        <v>44</v>
      </c>
      <c r="D69" s="4"/>
      <c r="E69" s="4"/>
      <c r="F69" s="331">
        <f>'Exh. No. BGM-6 -3'!E69</f>
        <v>-9824</v>
      </c>
      <c r="G69" s="331">
        <f>+SUM('Exh. No. BGM-6 -3'!F69:W69)</f>
        <v>0</v>
      </c>
      <c r="H69" s="331">
        <f t="shared" ref="H69:H71" si="39">+F69+G69</f>
        <v>-9824</v>
      </c>
      <c r="I69" s="331">
        <f>+SUM('Exh. No. BGM-6 -3'!Y69:AI69)</f>
        <v>-103</v>
      </c>
      <c r="J69" s="331">
        <f t="shared" ref="J69" si="40">+H69+I69</f>
        <v>-9927</v>
      </c>
      <c r="K69" s="331"/>
      <c r="L69" s="331">
        <f t="shared" ref="L69:L79" si="41">J69+K69</f>
        <v>-9927</v>
      </c>
      <c r="AG69" s="395"/>
      <c r="AH69" s="396"/>
    </row>
    <row r="70" spans="1:34">
      <c r="A70" s="2">
        <v>37</v>
      </c>
      <c r="B70" s="4"/>
      <c r="C70" s="4" t="s">
        <v>63</v>
      </c>
      <c r="D70" s="4"/>
      <c r="E70" s="4"/>
      <c r="F70" s="331">
        <f>'Exh. No. BGM-6 -3'!E70</f>
        <v>-119790</v>
      </c>
      <c r="G70" s="331">
        <f>+SUM('Exh. No. BGM-6 -3'!F70:W70)</f>
        <v>0</v>
      </c>
      <c r="H70" s="331">
        <f t="shared" si="39"/>
        <v>-119790</v>
      </c>
      <c r="I70" s="331">
        <f>+SUM('Exh. No. BGM-6 -3'!Y70:AI70)</f>
        <v>-1440.1510713205355</v>
      </c>
      <c r="J70" s="331">
        <f t="shared" ref="J70" si="42">+H70+I70</f>
        <v>-121230.15107132054</v>
      </c>
      <c r="K70" s="331"/>
      <c r="L70" s="331">
        <f t="shared" si="41"/>
        <v>-121230.15107132054</v>
      </c>
      <c r="AG70" s="395"/>
      <c r="AH70" s="396"/>
    </row>
    <row r="71" spans="1:34">
      <c r="A71" s="2">
        <v>38</v>
      </c>
      <c r="B71" s="4"/>
      <c r="C71" s="4" t="s">
        <v>64</v>
      </c>
      <c r="D71" s="4"/>
      <c r="E71" s="4"/>
      <c r="F71" s="332">
        <f>'Exh. No. BGM-6 -3'!E71</f>
        <v>-19460</v>
      </c>
      <c r="G71" s="332">
        <f>+SUM('Exh. No. BGM-6 -3'!F71:W71)</f>
        <v>0</v>
      </c>
      <c r="H71" s="332">
        <f t="shared" si="39"/>
        <v>-19460</v>
      </c>
      <c r="I71" s="332">
        <f>+SUM('Exh. No. BGM-6 -3'!Y71:AI71)</f>
        <v>382.05251007865616</v>
      </c>
      <c r="J71" s="332">
        <f t="shared" ref="J71" si="43">+H71+I71</f>
        <v>-19077.947489921346</v>
      </c>
      <c r="K71" s="332"/>
      <c r="L71" s="332">
        <f t="shared" si="41"/>
        <v>-19077.947489921346</v>
      </c>
      <c r="AG71" s="395"/>
      <c r="AH71" s="396"/>
    </row>
    <row r="72" spans="1:34">
      <c r="A72" s="2">
        <v>39</v>
      </c>
      <c r="B72" s="4" t="s">
        <v>447</v>
      </c>
      <c r="C72" s="4"/>
      <c r="D72" s="4"/>
      <c r="E72" s="36"/>
      <c r="F72" s="334">
        <f>SUM(F69:F71)</f>
        <v>-149074</v>
      </c>
      <c r="G72" s="334">
        <f>SUM(G69:G71)</f>
        <v>0</v>
      </c>
      <c r="H72" s="334">
        <f>SUM(H69:H71)</f>
        <v>-149074</v>
      </c>
      <c r="I72" s="334">
        <f t="shared" ref="I72:L72" si="44">SUM(I69:I71)</f>
        <v>-1161.0985612418795</v>
      </c>
      <c r="J72" s="334">
        <f t="shared" si="44"/>
        <v>-150235.09856124187</v>
      </c>
      <c r="K72" s="334">
        <f t="shared" si="44"/>
        <v>0</v>
      </c>
      <c r="L72" s="334">
        <f t="shared" si="44"/>
        <v>-150235.09856124187</v>
      </c>
      <c r="AG72" s="395"/>
      <c r="AH72" s="396"/>
    </row>
    <row r="73" spans="1:34">
      <c r="A73" s="186">
        <v>40</v>
      </c>
      <c r="B73" s="230" t="s">
        <v>192</v>
      </c>
      <c r="C73" s="4"/>
      <c r="D73" s="4"/>
      <c r="E73" s="4"/>
      <c r="F73" s="337">
        <f>F66+F72</f>
        <v>300633</v>
      </c>
      <c r="G73" s="337">
        <f>G66+G72</f>
        <v>0</v>
      </c>
      <c r="H73" s="337">
        <f>H66+H72</f>
        <v>300633</v>
      </c>
      <c r="I73" s="337">
        <f>+SUM('Exh. No. BGM-6 -3'!Y73:AI73)</f>
        <v>15343.55872015093</v>
      </c>
      <c r="J73" s="337">
        <f t="shared" ref="J73:L73" si="45">J66+J72</f>
        <v>315976.55872015096</v>
      </c>
      <c r="K73" s="337">
        <f t="shared" si="45"/>
        <v>0</v>
      </c>
      <c r="L73" s="337">
        <f t="shared" si="45"/>
        <v>315976.55872015096</v>
      </c>
      <c r="AG73" s="395"/>
      <c r="AH73" s="396"/>
    </row>
    <row r="74" spans="1:34">
      <c r="A74" s="5">
        <v>41</v>
      </c>
      <c r="B74" s="6" t="s">
        <v>67</v>
      </c>
      <c r="C74" s="6"/>
      <c r="D74" s="6"/>
      <c r="E74" s="6"/>
      <c r="F74" s="332">
        <f>'Exh. No. BGM-6 -3'!E74</f>
        <v>-65675</v>
      </c>
      <c r="G74" s="332">
        <f>+SUM('Exh. No. BGM-6 -3'!F74:W74)</f>
        <v>50</v>
      </c>
      <c r="H74" s="332">
        <f>+F74+G74</f>
        <v>-65625</v>
      </c>
      <c r="I74" s="332">
        <f>+SUM('Exh. No. BGM-6 -3'!Y74:AI74)</f>
        <v>-3109</v>
      </c>
      <c r="J74" s="332">
        <f t="shared" ref="J74:J79" si="46">+H74+I74</f>
        <v>-68734</v>
      </c>
      <c r="K74" s="332"/>
      <c r="L74" s="332">
        <f>J74+K74</f>
        <v>-68734</v>
      </c>
      <c r="AG74" s="395"/>
      <c r="AH74" s="396"/>
    </row>
    <row r="75" spans="1:34">
      <c r="A75" s="5">
        <v>42</v>
      </c>
      <c r="B75" s="6"/>
      <c r="C75" s="232" t="s">
        <v>226</v>
      </c>
      <c r="D75" s="6"/>
      <c r="E75" s="6"/>
      <c r="F75" s="331">
        <f>F73+F74</f>
        <v>234958</v>
      </c>
      <c r="G75" s="331">
        <f>G73+G74</f>
        <v>50</v>
      </c>
      <c r="H75" s="331">
        <f>H73+H74</f>
        <v>235008</v>
      </c>
      <c r="I75" s="331">
        <f t="shared" ref="I75:L75" si="47">I73+I74</f>
        <v>12234.55872015093</v>
      </c>
      <c r="J75" s="331">
        <f>J73+J74</f>
        <v>247242.55872015096</v>
      </c>
      <c r="K75" s="331">
        <f t="shared" si="47"/>
        <v>0</v>
      </c>
      <c r="L75" s="331">
        <f t="shared" si="47"/>
        <v>247242.55872015096</v>
      </c>
      <c r="AG75" s="395"/>
      <c r="AH75" s="396"/>
    </row>
    <row r="76" spans="1:34" ht="12" customHeight="1">
      <c r="A76" s="2">
        <v>43</v>
      </c>
      <c r="B76" s="382" t="s">
        <v>68</v>
      </c>
      <c r="C76" s="382"/>
      <c r="D76" s="382"/>
      <c r="E76" s="382"/>
      <c r="F76" s="383">
        <f>'Exh. No. BGM-6 -3'!E76</f>
        <v>15143</v>
      </c>
      <c r="G76" s="383">
        <f>+SUM('Exh. No. BGM-6 -3'!F76:W76)</f>
        <v>0</v>
      </c>
      <c r="H76" s="383">
        <f t="shared" ref="H76:H79" si="48">+F76+G76</f>
        <v>15143</v>
      </c>
      <c r="I76" s="383">
        <f>+SUM('Exh. No. BGM-6 -3'!Y76:AI76)</f>
        <v>0</v>
      </c>
      <c r="J76" s="383">
        <f t="shared" si="46"/>
        <v>15143</v>
      </c>
      <c r="K76" s="383"/>
      <c r="L76" s="383">
        <f t="shared" si="41"/>
        <v>15143</v>
      </c>
      <c r="AG76" s="395"/>
      <c r="AH76" s="396"/>
    </row>
    <row r="77" spans="1:34">
      <c r="A77" s="186">
        <v>44</v>
      </c>
      <c r="B77" s="382" t="s">
        <v>69</v>
      </c>
      <c r="C77" s="382"/>
      <c r="D77" s="382"/>
      <c r="E77" s="382"/>
      <c r="F77" s="383">
        <f>'Exh. No. BGM-6 -3'!E77</f>
        <v>0</v>
      </c>
      <c r="G77" s="383">
        <f>+SUM('Exh. No. BGM-6 -3'!F77:W77)</f>
        <v>0</v>
      </c>
      <c r="H77" s="383">
        <f t="shared" si="48"/>
        <v>0</v>
      </c>
      <c r="I77" s="383">
        <f>+SUM('Exh. No. BGM-6 -3'!Y77:AI77)</f>
        <v>0</v>
      </c>
      <c r="J77" s="383">
        <f t="shared" si="46"/>
        <v>0</v>
      </c>
      <c r="K77" s="383"/>
      <c r="L77" s="383">
        <f t="shared" ref="L77" si="49">J77+K77</f>
        <v>0</v>
      </c>
      <c r="AG77" s="395"/>
      <c r="AH77" s="396"/>
    </row>
    <row r="78" spans="1:34">
      <c r="A78" s="186">
        <v>45</v>
      </c>
      <c r="B78" s="382" t="s">
        <v>448</v>
      </c>
      <c r="C78" s="382"/>
      <c r="D78" s="382"/>
      <c r="E78" s="382"/>
      <c r="F78" s="383">
        <f>'Exh. No. BGM-6 -3'!E78</f>
        <v>-509</v>
      </c>
      <c r="G78" s="383">
        <f>+SUM('Exh. No. BGM-6 -3'!F78:W78)</f>
        <v>0</v>
      </c>
      <c r="H78" s="383">
        <f t="shared" si="48"/>
        <v>-509</v>
      </c>
      <c r="I78" s="383">
        <f>+SUM('Exh. No. BGM-6 -3'!Y78:AI78)</f>
        <v>0</v>
      </c>
      <c r="J78" s="383">
        <f t="shared" si="46"/>
        <v>-509</v>
      </c>
      <c r="K78" s="383"/>
      <c r="L78" s="383">
        <f t="shared" ref="L78" si="50">J78+K78</f>
        <v>-509</v>
      </c>
      <c r="AG78" s="395"/>
      <c r="AH78" s="396"/>
    </row>
    <row r="79" spans="1:34">
      <c r="A79" s="2">
        <v>46</v>
      </c>
      <c r="B79" s="382" t="s">
        <v>196</v>
      </c>
      <c r="C79" s="382"/>
      <c r="D79" s="382"/>
      <c r="E79" s="382"/>
      <c r="F79" s="333">
        <f>'Exh. No. BGM-6 -3'!E79</f>
        <v>9797</v>
      </c>
      <c r="G79" s="333">
        <f>+SUM('Exh. No. BGM-6 -3'!F79:W79)</f>
        <v>2828</v>
      </c>
      <c r="H79" s="333">
        <f t="shared" si="48"/>
        <v>12625</v>
      </c>
      <c r="I79" s="333">
        <f>+SUM('Exh. No. BGM-6 -3'!Y79:AI79)</f>
        <v>0</v>
      </c>
      <c r="J79" s="333">
        <f t="shared" si="46"/>
        <v>12625</v>
      </c>
      <c r="K79" s="333"/>
      <c r="L79" s="333">
        <f t="shared" si="41"/>
        <v>12625</v>
      </c>
      <c r="AG79" s="395"/>
      <c r="AH79" s="396"/>
    </row>
    <row r="80" spans="1:34" ht="3" customHeight="1">
      <c r="A80" s="2"/>
      <c r="B80" s="1"/>
      <c r="C80" s="1"/>
      <c r="D80" s="1"/>
      <c r="E80" s="1"/>
      <c r="F80" s="331"/>
      <c r="G80" s="331"/>
      <c r="H80" s="331"/>
      <c r="I80" s="331"/>
      <c r="J80" s="331"/>
      <c r="K80" s="71"/>
      <c r="L80" s="71"/>
      <c r="AG80" s="395"/>
      <c r="AH80" s="396"/>
    </row>
    <row r="81" spans="1:38" ht="13.5" thickBot="1">
      <c r="A81" s="2">
        <v>47</v>
      </c>
      <c r="B81" s="3" t="s">
        <v>70</v>
      </c>
      <c r="C81" s="3"/>
      <c r="D81" s="3"/>
      <c r="E81" s="3"/>
      <c r="F81" s="336">
        <f>F79+F77+F76+F75+F78</f>
        <v>259389</v>
      </c>
      <c r="G81" s="336">
        <f>G79+G77+G76+G75+G78</f>
        <v>2878</v>
      </c>
      <c r="H81" s="336">
        <f>H79+H77+H76+H75+H78</f>
        <v>262267</v>
      </c>
      <c r="I81" s="336">
        <f>I79+I77+I76+I75</f>
        <v>12234.55872015093</v>
      </c>
      <c r="J81" s="336">
        <f>J79+J77+J76+J75+J78</f>
        <v>274501.55872015096</v>
      </c>
      <c r="K81" s="106">
        <f>K79+K77+K76+K75</f>
        <v>0</v>
      </c>
      <c r="L81" s="106">
        <f>L79+L77+L76+L75+L78</f>
        <v>274501.55872015096</v>
      </c>
      <c r="AG81" s="395"/>
      <c r="AH81" s="396"/>
    </row>
    <row r="82" spans="1:38" ht="13.5" thickTop="1">
      <c r="A82" s="2">
        <v>48</v>
      </c>
      <c r="B82" s="1" t="s">
        <v>505</v>
      </c>
      <c r="C82" s="1"/>
      <c r="D82" s="1"/>
      <c r="E82" s="1"/>
      <c r="F82" s="775">
        <f>ROUND(F59/F81,4)</f>
        <v>5.6099999999999997E-2</v>
      </c>
      <c r="G82" s="775"/>
      <c r="H82" s="775">
        <f>ROUND(H59/H81,4)</f>
        <v>6.8099999999999994E-2</v>
      </c>
      <c r="I82" s="775"/>
      <c r="J82" s="775">
        <f>ROUND(J59/J81,4)</f>
        <v>8.43E-2</v>
      </c>
      <c r="K82" s="776"/>
      <c r="L82" s="775">
        <f>ROUND(L59/L81,4)</f>
        <v>7.2499999999999995E-2</v>
      </c>
      <c r="AG82" s="395"/>
      <c r="AH82" s="396"/>
    </row>
    <row r="83" spans="1:38" ht="13.5" thickBot="1">
      <c r="A83" s="101">
        <v>49</v>
      </c>
      <c r="B83" s="102" t="s">
        <v>630</v>
      </c>
      <c r="C83" s="102"/>
      <c r="D83" s="102"/>
      <c r="E83" s="75"/>
      <c r="F83" s="727">
        <f>+'Exh. No. BGM-6 -3'!E90</f>
        <v>6865.6159728259436</v>
      </c>
      <c r="G83" s="727"/>
      <c r="H83" s="727">
        <f>+'Exh. No. BGM-6 -3'!X90</f>
        <v>1878.9578110937236</v>
      </c>
      <c r="I83" s="727"/>
      <c r="J83" s="727">
        <f>+'Exh. No. BGM-6 -3'!AJ84</f>
        <v>-5241.4788953122616</v>
      </c>
      <c r="K83" s="75"/>
      <c r="L83" s="727"/>
      <c r="AG83" s="397"/>
      <c r="AH83" s="398"/>
      <c r="AL83" s="36">
        <f>AL89</f>
        <v>0</v>
      </c>
    </row>
  </sheetData>
  <phoneticPr fontId="0" type="noConversion"/>
  <pageMargins left="0.75" right="0.5" top="0.72" bottom="0.84" header="0.5" footer="0.5"/>
  <pageSetup scale="70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M105"/>
  <sheetViews>
    <sheetView zoomScaleNormal="100" zoomScaleSheetLayoutView="55" workbookViewId="0">
      <pane xSplit="5" ySplit="12" topLeftCell="F13" activePane="bottomRight" state="frozen"/>
      <selection activeCell="A4" sqref="A4:H5"/>
      <selection pane="topRight" activeCell="A4" sqref="A4:H5"/>
      <selection pane="bottomLeft" activeCell="A4" sqref="A4:H5"/>
      <selection pane="bottomRight" activeCell="F13" sqref="F13"/>
    </sheetView>
  </sheetViews>
  <sheetFormatPr defaultColWidth="10.7109375" defaultRowHeight="12"/>
  <cols>
    <col min="1" max="1" width="5.7109375" style="186" customWidth="1"/>
    <col min="2" max="3" width="1.7109375" style="1" customWidth="1"/>
    <col min="4" max="4" width="34.140625" style="1" customWidth="1"/>
    <col min="5" max="5" width="15.5703125" style="71" customWidth="1"/>
    <col min="6" max="17" width="12.85546875" style="71" customWidth="1"/>
    <col min="18" max="18" width="16.42578125" style="71" customWidth="1"/>
    <col min="19" max="20" width="14.7109375" style="71" customWidth="1"/>
    <col min="21" max="21" width="10" style="71" customWidth="1"/>
    <col min="22" max="27" width="10" style="412" customWidth="1"/>
    <col min="28" max="28" width="11.7109375" style="412" customWidth="1"/>
    <col min="29" max="30" width="14" style="71" customWidth="1"/>
    <col min="31" max="31" width="10.42578125" style="413" bestFit="1" customWidth="1"/>
    <col min="32" max="32" width="16.140625" style="413" bestFit="1" customWidth="1"/>
    <col min="33" max="33" width="12.28515625" style="413" bestFit="1" customWidth="1"/>
    <col min="34" max="34" width="11.85546875" style="413" bestFit="1" customWidth="1"/>
    <col min="35" max="35" width="13.5703125" style="71" customWidth="1"/>
    <col min="36" max="36" width="14.140625" style="412" customWidth="1"/>
    <col min="37" max="39" width="11" style="413" customWidth="1"/>
    <col min="40" max="40" width="15.140625" style="71" customWidth="1"/>
    <col min="41" max="41" width="13.42578125" style="412" customWidth="1"/>
    <col min="42" max="42" width="10.85546875" style="412" customWidth="1"/>
    <col min="43" max="43" width="13" style="71" customWidth="1"/>
    <col min="44" max="44" width="17" style="412" customWidth="1"/>
    <col min="45" max="45" width="17.7109375" style="413" customWidth="1"/>
    <col min="46" max="46" width="19" style="412" customWidth="1"/>
    <col min="47" max="47" width="17.28515625" style="412" customWidth="1"/>
    <col min="48" max="48" width="35.140625" style="549" customWidth="1"/>
    <col min="49" max="49" width="13.5703125" style="489" customWidth="1"/>
    <col min="50" max="50" width="8.28515625" style="489" customWidth="1"/>
    <col min="51" max="51" width="7.7109375" style="1" customWidth="1"/>
    <col min="52" max="52" width="15.5703125" style="412" customWidth="1"/>
    <col min="53" max="53" width="14" style="413" customWidth="1"/>
    <col min="54" max="54" width="11.7109375" style="413" customWidth="1"/>
    <col min="55" max="56" width="11.7109375" style="412" customWidth="1"/>
    <col min="57" max="57" width="15.7109375" style="413" customWidth="1"/>
    <col min="58" max="58" width="16.28515625" style="413" customWidth="1"/>
    <col min="59" max="59" width="15.5703125" style="412" customWidth="1"/>
    <col min="60" max="60" width="15.5703125" style="413" customWidth="1"/>
    <col min="61" max="62" width="15.5703125" style="412" customWidth="1"/>
    <col min="63" max="63" width="22.85546875" style="1" customWidth="1"/>
    <col min="64" max="16384" width="10.7109375" style="1"/>
  </cols>
  <sheetData>
    <row r="1" spans="1:62">
      <c r="F1" s="258" t="s">
        <v>229</v>
      </c>
      <c r="G1" s="258" t="s">
        <v>230</v>
      </c>
      <c r="H1" s="258"/>
      <c r="I1" s="258"/>
      <c r="J1" s="258"/>
      <c r="K1" s="258"/>
      <c r="L1" s="258"/>
      <c r="M1" s="258"/>
      <c r="N1" s="258"/>
      <c r="O1" s="258"/>
      <c r="P1" s="258"/>
      <c r="Q1" s="258"/>
    </row>
    <row r="2" spans="1:62" ht="12.75" customHeight="1">
      <c r="A2" s="781" t="str">
        <f>'ROO INPUT'!A3:C3</f>
        <v>Traditional Revenue Requirement Calculations for Avista Corporation</v>
      </c>
      <c r="E2" s="51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536"/>
      <c r="S2" s="536"/>
      <c r="T2" s="536"/>
      <c r="U2" s="536"/>
      <c r="V2" s="536"/>
      <c r="W2" s="536"/>
      <c r="Y2" s="536"/>
      <c r="Z2" s="536"/>
      <c r="AA2" s="536"/>
      <c r="AB2" s="536"/>
      <c r="AC2" s="536"/>
      <c r="AD2" s="536"/>
      <c r="AE2" s="415"/>
      <c r="AF2" s="415"/>
      <c r="AI2" s="536"/>
      <c r="AK2" s="607"/>
      <c r="AN2" s="536"/>
      <c r="AO2" s="536"/>
      <c r="AP2" s="536"/>
      <c r="AQ2" s="536"/>
      <c r="AZ2" s="561" t="s">
        <v>542</v>
      </c>
      <c r="BA2" s="559" t="s">
        <v>584</v>
      </c>
      <c r="BB2" s="607"/>
      <c r="BC2" s="536"/>
      <c r="BD2" s="536"/>
    </row>
    <row r="3" spans="1:62" ht="12.75" customHeight="1">
      <c r="A3" s="77" t="s">
        <v>636</v>
      </c>
      <c r="E3" s="417"/>
      <c r="R3" s="536"/>
      <c r="S3" s="536"/>
      <c r="T3" s="536"/>
      <c r="U3" s="536"/>
      <c r="V3" s="536"/>
      <c r="W3" s="536"/>
      <c r="Z3" s="536"/>
      <c r="AA3" s="536"/>
      <c r="AB3" s="536"/>
      <c r="AC3" s="536"/>
      <c r="AD3" s="536"/>
      <c r="AI3" s="536"/>
      <c r="AK3" s="559" t="s">
        <v>533</v>
      </c>
      <c r="AL3" s="559"/>
      <c r="AN3" s="536"/>
      <c r="AO3" s="536"/>
      <c r="AP3" s="536"/>
      <c r="AQ3" s="536"/>
      <c r="AT3" s="526"/>
      <c r="AU3" s="459"/>
      <c r="AZ3" s="560">
        <v>43101</v>
      </c>
      <c r="BA3" s="559" t="s">
        <v>534</v>
      </c>
      <c r="BB3" s="559"/>
      <c r="BC3" s="536"/>
      <c r="BD3" s="536"/>
      <c r="BI3" s="526"/>
      <c r="BJ3" s="459"/>
    </row>
    <row r="4" spans="1:62" ht="12.75" customHeight="1">
      <c r="A4" s="414" t="s">
        <v>639</v>
      </c>
      <c r="E4" s="417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536"/>
      <c r="S4" s="536"/>
      <c r="T4" s="536"/>
      <c r="U4" s="536"/>
      <c r="V4" s="536"/>
      <c r="W4" s="536"/>
      <c r="Y4" s="536"/>
      <c r="Z4" s="536"/>
      <c r="AA4" s="536"/>
      <c r="AB4" s="536"/>
      <c r="AC4" s="536"/>
      <c r="AD4" s="536"/>
      <c r="AI4" s="536"/>
      <c r="AK4" s="556"/>
      <c r="AN4" s="536"/>
      <c r="AO4" s="536"/>
      <c r="AP4" s="536"/>
      <c r="AQ4" s="536"/>
      <c r="BA4" s="647"/>
      <c r="BB4" s="556"/>
      <c r="BC4" s="536"/>
      <c r="BD4" s="536"/>
    </row>
    <row r="5" spans="1:62" ht="12.75" customHeight="1">
      <c r="A5" s="414" t="str">
        <f>'ROO INPUT'!A5:C5</f>
        <v>Twelve Months Ended September 31, 2015</v>
      </c>
      <c r="E5" s="417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536"/>
      <c r="S5" s="536"/>
      <c r="T5" s="536"/>
      <c r="U5" s="536"/>
      <c r="V5" s="536"/>
      <c r="W5" s="536"/>
      <c r="Y5" s="536"/>
      <c r="Z5" s="536"/>
      <c r="AA5" s="536"/>
      <c r="AB5" s="536"/>
      <c r="AC5" s="536"/>
      <c r="AD5" s="536"/>
      <c r="AI5" s="536"/>
      <c r="AK5" s="556"/>
      <c r="AN5" s="536"/>
      <c r="AO5" s="536"/>
      <c r="AP5" s="536"/>
      <c r="AQ5" s="536"/>
      <c r="BA5" s="647"/>
      <c r="BB5" s="556"/>
      <c r="BC5" s="536"/>
      <c r="BD5" s="536"/>
    </row>
    <row r="6" spans="1:62" s="418" customFormat="1" ht="12" customHeight="1">
      <c r="A6" s="414" t="str">
        <f>'ROO INPUT'!A6:C6</f>
        <v xml:space="preserve">($000)   </v>
      </c>
      <c r="B6" s="186"/>
      <c r="C6" s="186"/>
      <c r="D6" s="186"/>
      <c r="E6" s="186"/>
      <c r="F6" s="559" t="s">
        <v>638</v>
      </c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538"/>
      <c r="S6" s="538"/>
      <c r="T6" s="538"/>
      <c r="U6" s="538"/>
      <c r="V6" s="416"/>
      <c r="W6" s="416"/>
      <c r="X6" s="416"/>
      <c r="Y6" s="559" t="s">
        <v>465</v>
      </c>
      <c r="Z6" s="416"/>
      <c r="AA6" s="416"/>
      <c r="AB6" s="416"/>
      <c r="AC6" s="538"/>
      <c r="AD6" s="538"/>
      <c r="AE6" s="416"/>
      <c r="AF6" s="416"/>
      <c r="AG6" s="416"/>
      <c r="AH6" s="416"/>
      <c r="AI6" s="538"/>
      <c r="AJ6" s="416"/>
      <c r="AK6" s="416"/>
      <c r="AL6" s="416"/>
      <c r="AM6" s="416"/>
      <c r="AN6" s="538"/>
      <c r="AO6" s="416"/>
      <c r="AP6" s="416"/>
      <c r="AQ6" s="538"/>
      <c r="AR6" s="416"/>
      <c r="AS6" s="415"/>
      <c r="AT6" s="416"/>
      <c r="AU6" s="417"/>
      <c r="AV6" s="549"/>
      <c r="AZ6" s="558"/>
      <c r="BA6" s="416"/>
      <c r="BB6" s="416"/>
      <c r="BC6" s="416"/>
      <c r="BD6" s="416"/>
      <c r="BE6" s="416"/>
      <c r="BF6" s="416"/>
      <c r="BG6" s="416"/>
      <c r="BH6" s="415"/>
      <c r="BI6" s="416"/>
      <c r="BJ6" s="417"/>
    </row>
    <row r="7" spans="1:62" s="421" customFormat="1" ht="13.5" customHeight="1">
      <c r="A7" s="420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718" t="s">
        <v>637</v>
      </c>
      <c r="U7" s="718" t="s">
        <v>623</v>
      </c>
      <c r="V7" s="417"/>
      <c r="W7" s="415"/>
      <c r="X7" s="417"/>
      <c r="Y7" s="718" t="s">
        <v>637</v>
      </c>
      <c r="Z7" s="417"/>
      <c r="AA7" s="417"/>
      <c r="AB7" s="417"/>
      <c r="AC7" s="417"/>
      <c r="AD7" s="417"/>
      <c r="AE7" s="417"/>
      <c r="AF7" s="415"/>
      <c r="AG7" s="417"/>
      <c r="AH7" s="718" t="s">
        <v>637</v>
      </c>
      <c r="AI7" s="417"/>
      <c r="AJ7" s="415"/>
      <c r="AK7" s="718" t="s">
        <v>632</v>
      </c>
      <c r="AL7" s="718"/>
      <c r="AM7" s="718"/>
      <c r="AN7" s="777"/>
      <c r="AO7" s="777"/>
      <c r="AP7" s="777"/>
      <c r="AQ7" s="777"/>
      <c r="AR7" s="778"/>
      <c r="AS7" s="777"/>
      <c r="AT7" s="483"/>
      <c r="AU7" s="585" t="s">
        <v>540</v>
      </c>
      <c r="AV7" s="549"/>
      <c r="AW7" s="419"/>
      <c r="AX7" s="419"/>
      <c r="AZ7" s="585" t="s">
        <v>540</v>
      </c>
      <c r="BA7" s="718" t="s">
        <v>632</v>
      </c>
      <c r="BB7" s="718"/>
      <c r="BC7" s="718"/>
      <c r="BD7" s="718"/>
      <c r="BE7" s="718"/>
      <c r="BF7" s="718"/>
      <c r="BG7" s="779"/>
      <c r="BH7" s="718"/>
      <c r="BI7" s="585" t="s">
        <v>540</v>
      </c>
      <c r="BJ7" s="585" t="s">
        <v>588</v>
      </c>
    </row>
    <row r="8" spans="1:62" s="421" customFormat="1" ht="12" customHeight="1">
      <c r="A8" s="422"/>
      <c r="B8" s="423"/>
      <c r="C8" s="424"/>
      <c r="D8" s="425"/>
      <c r="E8" s="426" t="s">
        <v>0</v>
      </c>
      <c r="F8" s="427" t="s">
        <v>1</v>
      </c>
      <c r="G8" s="427" t="s">
        <v>263</v>
      </c>
      <c r="H8" s="427" t="s">
        <v>468</v>
      </c>
      <c r="I8" s="427" t="s">
        <v>2</v>
      </c>
      <c r="J8" s="427" t="s">
        <v>5</v>
      </c>
      <c r="K8" s="427" t="s">
        <v>116</v>
      </c>
      <c r="L8" s="427" t="s">
        <v>3</v>
      </c>
      <c r="M8" s="427" t="s">
        <v>4</v>
      </c>
      <c r="N8" s="427" t="s">
        <v>460</v>
      </c>
      <c r="O8" s="427" t="s">
        <v>6</v>
      </c>
      <c r="P8" s="427" t="s">
        <v>5</v>
      </c>
      <c r="Q8" s="427" t="s">
        <v>136</v>
      </c>
      <c r="R8" s="427" t="s">
        <v>491</v>
      </c>
      <c r="S8" s="516" t="s">
        <v>493</v>
      </c>
      <c r="T8" s="516" t="s">
        <v>172</v>
      </c>
      <c r="U8" s="516" t="s">
        <v>5</v>
      </c>
      <c r="V8" s="426" t="s">
        <v>176</v>
      </c>
      <c r="W8" s="427" t="s">
        <v>528</v>
      </c>
      <c r="X8" s="407" t="s">
        <v>478</v>
      </c>
      <c r="Y8" s="426" t="s">
        <v>16</v>
      </c>
      <c r="Z8" s="426" t="s">
        <v>16</v>
      </c>
      <c r="AA8" s="426" t="s">
        <v>16</v>
      </c>
      <c r="AB8" s="426" t="s">
        <v>475</v>
      </c>
      <c r="AC8" s="427" t="s">
        <v>16</v>
      </c>
      <c r="AD8" s="427" t="s">
        <v>16</v>
      </c>
      <c r="AE8" s="427" t="s">
        <v>475</v>
      </c>
      <c r="AF8" s="427" t="s">
        <v>16</v>
      </c>
      <c r="AG8" s="427" t="s">
        <v>16</v>
      </c>
      <c r="AH8" s="407" t="s">
        <v>475</v>
      </c>
      <c r="AI8" s="427" t="s">
        <v>16</v>
      </c>
      <c r="AJ8" s="539" t="s">
        <v>475</v>
      </c>
      <c r="AK8" s="608" t="s">
        <v>488</v>
      </c>
      <c r="AL8" s="608" t="s">
        <v>488</v>
      </c>
      <c r="AM8" s="608" t="s">
        <v>488</v>
      </c>
      <c r="AN8" s="608" t="s">
        <v>488</v>
      </c>
      <c r="AO8" s="426" t="s">
        <v>488</v>
      </c>
      <c r="AP8" s="426" t="s">
        <v>488</v>
      </c>
      <c r="AQ8" s="608" t="s">
        <v>488</v>
      </c>
      <c r="AR8" s="588" t="s">
        <v>535</v>
      </c>
      <c r="AS8" s="625" t="s">
        <v>537</v>
      </c>
      <c r="AT8" s="473" t="s">
        <v>480</v>
      </c>
      <c r="AU8" s="585" t="s">
        <v>506</v>
      </c>
      <c r="AV8" s="550"/>
      <c r="AW8" s="495"/>
      <c r="AX8" s="495"/>
      <c r="AZ8" s="585" t="s">
        <v>506</v>
      </c>
      <c r="BA8" s="608" t="s">
        <v>488</v>
      </c>
      <c r="BB8" s="608" t="s">
        <v>488</v>
      </c>
      <c r="BC8" s="426" t="s">
        <v>488</v>
      </c>
      <c r="BD8" s="426" t="s">
        <v>488</v>
      </c>
      <c r="BE8" s="608" t="s">
        <v>488</v>
      </c>
      <c r="BF8" s="608" t="s">
        <v>488</v>
      </c>
      <c r="BG8" s="588" t="s">
        <v>552</v>
      </c>
      <c r="BH8" s="646" t="s">
        <v>546</v>
      </c>
      <c r="BI8" s="585" t="s">
        <v>506</v>
      </c>
      <c r="BJ8" s="585" t="s">
        <v>506</v>
      </c>
    </row>
    <row r="9" spans="1:62" s="421" customFormat="1">
      <c r="A9" s="428" t="s">
        <v>7</v>
      </c>
      <c r="B9" s="429"/>
      <c r="C9" s="430"/>
      <c r="D9" s="431"/>
      <c r="E9" s="546" t="s">
        <v>8</v>
      </c>
      <c r="F9" s="432" t="s">
        <v>9</v>
      </c>
      <c r="G9" s="432" t="s">
        <v>13</v>
      </c>
      <c r="H9" s="432" t="s">
        <v>139</v>
      </c>
      <c r="I9" s="432" t="s">
        <v>10</v>
      </c>
      <c r="J9" s="432" t="s">
        <v>11</v>
      </c>
      <c r="K9" s="432" t="s">
        <v>12</v>
      </c>
      <c r="L9" s="432" t="s">
        <v>12</v>
      </c>
      <c r="M9" s="432" t="s">
        <v>13</v>
      </c>
      <c r="N9" s="432" t="s">
        <v>461</v>
      </c>
      <c r="O9" s="432" t="s">
        <v>15</v>
      </c>
      <c r="P9" s="432" t="s">
        <v>137</v>
      </c>
      <c r="Q9" s="432" t="s">
        <v>470</v>
      </c>
      <c r="R9" s="432" t="s">
        <v>492</v>
      </c>
      <c r="S9" s="517" t="s">
        <v>494</v>
      </c>
      <c r="T9" s="517" t="s">
        <v>176</v>
      </c>
      <c r="U9" s="517" t="s">
        <v>14</v>
      </c>
      <c r="V9" s="433" t="s">
        <v>201</v>
      </c>
      <c r="W9" s="615" t="s">
        <v>529</v>
      </c>
      <c r="X9" s="507" t="s">
        <v>235</v>
      </c>
      <c r="Y9" s="433" t="s">
        <v>132</v>
      </c>
      <c r="Z9" s="433" t="s">
        <v>132</v>
      </c>
      <c r="AA9" s="433" t="s">
        <v>174</v>
      </c>
      <c r="AB9" s="433" t="s">
        <v>561</v>
      </c>
      <c r="AC9" s="432" t="s">
        <v>11</v>
      </c>
      <c r="AD9" s="432" t="s">
        <v>490</v>
      </c>
      <c r="AE9" s="432" t="s">
        <v>199</v>
      </c>
      <c r="AF9" s="432" t="s">
        <v>3</v>
      </c>
      <c r="AG9" s="432" t="s">
        <v>455</v>
      </c>
      <c r="AH9" s="617" t="s">
        <v>516</v>
      </c>
      <c r="AI9" s="432" t="s">
        <v>458</v>
      </c>
      <c r="AJ9" s="585" t="s">
        <v>479</v>
      </c>
      <c r="AK9" s="432" t="s">
        <v>132</v>
      </c>
      <c r="AL9" s="432" t="s">
        <v>455</v>
      </c>
      <c r="AM9" s="619" t="s">
        <v>455</v>
      </c>
      <c r="AN9" s="432" t="s">
        <v>575</v>
      </c>
      <c r="AO9" s="433" t="s">
        <v>476</v>
      </c>
      <c r="AP9" s="433" t="s">
        <v>572</v>
      </c>
      <c r="AQ9" s="432" t="s">
        <v>11</v>
      </c>
      <c r="AR9" s="585" t="s">
        <v>536</v>
      </c>
      <c r="AS9" s="507" t="s">
        <v>488</v>
      </c>
      <c r="AT9" s="474" t="s">
        <v>485</v>
      </c>
      <c r="AU9" s="585" t="s">
        <v>541</v>
      </c>
      <c r="AV9" s="550"/>
      <c r="AW9" s="495"/>
      <c r="AX9" s="495"/>
      <c r="AZ9" s="585" t="s">
        <v>541</v>
      </c>
      <c r="BA9" s="432" t="s">
        <v>132</v>
      </c>
      <c r="BB9" s="432" t="s">
        <v>564</v>
      </c>
      <c r="BC9" s="433" t="s">
        <v>572</v>
      </c>
      <c r="BD9" s="433" t="s">
        <v>476</v>
      </c>
      <c r="BE9" s="619" t="s">
        <v>547</v>
      </c>
      <c r="BF9" s="619" t="s">
        <v>577</v>
      </c>
      <c r="BG9" s="585" t="s">
        <v>536</v>
      </c>
      <c r="BH9" s="432" t="s">
        <v>488</v>
      </c>
      <c r="BI9" s="585" t="s">
        <v>541</v>
      </c>
      <c r="BJ9" s="585" t="s">
        <v>541</v>
      </c>
    </row>
    <row r="10" spans="1:62" s="421" customFormat="1" ht="12.75" thickBot="1">
      <c r="A10" s="434" t="s">
        <v>17</v>
      </c>
      <c r="B10" s="435"/>
      <c r="C10" s="436"/>
      <c r="D10" s="437" t="s">
        <v>18</v>
      </c>
      <c r="E10" s="547" t="s">
        <v>19</v>
      </c>
      <c r="F10" s="438" t="s">
        <v>20</v>
      </c>
      <c r="G10" s="438" t="s">
        <v>264</v>
      </c>
      <c r="H10" s="438"/>
      <c r="I10" s="438" t="s">
        <v>22</v>
      </c>
      <c r="J10" s="438" t="s">
        <v>23</v>
      </c>
      <c r="K10" s="438"/>
      <c r="L10" s="438"/>
      <c r="M10" s="438" t="s">
        <v>24</v>
      </c>
      <c r="N10" s="438" t="s">
        <v>12</v>
      </c>
      <c r="O10" s="438" t="s">
        <v>26</v>
      </c>
      <c r="P10" s="438" t="s">
        <v>22</v>
      </c>
      <c r="Q10" s="438"/>
      <c r="R10" s="438" t="s">
        <v>117</v>
      </c>
      <c r="S10" s="518" t="s">
        <v>495</v>
      </c>
      <c r="T10" s="518" t="s">
        <v>120</v>
      </c>
      <c r="U10" s="518" t="s">
        <v>25</v>
      </c>
      <c r="V10" s="439" t="s">
        <v>21</v>
      </c>
      <c r="W10" s="616" t="s">
        <v>530</v>
      </c>
      <c r="X10" s="440"/>
      <c r="Y10" s="439" t="s">
        <v>133</v>
      </c>
      <c r="Z10" s="439" t="s">
        <v>134</v>
      </c>
      <c r="AA10" s="439" t="s">
        <v>175</v>
      </c>
      <c r="AB10" s="439" t="s">
        <v>562</v>
      </c>
      <c r="AC10" s="438" t="s">
        <v>23</v>
      </c>
      <c r="AD10" s="438" t="s">
        <v>482</v>
      </c>
      <c r="AE10" s="438" t="s">
        <v>200</v>
      </c>
      <c r="AF10" s="438" t="s">
        <v>500</v>
      </c>
      <c r="AG10" s="438" t="s">
        <v>513</v>
      </c>
      <c r="AH10" s="618" t="s">
        <v>517</v>
      </c>
      <c r="AI10" s="438" t="s">
        <v>459</v>
      </c>
      <c r="AJ10" s="464"/>
      <c r="AK10" s="609" t="s">
        <v>133</v>
      </c>
      <c r="AL10" s="609" t="s">
        <v>498</v>
      </c>
      <c r="AM10" s="620" t="s">
        <v>520</v>
      </c>
      <c r="AN10" s="620" t="s">
        <v>576</v>
      </c>
      <c r="AO10" s="620" t="s">
        <v>477</v>
      </c>
      <c r="AP10" s="620" t="s">
        <v>12</v>
      </c>
      <c r="AQ10" s="620" t="s">
        <v>539</v>
      </c>
      <c r="AR10" s="586" t="s">
        <v>27</v>
      </c>
      <c r="AS10" s="626" t="s">
        <v>538</v>
      </c>
      <c r="AT10" s="464" t="s">
        <v>484</v>
      </c>
      <c r="AU10" s="586" t="s">
        <v>484</v>
      </c>
      <c r="AV10" s="549"/>
      <c r="AW10" s="419"/>
      <c r="AX10" s="419"/>
      <c r="AZ10" s="586" t="s">
        <v>27</v>
      </c>
      <c r="BA10" s="609" t="s">
        <v>133</v>
      </c>
      <c r="BB10" s="609" t="s">
        <v>565</v>
      </c>
      <c r="BC10" s="606" t="s">
        <v>12</v>
      </c>
      <c r="BD10" s="606" t="s">
        <v>477</v>
      </c>
      <c r="BE10" s="620" t="s">
        <v>548</v>
      </c>
      <c r="BF10" s="620" t="s">
        <v>576</v>
      </c>
      <c r="BG10" s="586" t="s">
        <v>27</v>
      </c>
      <c r="BH10" s="609" t="s">
        <v>538</v>
      </c>
      <c r="BI10" s="586" t="s">
        <v>27</v>
      </c>
      <c r="BJ10" s="586" t="s">
        <v>27</v>
      </c>
    </row>
    <row r="11" spans="1:62" s="421" customFormat="1">
      <c r="A11" s="420"/>
      <c r="B11" s="441" t="s">
        <v>206</v>
      </c>
      <c r="E11" s="519">
        <v>1</v>
      </c>
      <c r="F11" s="519">
        <f>E11+0.01</f>
        <v>1.01</v>
      </c>
      <c r="G11" s="519">
        <f t="shared" ref="G11" si="0">F11+0.01</f>
        <v>1.02</v>
      </c>
      <c r="H11" s="519">
        <f>G11+0.01</f>
        <v>1.03</v>
      </c>
      <c r="I11" s="519">
        <v>2.0099999999999998</v>
      </c>
      <c r="J11" s="519">
        <f>I11+0.01</f>
        <v>2.0199999999999996</v>
      </c>
      <c r="K11" s="519">
        <f t="shared" ref="K11:S11" si="1">J11+0.01</f>
        <v>2.0299999999999994</v>
      </c>
      <c r="L11" s="519">
        <f t="shared" si="1"/>
        <v>2.0399999999999991</v>
      </c>
      <c r="M11" s="519">
        <f t="shared" si="1"/>
        <v>2.0499999999999989</v>
      </c>
      <c r="N11" s="519">
        <f t="shared" si="1"/>
        <v>2.0599999999999987</v>
      </c>
      <c r="O11" s="519">
        <f t="shared" si="1"/>
        <v>2.0699999999999985</v>
      </c>
      <c r="P11" s="519">
        <f t="shared" si="1"/>
        <v>2.0799999999999983</v>
      </c>
      <c r="Q11" s="519">
        <f t="shared" si="1"/>
        <v>2.0899999999999981</v>
      </c>
      <c r="R11" s="442">
        <f t="shared" si="1"/>
        <v>2.0999999999999979</v>
      </c>
      <c r="S11" s="442">
        <f t="shared" si="1"/>
        <v>2.1099999999999977</v>
      </c>
      <c r="T11" s="442">
        <f t="shared" ref="T11" si="2">S11+0.01</f>
        <v>2.1199999999999974</v>
      </c>
      <c r="U11" s="442">
        <f t="shared" ref="U11" si="3">T11+0.01</f>
        <v>2.1299999999999972</v>
      </c>
      <c r="V11" s="442">
        <f t="shared" ref="V11" si="4">U11+0.01</f>
        <v>2.139999999999997</v>
      </c>
      <c r="W11" s="442">
        <f t="shared" ref="W11" si="5">V11+0.01</f>
        <v>2.1499999999999968</v>
      </c>
      <c r="X11" s="417"/>
      <c r="Y11" s="442">
        <v>3</v>
      </c>
      <c r="Z11" s="442">
        <f>Y11+0.01</f>
        <v>3.01</v>
      </c>
      <c r="AA11" s="442">
        <f t="shared" ref="AA11" si="6">Z11+0.01</f>
        <v>3.0199999999999996</v>
      </c>
      <c r="AB11" s="442">
        <f t="shared" ref="AB11" si="7">AA11+0.01</f>
        <v>3.0299999999999994</v>
      </c>
      <c r="AC11" s="442">
        <f t="shared" ref="AC11" si="8">AB11+0.01</f>
        <v>3.0399999999999991</v>
      </c>
      <c r="AD11" s="442">
        <f t="shared" ref="AD11" si="9">AC11+0.01</f>
        <v>3.0499999999999989</v>
      </c>
      <c r="AE11" s="442">
        <f t="shared" ref="AE11" si="10">AD11+0.01</f>
        <v>3.0599999999999987</v>
      </c>
      <c r="AF11" s="442">
        <f t="shared" ref="AF11" si="11">AE11+0.01</f>
        <v>3.0699999999999985</v>
      </c>
      <c r="AG11" s="442">
        <f t="shared" ref="AG11" si="12">AF11+0.01</f>
        <v>3.0799999999999983</v>
      </c>
      <c r="AH11" s="442">
        <f t="shared" ref="AH11" si="13">AG11+0.01</f>
        <v>3.0899999999999981</v>
      </c>
      <c r="AI11" s="442">
        <f t="shared" ref="AI11" si="14">AH11+0.01</f>
        <v>3.0999999999999979</v>
      </c>
      <c r="AJ11" s="474"/>
      <c r="AK11" s="442">
        <v>4</v>
      </c>
      <c r="AL11" s="442">
        <f>4+0.01</f>
        <v>4.01</v>
      </c>
      <c r="AM11" s="442">
        <f>AL11+0.01</f>
        <v>4.0199999999999996</v>
      </c>
      <c r="AN11" s="442">
        <f t="shared" ref="AN11:AQ11" si="15">AM11+0.01</f>
        <v>4.0299999999999994</v>
      </c>
      <c r="AO11" s="442">
        <f t="shared" si="15"/>
        <v>4.0399999999999991</v>
      </c>
      <c r="AP11" s="442">
        <f t="shared" si="15"/>
        <v>4.0499999999999989</v>
      </c>
      <c r="AQ11" s="442">
        <f t="shared" si="15"/>
        <v>4.0599999999999987</v>
      </c>
      <c r="AR11" s="587" t="s">
        <v>543</v>
      </c>
      <c r="AS11" s="627">
        <f>AQ11+0.01</f>
        <v>4.0699999999999985</v>
      </c>
      <c r="AT11" s="474" t="s">
        <v>489</v>
      </c>
      <c r="AU11" s="587" t="s">
        <v>544</v>
      </c>
      <c r="AV11" s="549"/>
      <c r="AW11" s="419"/>
      <c r="AX11" s="419"/>
      <c r="AZ11" s="587" t="s">
        <v>544</v>
      </c>
      <c r="BA11" s="442">
        <v>18.010000000000002</v>
      </c>
      <c r="BB11" s="442">
        <f>BA11+0.01</f>
        <v>18.020000000000003</v>
      </c>
      <c r="BC11" s="442">
        <f>BB11+0.01</f>
        <v>18.030000000000005</v>
      </c>
      <c r="BD11" s="442">
        <f t="shared" ref="BD11:BF11" si="16">BC11+0.01</f>
        <v>18.040000000000006</v>
      </c>
      <c r="BE11" s="442">
        <f t="shared" si="16"/>
        <v>18.050000000000008</v>
      </c>
      <c r="BF11" s="442">
        <f t="shared" si="16"/>
        <v>18.060000000000009</v>
      </c>
      <c r="BG11" s="587" t="s">
        <v>543</v>
      </c>
      <c r="BH11" s="627">
        <f>BF11+0.01</f>
        <v>18.070000000000011</v>
      </c>
      <c r="BI11" s="587" t="s">
        <v>554</v>
      </c>
      <c r="BJ11" s="587" t="s">
        <v>554</v>
      </c>
    </row>
    <row r="12" spans="1:62" s="421" customFormat="1">
      <c r="A12" s="420"/>
      <c r="B12" s="441" t="s">
        <v>207</v>
      </c>
      <c r="E12" s="417" t="s">
        <v>208</v>
      </c>
      <c r="F12" s="417" t="s">
        <v>209</v>
      </c>
      <c r="G12" s="417" t="s">
        <v>210</v>
      </c>
      <c r="H12" s="417" t="s">
        <v>469</v>
      </c>
      <c r="I12" s="417" t="s">
        <v>211</v>
      </c>
      <c r="J12" s="417" t="s">
        <v>466</v>
      </c>
      <c r="K12" s="417" t="s">
        <v>212</v>
      </c>
      <c r="L12" s="417" t="s">
        <v>213</v>
      </c>
      <c r="M12" s="417" t="s">
        <v>214</v>
      </c>
      <c r="N12" s="417" t="s">
        <v>215</v>
      </c>
      <c r="O12" s="417" t="s">
        <v>217</v>
      </c>
      <c r="P12" s="417" t="s">
        <v>454</v>
      </c>
      <c r="Q12" s="417" t="s">
        <v>216</v>
      </c>
      <c r="R12" s="417" t="s">
        <v>532</v>
      </c>
      <c r="S12" s="417" t="s">
        <v>496</v>
      </c>
      <c r="T12" s="417" t="s">
        <v>218</v>
      </c>
      <c r="U12" s="415" t="s">
        <v>220</v>
      </c>
      <c r="V12" s="417" t="s">
        <v>219</v>
      </c>
      <c r="W12" s="415" t="s">
        <v>531</v>
      </c>
      <c r="X12" s="417" t="s">
        <v>456</v>
      </c>
      <c r="Y12" s="417" t="s">
        <v>221</v>
      </c>
      <c r="Z12" s="417" t="s">
        <v>222</v>
      </c>
      <c r="AA12" s="417" t="s">
        <v>223</v>
      </c>
      <c r="AB12" s="417" t="s">
        <v>563</v>
      </c>
      <c r="AC12" s="417" t="s">
        <v>467</v>
      </c>
      <c r="AD12" s="417" t="s">
        <v>499</v>
      </c>
      <c r="AE12" s="415" t="s">
        <v>521</v>
      </c>
      <c r="AF12" s="415" t="s">
        <v>519</v>
      </c>
      <c r="AG12" s="419" t="s">
        <v>514</v>
      </c>
      <c r="AH12" s="419" t="s">
        <v>515</v>
      </c>
      <c r="AI12" s="417" t="s">
        <v>518</v>
      </c>
      <c r="AJ12" s="474" t="s">
        <v>457</v>
      </c>
      <c r="AK12" s="419" t="s">
        <v>567</v>
      </c>
      <c r="AL12" s="419" t="s">
        <v>522</v>
      </c>
      <c r="AM12" s="419" t="s">
        <v>523</v>
      </c>
      <c r="AN12" s="417" t="s">
        <v>579</v>
      </c>
      <c r="AO12" s="417" t="s">
        <v>525</v>
      </c>
      <c r="AP12" s="417" t="s">
        <v>574</v>
      </c>
      <c r="AQ12" s="417" t="s">
        <v>524</v>
      </c>
      <c r="AR12" s="474"/>
      <c r="AS12" s="432" t="s">
        <v>526</v>
      </c>
      <c r="AT12" s="474"/>
      <c r="AU12" s="474"/>
      <c r="AV12" s="549"/>
      <c r="AW12" s="419"/>
      <c r="AX12" s="419"/>
      <c r="AZ12" s="474"/>
      <c r="BA12" s="419" t="s">
        <v>550</v>
      </c>
      <c r="BB12" s="419" t="s">
        <v>566</v>
      </c>
      <c r="BC12" s="417" t="s">
        <v>573</v>
      </c>
      <c r="BD12" s="417" t="s">
        <v>551</v>
      </c>
      <c r="BE12" s="419" t="s">
        <v>545</v>
      </c>
      <c r="BF12" s="419" t="s">
        <v>578</v>
      </c>
      <c r="BG12" s="474"/>
      <c r="BH12" s="432" t="s">
        <v>549</v>
      </c>
      <c r="BI12" s="562"/>
      <c r="BJ12" s="474"/>
    </row>
    <row r="13" spans="1:62" ht="6" customHeight="1">
      <c r="U13" s="413"/>
      <c r="V13" s="71"/>
      <c r="W13" s="71"/>
      <c r="Y13" s="71"/>
      <c r="Z13" s="71"/>
      <c r="AA13" s="71"/>
      <c r="AB13" s="71" t="s">
        <v>512</v>
      </c>
      <c r="AG13" s="443"/>
      <c r="AH13" s="443"/>
      <c r="AJ13" s="475"/>
      <c r="AK13" s="443"/>
      <c r="AL13" s="443"/>
      <c r="AM13" s="443"/>
      <c r="AO13" s="71" t="s">
        <v>512</v>
      </c>
      <c r="AP13" s="71" t="s">
        <v>512</v>
      </c>
      <c r="AR13" s="475"/>
      <c r="AS13" s="628"/>
      <c r="AT13" s="475"/>
      <c r="AU13" s="465"/>
      <c r="AZ13" s="475"/>
      <c r="BA13" s="443"/>
      <c r="BB13" s="443"/>
      <c r="BC13" s="71" t="s">
        <v>512</v>
      </c>
      <c r="BD13" s="71" t="s">
        <v>512</v>
      </c>
      <c r="BE13" s="443"/>
      <c r="BF13" s="443"/>
      <c r="BG13" s="475"/>
      <c r="BH13" s="628"/>
      <c r="BI13" s="563"/>
      <c r="BJ13" s="475"/>
    </row>
    <row r="14" spans="1:62">
      <c r="B14" s="1" t="s">
        <v>34</v>
      </c>
      <c r="U14" s="413"/>
      <c r="V14" s="71"/>
      <c r="W14" s="71"/>
      <c r="Y14" s="71"/>
      <c r="Z14" s="71"/>
      <c r="AA14" s="71"/>
      <c r="AB14" s="71"/>
      <c r="AG14" s="443"/>
      <c r="AH14" s="443"/>
      <c r="AJ14" s="475"/>
      <c r="AK14" s="443"/>
      <c r="AL14" s="443"/>
      <c r="AM14" s="443"/>
      <c r="AO14" s="71"/>
      <c r="AP14" s="71"/>
      <c r="AR14" s="475"/>
      <c r="AS14" s="628"/>
      <c r="AT14" s="475"/>
      <c r="AU14" s="465"/>
      <c r="AZ14" s="475"/>
      <c r="BA14" s="443"/>
      <c r="BB14" s="443"/>
      <c r="BC14" s="71"/>
      <c r="BD14" s="71"/>
      <c r="BE14" s="443"/>
      <c r="BF14" s="443"/>
      <c r="BG14" s="475"/>
      <c r="BH14" s="628"/>
      <c r="BI14" s="563"/>
      <c r="BJ14" s="475"/>
    </row>
    <row r="15" spans="1:62" s="3" customFormat="1">
      <c r="A15" s="186">
        <v>1</v>
      </c>
      <c r="B15" s="3" t="s">
        <v>35</v>
      </c>
      <c r="E15" s="548">
        <f>'ROO INPUT'!$F15</f>
        <v>152492</v>
      </c>
      <c r="F15" s="513">
        <v>0</v>
      </c>
      <c r="G15" s="513">
        <v>0</v>
      </c>
      <c r="H15" s="513">
        <v>0</v>
      </c>
      <c r="I15" s="513">
        <v>-5520</v>
      </c>
      <c r="J15" s="513">
        <v>0</v>
      </c>
      <c r="K15" s="513">
        <v>0</v>
      </c>
      <c r="L15" s="513">
        <v>0</v>
      </c>
      <c r="M15" s="513">
        <v>0</v>
      </c>
      <c r="N15" s="513">
        <v>0</v>
      </c>
      <c r="O15" s="513">
        <v>0</v>
      </c>
      <c r="P15" s="513">
        <v>0</v>
      </c>
      <c r="Q15" s="513">
        <v>0</v>
      </c>
      <c r="R15" s="513">
        <v>12984</v>
      </c>
      <c r="S15" s="513">
        <v>-3325</v>
      </c>
      <c r="T15" s="513">
        <v>0</v>
      </c>
      <c r="U15" s="513">
        <v>0</v>
      </c>
      <c r="V15" s="513">
        <v>0</v>
      </c>
      <c r="W15" s="513">
        <v>0</v>
      </c>
      <c r="X15" s="444">
        <f>SUM(E15:W15)</f>
        <v>156631</v>
      </c>
      <c r="Y15" s="513">
        <v>0</v>
      </c>
      <c r="Z15" s="513">
        <v>0</v>
      </c>
      <c r="AA15" s="513">
        <v>0</v>
      </c>
      <c r="AB15" s="513">
        <v>0</v>
      </c>
      <c r="AC15" s="513">
        <v>0</v>
      </c>
      <c r="AD15" s="513">
        <v>-72574</v>
      </c>
      <c r="AE15" s="513">
        <v>0</v>
      </c>
      <c r="AF15" s="513">
        <v>0</v>
      </c>
      <c r="AG15" s="610">
        <v>0</v>
      </c>
      <c r="AH15" s="610">
        <v>0</v>
      </c>
      <c r="AI15" s="513">
        <v>0</v>
      </c>
      <c r="AJ15" s="476">
        <f>SUM(X15:AI15)</f>
        <v>84057</v>
      </c>
      <c r="AK15" s="610">
        <v>0</v>
      </c>
      <c r="AL15" s="610">
        <v>0</v>
      </c>
      <c r="AM15" s="610">
        <v>0</v>
      </c>
      <c r="AN15" s="513">
        <v>0</v>
      </c>
      <c r="AO15" s="513">
        <v>0</v>
      </c>
      <c r="AP15" s="513">
        <v>0</v>
      </c>
      <c r="AQ15" s="513">
        <v>0</v>
      </c>
      <c r="AR15" s="476">
        <f>SUM(AJ15:AQ15)</f>
        <v>84057</v>
      </c>
      <c r="AS15" s="629">
        <v>0</v>
      </c>
      <c r="AT15" s="476">
        <f>SUM(AR15:AS15)</f>
        <v>84057</v>
      </c>
      <c r="AU15" s="466">
        <f>SUM(AT15:AT15)</f>
        <v>84057</v>
      </c>
      <c r="AV15" s="551"/>
      <c r="AW15" s="490"/>
      <c r="AX15" s="490"/>
      <c r="AZ15" s="476">
        <f>AU15</f>
        <v>84057</v>
      </c>
      <c r="BA15" s="610">
        <v>0</v>
      </c>
      <c r="BB15" s="610">
        <v>0</v>
      </c>
      <c r="BC15" s="513">
        <v>0</v>
      </c>
      <c r="BD15" s="513">
        <v>0</v>
      </c>
      <c r="BE15" s="610">
        <v>0</v>
      </c>
      <c r="BF15" s="610">
        <v>0</v>
      </c>
      <c r="BG15" s="476">
        <f>SUM(AZ15:BF15)</f>
        <v>84057</v>
      </c>
      <c r="BH15" s="629">
        <v>0</v>
      </c>
      <c r="BI15" s="564">
        <f>SUM(BG15:BH15)</f>
        <v>84057</v>
      </c>
      <c r="BJ15" s="476">
        <f>BI15-AU15</f>
        <v>0</v>
      </c>
    </row>
    <row r="16" spans="1:62">
      <c r="A16" s="186">
        <v>2</v>
      </c>
      <c r="B16" s="4" t="s">
        <v>36</v>
      </c>
      <c r="D16" s="4"/>
      <c r="E16" s="331">
        <f>'ROO INPUT'!$F16</f>
        <v>4114</v>
      </c>
      <c r="F16" s="514">
        <v>0</v>
      </c>
      <c r="G16" s="514">
        <v>0</v>
      </c>
      <c r="H16" s="514">
        <v>0</v>
      </c>
      <c r="I16" s="514">
        <v>-106</v>
      </c>
      <c r="J16" s="514">
        <v>0</v>
      </c>
      <c r="K16" s="514">
        <v>0</v>
      </c>
      <c r="L16" s="514">
        <v>0</v>
      </c>
      <c r="M16" s="514">
        <v>0</v>
      </c>
      <c r="N16" s="514">
        <v>0</v>
      </c>
      <c r="O16" s="514">
        <v>0</v>
      </c>
      <c r="P16" s="514">
        <v>0</v>
      </c>
      <c r="Q16" s="514">
        <v>0</v>
      </c>
      <c r="R16" s="514"/>
      <c r="S16" s="514">
        <v>0</v>
      </c>
      <c r="T16" s="514">
        <v>0</v>
      </c>
      <c r="U16" s="514">
        <v>0</v>
      </c>
      <c r="V16" s="514">
        <v>0</v>
      </c>
      <c r="W16" s="514">
        <v>0</v>
      </c>
      <c r="X16" s="445">
        <f>SUM(E16:W16)</f>
        <v>4008</v>
      </c>
      <c r="Y16" s="514">
        <v>0</v>
      </c>
      <c r="Z16" s="514">
        <v>0</v>
      </c>
      <c r="AA16" s="514">
        <v>0</v>
      </c>
      <c r="AB16" s="514">
        <v>0</v>
      </c>
      <c r="AC16" s="514">
        <v>0</v>
      </c>
      <c r="AD16" s="514">
        <v>408</v>
      </c>
      <c r="AE16" s="514">
        <v>0</v>
      </c>
      <c r="AF16" s="514">
        <v>0</v>
      </c>
      <c r="AG16" s="446">
        <v>0</v>
      </c>
      <c r="AH16" s="446">
        <v>0</v>
      </c>
      <c r="AI16" s="514">
        <v>0</v>
      </c>
      <c r="AJ16" s="477">
        <f>SUM(X16:AI16)</f>
        <v>4416</v>
      </c>
      <c r="AK16" s="446">
        <v>0</v>
      </c>
      <c r="AL16" s="446">
        <v>0</v>
      </c>
      <c r="AM16" s="446">
        <v>0</v>
      </c>
      <c r="AN16" s="514">
        <v>0</v>
      </c>
      <c r="AO16" s="514">
        <v>0</v>
      </c>
      <c r="AP16" s="514">
        <v>0</v>
      </c>
      <c r="AQ16" s="514">
        <v>0</v>
      </c>
      <c r="AR16" s="477">
        <f>SUM(AJ16:AQ16)</f>
        <v>4416</v>
      </c>
      <c r="AS16" s="630">
        <v>0</v>
      </c>
      <c r="AT16" s="477">
        <f>SUM(AR16:AS16)</f>
        <v>4416</v>
      </c>
      <c r="AU16" s="467">
        <f>SUM(AT16:AT16)</f>
        <v>4416</v>
      </c>
      <c r="AV16" s="552"/>
      <c r="AW16" s="486"/>
      <c r="AX16" s="486"/>
      <c r="AZ16" s="477">
        <f>AU16</f>
        <v>4416</v>
      </c>
      <c r="BA16" s="446">
        <v>0</v>
      </c>
      <c r="BB16" s="446">
        <v>0</v>
      </c>
      <c r="BC16" s="514">
        <v>0</v>
      </c>
      <c r="BD16" s="514">
        <v>0</v>
      </c>
      <c r="BE16" s="446">
        <v>0</v>
      </c>
      <c r="BF16" s="446">
        <v>0</v>
      </c>
      <c r="BG16" s="477">
        <f>SUM(AZ16:BF16)</f>
        <v>4416</v>
      </c>
      <c r="BH16" s="630">
        <v>0</v>
      </c>
      <c r="BI16" s="565">
        <f>SUM(BG16:BH16)</f>
        <v>4416</v>
      </c>
      <c r="BJ16" s="477">
        <f>BI16-AU16</f>
        <v>0</v>
      </c>
    </row>
    <row r="17" spans="1:62">
      <c r="A17" s="186">
        <v>3</v>
      </c>
      <c r="B17" s="4" t="s">
        <v>37</v>
      </c>
      <c r="D17" s="4"/>
      <c r="E17" s="332">
        <f>'ROO INPUT'!$F17</f>
        <v>105088</v>
      </c>
      <c r="F17" s="447">
        <v>0</v>
      </c>
      <c r="G17" s="447">
        <v>0</v>
      </c>
      <c r="H17" s="447">
        <v>0</v>
      </c>
      <c r="I17" s="447">
        <v>0</v>
      </c>
      <c r="J17" s="447">
        <v>0</v>
      </c>
      <c r="K17" s="447">
        <v>0</v>
      </c>
      <c r="L17" s="447">
        <v>0</v>
      </c>
      <c r="M17" s="447">
        <v>0</v>
      </c>
      <c r="N17" s="447">
        <v>0</v>
      </c>
      <c r="O17" s="447">
        <v>0</v>
      </c>
      <c r="P17" s="447">
        <v>0</v>
      </c>
      <c r="Q17" s="447">
        <v>0</v>
      </c>
      <c r="R17" s="447"/>
      <c r="S17" s="447">
        <v>-99392</v>
      </c>
      <c r="T17" s="447">
        <v>0</v>
      </c>
      <c r="U17" s="447">
        <v>0</v>
      </c>
      <c r="V17" s="447">
        <v>0</v>
      </c>
      <c r="W17" s="447">
        <v>0</v>
      </c>
      <c r="X17" s="448">
        <f>SUM(E17:W17)</f>
        <v>5696</v>
      </c>
      <c r="Y17" s="447">
        <v>0</v>
      </c>
      <c r="Z17" s="447">
        <v>0</v>
      </c>
      <c r="AA17" s="447">
        <v>0</v>
      </c>
      <c r="AB17" s="447">
        <v>0</v>
      </c>
      <c r="AC17" s="447">
        <v>0</v>
      </c>
      <c r="AD17" s="447">
        <v>-5413</v>
      </c>
      <c r="AE17" s="447">
        <v>0</v>
      </c>
      <c r="AF17" s="447">
        <v>0</v>
      </c>
      <c r="AG17" s="447">
        <v>0</v>
      </c>
      <c r="AH17" s="447">
        <v>0</v>
      </c>
      <c r="AI17" s="447">
        <v>0</v>
      </c>
      <c r="AJ17" s="478">
        <f>SUM(X17:AI17)</f>
        <v>283</v>
      </c>
      <c r="AK17" s="447">
        <v>0</v>
      </c>
      <c r="AL17" s="447">
        <v>0</v>
      </c>
      <c r="AM17" s="447">
        <v>0</v>
      </c>
      <c r="AN17" s="447">
        <v>0</v>
      </c>
      <c r="AO17" s="447">
        <v>0</v>
      </c>
      <c r="AP17" s="447">
        <v>0</v>
      </c>
      <c r="AQ17" s="447">
        <v>0</v>
      </c>
      <c r="AR17" s="478">
        <f>SUM(AJ17:AQ17)</f>
        <v>283</v>
      </c>
      <c r="AS17" s="631">
        <v>0</v>
      </c>
      <c r="AT17" s="478">
        <f>SUM(AR17:AS17)</f>
        <v>283</v>
      </c>
      <c r="AU17" s="468">
        <f>SUM(AT17:AT17)</f>
        <v>283</v>
      </c>
      <c r="AV17" s="552"/>
      <c r="AW17" s="486"/>
      <c r="AX17" s="486"/>
      <c r="AZ17" s="478">
        <f>AU17</f>
        <v>283</v>
      </c>
      <c r="BA17" s="447">
        <v>0</v>
      </c>
      <c r="BB17" s="447">
        <v>0</v>
      </c>
      <c r="BC17" s="447">
        <v>0</v>
      </c>
      <c r="BD17" s="447">
        <v>0</v>
      </c>
      <c r="BE17" s="447">
        <v>0</v>
      </c>
      <c r="BF17" s="447">
        <v>0</v>
      </c>
      <c r="BG17" s="478">
        <f>SUM(AZ17:BF17)</f>
        <v>283</v>
      </c>
      <c r="BH17" s="631">
        <v>0</v>
      </c>
      <c r="BI17" s="557">
        <f>SUM(BG17:BH17)</f>
        <v>283</v>
      </c>
      <c r="BJ17" s="478">
        <f>BI17-AU17</f>
        <v>0</v>
      </c>
    </row>
    <row r="18" spans="1:62">
      <c r="A18" s="186">
        <v>4</v>
      </c>
      <c r="B18" s="1" t="s">
        <v>38</v>
      </c>
      <c r="C18" s="4"/>
      <c r="D18" s="4"/>
      <c r="E18" s="331">
        <f>SUM(E15:E17)</f>
        <v>261694</v>
      </c>
      <c r="F18" s="331">
        <f t="shared" ref="F18:N18" si="17">SUM(F15:F17)</f>
        <v>0</v>
      </c>
      <c r="G18" s="331">
        <f t="shared" si="17"/>
        <v>0</v>
      </c>
      <c r="H18" s="331">
        <f t="shared" si="17"/>
        <v>0</v>
      </c>
      <c r="I18" s="331">
        <f t="shared" si="17"/>
        <v>-5626</v>
      </c>
      <c r="J18" s="331">
        <f>SUM(J15:J17)</f>
        <v>0</v>
      </c>
      <c r="K18" s="331">
        <f t="shared" si="17"/>
        <v>0</v>
      </c>
      <c r="L18" s="331">
        <f t="shared" si="17"/>
        <v>0</v>
      </c>
      <c r="M18" s="331">
        <f t="shared" si="17"/>
        <v>0</v>
      </c>
      <c r="N18" s="331">
        <f t="shared" si="17"/>
        <v>0</v>
      </c>
      <c r="O18" s="331">
        <f t="shared" ref="O18:P18" si="18">SUM(O15:O17)</f>
        <v>0</v>
      </c>
      <c r="P18" s="331">
        <f t="shared" si="18"/>
        <v>0</v>
      </c>
      <c r="Q18" s="331">
        <f t="shared" ref="Q18" si="19">SUM(Q15:Q17)</f>
        <v>0</v>
      </c>
      <c r="R18" s="331">
        <f>SUM(R15:R17)</f>
        <v>12984</v>
      </c>
      <c r="S18" s="331">
        <f>SUM(S15:S17)</f>
        <v>-102717</v>
      </c>
      <c r="T18" s="331">
        <f t="shared" ref="T18" si="20">SUM(T15:T17)</f>
        <v>0</v>
      </c>
      <c r="U18" s="331">
        <f t="shared" ref="U18" si="21">SUM(U15:U17)</f>
        <v>0</v>
      </c>
      <c r="V18" s="331">
        <f t="shared" ref="V18" si="22">SUM(V15:V17)</f>
        <v>0</v>
      </c>
      <c r="W18" s="331">
        <f>SUM(W15:W17)</f>
        <v>0</v>
      </c>
      <c r="X18" s="445">
        <f>SUM(X15:X17)</f>
        <v>166335</v>
      </c>
      <c r="Y18" s="331">
        <f>SUM(Y15:Y17)</f>
        <v>0</v>
      </c>
      <c r="Z18" s="331">
        <f t="shared" ref="Z18:AA18" si="23">SUM(Z15:Z17)</f>
        <v>0</v>
      </c>
      <c r="AA18" s="331">
        <f t="shared" si="23"/>
        <v>0</v>
      </c>
      <c r="AB18" s="331">
        <f>SUM(AB15:AB17)</f>
        <v>0</v>
      </c>
      <c r="AC18" s="331">
        <f t="shared" ref="AC18:AK18" si="24">SUM(AC15:AC17)</f>
        <v>0</v>
      </c>
      <c r="AD18" s="331">
        <f>SUM(AD15:AD17)</f>
        <v>-77579</v>
      </c>
      <c r="AE18" s="383">
        <f t="shared" ref="AE18" si="25">SUM(AE15:AE17)</f>
        <v>0</v>
      </c>
      <c r="AF18" s="383">
        <f>SUM(AF15:AF17)</f>
        <v>0</v>
      </c>
      <c r="AG18" s="604">
        <f>SUM(AG15:AG17)</f>
        <v>0</v>
      </c>
      <c r="AH18" s="604">
        <f>SUM(AH15:AH17)</f>
        <v>0</v>
      </c>
      <c r="AI18" s="331">
        <f>SUM(AI15:AI17)</f>
        <v>0</v>
      </c>
      <c r="AJ18" s="477">
        <f t="shared" si="24"/>
        <v>88756</v>
      </c>
      <c r="AK18" s="337">
        <f t="shared" si="24"/>
        <v>0</v>
      </c>
      <c r="AL18" s="337">
        <f t="shared" ref="AL18:AR18" si="26">SUM(AL15:AL17)</f>
        <v>0</v>
      </c>
      <c r="AM18" s="337">
        <f>SUM(AM15:AM17)</f>
        <v>0</v>
      </c>
      <c r="AN18" s="331">
        <f t="shared" si="26"/>
        <v>0</v>
      </c>
      <c r="AO18" s="331">
        <f t="shared" ref="AO18:AQ18" si="27">SUM(AO15:AO17)</f>
        <v>0</v>
      </c>
      <c r="AP18" s="331">
        <f>SUM(AP15:AP17)</f>
        <v>0</v>
      </c>
      <c r="AQ18" s="331">
        <f t="shared" si="27"/>
        <v>0</v>
      </c>
      <c r="AR18" s="477">
        <f t="shared" si="26"/>
        <v>88756</v>
      </c>
      <c r="AS18" s="632">
        <f t="shared" ref="AS18" si="28">SUM(AS15:AS17)</f>
        <v>0</v>
      </c>
      <c r="AT18" s="477">
        <f t="shared" ref="AT18:AU18" si="29">SUM(AT15:AT17)</f>
        <v>88756</v>
      </c>
      <c r="AU18" s="467">
        <f t="shared" si="29"/>
        <v>88756</v>
      </c>
      <c r="AV18" s="552"/>
      <c r="AW18" s="486"/>
      <c r="AX18" s="486"/>
      <c r="AZ18" s="477">
        <f t="shared" ref="AZ18:BA18" si="30">SUM(AZ15:AZ17)</f>
        <v>88756</v>
      </c>
      <c r="BA18" s="337">
        <f t="shared" si="30"/>
        <v>0</v>
      </c>
      <c r="BB18" s="337">
        <f t="shared" ref="BB18" si="31">SUM(BB15:BB17)</f>
        <v>0</v>
      </c>
      <c r="BC18" s="331">
        <f>SUM(BC15:BC17)</f>
        <v>0</v>
      </c>
      <c r="BD18" s="331">
        <f>SUM(BD15:BD17)</f>
        <v>0</v>
      </c>
      <c r="BE18" s="337">
        <f>SUM(BE15:BE17)</f>
        <v>0</v>
      </c>
      <c r="BF18" s="337">
        <f>SUM(BF15:BF17)</f>
        <v>0</v>
      </c>
      <c r="BG18" s="477">
        <f t="shared" ref="BG18:BJ18" si="32">SUM(BG15:BG17)</f>
        <v>88756</v>
      </c>
      <c r="BH18" s="632">
        <f t="shared" si="32"/>
        <v>0</v>
      </c>
      <c r="BI18" s="565">
        <f t="shared" si="32"/>
        <v>88756</v>
      </c>
      <c r="BJ18" s="477">
        <f t="shared" si="32"/>
        <v>0</v>
      </c>
    </row>
    <row r="19" spans="1:62">
      <c r="C19" s="4"/>
      <c r="D19" s="4"/>
      <c r="E19" s="331"/>
      <c r="F19" s="514"/>
      <c r="G19" s="514"/>
      <c r="H19" s="514"/>
      <c r="I19" s="514"/>
      <c r="J19" s="514"/>
      <c r="K19" s="514"/>
      <c r="L19" s="514"/>
      <c r="M19" s="514"/>
      <c r="N19" s="514"/>
      <c r="O19" s="514"/>
      <c r="P19" s="514"/>
      <c r="Q19" s="514"/>
      <c r="R19" s="514"/>
      <c r="S19" s="514"/>
      <c r="T19" s="514"/>
      <c r="U19" s="514"/>
      <c r="V19" s="514"/>
      <c r="W19" s="514"/>
      <c r="X19" s="445"/>
      <c r="Y19" s="514"/>
      <c r="Z19" s="514"/>
      <c r="AA19" s="514"/>
      <c r="AB19" s="514"/>
      <c r="AC19" s="514"/>
      <c r="AD19" s="514"/>
      <c r="AE19" s="514"/>
      <c r="AF19" s="514"/>
      <c r="AG19" s="446"/>
      <c r="AH19" s="446"/>
      <c r="AI19" s="514"/>
      <c r="AJ19" s="477"/>
      <c r="AK19" s="446"/>
      <c r="AL19" s="446"/>
      <c r="AM19" s="446"/>
      <c r="AN19" s="514"/>
      <c r="AO19" s="514"/>
      <c r="AP19" s="514"/>
      <c r="AQ19" s="514"/>
      <c r="AR19" s="477"/>
      <c r="AS19" s="630"/>
      <c r="AT19" s="477"/>
      <c r="AU19" s="467"/>
      <c r="AV19" s="552"/>
      <c r="AW19" s="486"/>
      <c r="AX19" s="486"/>
      <c r="AZ19" s="477"/>
      <c r="BA19" s="446"/>
      <c r="BB19" s="446"/>
      <c r="BC19" s="514"/>
      <c r="BD19" s="514"/>
      <c r="BE19" s="446"/>
      <c r="BF19" s="446"/>
      <c r="BG19" s="477"/>
      <c r="BH19" s="630"/>
      <c r="BI19" s="565"/>
      <c r="BJ19" s="477"/>
    </row>
    <row r="20" spans="1:62">
      <c r="B20" s="1" t="s">
        <v>39</v>
      </c>
      <c r="C20" s="4"/>
      <c r="D20" s="4"/>
      <c r="E20" s="331"/>
      <c r="F20" s="514"/>
      <c r="G20" s="514"/>
      <c r="H20" s="514"/>
      <c r="I20" s="514"/>
      <c r="J20" s="514"/>
      <c r="K20" s="514"/>
      <c r="L20" s="514"/>
      <c r="M20" s="514"/>
      <c r="N20" s="514"/>
      <c r="O20" s="514"/>
      <c r="P20" s="514"/>
      <c r="Q20" s="514"/>
      <c r="R20" s="514"/>
      <c r="S20" s="514"/>
      <c r="T20" s="514"/>
      <c r="U20" s="514"/>
      <c r="V20" s="514"/>
      <c r="W20" s="514"/>
      <c r="X20" s="445"/>
      <c r="Y20" s="514"/>
      <c r="Z20" s="514"/>
      <c r="AA20" s="514"/>
      <c r="AB20" s="514"/>
      <c r="AC20" s="514"/>
      <c r="AD20" s="514"/>
      <c r="AE20" s="514"/>
      <c r="AF20" s="514"/>
      <c r="AG20" s="446"/>
      <c r="AH20" s="446"/>
      <c r="AI20" s="514"/>
      <c r="AJ20" s="477"/>
      <c r="AK20" s="446"/>
      <c r="AL20" s="446"/>
      <c r="AM20" s="446"/>
      <c r="AN20" s="514"/>
      <c r="AO20" s="514"/>
      <c r="AP20" s="514"/>
      <c r="AQ20" s="514"/>
      <c r="AR20" s="477"/>
      <c r="AS20" s="630"/>
      <c r="AT20" s="477"/>
      <c r="AU20" s="467"/>
      <c r="AV20" s="552"/>
      <c r="AW20" s="486"/>
      <c r="AX20" s="486"/>
      <c r="AZ20" s="477"/>
      <c r="BA20" s="446"/>
      <c r="BB20" s="446"/>
      <c r="BC20" s="514"/>
      <c r="BD20" s="514"/>
      <c r="BE20" s="446"/>
      <c r="BF20" s="446"/>
      <c r="BG20" s="477"/>
      <c r="BH20" s="630"/>
      <c r="BI20" s="565"/>
      <c r="BJ20" s="477"/>
    </row>
    <row r="21" spans="1:62">
      <c r="B21" s="4" t="s">
        <v>227</v>
      </c>
      <c r="D21" s="4"/>
      <c r="E21" s="331"/>
      <c r="F21" s="514"/>
      <c r="G21" s="514"/>
      <c r="H21" s="514"/>
      <c r="I21" s="514"/>
      <c r="J21" s="514"/>
      <c r="K21" s="514"/>
      <c r="L21" s="514"/>
      <c r="M21" s="514"/>
      <c r="N21" s="514"/>
      <c r="O21" s="514"/>
      <c r="P21" s="514"/>
      <c r="Q21" s="514"/>
      <c r="R21" s="514"/>
      <c r="S21" s="514"/>
      <c r="T21" s="514"/>
      <c r="U21" s="514"/>
      <c r="V21" s="514"/>
      <c r="W21" s="514"/>
      <c r="X21" s="445"/>
      <c r="Y21" s="514"/>
      <c r="Z21" s="514"/>
      <c r="AA21" s="514"/>
      <c r="AB21" s="514"/>
      <c r="AC21" s="514"/>
      <c r="AD21" s="514"/>
      <c r="AE21" s="514"/>
      <c r="AF21" s="514"/>
      <c r="AG21" s="446"/>
      <c r="AH21" s="446"/>
      <c r="AI21" s="514"/>
      <c r="AJ21" s="477"/>
      <c r="AK21" s="446"/>
      <c r="AL21" s="446"/>
      <c r="AM21" s="446"/>
      <c r="AN21" s="514"/>
      <c r="AO21" s="514"/>
      <c r="AP21" s="514"/>
      <c r="AQ21" s="514"/>
      <c r="AR21" s="477"/>
      <c r="AS21" s="630"/>
      <c r="AT21" s="477"/>
      <c r="AU21" s="467"/>
      <c r="AV21" s="552"/>
      <c r="AW21" s="486"/>
      <c r="AX21" s="486"/>
      <c r="AZ21" s="477"/>
      <c r="BA21" s="446"/>
      <c r="BB21" s="446"/>
      <c r="BC21" s="514"/>
      <c r="BD21" s="514"/>
      <c r="BE21" s="446"/>
      <c r="BF21" s="446"/>
      <c r="BG21" s="477"/>
      <c r="BH21" s="630"/>
      <c r="BI21" s="565"/>
      <c r="BJ21" s="477"/>
    </row>
    <row r="22" spans="1:62">
      <c r="A22" s="186">
        <v>5</v>
      </c>
      <c r="C22" s="4" t="s">
        <v>40</v>
      </c>
      <c r="D22" s="4"/>
      <c r="E22" s="331">
        <f>'ROO INPUT'!$F22</f>
        <v>164944</v>
      </c>
      <c r="F22" s="514">
        <v>0</v>
      </c>
      <c r="G22" s="514">
        <v>0</v>
      </c>
      <c r="H22" s="514">
        <v>0</v>
      </c>
      <c r="I22" s="514">
        <v>0</v>
      </c>
      <c r="J22" s="514">
        <v>0</v>
      </c>
      <c r="K22" s="514">
        <v>0</v>
      </c>
      <c r="L22" s="514">
        <v>0</v>
      </c>
      <c r="M22" s="514">
        <v>0</v>
      </c>
      <c r="N22" s="514">
        <v>0</v>
      </c>
      <c r="O22" s="514">
        <v>0</v>
      </c>
      <c r="P22" s="514">
        <v>0</v>
      </c>
      <c r="Q22" s="514">
        <v>0</v>
      </c>
      <c r="R22" s="514">
        <v>10600</v>
      </c>
      <c r="S22" s="514">
        <v>-88985</v>
      </c>
      <c r="T22" s="514">
        <v>0</v>
      </c>
      <c r="U22" s="514">
        <v>0</v>
      </c>
      <c r="V22" s="514">
        <v>0</v>
      </c>
      <c r="W22" s="514">
        <v>0</v>
      </c>
      <c r="X22" s="445">
        <f>SUM(E22:W22)</f>
        <v>86559</v>
      </c>
      <c r="Y22" s="514">
        <v>0</v>
      </c>
      <c r="Z22" s="514">
        <v>0</v>
      </c>
      <c r="AA22" s="514">
        <v>0</v>
      </c>
      <c r="AB22" s="514">
        <v>0</v>
      </c>
      <c r="AC22" s="514">
        <v>0</v>
      </c>
      <c r="AD22" s="514">
        <v>-86559</v>
      </c>
      <c r="AE22" s="514">
        <v>0</v>
      </c>
      <c r="AF22" s="514">
        <v>0</v>
      </c>
      <c r="AG22" s="446">
        <v>0</v>
      </c>
      <c r="AH22" s="446">
        <v>0</v>
      </c>
      <c r="AI22" s="514">
        <v>0</v>
      </c>
      <c r="AJ22" s="477">
        <f>SUM(X22:AI22)</f>
        <v>0</v>
      </c>
      <c r="AK22" s="446">
        <v>0</v>
      </c>
      <c r="AL22" s="446">
        <v>0</v>
      </c>
      <c r="AM22" s="446">
        <v>0</v>
      </c>
      <c r="AN22" s="514">
        <v>0</v>
      </c>
      <c r="AO22" s="514">
        <v>0</v>
      </c>
      <c r="AP22" s="514">
        <v>0</v>
      </c>
      <c r="AQ22" s="514">
        <v>0</v>
      </c>
      <c r="AR22" s="477">
        <f>SUM(AJ22:AQ22)</f>
        <v>0</v>
      </c>
      <c r="AS22" s="630">
        <v>0</v>
      </c>
      <c r="AT22" s="477">
        <f>SUM(AR22:AS22)</f>
        <v>0</v>
      </c>
      <c r="AU22" s="467">
        <f>SUM(AT22:AT22)</f>
        <v>0</v>
      </c>
      <c r="AV22" s="552"/>
      <c r="AW22" s="486"/>
      <c r="AX22" s="486"/>
      <c r="AZ22" s="477">
        <f t="shared" ref="AZ22:AZ24" si="33">AU22</f>
        <v>0</v>
      </c>
      <c r="BA22" s="446">
        <v>0</v>
      </c>
      <c r="BB22" s="446">
        <v>0</v>
      </c>
      <c r="BC22" s="514">
        <v>0</v>
      </c>
      <c r="BD22" s="514">
        <v>0</v>
      </c>
      <c r="BE22" s="446">
        <v>0</v>
      </c>
      <c r="BF22" s="446">
        <v>0</v>
      </c>
      <c r="BG22" s="477">
        <f>SUM(AZ22:BF22)</f>
        <v>0</v>
      </c>
      <c r="BH22" s="630">
        <v>0</v>
      </c>
      <c r="BI22" s="565">
        <f>SUM(BG22:BH22)</f>
        <v>0</v>
      </c>
      <c r="BJ22" s="477">
        <f>BI22-AU22</f>
        <v>0</v>
      </c>
    </row>
    <row r="23" spans="1:62">
      <c r="A23" s="186">
        <v>6</v>
      </c>
      <c r="C23" s="4" t="s">
        <v>41</v>
      </c>
      <c r="D23" s="4"/>
      <c r="E23" s="331">
        <f>'ROO INPUT'!$F23</f>
        <v>810</v>
      </c>
      <c r="F23" s="514">
        <v>0</v>
      </c>
      <c r="G23" s="514">
        <v>0</v>
      </c>
      <c r="H23" s="514">
        <v>0</v>
      </c>
      <c r="I23" s="514">
        <v>0</v>
      </c>
      <c r="J23" s="514">
        <v>0</v>
      </c>
      <c r="K23" s="514">
        <v>0</v>
      </c>
      <c r="L23" s="514">
        <v>0</v>
      </c>
      <c r="M23" s="514">
        <v>0</v>
      </c>
      <c r="N23" s="514">
        <v>0</v>
      </c>
      <c r="O23" s="514">
        <v>0</v>
      </c>
      <c r="P23" s="514">
        <v>0</v>
      </c>
      <c r="Q23" s="514">
        <v>0</v>
      </c>
      <c r="R23" s="514">
        <v>9</v>
      </c>
      <c r="S23" s="514">
        <v>0</v>
      </c>
      <c r="T23" s="514">
        <v>0</v>
      </c>
      <c r="U23" s="514">
        <v>0</v>
      </c>
      <c r="V23" s="514">
        <v>-16</v>
      </c>
      <c r="W23" s="514">
        <v>0</v>
      </c>
      <c r="X23" s="445">
        <f>SUM(E23:W23)</f>
        <v>803</v>
      </c>
      <c r="Y23" s="719">
        <f>21-'[7]Washington Gas'!$L$89</f>
        <v>13.065818</v>
      </c>
      <c r="Z23" s="514">
        <v>-25</v>
      </c>
      <c r="AA23" s="514">
        <v>12</v>
      </c>
      <c r="AB23" s="514">
        <v>0</v>
      </c>
      <c r="AC23" s="514">
        <v>0</v>
      </c>
      <c r="AD23" s="514">
        <v>0</v>
      </c>
      <c r="AE23" s="514">
        <v>0</v>
      </c>
      <c r="AF23" s="514">
        <v>0</v>
      </c>
      <c r="AG23" s="446">
        <v>0</v>
      </c>
      <c r="AH23" s="446">
        <v>0</v>
      </c>
      <c r="AI23" s="514">
        <v>0</v>
      </c>
      <c r="AJ23" s="477">
        <f>SUM(X23:AI23)</f>
        <v>803.06581800000004</v>
      </c>
      <c r="AK23" s="446">
        <v>0</v>
      </c>
      <c r="AL23" s="446">
        <v>0</v>
      </c>
      <c r="AM23" s="446">
        <v>0</v>
      </c>
      <c r="AN23" s="514">
        <v>0</v>
      </c>
      <c r="AO23" s="514">
        <v>0</v>
      </c>
      <c r="AP23" s="514">
        <v>0</v>
      </c>
      <c r="AQ23" s="514">
        <v>0</v>
      </c>
      <c r="AR23" s="477">
        <f>SUM(AJ23:AQ23)</f>
        <v>803.06581800000004</v>
      </c>
      <c r="AS23" s="630">
        <v>0</v>
      </c>
      <c r="AT23" s="477">
        <f>SUM(AR23:AS23)</f>
        <v>803.06581800000004</v>
      </c>
      <c r="AU23" s="467">
        <f>SUM(AT23:AT23)</f>
        <v>803.06581800000004</v>
      </c>
      <c r="AV23" s="552"/>
      <c r="AW23" s="486"/>
      <c r="AX23" s="486"/>
      <c r="AZ23" s="477">
        <f t="shared" si="33"/>
        <v>803.06581800000004</v>
      </c>
      <c r="BA23" s="446"/>
      <c r="BB23" s="446">
        <v>0</v>
      </c>
      <c r="BC23" s="514">
        <v>0</v>
      </c>
      <c r="BD23" s="514">
        <v>0</v>
      </c>
      <c r="BE23" s="446">
        <v>0</v>
      </c>
      <c r="BF23" s="446">
        <v>0</v>
      </c>
      <c r="BG23" s="477">
        <f>SUM(AZ23:BF23)</f>
        <v>803.06581800000004</v>
      </c>
      <c r="BH23" s="630">
        <v>0</v>
      </c>
      <c r="BI23" s="565">
        <f>SUM(BG23:BH23)</f>
        <v>803.06581800000004</v>
      </c>
      <c r="BJ23" s="477">
        <f>BI23-AU23</f>
        <v>0</v>
      </c>
    </row>
    <row r="24" spans="1:62">
      <c r="A24" s="186">
        <v>7</v>
      </c>
      <c r="C24" s="4" t="s">
        <v>42</v>
      </c>
      <c r="D24" s="4"/>
      <c r="E24" s="332">
        <f>'ROO INPUT'!$F24</f>
        <v>8665</v>
      </c>
      <c r="F24" s="447">
        <v>0</v>
      </c>
      <c r="G24" s="447">
        <v>0</v>
      </c>
      <c r="H24" s="447">
        <v>0</v>
      </c>
      <c r="I24" s="447">
        <v>0</v>
      </c>
      <c r="J24" s="447">
        <v>0</v>
      </c>
      <c r="K24" s="447">
        <v>0</v>
      </c>
      <c r="L24" s="447">
        <v>0</v>
      </c>
      <c r="M24" s="447">
        <v>0</v>
      </c>
      <c r="N24" s="447">
        <v>0</v>
      </c>
      <c r="O24" s="447">
        <v>0</v>
      </c>
      <c r="P24" s="447">
        <v>0</v>
      </c>
      <c r="Q24" s="447">
        <v>0</v>
      </c>
      <c r="R24" s="447">
        <v>0</v>
      </c>
      <c r="S24" s="447">
        <v>-8665</v>
      </c>
      <c r="T24" s="447">
        <v>0</v>
      </c>
      <c r="U24" s="447">
        <v>0</v>
      </c>
      <c r="V24" s="447">
        <v>0</v>
      </c>
      <c r="W24" s="447">
        <v>0</v>
      </c>
      <c r="X24" s="448">
        <f>SUM(E24:W24)</f>
        <v>0</v>
      </c>
      <c r="Y24" s="447">
        <v>0</v>
      </c>
      <c r="Z24" s="447">
        <v>0</v>
      </c>
      <c r="AA24" s="447">
        <v>0</v>
      </c>
      <c r="AB24" s="447">
        <v>0</v>
      </c>
      <c r="AC24" s="447">
        <v>0</v>
      </c>
      <c r="AD24" s="447">
        <v>0</v>
      </c>
      <c r="AE24" s="447">
        <v>0</v>
      </c>
      <c r="AF24" s="447">
        <v>0</v>
      </c>
      <c r="AG24" s="447">
        <v>0</v>
      </c>
      <c r="AH24" s="447">
        <v>0</v>
      </c>
      <c r="AI24" s="447">
        <v>0</v>
      </c>
      <c r="AJ24" s="478">
        <f>SUM(X24:AI24)</f>
        <v>0</v>
      </c>
      <c r="AK24" s="447">
        <v>0</v>
      </c>
      <c r="AL24" s="447">
        <v>0</v>
      </c>
      <c r="AM24" s="447">
        <v>0</v>
      </c>
      <c r="AN24" s="447">
        <v>0</v>
      </c>
      <c r="AO24" s="447">
        <v>0</v>
      </c>
      <c r="AP24" s="447">
        <v>0</v>
      </c>
      <c r="AQ24" s="447">
        <v>0</v>
      </c>
      <c r="AR24" s="478">
        <f>SUM(AJ24:AQ24)</f>
        <v>0</v>
      </c>
      <c r="AS24" s="631">
        <v>0</v>
      </c>
      <c r="AT24" s="478">
        <f>SUM(AR24:AS24)</f>
        <v>0</v>
      </c>
      <c r="AU24" s="468">
        <f>SUM(AT24:AT24)</f>
        <v>0</v>
      </c>
      <c r="AV24" s="552"/>
      <c r="AW24" s="486"/>
      <c r="AX24" s="486"/>
      <c r="AZ24" s="478">
        <f t="shared" si="33"/>
        <v>0</v>
      </c>
      <c r="BA24" s="447">
        <v>0</v>
      </c>
      <c r="BB24" s="447">
        <v>0</v>
      </c>
      <c r="BC24" s="447">
        <v>0</v>
      </c>
      <c r="BD24" s="447">
        <v>0</v>
      </c>
      <c r="BE24" s="447">
        <v>0</v>
      </c>
      <c r="BF24" s="447">
        <v>0</v>
      </c>
      <c r="BG24" s="478">
        <f>SUM(AZ24:BF24)</f>
        <v>0</v>
      </c>
      <c r="BH24" s="631">
        <v>0</v>
      </c>
      <c r="BI24" s="557">
        <f>SUM(BG24:BH24)</f>
        <v>0</v>
      </c>
      <c r="BJ24" s="478">
        <f>BI24-AU24</f>
        <v>0</v>
      </c>
    </row>
    <row r="25" spans="1:62">
      <c r="A25" s="186">
        <v>8</v>
      </c>
      <c r="B25" s="4" t="s">
        <v>43</v>
      </c>
      <c r="C25" s="4"/>
      <c r="E25" s="383">
        <f>SUM(E22:E24)</f>
        <v>174419</v>
      </c>
      <c r="F25" s="383">
        <f t="shared" ref="F25:N25" si="34">SUM(F22:F24)</f>
        <v>0</v>
      </c>
      <c r="G25" s="383">
        <f t="shared" si="34"/>
        <v>0</v>
      </c>
      <c r="H25" s="383">
        <f t="shared" si="34"/>
        <v>0</v>
      </c>
      <c r="I25" s="383">
        <f t="shared" si="34"/>
        <v>0</v>
      </c>
      <c r="J25" s="383">
        <f>SUM(J22:J24)</f>
        <v>0</v>
      </c>
      <c r="K25" s="383">
        <f t="shared" si="34"/>
        <v>0</v>
      </c>
      <c r="L25" s="383">
        <f t="shared" si="34"/>
        <v>0</v>
      </c>
      <c r="M25" s="383">
        <f t="shared" si="34"/>
        <v>0</v>
      </c>
      <c r="N25" s="383">
        <f t="shared" si="34"/>
        <v>0</v>
      </c>
      <c r="O25" s="383">
        <f t="shared" ref="O25:P25" si="35">SUM(O22:O24)</f>
        <v>0</v>
      </c>
      <c r="P25" s="383">
        <f t="shared" si="35"/>
        <v>0</v>
      </c>
      <c r="Q25" s="383">
        <f>SUM(Q22:Q24)</f>
        <v>0</v>
      </c>
      <c r="R25" s="383">
        <f>SUM(R22:R24)</f>
        <v>10609</v>
      </c>
      <c r="S25" s="383">
        <f>SUM(S22:S24)</f>
        <v>-97650</v>
      </c>
      <c r="T25" s="383">
        <f t="shared" ref="T25" si="36">SUM(T22:T24)</f>
        <v>0</v>
      </c>
      <c r="U25" s="383">
        <f>SUM(U22:U24)</f>
        <v>0</v>
      </c>
      <c r="V25" s="383">
        <f>SUM(V22:V24)</f>
        <v>-16</v>
      </c>
      <c r="W25" s="383">
        <f>SUM(W22:W24)</f>
        <v>0</v>
      </c>
      <c r="X25" s="445">
        <f>SUM(X22:X24)</f>
        <v>87362</v>
      </c>
      <c r="Y25" s="383">
        <f t="shared" ref="Y25:Z25" si="37">SUM(Y22:Y24)</f>
        <v>13.065818</v>
      </c>
      <c r="Z25" s="383">
        <f t="shared" si="37"/>
        <v>-25</v>
      </c>
      <c r="AA25" s="383">
        <f>SUM(AA22:AA24)</f>
        <v>12</v>
      </c>
      <c r="AB25" s="383">
        <f>SUM(AB22:AB24)</f>
        <v>0</v>
      </c>
      <c r="AC25" s="383">
        <f t="shared" ref="AC25:AK25" si="38">SUM(AC22:AC24)</f>
        <v>0</v>
      </c>
      <c r="AD25" s="383">
        <f>SUM(AD22:AD24)</f>
        <v>-86559</v>
      </c>
      <c r="AE25" s="383">
        <f t="shared" ref="AE25" si="39">SUM(AE22:AE24)</f>
        <v>0</v>
      </c>
      <c r="AF25" s="383">
        <f>SUM(AF22:AF24)</f>
        <v>0</v>
      </c>
      <c r="AG25" s="604">
        <f>SUM(AG22:AG24)</f>
        <v>0</v>
      </c>
      <c r="AH25" s="604">
        <f>SUM(AH22:AH24)</f>
        <v>0</v>
      </c>
      <c r="AI25" s="383">
        <f>SUM(AI22:AI24)</f>
        <v>0</v>
      </c>
      <c r="AJ25" s="477">
        <f t="shared" si="38"/>
        <v>803.06581800000004</v>
      </c>
      <c r="AK25" s="337">
        <f t="shared" si="38"/>
        <v>0</v>
      </c>
      <c r="AL25" s="337">
        <f t="shared" ref="AL25:AR25" si="40">SUM(AL22:AL24)</f>
        <v>0</v>
      </c>
      <c r="AM25" s="337">
        <f>SUM(AM22:AM24)</f>
        <v>0</v>
      </c>
      <c r="AN25" s="383">
        <f t="shared" si="40"/>
        <v>0</v>
      </c>
      <c r="AO25" s="383">
        <f t="shared" ref="AO25:AQ25" si="41">SUM(AO22:AO24)</f>
        <v>0</v>
      </c>
      <c r="AP25" s="383">
        <f>SUM(AP22:AP24)</f>
        <v>0</v>
      </c>
      <c r="AQ25" s="383">
        <f t="shared" si="41"/>
        <v>0</v>
      </c>
      <c r="AR25" s="477">
        <f t="shared" si="40"/>
        <v>803.06581800000004</v>
      </c>
      <c r="AS25" s="632">
        <f t="shared" ref="AS25" si="42">SUM(AS22:AS24)</f>
        <v>0</v>
      </c>
      <c r="AT25" s="477">
        <f t="shared" ref="AT25:AU25" si="43">SUM(AT22:AT24)</f>
        <v>803.06581800000004</v>
      </c>
      <c r="AU25" s="467">
        <f t="shared" si="43"/>
        <v>803.06581800000004</v>
      </c>
      <c r="AV25" s="552"/>
      <c r="AW25" s="486"/>
      <c r="AX25" s="486"/>
      <c r="AZ25" s="477">
        <f t="shared" ref="AZ25:BA25" si="44">SUM(AZ22:AZ24)</f>
        <v>803.06581800000004</v>
      </c>
      <c r="BA25" s="337">
        <f t="shared" si="44"/>
        <v>0</v>
      </c>
      <c r="BB25" s="337">
        <f t="shared" ref="BB25" si="45">SUM(BB22:BB24)</f>
        <v>0</v>
      </c>
      <c r="BC25" s="383">
        <f>SUM(BC22:BC24)</f>
        <v>0</v>
      </c>
      <c r="BD25" s="383">
        <f>SUM(BD22:BD24)</f>
        <v>0</v>
      </c>
      <c r="BE25" s="337">
        <f>SUM(BE22:BE24)</f>
        <v>0</v>
      </c>
      <c r="BF25" s="337">
        <f>SUM(BF22:BF24)</f>
        <v>0</v>
      </c>
      <c r="BG25" s="477">
        <f t="shared" ref="BG25:BJ25" si="46">SUM(BG22:BG24)</f>
        <v>803.06581800000004</v>
      </c>
      <c r="BH25" s="632">
        <f t="shared" si="46"/>
        <v>0</v>
      </c>
      <c r="BI25" s="565">
        <f t="shared" si="46"/>
        <v>803.06581800000004</v>
      </c>
      <c r="BJ25" s="477">
        <f t="shared" si="46"/>
        <v>0</v>
      </c>
    </row>
    <row r="26" spans="1:62">
      <c r="B26" s="4"/>
      <c r="C26" s="4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445"/>
      <c r="Y26" s="331"/>
      <c r="Z26" s="331"/>
      <c r="AA26" s="331"/>
      <c r="AB26" s="331"/>
      <c r="AC26" s="331"/>
      <c r="AD26" s="331"/>
      <c r="AE26" s="383"/>
      <c r="AF26" s="383"/>
      <c r="AG26" s="604"/>
      <c r="AH26" s="604"/>
      <c r="AI26" s="331"/>
      <c r="AJ26" s="477"/>
      <c r="AK26" s="604"/>
      <c r="AL26" s="604"/>
      <c r="AM26" s="604"/>
      <c r="AN26" s="331"/>
      <c r="AO26" s="331"/>
      <c r="AP26" s="331"/>
      <c r="AQ26" s="331"/>
      <c r="AR26" s="477"/>
      <c r="AS26" s="632"/>
      <c r="AT26" s="477"/>
      <c r="AU26" s="467"/>
      <c r="AV26" s="552"/>
      <c r="AW26" s="486"/>
      <c r="AX26" s="486"/>
      <c r="AZ26" s="477"/>
      <c r="BA26" s="604"/>
      <c r="BB26" s="604"/>
      <c r="BC26" s="331"/>
      <c r="BD26" s="331"/>
      <c r="BE26" s="604"/>
      <c r="BF26" s="604"/>
      <c r="BG26" s="477"/>
      <c r="BH26" s="632"/>
      <c r="BI26" s="565"/>
      <c r="BJ26" s="477"/>
    </row>
    <row r="27" spans="1:62">
      <c r="B27" s="4" t="s">
        <v>44</v>
      </c>
      <c r="D27" s="4"/>
      <c r="E27" s="331"/>
      <c r="F27" s="514"/>
      <c r="G27" s="514"/>
      <c r="H27" s="514"/>
      <c r="I27" s="514"/>
      <c r="J27" s="514"/>
      <c r="K27" s="514"/>
      <c r="L27" s="514"/>
      <c r="M27" s="514"/>
      <c r="N27" s="514"/>
      <c r="O27" s="514"/>
      <c r="P27" s="514"/>
      <c r="Q27" s="514"/>
      <c r="R27" s="514"/>
      <c r="S27" s="514"/>
      <c r="T27" s="514"/>
      <c r="U27" s="514"/>
      <c r="V27" s="514"/>
      <c r="W27" s="514"/>
      <c r="X27" s="445"/>
      <c r="Y27" s="514"/>
      <c r="Z27" s="514"/>
      <c r="AA27" s="514"/>
      <c r="AB27" s="514"/>
      <c r="AC27" s="514"/>
      <c r="AD27" s="514"/>
      <c r="AE27" s="514"/>
      <c r="AF27" s="514"/>
      <c r="AG27" s="446"/>
      <c r="AH27" s="446"/>
      <c r="AI27" s="514"/>
      <c r="AJ27" s="477"/>
      <c r="AK27" s="446"/>
      <c r="AL27" s="446"/>
      <c r="AM27" s="446"/>
      <c r="AN27" s="514"/>
      <c r="AO27" s="514"/>
      <c r="AP27" s="514"/>
      <c r="AQ27" s="514"/>
      <c r="AR27" s="477"/>
      <c r="AS27" s="630"/>
      <c r="AT27" s="477"/>
      <c r="AU27" s="467"/>
      <c r="AV27" s="552"/>
      <c r="AW27" s="486"/>
      <c r="AX27" s="486"/>
      <c r="AZ27" s="477"/>
      <c r="BA27" s="446"/>
      <c r="BB27" s="446"/>
      <c r="BC27" s="514"/>
      <c r="BD27" s="514"/>
      <c r="BE27" s="446"/>
      <c r="BF27" s="446"/>
      <c r="BG27" s="477"/>
      <c r="BH27" s="630"/>
      <c r="BI27" s="565"/>
      <c r="BJ27" s="477"/>
    </row>
    <row r="28" spans="1:62">
      <c r="A28" s="186">
        <v>9</v>
      </c>
      <c r="C28" s="4" t="s">
        <v>45</v>
      </c>
      <c r="D28" s="4"/>
      <c r="E28" s="331">
        <f>'ROO INPUT'!$F28</f>
        <v>833</v>
      </c>
      <c r="F28" s="514">
        <v>0</v>
      </c>
      <c r="G28" s="514">
        <v>0</v>
      </c>
      <c r="H28" s="514">
        <v>0</v>
      </c>
      <c r="I28" s="514">
        <v>0</v>
      </c>
      <c r="J28" s="514">
        <v>0</v>
      </c>
      <c r="K28" s="514">
        <v>0</v>
      </c>
      <c r="L28" s="514">
        <v>0</v>
      </c>
      <c r="M28" s="514">
        <v>0</v>
      </c>
      <c r="N28" s="514">
        <v>0</v>
      </c>
      <c r="O28" s="514">
        <v>0</v>
      </c>
      <c r="P28" s="514">
        <v>0</v>
      </c>
      <c r="Q28" s="514">
        <v>0</v>
      </c>
      <c r="R28" s="514">
        <v>0</v>
      </c>
      <c r="S28" s="514">
        <v>0</v>
      </c>
      <c r="T28" s="514">
        <v>0</v>
      </c>
      <c r="U28" s="514">
        <v>0</v>
      </c>
      <c r="V28" s="514">
        <v>0</v>
      </c>
      <c r="W28" s="514">
        <v>0</v>
      </c>
      <c r="X28" s="445">
        <f>SUM(E28:W28)</f>
        <v>833</v>
      </c>
      <c r="Y28" s="514">
        <f>0-'[7]Washington Gas'!$L$90</f>
        <v>-7.5600000000000001E-2</v>
      </c>
      <c r="Z28" s="514">
        <v>0</v>
      </c>
      <c r="AA28" s="514">
        <v>-0.20699999999999999</v>
      </c>
      <c r="AB28" s="514">
        <v>0</v>
      </c>
      <c r="AC28" s="514">
        <v>0</v>
      </c>
      <c r="AD28" s="514">
        <v>0</v>
      </c>
      <c r="AE28" s="514">
        <v>0</v>
      </c>
      <c r="AF28" s="514">
        <v>0</v>
      </c>
      <c r="AG28" s="446">
        <v>0</v>
      </c>
      <c r="AH28" s="446">
        <v>0</v>
      </c>
      <c r="AI28" s="514">
        <v>0</v>
      </c>
      <c r="AJ28" s="477">
        <f>SUM(X28:AI28)</f>
        <v>832.7174</v>
      </c>
      <c r="AK28" s="446">
        <v>0</v>
      </c>
      <c r="AL28" s="446">
        <v>0</v>
      </c>
      <c r="AM28" s="446">
        <v>0</v>
      </c>
      <c r="AN28" s="514">
        <v>0</v>
      </c>
      <c r="AO28" s="514">
        <v>0</v>
      </c>
      <c r="AP28" s="514">
        <v>0</v>
      </c>
      <c r="AQ28" s="514">
        <v>0</v>
      </c>
      <c r="AR28" s="477">
        <f>SUM(AJ28:AQ28)</f>
        <v>832.7174</v>
      </c>
      <c r="AS28" s="630">
        <v>0</v>
      </c>
      <c r="AT28" s="477">
        <f>SUM(AR28:AS28)</f>
        <v>832.7174</v>
      </c>
      <c r="AU28" s="467">
        <f>SUM(AT28:AT28)</f>
        <v>832.7174</v>
      </c>
      <c r="AV28" s="552"/>
      <c r="AW28" s="486"/>
      <c r="AX28" s="486"/>
      <c r="AZ28" s="477">
        <f t="shared" ref="AZ28:AZ30" si="47">AU28</f>
        <v>832.7174</v>
      </c>
      <c r="BA28" s="446">
        <v>0</v>
      </c>
      <c r="BB28" s="446">
        <v>0</v>
      </c>
      <c r="BC28" s="514">
        <v>0</v>
      </c>
      <c r="BD28" s="514">
        <v>0</v>
      </c>
      <c r="BE28" s="446">
        <v>0</v>
      </c>
      <c r="BF28" s="446">
        <v>0</v>
      </c>
      <c r="BG28" s="477">
        <f>SUM(AZ28:BF28)</f>
        <v>832.7174</v>
      </c>
      <c r="BH28" s="630">
        <v>0</v>
      </c>
      <c r="BI28" s="565">
        <f>SUM(BG28:BH28)</f>
        <v>832.7174</v>
      </c>
      <c r="BJ28" s="477">
        <f>BI28-AU28</f>
        <v>0</v>
      </c>
    </row>
    <row r="29" spans="1:62">
      <c r="A29" s="186">
        <v>10</v>
      </c>
      <c r="C29" s="4" t="s">
        <v>224</v>
      </c>
      <c r="D29" s="4"/>
      <c r="E29" s="331">
        <f>'ROO INPUT'!$F29</f>
        <v>429</v>
      </c>
      <c r="F29" s="514">
        <v>0</v>
      </c>
      <c r="G29" s="514">
        <v>0</v>
      </c>
      <c r="H29" s="514">
        <v>0</v>
      </c>
      <c r="I29" s="514">
        <v>0</v>
      </c>
      <c r="J29" s="514">
        <v>0</v>
      </c>
      <c r="K29" s="514">
        <v>0</v>
      </c>
      <c r="L29" s="514">
        <v>0</v>
      </c>
      <c r="M29" s="514">
        <v>0</v>
      </c>
      <c r="N29" s="514">
        <v>0</v>
      </c>
      <c r="O29" s="514">
        <v>0</v>
      </c>
      <c r="P29" s="514">
        <v>0</v>
      </c>
      <c r="Q29" s="514">
        <v>0</v>
      </c>
      <c r="R29" s="514">
        <v>0</v>
      </c>
      <c r="S29" s="514">
        <v>0</v>
      </c>
      <c r="T29" s="514">
        <v>0</v>
      </c>
      <c r="U29" s="514">
        <v>0</v>
      </c>
      <c r="V29" s="514">
        <v>0</v>
      </c>
      <c r="W29" s="514">
        <v>0</v>
      </c>
      <c r="X29" s="445">
        <f>SUM(E29:W29)</f>
        <v>429</v>
      </c>
      <c r="Y29" s="514">
        <v>0</v>
      </c>
      <c r="Z29" s="514">
        <v>0</v>
      </c>
      <c r="AA29" s="514">
        <v>0</v>
      </c>
      <c r="AB29" s="514">
        <v>0</v>
      </c>
      <c r="AC29" s="514">
        <v>0</v>
      </c>
      <c r="AD29" s="514">
        <v>0</v>
      </c>
      <c r="AE29" s="514">
        <v>0</v>
      </c>
      <c r="AF29" s="514">
        <v>0</v>
      </c>
      <c r="AG29" s="446">
        <v>-2</v>
      </c>
      <c r="AH29" s="446">
        <v>0</v>
      </c>
      <c r="AI29" s="514">
        <v>0</v>
      </c>
      <c r="AJ29" s="477">
        <f>SUM(X29:AI29)</f>
        <v>427</v>
      </c>
      <c r="AK29" s="446">
        <v>0</v>
      </c>
      <c r="AL29" s="446">
        <v>0</v>
      </c>
      <c r="AM29" s="446">
        <v>0</v>
      </c>
      <c r="AN29" s="514">
        <v>0</v>
      </c>
      <c r="AO29" s="514">
        <v>0</v>
      </c>
      <c r="AP29" s="514">
        <v>0</v>
      </c>
      <c r="AQ29" s="514">
        <v>0</v>
      </c>
      <c r="AR29" s="477">
        <f>SUM(AJ29:AQ29)</f>
        <v>427</v>
      </c>
      <c r="AS29" s="630">
        <v>0</v>
      </c>
      <c r="AT29" s="477">
        <f>SUM(AR29:AS29)</f>
        <v>427</v>
      </c>
      <c r="AU29" s="467">
        <f>SUM(AT29:AT29)</f>
        <v>427</v>
      </c>
      <c r="AV29" s="552"/>
      <c r="AW29" s="486"/>
      <c r="AX29" s="486"/>
      <c r="AZ29" s="477">
        <f t="shared" si="47"/>
        <v>427</v>
      </c>
      <c r="BA29" s="446">
        <v>0</v>
      </c>
      <c r="BB29" s="446">
        <v>0</v>
      </c>
      <c r="BC29" s="514">
        <v>0</v>
      </c>
      <c r="BD29" s="514">
        <v>0</v>
      </c>
      <c r="BE29" s="446"/>
      <c r="BF29" s="446">
        <v>0</v>
      </c>
      <c r="BG29" s="477">
        <f>SUM(AZ29:BF29)</f>
        <v>427</v>
      </c>
      <c r="BH29" s="630">
        <v>0</v>
      </c>
      <c r="BI29" s="565">
        <f>SUM(BG29:BH29)</f>
        <v>427</v>
      </c>
      <c r="BJ29" s="477">
        <f>BI29-AU29</f>
        <v>0</v>
      </c>
    </row>
    <row r="30" spans="1:62">
      <c r="A30" s="186">
        <v>11</v>
      </c>
      <c r="C30" s="4" t="s">
        <v>22</v>
      </c>
      <c r="D30" s="4"/>
      <c r="E30" s="332">
        <f>'ROO INPUT'!$F30</f>
        <v>292</v>
      </c>
      <c r="F30" s="447">
        <v>0</v>
      </c>
      <c r="G30" s="447">
        <v>0</v>
      </c>
      <c r="H30" s="447">
        <v>0</v>
      </c>
      <c r="I30" s="447">
        <v>0</v>
      </c>
      <c r="J30" s="447">
        <v>-14</v>
      </c>
      <c r="K30" s="447">
        <v>0</v>
      </c>
      <c r="L30" s="447">
        <v>0</v>
      </c>
      <c r="M30" s="447">
        <v>0</v>
      </c>
      <c r="N30" s="447">
        <v>0</v>
      </c>
      <c r="O30" s="447">
        <v>0</v>
      </c>
      <c r="P30" s="447">
        <v>0</v>
      </c>
      <c r="Q30" s="447">
        <v>0</v>
      </c>
      <c r="R30" s="447">
        <v>0</v>
      </c>
      <c r="S30" s="447">
        <v>0</v>
      </c>
      <c r="T30" s="447">
        <v>0</v>
      </c>
      <c r="U30" s="447">
        <v>0</v>
      </c>
      <c r="V30" s="447">
        <v>0</v>
      </c>
      <c r="W30" s="447">
        <v>0</v>
      </c>
      <c r="X30" s="448">
        <f>SUM(E30:W30)</f>
        <v>278</v>
      </c>
      <c r="Y30" s="447">
        <v>0</v>
      </c>
      <c r="Z30" s="447">
        <v>0</v>
      </c>
      <c r="AA30" s="447">
        <v>0</v>
      </c>
      <c r="AB30" s="447">
        <v>0</v>
      </c>
      <c r="AC30" s="447">
        <v>15</v>
      </c>
      <c r="AD30" s="447">
        <v>0</v>
      </c>
      <c r="AE30" s="447">
        <v>0</v>
      </c>
      <c r="AF30" s="447">
        <v>0</v>
      </c>
      <c r="AG30" s="447">
        <v>0</v>
      </c>
      <c r="AH30" s="447">
        <v>0</v>
      </c>
      <c r="AI30" s="447">
        <v>0</v>
      </c>
      <c r="AJ30" s="478">
        <f>SUM(X30:AI30)</f>
        <v>293</v>
      </c>
      <c r="AK30" s="447">
        <v>0</v>
      </c>
      <c r="AL30" s="447">
        <v>0</v>
      </c>
      <c r="AM30" s="447">
        <v>0</v>
      </c>
      <c r="AN30" s="447">
        <v>0</v>
      </c>
      <c r="AO30" s="447">
        <v>0</v>
      </c>
      <c r="AP30" s="447">
        <v>0</v>
      </c>
      <c r="AQ30" s="447">
        <v>0</v>
      </c>
      <c r="AR30" s="478">
        <f>SUM(AJ30:AQ30)</f>
        <v>293</v>
      </c>
      <c r="AS30" s="631">
        <v>0</v>
      </c>
      <c r="AT30" s="478">
        <f>SUM(AR30:AS30)</f>
        <v>293</v>
      </c>
      <c r="AU30" s="468">
        <f>SUM(AT30:AT30)</f>
        <v>293</v>
      </c>
      <c r="AV30" s="552"/>
      <c r="AW30" s="486"/>
      <c r="AX30" s="486"/>
      <c r="AZ30" s="478">
        <f t="shared" si="47"/>
        <v>293</v>
      </c>
      <c r="BA30" s="447">
        <v>0</v>
      </c>
      <c r="BB30" s="447">
        <v>0</v>
      </c>
      <c r="BC30" s="447">
        <v>0</v>
      </c>
      <c r="BD30" s="447">
        <v>0</v>
      </c>
      <c r="BE30" s="447">
        <v>0</v>
      </c>
      <c r="BF30" s="447">
        <v>0</v>
      </c>
      <c r="BG30" s="478">
        <f>SUM(AZ30:BF30)</f>
        <v>293</v>
      </c>
      <c r="BH30" s="631">
        <v>0</v>
      </c>
      <c r="BI30" s="557">
        <f>SUM(BG30:BH30)</f>
        <v>293</v>
      </c>
      <c r="BJ30" s="478">
        <f>BI30-AU30</f>
        <v>0</v>
      </c>
    </row>
    <row r="31" spans="1:62">
      <c r="A31" s="186">
        <v>12</v>
      </c>
      <c r="B31" s="4" t="s">
        <v>47</v>
      </c>
      <c r="C31" s="4"/>
      <c r="E31" s="331">
        <f t="shared" ref="E31:AA31" si="48">SUM(E28:E30)</f>
        <v>1554</v>
      </c>
      <c r="F31" s="331">
        <f t="shared" si="48"/>
        <v>0</v>
      </c>
      <c r="G31" s="331">
        <f t="shared" si="48"/>
        <v>0</v>
      </c>
      <c r="H31" s="331">
        <f t="shared" si="48"/>
        <v>0</v>
      </c>
      <c r="I31" s="331">
        <f t="shared" si="48"/>
        <v>0</v>
      </c>
      <c r="J31" s="331">
        <f>SUM(J28:J30)</f>
        <v>-14</v>
      </c>
      <c r="K31" s="331">
        <f t="shared" si="48"/>
        <v>0</v>
      </c>
      <c r="L31" s="331">
        <f t="shared" si="48"/>
        <v>0</v>
      </c>
      <c r="M31" s="331">
        <f t="shared" si="48"/>
        <v>0</v>
      </c>
      <c r="N31" s="331">
        <f t="shared" si="48"/>
        <v>0</v>
      </c>
      <c r="O31" s="331">
        <f t="shared" ref="O31:P31" si="49">SUM(O28:O30)</f>
        <v>0</v>
      </c>
      <c r="P31" s="331">
        <f t="shared" si="49"/>
        <v>0</v>
      </c>
      <c r="Q31" s="331">
        <f>SUM(Q28:Q30)</f>
        <v>0</v>
      </c>
      <c r="R31" s="331">
        <f>SUM(R28:R30)</f>
        <v>0</v>
      </c>
      <c r="S31" s="331">
        <f>SUM(S28:S30)</f>
        <v>0</v>
      </c>
      <c r="T31" s="331">
        <f t="shared" ref="T31" si="50">SUM(T28:T30)</f>
        <v>0</v>
      </c>
      <c r="U31" s="331">
        <f>SUM(U28:U30)</f>
        <v>0</v>
      </c>
      <c r="V31" s="331">
        <f t="shared" si="48"/>
        <v>0</v>
      </c>
      <c r="W31" s="331">
        <f>SUM(W28:W30)</f>
        <v>0</v>
      </c>
      <c r="X31" s="445">
        <f t="shared" si="48"/>
        <v>1540</v>
      </c>
      <c r="Y31" s="331">
        <f t="shared" si="48"/>
        <v>-7.5600000000000001E-2</v>
      </c>
      <c r="Z31" s="331">
        <f t="shared" si="48"/>
        <v>0</v>
      </c>
      <c r="AA31" s="331">
        <f t="shared" si="48"/>
        <v>-0.20699999999999999</v>
      </c>
      <c r="AB31" s="331">
        <f>SUM(AB28:AB30)</f>
        <v>0</v>
      </c>
      <c r="AC31" s="331">
        <f t="shared" ref="AC31:AK31" si="51">SUM(AC28:AC30)</f>
        <v>15</v>
      </c>
      <c r="AD31" s="331">
        <f>SUM(AD28:AD30)</f>
        <v>0</v>
      </c>
      <c r="AE31" s="383">
        <f t="shared" ref="AE31" si="52">SUM(AE28:AE30)</f>
        <v>0</v>
      </c>
      <c r="AF31" s="383">
        <f>SUM(AF28:AF30)</f>
        <v>0</v>
      </c>
      <c r="AG31" s="604">
        <f>SUM(AG28:AG30)</f>
        <v>-2</v>
      </c>
      <c r="AH31" s="604">
        <f>SUM(AH28:AH30)</f>
        <v>0</v>
      </c>
      <c r="AI31" s="331">
        <f>SUM(AI28:AI30)</f>
        <v>0</v>
      </c>
      <c r="AJ31" s="477">
        <f t="shared" si="51"/>
        <v>1552.7174</v>
      </c>
      <c r="AK31" s="604">
        <f t="shared" si="51"/>
        <v>0</v>
      </c>
      <c r="AL31" s="604">
        <f t="shared" ref="AL31:AR31" si="53">SUM(AL28:AL30)</f>
        <v>0</v>
      </c>
      <c r="AM31" s="604">
        <f>SUM(AM28:AM30)</f>
        <v>0</v>
      </c>
      <c r="AN31" s="331">
        <f t="shared" si="53"/>
        <v>0</v>
      </c>
      <c r="AO31" s="331">
        <f t="shared" ref="AO31" si="54">SUM(AO28:AO30)</f>
        <v>0</v>
      </c>
      <c r="AP31" s="331">
        <f>SUM(AP28:AP30)</f>
        <v>0</v>
      </c>
      <c r="AQ31" s="331">
        <f>SUM(AQ28:AQ30)</f>
        <v>0</v>
      </c>
      <c r="AR31" s="477">
        <f t="shared" si="53"/>
        <v>1552.7174</v>
      </c>
      <c r="AS31" s="632">
        <f t="shared" ref="AS31" si="55">SUM(AS28:AS30)</f>
        <v>0</v>
      </c>
      <c r="AT31" s="477">
        <f t="shared" ref="AT31:AU31" si="56">SUM(AT28:AT30)</f>
        <v>1552.7174</v>
      </c>
      <c r="AU31" s="467">
        <f t="shared" si="56"/>
        <v>1552.7174</v>
      </c>
      <c r="AV31" s="552"/>
      <c r="AW31" s="486"/>
      <c r="AX31" s="486"/>
      <c r="AZ31" s="477">
        <f t="shared" ref="AZ31:BA31" si="57">SUM(AZ28:AZ30)</f>
        <v>1552.7174</v>
      </c>
      <c r="BA31" s="604">
        <f t="shared" si="57"/>
        <v>0</v>
      </c>
      <c r="BB31" s="604">
        <f t="shared" ref="BB31" si="58">SUM(BB28:BB30)</f>
        <v>0</v>
      </c>
      <c r="BC31" s="331">
        <f>SUM(BC28:BC30)</f>
        <v>0</v>
      </c>
      <c r="BD31" s="331">
        <f>SUM(BD28:BD30)</f>
        <v>0</v>
      </c>
      <c r="BE31" s="604">
        <f>SUM(BE28:BE30)</f>
        <v>0</v>
      </c>
      <c r="BF31" s="604">
        <f>SUM(BF28:BF30)</f>
        <v>0</v>
      </c>
      <c r="BG31" s="477">
        <f t="shared" ref="BG31:BJ31" si="59">SUM(BG28:BG30)</f>
        <v>1552.7174</v>
      </c>
      <c r="BH31" s="632">
        <f t="shared" si="59"/>
        <v>0</v>
      </c>
      <c r="BI31" s="565">
        <f t="shared" si="59"/>
        <v>1552.7174</v>
      </c>
      <c r="BJ31" s="477">
        <f t="shared" si="59"/>
        <v>0</v>
      </c>
    </row>
    <row r="32" spans="1:62">
      <c r="B32" s="4"/>
      <c r="C32" s="4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445"/>
      <c r="Y32" s="331"/>
      <c r="Z32" s="331"/>
      <c r="AA32" s="331"/>
      <c r="AB32" s="331"/>
      <c r="AC32" s="331"/>
      <c r="AD32" s="331"/>
      <c r="AE32" s="383"/>
      <c r="AF32" s="383"/>
      <c r="AG32" s="604"/>
      <c r="AH32" s="604"/>
      <c r="AI32" s="331"/>
      <c r="AJ32" s="477"/>
      <c r="AK32" s="604"/>
      <c r="AL32" s="604"/>
      <c r="AM32" s="604"/>
      <c r="AN32" s="331"/>
      <c r="AO32" s="331"/>
      <c r="AP32" s="331"/>
      <c r="AQ32" s="331"/>
      <c r="AR32" s="477"/>
      <c r="AS32" s="632"/>
      <c r="AT32" s="477"/>
      <c r="AU32" s="467"/>
      <c r="AV32" s="552"/>
      <c r="AW32" s="486"/>
      <c r="AX32" s="486"/>
      <c r="AZ32" s="477"/>
      <c r="BA32" s="604"/>
      <c r="BB32" s="604"/>
      <c r="BC32" s="331"/>
      <c r="BD32" s="331"/>
      <c r="BE32" s="604"/>
      <c r="BF32" s="604"/>
      <c r="BG32" s="477"/>
      <c r="BH32" s="632"/>
      <c r="BI32" s="565"/>
      <c r="BJ32" s="477"/>
    </row>
    <row r="33" spans="1:62">
      <c r="B33" s="4" t="s">
        <v>48</v>
      </c>
      <c r="D33" s="4"/>
      <c r="E33" s="331"/>
      <c r="F33" s="514"/>
      <c r="G33" s="514"/>
      <c r="H33" s="514"/>
      <c r="I33" s="514"/>
      <c r="J33" s="514"/>
      <c r="K33" s="514"/>
      <c r="L33" s="514"/>
      <c r="M33" s="514"/>
      <c r="N33" s="514"/>
      <c r="O33" s="514"/>
      <c r="P33" s="514"/>
      <c r="Q33" s="514"/>
      <c r="R33" s="514"/>
      <c r="S33" s="514"/>
      <c r="T33" s="514"/>
      <c r="U33" s="514"/>
      <c r="V33" s="514"/>
      <c r="W33" s="514"/>
      <c r="X33" s="445"/>
      <c r="Y33" s="514"/>
      <c r="Z33" s="514"/>
      <c r="AA33" s="514"/>
      <c r="AB33" s="514"/>
      <c r="AC33" s="514"/>
      <c r="AD33" s="514"/>
      <c r="AE33" s="514"/>
      <c r="AF33" s="514"/>
      <c r="AG33" s="446"/>
      <c r="AH33" s="446"/>
      <c r="AI33" s="514"/>
      <c r="AJ33" s="477"/>
      <c r="AK33" s="446"/>
      <c r="AL33" s="446"/>
      <c r="AM33" s="446"/>
      <c r="AN33" s="514"/>
      <c r="AO33" s="514"/>
      <c r="AP33" s="514"/>
      <c r="AQ33" s="514"/>
      <c r="AR33" s="477"/>
      <c r="AS33" s="630"/>
      <c r="AT33" s="477"/>
      <c r="AU33" s="467"/>
      <c r="AV33" s="552"/>
      <c r="AW33" s="486"/>
      <c r="AX33" s="486"/>
      <c r="AZ33" s="477"/>
      <c r="BA33" s="446"/>
      <c r="BB33" s="446"/>
      <c r="BC33" s="514"/>
      <c r="BD33" s="514"/>
      <c r="BE33" s="446"/>
      <c r="BF33" s="446"/>
      <c r="BG33" s="477"/>
      <c r="BH33" s="630"/>
      <c r="BI33" s="565"/>
      <c r="BJ33" s="477"/>
    </row>
    <row r="34" spans="1:62">
      <c r="A34" s="186">
        <v>13</v>
      </c>
      <c r="C34" s="4" t="s">
        <v>45</v>
      </c>
      <c r="D34" s="4"/>
      <c r="E34" s="331">
        <f>'ROO INPUT'!$F34</f>
        <v>11531</v>
      </c>
      <c r="F34" s="514">
        <v>0</v>
      </c>
      <c r="G34" s="514">
        <v>0</v>
      </c>
      <c r="H34" s="514">
        <v>0</v>
      </c>
      <c r="I34" s="514">
        <v>0</v>
      </c>
      <c r="J34" s="514">
        <v>0</v>
      </c>
      <c r="K34" s="514">
        <v>0</v>
      </c>
      <c r="L34" s="514">
        <v>0</v>
      </c>
      <c r="M34" s="514">
        <v>0</v>
      </c>
      <c r="N34" s="514">
        <v>0</v>
      </c>
      <c r="O34" s="514">
        <v>0</v>
      </c>
      <c r="P34" s="514">
        <v>0</v>
      </c>
      <c r="Q34" s="514">
        <v>0</v>
      </c>
      <c r="R34" s="514">
        <v>0</v>
      </c>
      <c r="S34" s="514">
        <v>0</v>
      </c>
      <c r="T34" s="514">
        <v>0</v>
      </c>
      <c r="U34" s="514">
        <v>0</v>
      </c>
      <c r="V34" s="514">
        <v>-218</v>
      </c>
      <c r="W34" s="514">
        <v>0</v>
      </c>
      <c r="X34" s="445">
        <f>SUM(E34:W34)</f>
        <v>11313</v>
      </c>
      <c r="Y34" s="719">
        <f>284-'[7]Washington Gas'!$L$91</f>
        <v>170.575974</v>
      </c>
      <c r="Z34" s="514"/>
      <c r="AA34" s="514">
        <v>144</v>
      </c>
      <c r="AB34" s="514">
        <v>104</v>
      </c>
      <c r="AC34" s="514">
        <v>0</v>
      </c>
      <c r="AD34" s="514">
        <v>0</v>
      </c>
      <c r="AE34" s="514">
        <v>236</v>
      </c>
      <c r="AF34" s="514">
        <v>0</v>
      </c>
      <c r="AG34" s="446">
        <v>0</v>
      </c>
      <c r="AH34" s="446">
        <v>0</v>
      </c>
      <c r="AI34" s="514">
        <v>0</v>
      </c>
      <c r="AJ34" s="477">
        <f>SUM(X34:AI34)</f>
        <v>11967.575973999999</v>
      </c>
      <c r="AK34" s="446">
        <v>0</v>
      </c>
      <c r="AL34" s="446">
        <v>0</v>
      </c>
      <c r="AM34" s="446">
        <v>0</v>
      </c>
      <c r="AN34" s="514">
        <v>0</v>
      </c>
      <c r="AO34" s="514">
        <v>0</v>
      </c>
      <c r="AP34" s="514">
        <v>0</v>
      </c>
      <c r="AQ34" s="514">
        <v>0</v>
      </c>
      <c r="AR34" s="477">
        <f>SUM(AJ34:AQ34)</f>
        <v>11967.575973999999</v>
      </c>
      <c r="AS34" s="630">
        <v>0</v>
      </c>
      <c r="AT34" s="477">
        <f>SUM(AR34:AS34)</f>
        <v>11967.575973999999</v>
      </c>
      <c r="AU34" s="467">
        <f>SUM(AT34:AT34)</f>
        <v>11967.575973999999</v>
      </c>
      <c r="AV34" s="552"/>
      <c r="AW34" s="486"/>
      <c r="AX34" s="486"/>
      <c r="AZ34" s="477">
        <f t="shared" ref="AZ34:AZ36" si="60">AU34</f>
        <v>11967.575973999999</v>
      </c>
      <c r="BA34" s="446"/>
      <c r="BB34" s="446">
        <v>0</v>
      </c>
      <c r="BC34" s="514">
        <v>0</v>
      </c>
      <c r="BD34" s="514">
        <v>0</v>
      </c>
      <c r="BE34" s="446">
        <v>0</v>
      </c>
      <c r="BF34" s="446"/>
      <c r="BG34" s="477">
        <f>SUM(AZ34:BF34)</f>
        <v>11967.575973999999</v>
      </c>
      <c r="BH34" s="630">
        <v>0</v>
      </c>
      <c r="BI34" s="565">
        <f>SUM(BG34:BH34)</f>
        <v>11967.575973999999</v>
      </c>
      <c r="BJ34" s="477">
        <f>BI34-AU34</f>
        <v>0</v>
      </c>
    </row>
    <row r="35" spans="1:62" ht="15.75" customHeight="1">
      <c r="A35" s="186">
        <v>14</v>
      </c>
      <c r="C35" s="4" t="s">
        <v>224</v>
      </c>
      <c r="D35" s="4"/>
      <c r="E35" s="383">
        <f>'ROO INPUT'!$F35</f>
        <v>8931</v>
      </c>
      <c r="F35" s="514">
        <v>0</v>
      </c>
      <c r="G35" s="514">
        <v>0</v>
      </c>
      <c r="H35" s="514">
        <v>0</v>
      </c>
      <c r="I35" s="514">
        <v>0</v>
      </c>
      <c r="J35" s="514">
        <v>0</v>
      </c>
      <c r="K35" s="514">
        <v>0</v>
      </c>
      <c r="L35" s="514">
        <v>0</v>
      </c>
      <c r="M35" s="514">
        <v>0</v>
      </c>
      <c r="N35" s="514">
        <v>0</v>
      </c>
      <c r="O35" s="514">
        <v>0</v>
      </c>
      <c r="P35" s="514">
        <v>0</v>
      </c>
      <c r="Q35" s="514">
        <v>-6</v>
      </c>
      <c r="R35" s="514">
        <v>0</v>
      </c>
      <c r="S35" s="514">
        <v>0</v>
      </c>
      <c r="T35" s="514">
        <v>0</v>
      </c>
      <c r="U35" s="514">
        <v>0</v>
      </c>
      <c r="V35" s="514">
        <v>0</v>
      </c>
      <c r="W35" s="514">
        <v>0</v>
      </c>
      <c r="X35" s="445">
        <f>SUM(E35:W35)</f>
        <v>8925</v>
      </c>
      <c r="Y35" s="514">
        <v>0</v>
      </c>
      <c r="Z35" s="514">
        <v>0</v>
      </c>
      <c r="AA35" s="514">
        <v>0</v>
      </c>
      <c r="AB35" s="514">
        <v>0</v>
      </c>
      <c r="AC35" s="514">
        <v>0</v>
      </c>
      <c r="AD35" s="514">
        <v>0</v>
      </c>
      <c r="AE35" s="514">
        <v>0</v>
      </c>
      <c r="AF35" s="514">
        <v>0</v>
      </c>
      <c r="AG35" s="446">
        <v>126</v>
      </c>
      <c r="AH35" s="721">
        <f>+'[8]G-CAP SUMMARY'!$D$12</f>
        <v>56.651071320535543</v>
      </c>
      <c r="AI35" s="514">
        <v>0</v>
      </c>
      <c r="AJ35" s="477">
        <f>SUM(X35:AI35)</f>
        <v>9107.6510713205353</v>
      </c>
      <c r="AK35" s="446">
        <v>0</v>
      </c>
      <c r="AL35" s="446">
        <v>0</v>
      </c>
      <c r="AM35" s="446">
        <v>0</v>
      </c>
      <c r="AN35" s="514">
        <v>0</v>
      </c>
      <c r="AO35" s="514">
        <v>0</v>
      </c>
      <c r="AP35" s="514">
        <v>0</v>
      </c>
      <c r="AQ35" s="514">
        <v>0</v>
      </c>
      <c r="AR35" s="477">
        <f>SUM(AJ35:AQ35)</f>
        <v>9107.6510713205353</v>
      </c>
      <c r="AS35" s="630">
        <v>0</v>
      </c>
      <c r="AT35" s="477">
        <f>SUM(AR35:AS35)</f>
        <v>9107.6510713205353</v>
      </c>
      <c r="AU35" s="467">
        <f>SUM(AT35:AT35)</f>
        <v>9107.6510713205353</v>
      </c>
      <c r="AV35" s="552"/>
      <c r="AW35" s="486"/>
      <c r="AX35" s="486"/>
      <c r="AZ35" s="477">
        <f t="shared" si="60"/>
        <v>9107.6510713205353</v>
      </c>
      <c r="BA35" s="446">
        <v>0</v>
      </c>
      <c r="BB35" s="446">
        <v>0</v>
      </c>
      <c r="BC35" s="514">
        <v>0</v>
      </c>
      <c r="BD35" s="514">
        <v>0</v>
      </c>
      <c r="BE35" s="446"/>
      <c r="BF35" s="446"/>
      <c r="BG35" s="477">
        <f>SUM(AZ35:BF35)</f>
        <v>9107.6510713205353</v>
      </c>
      <c r="BH35" s="630">
        <v>0</v>
      </c>
      <c r="BI35" s="565">
        <f>SUM(BG35:BH35)</f>
        <v>9107.6510713205353</v>
      </c>
      <c r="BJ35" s="477">
        <f>BI35-AU35</f>
        <v>0</v>
      </c>
    </row>
    <row r="36" spans="1:62">
      <c r="A36" s="186">
        <v>15</v>
      </c>
      <c r="C36" s="4" t="s">
        <v>22</v>
      </c>
      <c r="D36" s="4"/>
      <c r="E36" s="332">
        <f>'ROO INPUT'!$F36</f>
        <v>14014</v>
      </c>
      <c r="F36" s="447">
        <v>0</v>
      </c>
      <c r="G36" s="447">
        <v>0</v>
      </c>
      <c r="H36" s="447">
        <v>0</v>
      </c>
      <c r="I36" s="447">
        <v>-5612</v>
      </c>
      <c r="J36" s="447">
        <v>-174</v>
      </c>
      <c r="K36" s="447">
        <v>0</v>
      </c>
      <c r="L36" s="447">
        <v>0</v>
      </c>
      <c r="M36" s="447">
        <v>0</v>
      </c>
      <c r="N36" s="447">
        <v>0</v>
      </c>
      <c r="O36" s="447">
        <v>0</v>
      </c>
      <c r="P36" s="447">
        <v>-5</v>
      </c>
      <c r="Q36" s="447">
        <v>0</v>
      </c>
      <c r="R36" s="447">
        <f>ROUND((R$15+R$16)*'Exh. No. BGM-6 -4'!$E$19,0)</f>
        <v>497</v>
      </c>
      <c r="S36" s="447">
        <f>ROUND((S$15+S$16)*'Exh. No. BGM-6 -4'!$E$19,0)</f>
        <v>-127</v>
      </c>
      <c r="T36" s="447">
        <v>0</v>
      </c>
      <c r="U36" s="447">
        <v>0</v>
      </c>
      <c r="V36" s="447">
        <v>0</v>
      </c>
      <c r="W36" s="447">
        <v>0</v>
      </c>
      <c r="X36" s="448">
        <f>SUM(E36:W36)</f>
        <v>8593</v>
      </c>
      <c r="Y36" s="447">
        <v>0</v>
      </c>
      <c r="Z36" s="447">
        <v>0</v>
      </c>
      <c r="AA36" s="447">
        <v>0</v>
      </c>
      <c r="AB36" s="447">
        <v>0</v>
      </c>
      <c r="AC36" s="447">
        <v>181</v>
      </c>
      <c r="AD36" s="447">
        <f>ROUND((AD$15+AD$16)*'Exh. No. BGM-6 -4'!$E$19,0)</f>
        <v>-2764</v>
      </c>
      <c r="AE36" s="447">
        <v>0</v>
      </c>
      <c r="AF36" s="447">
        <v>0</v>
      </c>
      <c r="AG36" s="447">
        <v>0</v>
      </c>
      <c r="AH36" s="447">
        <v>0</v>
      </c>
      <c r="AI36" s="447">
        <v>0</v>
      </c>
      <c r="AJ36" s="478">
        <f>SUM(X36:AI36)</f>
        <v>6010</v>
      </c>
      <c r="AK36" s="447">
        <v>0</v>
      </c>
      <c r="AL36" s="447">
        <v>0</v>
      </c>
      <c r="AM36" s="447">
        <v>0</v>
      </c>
      <c r="AN36" s="447">
        <v>0</v>
      </c>
      <c r="AO36" s="447">
        <v>0</v>
      </c>
      <c r="AP36" s="447">
        <v>0</v>
      </c>
      <c r="AQ36" s="447">
        <v>0</v>
      </c>
      <c r="AR36" s="478">
        <f>SUM(AJ36:AQ36)</f>
        <v>6010</v>
      </c>
      <c r="AS36" s="631">
        <v>0</v>
      </c>
      <c r="AT36" s="478">
        <f>SUM(AR36:AS36)</f>
        <v>6010</v>
      </c>
      <c r="AU36" s="468">
        <f>SUM(AT36:AT36)</f>
        <v>6010</v>
      </c>
      <c r="AV36" s="552"/>
      <c r="AW36" s="486"/>
      <c r="AX36" s="486"/>
      <c r="AZ36" s="478">
        <f t="shared" si="60"/>
        <v>6010</v>
      </c>
      <c r="BA36" s="447">
        <v>0</v>
      </c>
      <c r="BB36" s="447">
        <v>0</v>
      </c>
      <c r="BC36" s="447">
        <v>0</v>
      </c>
      <c r="BD36" s="447">
        <v>0</v>
      </c>
      <c r="BE36" s="447">
        <v>0</v>
      </c>
      <c r="BF36" s="447">
        <v>0</v>
      </c>
      <c r="BG36" s="478">
        <f>SUM(AZ36:BF36)</f>
        <v>6010</v>
      </c>
      <c r="BH36" s="631">
        <v>0</v>
      </c>
      <c r="BI36" s="557">
        <f>SUM(BG36:BH36)</f>
        <v>6010</v>
      </c>
      <c r="BJ36" s="478">
        <f>BI36-AU36</f>
        <v>0</v>
      </c>
    </row>
    <row r="37" spans="1:62" ht="12.95" customHeight="1">
      <c r="A37" s="186">
        <v>16</v>
      </c>
      <c r="B37" s="4" t="s">
        <v>49</v>
      </c>
      <c r="C37" s="4"/>
      <c r="E37" s="331">
        <f t="shared" ref="E37:N37" si="61">SUM(E34:E36)</f>
        <v>34476</v>
      </c>
      <c r="F37" s="331">
        <f t="shared" si="61"/>
        <v>0</v>
      </c>
      <c r="G37" s="331">
        <f t="shared" si="61"/>
        <v>0</v>
      </c>
      <c r="H37" s="331">
        <f t="shared" si="61"/>
        <v>0</v>
      </c>
      <c r="I37" s="331">
        <f t="shared" si="61"/>
        <v>-5612</v>
      </c>
      <c r="J37" s="331">
        <f>SUM(J34:J36)</f>
        <v>-174</v>
      </c>
      <c r="K37" s="331">
        <f t="shared" si="61"/>
        <v>0</v>
      </c>
      <c r="L37" s="331">
        <f t="shared" si="61"/>
        <v>0</v>
      </c>
      <c r="M37" s="331">
        <f t="shared" si="61"/>
        <v>0</v>
      </c>
      <c r="N37" s="331">
        <f t="shared" si="61"/>
        <v>0</v>
      </c>
      <c r="O37" s="331">
        <f t="shared" ref="O37:P37" si="62">SUM(O34:O36)</f>
        <v>0</v>
      </c>
      <c r="P37" s="331">
        <f t="shared" si="62"/>
        <v>-5</v>
      </c>
      <c r="Q37" s="331">
        <f>SUM(Q34:Q36)</f>
        <v>-6</v>
      </c>
      <c r="R37" s="331">
        <f>SUM(R34:R36)</f>
        <v>497</v>
      </c>
      <c r="S37" s="331">
        <f>SUM(S34:S36)</f>
        <v>-127</v>
      </c>
      <c r="T37" s="331">
        <f>SUM(T34:T36)</f>
        <v>0</v>
      </c>
      <c r="U37" s="331">
        <f t="shared" ref="U37" si="63">SUM(U34:U36)</f>
        <v>0</v>
      </c>
      <c r="V37" s="331">
        <f>SUM(V34:V36)</f>
        <v>-218</v>
      </c>
      <c r="W37" s="331">
        <f>SUM(W34:W36)</f>
        <v>0</v>
      </c>
      <c r="X37" s="445">
        <f>SUM(X34:X36)</f>
        <v>28831</v>
      </c>
      <c r="Y37" s="331">
        <f>SUM(Y34:Y36)</f>
        <v>170.575974</v>
      </c>
      <c r="Z37" s="331">
        <f>SUM(Z34:Z36)</f>
        <v>0</v>
      </c>
      <c r="AA37" s="331">
        <f t="shared" ref="AA37:AK37" si="64">SUM(AA34:AA36)</f>
        <v>144</v>
      </c>
      <c r="AB37" s="331">
        <f>SUM(AB34:AB36)</f>
        <v>104</v>
      </c>
      <c r="AC37" s="331">
        <f t="shared" si="64"/>
        <v>181</v>
      </c>
      <c r="AD37" s="331">
        <f>SUM(AD34:AD36)</f>
        <v>-2764</v>
      </c>
      <c r="AE37" s="383">
        <f t="shared" ref="AE37" si="65">SUM(AE34:AE36)</f>
        <v>236</v>
      </c>
      <c r="AF37" s="383">
        <f>SUM(AF34:AF36)</f>
        <v>0</v>
      </c>
      <c r="AG37" s="604">
        <f>SUM(AG34:AG36)</f>
        <v>126</v>
      </c>
      <c r="AH37" s="604">
        <f>SUM(AH34:AH36)</f>
        <v>56.651071320535543</v>
      </c>
      <c r="AI37" s="331">
        <f>SUM(AI34:AI36)</f>
        <v>0</v>
      </c>
      <c r="AJ37" s="477">
        <f t="shared" si="64"/>
        <v>27085.227045320535</v>
      </c>
      <c r="AK37" s="604">
        <f t="shared" si="64"/>
        <v>0</v>
      </c>
      <c r="AL37" s="604">
        <f t="shared" ref="AL37:AR37" si="66">SUM(AL34:AL36)</f>
        <v>0</v>
      </c>
      <c r="AM37" s="604">
        <f>SUM(AM34:AM36)</f>
        <v>0</v>
      </c>
      <c r="AN37" s="331">
        <f t="shared" si="66"/>
        <v>0</v>
      </c>
      <c r="AO37" s="331">
        <f>SUM(AO34:AO36)</f>
        <v>0</v>
      </c>
      <c r="AP37" s="331">
        <f>SUM(AP34:AP36)</f>
        <v>0</v>
      </c>
      <c r="AQ37" s="331">
        <f t="shared" ref="AQ37" si="67">SUM(AQ34:AQ36)</f>
        <v>0</v>
      </c>
      <c r="AR37" s="477">
        <f t="shared" si="66"/>
        <v>27085.227045320535</v>
      </c>
      <c r="AS37" s="632">
        <f t="shared" ref="AS37" si="68">SUM(AS34:AS36)</f>
        <v>0</v>
      </c>
      <c r="AT37" s="477">
        <f t="shared" ref="AT37:AU37" si="69">SUM(AT34:AT36)</f>
        <v>27085.227045320535</v>
      </c>
      <c r="AU37" s="467">
        <f t="shared" si="69"/>
        <v>27085.227045320535</v>
      </c>
      <c r="AV37" s="552"/>
      <c r="AW37" s="486"/>
      <c r="AX37" s="486"/>
      <c r="AZ37" s="477">
        <f t="shared" ref="AZ37:BA37" si="70">SUM(AZ34:AZ36)</f>
        <v>27085.227045320535</v>
      </c>
      <c r="BA37" s="604">
        <f t="shared" si="70"/>
        <v>0</v>
      </c>
      <c r="BB37" s="604">
        <f t="shared" ref="BB37" si="71">SUM(BB34:BB36)</f>
        <v>0</v>
      </c>
      <c r="BC37" s="331">
        <f>SUM(BC34:BC36)</f>
        <v>0</v>
      </c>
      <c r="BD37" s="331">
        <f>SUM(BD34:BD36)</f>
        <v>0</v>
      </c>
      <c r="BE37" s="604">
        <f>SUM(BE34:BE36)</f>
        <v>0</v>
      </c>
      <c r="BF37" s="604">
        <f>SUM(BF34:BF36)</f>
        <v>0</v>
      </c>
      <c r="BG37" s="477">
        <f t="shared" ref="BG37:BJ37" si="72">SUM(BG34:BG36)</f>
        <v>27085.227045320535</v>
      </c>
      <c r="BH37" s="632">
        <f t="shared" si="72"/>
        <v>0</v>
      </c>
      <c r="BI37" s="565">
        <f t="shared" si="72"/>
        <v>27085.227045320535</v>
      </c>
      <c r="BJ37" s="477">
        <f t="shared" si="72"/>
        <v>0</v>
      </c>
    </row>
    <row r="38" spans="1:62" ht="12.95" customHeight="1">
      <c r="C38" s="4"/>
      <c r="D38" s="4"/>
      <c r="E38" s="331"/>
      <c r="F38" s="331"/>
      <c r="G38" s="331"/>
      <c r="H38" s="331"/>
      <c r="I38" s="331"/>
      <c r="J38" s="331"/>
      <c r="K38" s="331"/>
      <c r="L38" s="331"/>
      <c r="M38" s="331"/>
      <c r="N38" s="331"/>
      <c r="O38" s="331"/>
      <c r="P38" s="331"/>
      <c r="Q38" s="331"/>
      <c r="R38" s="331"/>
      <c r="S38" s="331"/>
      <c r="T38" s="331"/>
      <c r="U38" s="331"/>
      <c r="V38" s="331"/>
      <c r="W38" s="331"/>
      <c r="X38" s="445"/>
      <c r="Y38" s="331"/>
      <c r="Z38" s="331"/>
      <c r="AA38" s="331"/>
      <c r="AB38" s="331"/>
      <c r="AC38" s="331"/>
      <c r="AD38" s="331"/>
      <c r="AE38" s="383"/>
      <c r="AF38" s="383"/>
      <c r="AG38" s="604"/>
      <c r="AH38" s="604"/>
      <c r="AI38" s="331"/>
      <c r="AJ38" s="477"/>
      <c r="AK38" s="604"/>
      <c r="AL38" s="604"/>
      <c r="AM38" s="604"/>
      <c r="AN38" s="331"/>
      <c r="AO38" s="331"/>
      <c r="AP38" s="331"/>
      <c r="AQ38" s="331"/>
      <c r="AR38" s="477"/>
      <c r="AS38" s="632"/>
      <c r="AT38" s="477"/>
      <c r="AU38" s="467"/>
      <c r="AV38" s="552"/>
      <c r="AW38" s="486"/>
      <c r="AX38" s="486"/>
      <c r="AZ38" s="477"/>
      <c r="BA38" s="604"/>
      <c r="BB38" s="604"/>
      <c r="BC38" s="331"/>
      <c r="BD38" s="331"/>
      <c r="BE38" s="604"/>
      <c r="BF38" s="604"/>
      <c r="BG38" s="477"/>
      <c r="BH38" s="632"/>
      <c r="BI38" s="565"/>
      <c r="BJ38" s="477"/>
    </row>
    <row r="39" spans="1:62" ht="12.95" customHeight="1">
      <c r="A39" s="186">
        <v>17</v>
      </c>
      <c r="B39" s="1" t="s">
        <v>50</v>
      </c>
      <c r="C39" s="4"/>
      <c r="D39" s="4"/>
      <c r="E39" s="331">
        <f>'ROO INPUT'!$F39</f>
        <v>6595</v>
      </c>
      <c r="F39" s="446">
        <v>0</v>
      </c>
      <c r="G39" s="446">
        <v>1</v>
      </c>
      <c r="H39" s="446">
        <v>0</v>
      </c>
      <c r="I39" s="446">
        <v>0</v>
      </c>
      <c r="J39" s="446"/>
      <c r="K39" s="446">
        <v>-313</v>
      </c>
      <c r="L39" s="446">
        <v>0</v>
      </c>
      <c r="M39" s="446">
        <v>0</v>
      </c>
      <c r="N39" s="446">
        <v>0</v>
      </c>
      <c r="O39" s="446">
        <v>0</v>
      </c>
      <c r="P39" s="446">
        <v>0</v>
      </c>
      <c r="Q39" s="446">
        <v>0</v>
      </c>
      <c r="R39" s="514">
        <f>ROUND((R$15+R$16)*'Exh. No. BGM-6 -4'!$E$15,0)</f>
        <v>76</v>
      </c>
      <c r="S39" s="514">
        <f>ROUND((S$15+S$16)*'Exh. No. BGM-6 -4'!$E$15,0)</f>
        <v>-19</v>
      </c>
      <c r="T39" s="514">
        <v>0</v>
      </c>
      <c r="U39" s="514">
        <v>0</v>
      </c>
      <c r="V39" s="331">
        <v>-114</v>
      </c>
      <c r="W39" s="331">
        <v>0</v>
      </c>
      <c r="X39" s="445">
        <f>SUM(E39:W39)</f>
        <v>6226</v>
      </c>
      <c r="Y39" s="720">
        <f>151-'[7]Washington Gas'!$L$92</f>
        <v>93.011297999999996</v>
      </c>
      <c r="Z39" s="331">
        <v>0</v>
      </c>
      <c r="AA39" s="331">
        <v>82</v>
      </c>
      <c r="AB39" s="331"/>
      <c r="AC39" s="514"/>
      <c r="AD39" s="514">
        <f>ROUND((AD$15+AD$16)*'Exh. No. BGM-6 -4'!$E$15,0)</f>
        <v>-423</v>
      </c>
      <c r="AE39" s="446">
        <v>0</v>
      </c>
      <c r="AF39" s="446">
        <v>0</v>
      </c>
      <c r="AG39" s="446">
        <v>0</v>
      </c>
      <c r="AH39" s="446">
        <v>0</v>
      </c>
      <c r="AI39" s="514">
        <v>0</v>
      </c>
      <c r="AJ39" s="477">
        <f>SUM(X39:AI39)</f>
        <v>5978.0112980000004</v>
      </c>
      <c r="AK39" s="446">
        <v>0</v>
      </c>
      <c r="AL39" s="446">
        <v>0</v>
      </c>
      <c r="AM39" s="446">
        <v>0</v>
      </c>
      <c r="AN39" s="514"/>
      <c r="AO39" s="331"/>
      <c r="AP39" s="331"/>
      <c r="AQ39" s="514"/>
      <c r="AR39" s="477">
        <f>SUM(AJ39:AQ39)</f>
        <v>5978.0112980000004</v>
      </c>
      <c r="AS39" s="630">
        <v>0</v>
      </c>
      <c r="AT39" s="477">
        <f>SUM(AR39:AS39)</f>
        <v>5978.0112980000004</v>
      </c>
      <c r="AU39" s="467">
        <f>SUM(AT39:AT39)</f>
        <v>5978.0112980000004</v>
      </c>
      <c r="AV39" s="552"/>
      <c r="AW39" s="486"/>
      <c r="AX39" s="486"/>
      <c r="AZ39" s="477">
        <f t="shared" ref="AZ39:AZ47" si="73">AU39</f>
        <v>5978.0112980000004</v>
      </c>
      <c r="BA39" s="446"/>
      <c r="BB39" s="446">
        <v>0</v>
      </c>
      <c r="BC39" s="331"/>
      <c r="BD39" s="331"/>
      <c r="BE39" s="446">
        <v>0</v>
      </c>
      <c r="BF39" s="446">
        <v>0</v>
      </c>
      <c r="BG39" s="477">
        <f>SUM(AZ39:BF39)</f>
        <v>5978.0112980000004</v>
      </c>
      <c r="BH39" s="630">
        <v>0</v>
      </c>
      <c r="BI39" s="565">
        <f>SUM(BG39:BH39)</f>
        <v>5978.0112980000004</v>
      </c>
      <c r="BJ39" s="477">
        <f>BI39-AU39</f>
        <v>0</v>
      </c>
    </row>
    <row r="40" spans="1:62">
      <c r="A40" s="186">
        <v>18</v>
      </c>
      <c r="B40" s="1" t="s">
        <v>51</v>
      </c>
      <c r="C40" s="4"/>
      <c r="D40" s="4"/>
      <c r="E40" s="331">
        <f>'ROO INPUT'!$F40</f>
        <v>5790</v>
      </c>
      <c r="F40" s="514">
        <v>0</v>
      </c>
      <c r="G40" s="514">
        <v>0</v>
      </c>
      <c r="H40" s="514">
        <v>0</v>
      </c>
      <c r="I40" s="514">
        <v>0</v>
      </c>
      <c r="J40" s="514">
        <v>0</v>
      </c>
      <c r="K40" s="514">
        <v>0</v>
      </c>
      <c r="L40" s="514">
        <v>0</v>
      </c>
      <c r="M40" s="514">
        <v>0</v>
      </c>
      <c r="N40" s="514">
        <v>0</v>
      </c>
      <c r="O40" s="514">
        <v>0</v>
      </c>
      <c r="P40" s="514">
        <v>0</v>
      </c>
      <c r="Q40" s="514">
        <v>0</v>
      </c>
      <c r="R40" s="514">
        <v>0</v>
      </c>
      <c r="S40" s="514">
        <v>-4914</v>
      </c>
      <c r="T40" s="514">
        <v>0</v>
      </c>
      <c r="U40" s="514">
        <v>0</v>
      </c>
      <c r="V40" s="514">
        <v>-9</v>
      </c>
      <c r="W40" s="514">
        <v>0</v>
      </c>
      <c r="X40" s="445">
        <f>SUM(E40:W40)</f>
        <v>867</v>
      </c>
      <c r="Y40" s="719">
        <f>12-'[7]Washington Gas'!$L$93</f>
        <v>7.5519059999999998</v>
      </c>
      <c r="Z40" s="514">
        <v>0</v>
      </c>
      <c r="AA40" s="514">
        <v>7</v>
      </c>
      <c r="AB40" s="514">
        <v>0</v>
      </c>
      <c r="AC40" s="514">
        <v>0</v>
      </c>
      <c r="AD40" s="514">
        <v>0</v>
      </c>
      <c r="AE40" s="514">
        <v>0</v>
      </c>
      <c r="AF40" s="514">
        <v>0</v>
      </c>
      <c r="AG40" s="446">
        <v>0</v>
      </c>
      <c r="AH40" s="446">
        <v>0</v>
      </c>
      <c r="AI40" s="514">
        <v>0</v>
      </c>
      <c r="AJ40" s="477">
        <f>SUM(X40:AI40)</f>
        <v>881.55190600000003</v>
      </c>
      <c r="AK40" s="446">
        <v>0</v>
      </c>
      <c r="AL40" s="446">
        <v>0</v>
      </c>
      <c r="AM40" s="446">
        <v>0</v>
      </c>
      <c r="AN40" s="514">
        <v>0</v>
      </c>
      <c r="AO40" s="514">
        <v>0</v>
      </c>
      <c r="AP40" s="514">
        <v>0</v>
      </c>
      <c r="AQ40" s="514">
        <v>0</v>
      </c>
      <c r="AR40" s="477">
        <f>SUM(AJ40:AQ40)</f>
        <v>881.55190600000003</v>
      </c>
      <c r="AS40" s="630">
        <v>0</v>
      </c>
      <c r="AT40" s="477">
        <f>SUM(AR40:AS40)</f>
        <v>881.55190600000003</v>
      </c>
      <c r="AU40" s="467">
        <f>SUM(AT40:AT40)</f>
        <v>881.55190600000003</v>
      </c>
      <c r="AV40" s="552"/>
      <c r="AW40" s="486"/>
      <c r="AX40" s="486"/>
      <c r="AZ40" s="477">
        <f t="shared" si="73"/>
        <v>881.55190600000003</v>
      </c>
      <c r="BA40" s="446"/>
      <c r="BB40" s="446">
        <v>0</v>
      </c>
      <c r="BC40" s="514">
        <v>0</v>
      </c>
      <c r="BD40" s="514">
        <v>0</v>
      </c>
      <c r="BE40" s="446">
        <v>0</v>
      </c>
      <c r="BF40" s="446">
        <v>0</v>
      </c>
      <c r="BG40" s="477">
        <f>SUM(AZ40:BF40)</f>
        <v>881.55190600000003</v>
      </c>
      <c r="BH40" s="630">
        <v>0</v>
      </c>
      <c r="BI40" s="565">
        <f>SUM(BG40:BH40)</f>
        <v>881.55190600000003</v>
      </c>
      <c r="BJ40" s="477">
        <f>BI40-AU40</f>
        <v>0</v>
      </c>
    </row>
    <row r="41" spans="1:62">
      <c r="A41" s="186">
        <v>19</v>
      </c>
      <c r="B41" s="1" t="s">
        <v>52</v>
      </c>
      <c r="C41" s="4"/>
      <c r="D41" s="4"/>
      <c r="E41" s="331">
        <f>'ROO INPUT'!$F41</f>
        <v>0</v>
      </c>
      <c r="F41" s="514">
        <v>0</v>
      </c>
      <c r="G41" s="514">
        <v>0</v>
      </c>
      <c r="H41" s="514">
        <v>0</v>
      </c>
      <c r="I41" s="514">
        <v>0</v>
      </c>
      <c r="J41" s="514">
        <v>0</v>
      </c>
      <c r="K41" s="514">
        <v>0</v>
      </c>
      <c r="L41" s="514">
        <v>0</v>
      </c>
      <c r="M41" s="514">
        <v>0</v>
      </c>
      <c r="N41" s="514">
        <v>0</v>
      </c>
      <c r="O41" s="514">
        <v>0</v>
      </c>
      <c r="P41" s="514">
        <v>0</v>
      </c>
      <c r="Q41" s="514">
        <v>0</v>
      </c>
      <c r="R41" s="514">
        <v>0</v>
      </c>
      <c r="S41" s="514">
        <v>0</v>
      </c>
      <c r="T41" s="514">
        <v>0</v>
      </c>
      <c r="U41" s="514">
        <v>0</v>
      </c>
      <c r="V41" s="514">
        <v>0</v>
      </c>
      <c r="W41" s="514">
        <v>0</v>
      </c>
      <c r="X41" s="445">
        <f>SUM(E41:W41)</f>
        <v>0</v>
      </c>
      <c r="Y41" s="514">
        <f>130/1000</f>
        <v>0.13</v>
      </c>
      <c r="Z41" s="514">
        <v>0</v>
      </c>
      <c r="AA41" s="514">
        <v>0</v>
      </c>
      <c r="AB41" s="514">
        <v>0</v>
      </c>
      <c r="AC41" s="514">
        <v>0</v>
      </c>
      <c r="AD41" s="514">
        <v>0</v>
      </c>
      <c r="AE41" s="514">
        <v>0</v>
      </c>
      <c r="AF41" s="514">
        <v>0</v>
      </c>
      <c r="AG41" s="446">
        <v>0</v>
      </c>
      <c r="AH41" s="446">
        <v>0</v>
      </c>
      <c r="AI41" s="514">
        <v>0</v>
      </c>
      <c r="AJ41" s="477">
        <f>SUM(X41:AI41)</f>
        <v>0.13</v>
      </c>
      <c r="AK41" s="446">
        <v>0</v>
      </c>
      <c r="AL41" s="446">
        <v>0</v>
      </c>
      <c r="AM41" s="446">
        <v>0</v>
      </c>
      <c r="AN41" s="514">
        <v>0</v>
      </c>
      <c r="AO41" s="514">
        <v>0</v>
      </c>
      <c r="AP41" s="514">
        <v>0</v>
      </c>
      <c r="AQ41" s="514">
        <v>0</v>
      </c>
      <c r="AR41" s="477">
        <f>SUM(AJ41:AQ41)</f>
        <v>0.13</v>
      </c>
      <c r="AS41" s="630">
        <v>0</v>
      </c>
      <c r="AT41" s="477">
        <f>SUM(AR41:AS41)</f>
        <v>0.13</v>
      </c>
      <c r="AU41" s="467">
        <f>SUM(AT41:AT41)</f>
        <v>0.13</v>
      </c>
      <c r="AV41" s="552"/>
      <c r="AW41" s="486"/>
      <c r="AX41" s="486"/>
      <c r="AZ41" s="477">
        <f t="shared" si="73"/>
        <v>0.13</v>
      </c>
      <c r="BA41" s="446">
        <v>0</v>
      </c>
      <c r="BB41" s="446">
        <v>0</v>
      </c>
      <c r="BC41" s="514">
        <v>0</v>
      </c>
      <c r="BD41" s="514">
        <v>0</v>
      </c>
      <c r="BE41" s="446">
        <v>0</v>
      </c>
      <c r="BF41" s="446">
        <v>0</v>
      </c>
      <c r="BG41" s="477">
        <f>SUM(AZ41:BF41)</f>
        <v>0.13</v>
      </c>
      <c r="BH41" s="630">
        <v>0</v>
      </c>
      <c r="BI41" s="565">
        <f>SUM(BG41:BH41)</f>
        <v>0.13</v>
      </c>
      <c r="BJ41" s="477">
        <f>BI41-AU41</f>
        <v>0</v>
      </c>
    </row>
    <row r="42" spans="1:62">
      <c r="C42" s="4"/>
      <c r="D42" s="4"/>
      <c r="E42" s="331"/>
      <c r="F42" s="514"/>
      <c r="G42" s="514"/>
      <c r="H42" s="514"/>
      <c r="I42" s="514"/>
      <c r="J42" s="514"/>
      <c r="K42" s="514"/>
      <c r="L42" s="514"/>
      <c r="M42" s="514"/>
      <c r="N42" s="514"/>
      <c r="O42" s="514"/>
      <c r="P42" s="514"/>
      <c r="Q42" s="514"/>
      <c r="R42" s="514"/>
      <c r="S42" s="514"/>
      <c r="T42" s="514"/>
      <c r="U42" s="514"/>
      <c r="V42" s="514"/>
      <c r="W42" s="514"/>
      <c r="X42" s="445"/>
      <c r="Y42" s="514"/>
      <c r="Z42" s="514"/>
      <c r="AA42" s="514"/>
      <c r="AB42" s="514"/>
      <c r="AC42" s="514"/>
      <c r="AD42" s="514"/>
      <c r="AE42" s="514"/>
      <c r="AF42" s="514"/>
      <c r="AG42" s="446"/>
      <c r="AH42" s="446"/>
      <c r="AI42" s="514"/>
      <c r="AJ42" s="477"/>
      <c r="AK42" s="446"/>
      <c r="AL42" s="446"/>
      <c r="AM42" s="446"/>
      <c r="AN42" s="514"/>
      <c r="AO42" s="514"/>
      <c r="AP42" s="514"/>
      <c r="AQ42" s="514"/>
      <c r="AR42" s="477"/>
      <c r="AS42" s="630"/>
      <c r="AT42" s="477"/>
      <c r="AU42" s="467"/>
      <c r="AV42" s="552"/>
      <c r="AW42" s="486"/>
      <c r="AX42" s="486"/>
      <c r="AZ42" s="477"/>
      <c r="BA42" s="446"/>
      <c r="BB42" s="446"/>
      <c r="BC42" s="514"/>
      <c r="BD42" s="514"/>
      <c r="BE42" s="446"/>
      <c r="BF42" s="446"/>
      <c r="BG42" s="477"/>
      <c r="BH42" s="630"/>
      <c r="BI42" s="565"/>
      <c r="BJ42" s="477"/>
    </row>
    <row r="43" spans="1:62">
      <c r="B43" s="1" t="s">
        <v>53</v>
      </c>
      <c r="C43" s="4"/>
      <c r="D43" s="4"/>
      <c r="E43" s="331"/>
      <c r="F43" s="514"/>
      <c r="G43" s="514"/>
      <c r="H43" s="514"/>
      <c r="I43" s="514"/>
      <c r="J43" s="514"/>
      <c r="K43" s="514"/>
      <c r="L43" s="514"/>
      <c r="M43" s="514"/>
      <c r="N43" s="514"/>
      <c r="O43" s="514"/>
      <c r="P43" s="514"/>
      <c r="Q43" s="514"/>
      <c r="R43" s="514"/>
      <c r="S43" s="514"/>
      <c r="T43" s="514"/>
      <c r="U43" s="514"/>
      <c r="V43" s="514"/>
      <c r="W43" s="514"/>
      <c r="X43" s="445">
        <f>SUM(E43:W43)</f>
        <v>0</v>
      </c>
      <c r="Y43" s="514"/>
      <c r="Z43" s="514"/>
      <c r="AA43" s="514"/>
      <c r="AB43" s="514"/>
      <c r="AC43" s="514"/>
      <c r="AD43" s="514"/>
      <c r="AE43" s="514"/>
      <c r="AF43" s="514"/>
      <c r="AG43" s="446"/>
      <c r="AH43" s="446"/>
      <c r="AI43" s="514"/>
      <c r="AJ43" s="477"/>
      <c r="AK43" s="446"/>
      <c r="AL43" s="446"/>
      <c r="AM43" s="446"/>
      <c r="AN43" s="514"/>
      <c r="AO43" s="514"/>
      <c r="AP43" s="514"/>
      <c r="AQ43" s="514"/>
      <c r="AR43" s="477"/>
      <c r="AS43" s="630"/>
      <c r="AT43" s="477"/>
      <c r="AU43" s="467"/>
      <c r="AV43" s="552"/>
      <c r="AW43" s="486"/>
      <c r="AX43" s="486"/>
      <c r="AZ43" s="477"/>
      <c r="BA43" s="446"/>
      <c r="BB43" s="446"/>
      <c r="BC43" s="514"/>
      <c r="BD43" s="514"/>
      <c r="BE43" s="446"/>
      <c r="BF43" s="446"/>
      <c r="BG43" s="477"/>
      <c r="BH43" s="630"/>
      <c r="BI43" s="565"/>
      <c r="BJ43" s="477"/>
    </row>
    <row r="44" spans="1:62">
      <c r="A44" s="186">
        <v>20</v>
      </c>
      <c r="C44" s="4" t="s">
        <v>45</v>
      </c>
      <c r="D44" s="4"/>
      <c r="E44" s="331">
        <f>'ROO INPUT'!$F44</f>
        <v>13388</v>
      </c>
      <c r="F44" s="514">
        <v>0</v>
      </c>
      <c r="G44" s="514">
        <v>0</v>
      </c>
      <c r="H44" s="514">
        <v>0</v>
      </c>
      <c r="I44" s="514">
        <v>0</v>
      </c>
      <c r="J44" s="514">
        <v>0</v>
      </c>
      <c r="K44" s="514">
        <v>0</v>
      </c>
      <c r="L44" s="514">
        <v>-12</v>
      </c>
      <c r="M44" s="514">
        <v>231</v>
      </c>
      <c r="N44" s="514">
        <v>0</v>
      </c>
      <c r="O44" s="514">
        <v>-9</v>
      </c>
      <c r="P44" s="514">
        <v>0</v>
      </c>
      <c r="Q44" s="514">
        <v>0</v>
      </c>
      <c r="R44" s="514">
        <f>ROUND((R$15+R$16)*'Exh. No. BGM-6 -4'!$E$17,0)</f>
        <v>26</v>
      </c>
      <c r="S44" s="514">
        <f>ROUND((S$15+S$16)*'Exh. No. BGM-6 -4'!$E$17,0)</f>
        <v>-7</v>
      </c>
      <c r="T44" s="514">
        <f>-222-'Exh. No. BGM-6'!W24</f>
        <v>-317.75400000000002</v>
      </c>
      <c r="U44" s="514">
        <v>0</v>
      </c>
      <c r="V44" s="514">
        <v>-132</v>
      </c>
      <c r="W44" s="514">
        <v>0</v>
      </c>
      <c r="X44" s="445">
        <f>SUM(E44:W44)</f>
        <v>13167.245999999999</v>
      </c>
      <c r="Y44" s="719">
        <f>176-'[7]Washington Gas'!$L$94</f>
        <v>109.862602</v>
      </c>
      <c r="Z44" s="514">
        <v>12</v>
      </c>
      <c r="AA44" s="514">
        <v>100</v>
      </c>
      <c r="AB44" s="514">
        <v>0</v>
      </c>
      <c r="AC44" s="514">
        <v>0</v>
      </c>
      <c r="AD44" s="514">
        <f>ROUND((AD$15+AD$16)*'Exh. No. BGM-6 -4'!$E$17,0)</f>
        <v>-144</v>
      </c>
      <c r="AE44" s="514">
        <v>0</v>
      </c>
      <c r="AF44" s="514">
        <v>0</v>
      </c>
      <c r="AG44" s="446">
        <v>0</v>
      </c>
      <c r="AH44" s="446">
        <v>0</v>
      </c>
      <c r="AI44" s="514">
        <v>-56</v>
      </c>
      <c r="AJ44" s="477">
        <f>SUM(X44:AI44)</f>
        <v>13189.108601999998</v>
      </c>
      <c r="AK44" s="446">
        <v>0</v>
      </c>
      <c r="AL44" s="446">
        <v>0</v>
      </c>
      <c r="AM44" s="446">
        <v>0</v>
      </c>
      <c r="AN44" s="514">
        <v>0</v>
      </c>
      <c r="AO44" s="514">
        <v>0</v>
      </c>
      <c r="AP44" s="514">
        <v>0</v>
      </c>
      <c r="AQ44" s="514">
        <v>0</v>
      </c>
      <c r="AR44" s="477">
        <f>SUM(AJ44:AQ44)</f>
        <v>13189.108601999998</v>
      </c>
      <c r="AS44" s="630">
        <v>0</v>
      </c>
      <c r="AT44" s="477">
        <f>SUM(AR44:AS44)</f>
        <v>13189.108601999998</v>
      </c>
      <c r="AU44" s="467">
        <f>SUM(AT44:AT44)</f>
        <v>13189.108601999998</v>
      </c>
      <c r="AV44" s="552"/>
      <c r="AW44" s="486"/>
      <c r="AX44" s="486"/>
      <c r="AZ44" s="477">
        <f t="shared" si="73"/>
        <v>13189.108601999998</v>
      </c>
      <c r="BA44" s="446"/>
      <c r="BB44" s="446">
        <v>0</v>
      </c>
      <c r="BC44" s="514"/>
      <c r="BD44" s="514"/>
      <c r="BE44" s="446">
        <v>0</v>
      </c>
      <c r="BF44" s="446">
        <v>0</v>
      </c>
      <c r="BG44" s="477">
        <f>SUM(AZ44:BF44)</f>
        <v>13189.108601999998</v>
      </c>
      <c r="BH44" s="630">
        <v>0</v>
      </c>
      <c r="BI44" s="565">
        <f>SUM(BG44:BH44)</f>
        <v>13189.108601999998</v>
      </c>
      <c r="BJ44" s="477">
        <f>BI44-AU44</f>
        <v>0</v>
      </c>
    </row>
    <row r="45" spans="1:62">
      <c r="A45" s="186">
        <v>21</v>
      </c>
      <c r="C45" s="4" t="s">
        <v>224</v>
      </c>
      <c r="D45" s="4"/>
      <c r="E45" s="331">
        <f>'ROO INPUT'!$F45</f>
        <v>5206</v>
      </c>
      <c r="F45" s="514">
        <v>0</v>
      </c>
      <c r="G45" s="514">
        <v>0</v>
      </c>
      <c r="H45" s="514">
        <v>0</v>
      </c>
      <c r="I45" s="514">
        <v>0</v>
      </c>
      <c r="J45" s="514">
        <v>0</v>
      </c>
      <c r="K45" s="514">
        <v>0</v>
      </c>
      <c r="L45" s="514">
        <v>0</v>
      </c>
      <c r="M45" s="514">
        <v>0</v>
      </c>
      <c r="N45" s="514">
        <v>0</v>
      </c>
      <c r="O45" s="514">
        <v>0</v>
      </c>
      <c r="P45" s="514">
        <v>0</v>
      </c>
      <c r="Q45" s="514">
        <v>0</v>
      </c>
      <c r="R45" s="514"/>
      <c r="S45" s="514"/>
      <c r="T45" s="514">
        <v>0</v>
      </c>
      <c r="U45" s="514">
        <v>0</v>
      </c>
      <c r="V45" s="514"/>
      <c r="W45" s="514">
        <v>0</v>
      </c>
      <c r="X45" s="445">
        <f>SUM(E45:W45)</f>
        <v>5206</v>
      </c>
      <c r="Y45" s="514">
        <v>0</v>
      </c>
      <c r="Z45" s="514">
        <v>0</v>
      </c>
      <c r="AA45" s="514">
        <v>0</v>
      </c>
      <c r="AB45" s="514">
        <v>0</v>
      </c>
      <c r="AC45" s="514">
        <v>0</v>
      </c>
      <c r="AD45" s="514">
        <v>0</v>
      </c>
      <c r="AE45" s="514">
        <v>0</v>
      </c>
      <c r="AF45" s="514">
        <v>0</v>
      </c>
      <c r="AG45" s="446">
        <f>671-219</f>
        <v>452</v>
      </c>
      <c r="AH45" s="721">
        <f>+'[8]G-CAP SUMMARY'!$D$13+'[8]G-CAP SUMMARY'!$D$10</f>
        <v>102.44748992134384</v>
      </c>
      <c r="AI45" s="514">
        <v>0</v>
      </c>
      <c r="AJ45" s="477">
        <f>SUM(X45:AI45)</f>
        <v>5760.4474899213437</v>
      </c>
      <c r="AK45" s="446">
        <v>0</v>
      </c>
      <c r="AL45" s="446">
        <v>0</v>
      </c>
      <c r="AM45" s="446">
        <v>0</v>
      </c>
      <c r="AN45" s="514">
        <v>0</v>
      </c>
      <c r="AO45" s="514">
        <v>0</v>
      </c>
      <c r="AP45" s="514">
        <v>0</v>
      </c>
      <c r="AQ45" s="514">
        <v>0</v>
      </c>
      <c r="AR45" s="477">
        <f>SUM(AJ45:AQ45)</f>
        <v>5760.4474899213437</v>
      </c>
      <c r="AS45" s="630">
        <v>0</v>
      </c>
      <c r="AT45" s="477">
        <f>SUM(AR45:AS45)</f>
        <v>5760.4474899213437</v>
      </c>
      <c r="AU45" s="467">
        <f>SUM(AT45:AT45)</f>
        <v>5760.4474899213437</v>
      </c>
      <c r="AV45" s="552"/>
      <c r="AW45" s="486"/>
      <c r="AX45" s="486"/>
      <c r="AZ45" s="477">
        <f t="shared" si="73"/>
        <v>5760.4474899213437</v>
      </c>
      <c r="BA45" s="446">
        <v>0</v>
      </c>
      <c r="BB45" s="446">
        <v>0</v>
      </c>
      <c r="BC45" s="514">
        <v>0</v>
      </c>
      <c r="BD45" s="514">
        <v>0</v>
      </c>
      <c r="BE45" s="446"/>
      <c r="BF45" s="446"/>
      <c r="BG45" s="477">
        <f>SUM(AZ45:BF45)</f>
        <v>5760.4474899213437</v>
      </c>
      <c r="BH45" s="630">
        <v>0</v>
      </c>
      <c r="BI45" s="565">
        <f>SUM(BG45:BH45)</f>
        <v>5760.4474899213437</v>
      </c>
      <c r="BJ45" s="477">
        <f>BI45-AU45</f>
        <v>0</v>
      </c>
    </row>
    <row r="46" spans="1:62">
      <c r="A46" s="186">
        <v>22</v>
      </c>
      <c r="C46" s="497" t="s">
        <v>441</v>
      </c>
      <c r="D46" s="4"/>
      <c r="E46" s="331">
        <f>'ROO INPUT'!$F46</f>
        <v>0</v>
      </c>
      <c r="F46" s="514"/>
      <c r="G46" s="514"/>
      <c r="H46" s="514"/>
      <c r="I46" s="514"/>
      <c r="J46" s="514"/>
      <c r="K46" s="514"/>
      <c r="L46" s="514"/>
      <c r="M46" s="514"/>
      <c r="N46" s="514"/>
      <c r="O46" s="514"/>
      <c r="P46" s="514"/>
      <c r="Q46" s="514"/>
      <c r="R46" s="514">
        <v>0</v>
      </c>
      <c r="S46" s="514">
        <v>0</v>
      </c>
      <c r="T46" s="514">
        <v>0</v>
      </c>
      <c r="U46" s="514">
        <v>0</v>
      </c>
      <c r="V46" s="514">
        <v>0</v>
      </c>
      <c r="W46" s="514">
        <v>-1505</v>
      </c>
      <c r="X46" s="445">
        <f>SUM(E46:W46)</f>
        <v>-1505</v>
      </c>
      <c r="Y46" s="514"/>
      <c r="Z46" s="514"/>
      <c r="AA46" s="514"/>
      <c r="AB46" s="514"/>
      <c r="AC46" s="514"/>
      <c r="AD46" s="514">
        <v>0</v>
      </c>
      <c r="AE46" s="514"/>
      <c r="AF46" s="514">
        <v>2584</v>
      </c>
      <c r="AG46" s="446"/>
      <c r="AH46" s="446"/>
      <c r="AI46" s="514"/>
      <c r="AJ46" s="477">
        <f>SUM(X46:AI46)</f>
        <v>1079</v>
      </c>
      <c r="AK46" s="446"/>
      <c r="AL46" s="446"/>
      <c r="AM46" s="446"/>
      <c r="AN46" s="514"/>
      <c r="AO46" s="514"/>
      <c r="AP46" s="514"/>
      <c r="AQ46" s="514"/>
      <c r="AR46" s="477">
        <f>SUM(AJ46:AQ46)</f>
        <v>1079</v>
      </c>
      <c r="AS46" s="630"/>
      <c r="AT46" s="477">
        <f>SUM(AR46:AS46)</f>
        <v>1079</v>
      </c>
      <c r="AU46" s="467">
        <f>SUM(AT46:AT46)</f>
        <v>1079</v>
      </c>
      <c r="AV46" s="552"/>
      <c r="AW46" s="486"/>
      <c r="AX46" s="486"/>
      <c r="AZ46" s="477">
        <f t="shared" si="73"/>
        <v>1079</v>
      </c>
      <c r="BA46" s="446"/>
      <c r="BB46" s="446"/>
      <c r="BC46" s="514"/>
      <c r="BD46" s="514"/>
      <c r="BE46" s="446"/>
      <c r="BF46" s="446"/>
      <c r="BG46" s="477">
        <f>SUM(AZ46:BF46)</f>
        <v>1079</v>
      </c>
      <c r="BH46" s="630"/>
      <c r="BI46" s="565">
        <f>SUM(BG46:BH46)</f>
        <v>1079</v>
      </c>
      <c r="BJ46" s="477">
        <f>BI46-AU46</f>
        <v>0</v>
      </c>
    </row>
    <row r="47" spans="1:62">
      <c r="A47" s="186">
        <v>23</v>
      </c>
      <c r="C47" s="4" t="s">
        <v>22</v>
      </c>
      <c r="D47" s="4"/>
      <c r="E47" s="332">
        <f>'ROO INPUT'!$F47</f>
        <v>0</v>
      </c>
      <c r="F47" s="447">
        <v>0</v>
      </c>
      <c r="G47" s="447">
        <v>0</v>
      </c>
      <c r="H47" s="447">
        <v>0</v>
      </c>
      <c r="I47" s="447">
        <v>0</v>
      </c>
      <c r="J47" s="447">
        <v>0</v>
      </c>
      <c r="K47" s="447">
        <v>0</v>
      </c>
      <c r="L47" s="447">
        <v>0</v>
      </c>
      <c r="M47" s="447">
        <v>0</v>
      </c>
      <c r="N47" s="447">
        <v>0</v>
      </c>
      <c r="O47" s="447">
        <v>0</v>
      </c>
      <c r="P47" s="447">
        <v>0</v>
      </c>
      <c r="Q47" s="447">
        <v>0</v>
      </c>
      <c r="R47" s="447">
        <v>0</v>
      </c>
      <c r="S47" s="447">
        <v>0</v>
      </c>
      <c r="T47" s="447">
        <v>0</v>
      </c>
      <c r="U47" s="447">
        <v>0</v>
      </c>
      <c r="V47" s="447">
        <v>0</v>
      </c>
      <c r="W47" s="447">
        <v>0</v>
      </c>
      <c r="X47" s="448">
        <f>SUM(E47:W47)</f>
        <v>0</v>
      </c>
      <c r="Y47" s="447">
        <v>0</v>
      </c>
      <c r="Z47" s="447">
        <v>0</v>
      </c>
      <c r="AA47" s="447">
        <v>0</v>
      </c>
      <c r="AB47" s="447">
        <v>0</v>
      </c>
      <c r="AC47" s="447">
        <v>0</v>
      </c>
      <c r="AD47" s="447">
        <v>0</v>
      </c>
      <c r="AE47" s="447">
        <v>0</v>
      </c>
      <c r="AF47" s="447">
        <v>0</v>
      </c>
      <c r="AG47" s="447">
        <v>0</v>
      </c>
      <c r="AH47" s="447">
        <v>0</v>
      </c>
      <c r="AI47" s="447">
        <v>0</v>
      </c>
      <c r="AJ47" s="478">
        <f>SUM(X47:AI47)</f>
        <v>0</v>
      </c>
      <c r="AK47" s="447">
        <v>0</v>
      </c>
      <c r="AL47" s="447">
        <v>0</v>
      </c>
      <c r="AM47" s="447">
        <v>0</v>
      </c>
      <c r="AN47" s="447">
        <v>0</v>
      </c>
      <c r="AO47" s="447">
        <v>0</v>
      </c>
      <c r="AP47" s="447">
        <v>0</v>
      </c>
      <c r="AQ47" s="447">
        <v>0</v>
      </c>
      <c r="AR47" s="478">
        <f>SUM(AJ47:AQ47)</f>
        <v>0</v>
      </c>
      <c r="AS47" s="631">
        <v>0</v>
      </c>
      <c r="AT47" s="478">
        <f>SUM(AR47:AS47)</f>
        <v>0</v>
      </c>
      <c r="AU47" s="468">
        <f>SUM(AT47:AT47)</f>
        <v>0</v>
      </c>
      <c r="AV47" s="552"/>
      <c r="AW47" s="486"/>
      <c r="AX47" s="486"/>
      <c r="AZ47" s="478">
        <f t="shared" si="73"/>
        <v>0</v>
      </c>
      <c r="BA47" s="447">
        <v>0</v>
      </c>
      <c r="BB47" s="447">
        <v>0</v>
      </c>
      <c r="BC47" s="447">
        <v>0</v>
      </c>
      <c r="BD47" s="447">
        <v>0</v>
      </c>
      <c r="BE47" s="447">
        <v>0</v>
      </c>
      <c r="BF47" s="447">
        <v>0</v>
      </c>
      <c r="BG47" s="478">
        <f>SUM(AZ47:BF47)</f>
        <v>0</v>
      </c>
      <c r="BH47" s="631">
        <v>0</v>
      </c>
      <c r="BI47" s="557">
        <f>SUM(BG47:BH47)</f>
        <v>0</v>
      </c>
      <c r="BJ47" s="478">
        <f>SUM(BI47:BI47)</f>
        <v>0</v>
      </c>
    </row>
    <row r="48" spans="1:62">
      <c r="A48" s="186">
        <v>24</v>
      </c>
      <c r="B48" s="4" t="s">
        <v>54</v>
      </c>
      <c r="C48" s="4"/>
      <c r="E48" s="332">
        <f>SUM(E44:E47)</f>
        <v>18594</v>
      </c>
      <c r="F48" s="332">
        <f t="shared" ref="F48:N48" si="74">SUM(F44:F47)</f>
        <v>0</v>
      </c>
      <c r="G48" s="332">
        <f t="shared" si="74"/>
        <v>0</v>
      </c>
      <c r="H48" s="332">
        <f t="shared" si="74"/>
        <v>0</v>
      </c>
      <c r="I48" s="332">
        <f t="shared" si="74"/>
        <v>0</v>
      </c>
      <c r="J48" s="332">
        <f>SUM(J44:J47)</f>
        <v>0</v>
      </c>
      <c r="K48" s="332">
        <f t="shared" si="74"/>
        <v>0</v>
      </c>
      <c r="L48" s="332">
        <f t="shared" si="74"/>
        <v>-12</v>
      </c>
      <c r="M48" s="332">
        <f t="shared" si="74"/>
        <v>231</v>
      </c>
      <c r="N48" s="332">
        <f t="shared" si="74"/>
        <v>0</v>
      </c>
      <c r="O48" s="332">
        <f t="shared" ref="O48:P48" si="75">SUM(O44:O47)</f>
        <v>-9</v>
      </c>
      <c r="P48" s="332">
        <f t="shared" si="75"/>
        <v>0</v>
      </c>
      <c r="Q48" s="332">
        <f>SUM(Q44:Q47)</f>
        <v>0</v>
      </c>
      <c r="R48" s="332">
        <f>SUM(R44:R47)</f>
        <v>26</v>
      </c>
      <c r="S48" s="332">
        <f>SUM(S44:S47)</f>
        <v>-7</v>
      </c>
      <c r="T48" s="332">
        <f>SUM(T44:T47)</f>
        <v>-317.75400000000002</v>
      </c>
      <c r="U48" s="332">
        <f>SUM(U44:U47)</f>
        <v>0</v>
      </c>
      <c r="V48" s="332">
        <f t="shared" ref="V48:X48" si="76">SUM(V44:V47)</f>
        <v>-132</v>
      </c>
      <c r="W48" s="332">
        <f t="shared" si="76"/>
        <v>-1505</v>
      </c>
      <c r="X48" s="448">
        <f t="shared" si="76"/>
        <v>16868.245999999999</v>
      </c>
      <c r="Y48" s="332">
        <f t="shared" ref="Y48" si="77">SUM(Y44:Y47)</f>
        <v>109.862602</v>
      </c>
      <c r="Z48" s="332">
        <f>SUM(Z44:Z47)</f>
        <v>12</v>
      </c>
      <c r="AA48" s="332">
        <f t="shared" ref="AA48" si="78">SUM(AA44:AA47)</f>
        <v>100</v>
      </c>
      <c r="AB48" s="332">
        <f>SUM(AB44:AB47)</f>
        <v>0</v>
      </c>
      <c r="AC48" s="332">
        <f t="shared" ref="AC48:AK48" si="79">SUM(AC44:AC47)</f>
        <v>0</v>
      </c>
      <c r="AD48" s="332">
        <f>SUM(AD44:AD47)</f>
        <v>-144</v>
      </c>
      <c r="AE48" s="333">
        <f t="shared" ref="AE48" si="80">SUM(AE44:AE47)</f>
        <v>0</v>
      </c>
      <c r="AF48" s="333">
        <f>SUM(AF44:AF47)</f>
        <v>2584</v>
      </c>
      <c r="AG48" s="333">
        <f>SUM(AG44:AG47)</f>
        <v>452</v>
      </c>
      <c r="AH48" s="333">
        <f>SUM(AH44:AH47)</f>
        <v>102.44748992134384</v>
      </c>
      <c r="AI48" s="332">
        <f>SUM(AI44:AI47)</f>
        <v>-56</v>
      </c>
      <c r="AJ48" s="478">
        <f t="shared" si="79"/>
        <v>20028.556091921342</v>
      </c>
      <c r="AK48" s="333">
        <f t="shared" si="79"/>
        <v>0</v>
      </c>
      <c r="AL48" s="333">
        <f t="shared" ref="AL48:AR48" si="81">SUM(AL44:AL47)</f>
        <v>0</v>
      </c>
      <c r="AM48" s="333">
        <f>SUM(AM44:AM47)</f>
        <v>0</v>
      </c>
      <c r="AN48" s="332">
        <f t="shared" si="81"/>
        <v>0</v>
      </c>
      <c r="AO48" s="332">
        <f t="shared" ref="AO48:AQ48" si="82">SUM(AO44:AO47)</f>
        <v>0</v>
      </c>
      <c r="AP48" s="332">
        <f>SUM(AP44:AP47)</f>
        <v>0</v>
      </c>
      <c r="AQ48" s="332">
        <f t="shared" si="82"/>
        <v>0</v>
      </c>
      <c r="AR48" s="478">
        <f t="shared" si="81"/>
        <v>20028.556091921342</v>
      </c>
      <c r="AS48" s="633">
        <f t="shared" ref="AS48" si="83">SUM(AS44:AS47)</f>
        <v>0</v>
      </c>
      <c r="AT48" s="478">
        <f t="shared" ref="AT48:AU48" si="84">SUM(AT44:AT47)</f>
        <v>20028.556091921342</v>
      </c>
      <c r="AU48" s="468">
        <f t="shared" si="84"/>
        <v>20028.556091921342</v>
      </c>
      <c r="AV48" s="552"/>
      <c r="AW48" s="486"/>
      <c r="AX48" s="486"/>
      <c r="AZ48" s="478">
        <f t="shared" ref="AZ48:BA48" si="85">SUM(AZ44:AZ47)</f>
        <v>20028.556091921342</v>
      </c>
      <c r="BA48" s="333">
        <f t="shared" si="85"/>
        <v>0</v>
      </c>
      <c r="BB48" s="333">
        <f t="shared" ref="BB48" si="86">SUM(BB44:BB47)</f>
        <v>0</v>
      </c>
      <c r="BC48" s="332">
        <f>SUM(BC44:BC47)</f>
        <v>0</v>
      </c>
      <c r="BD48" s="332">
        <f>SUM(BD44:BD47)</f>
        <v>0</v>
      </c>
      <c r="BE48" s="333">
        <f>SUM(BE44:BE47)</f>
        <v>0</v>
      </c>
      <c r="BF48" s="333">
        <f>SUM(BF44:BF47)</f>
        <v>0</v>
      </c>
      <c r="BG48" s="478">
        <f t="shared" ref="BG48:BJ48" si="87">SUM(BG44:BG47)</f>
        <v>20028.556091921342</v>
      </c>
      <c r="BH48" s="633">
        <f t="shared" si="87"/>
        <v>0</v>
      </c>
      <c r="BI48" s="557">
        <f t="shared" si="87"/>
        <v>20028.556091921342</v>
      </c>
      <c r="BJ48" s="477">
        <f t="shared" si="87"/>
        <v>0</v>
      </c>
    </row>
    <row r="49" spans="1:65" ht="19.5" customHeight="1">
      <c r="A49" s="186">
        <v>25</v>
      </c>
      <c r="B49" s="1" t="s">
        <v>55</v>
      </c>
      <c r="C49" s="4"/>
      <c r="D49" s="4"/>
      <c r="E49" s="332">
        <f t="shared" ref="E49:AA49" si="88">E21+E25+E31+E37+E39+E40+E41+E48</f>
        <v>241428</v>
      </c>
      <c r="F49" s="332">
        <f t="shared" si="88"/>
        <v>0</v>
      </c>
      <c r="G49" s="332">
        <f t="shared" si="88"/>
        <v>1</v>
      </c>
      <c r="H49" s="332">
        <f t="shared" si="88"/>
        <v>0</v>
      </c>
      <c r="I49" s="332">
        <f t="shared" si="88"/>
        <v>-5612</v>
      </c>
      <c r="J49" s="332">
        <f>J21+J25+J31+J37+J39+J40+J41+J48</f>
        <v>-188</v>
      </c>
      <c r="K49" s="332">
        <f t="shared" si="88"/>
        <v>-313</v>
      </c>
      <c r="L49" s="332">
        <f t="shared" si="88"/>
        <v>-12</v>
      </c>
      <c r="M49" s="332">
        <f t="shared" si="88"/>
        <v>231</v>
      </c>
      <c r="N49" s="332">
        <f t="shared" si="88"/>
        <v>0</v>
      </c>
      <c r="O49" s="332">
        <f t="shared" si="88"/>
        <v>-9</v>
      </c>
      <c r="P49" s="332">
        <f t="shared" si="88"/>
        <v>-5</v>
      </c>
      <c r="Q49" s="332">
        <f>Q21+Q25+Q31+Q37+Q39+Q40+Q41+Q48</f>
        <v>-6</v>
      </c>
      <c r="R49" s="332">
        <f>R21+R25+R31+R37+R39+R40+R41+R48</f>
        <v>11208</v>
      </c>
      <c r="S49" s="332">
        <f>S21+S25+S31+S37+S39+S40+S41+S48</f>
        <v>-102717</v>
      </c>
      <c r="T49" s="332">
        <f>T21+T25+T31+T37+T39+T40+T41+T48</f>
        <v>-317.75400000000002</v>
      </c>
      <c r="U49" s="332">
        <f>U21+U25+U31+U37+U39+U40+U41+U48</f>
        <v>0</v>
      </c>
      <c r="V49" s="332">
        <f t="shared" si="88"/>
        <v>-489</v>
      </c>
      <c r="W49" s="332">
        <f>W21+W25+W31+W37+W39+W40+W41+W48</f>
        <v>-1505</v>
      </c>
      <c r="X49" s="448">
        <f t="shared" si="88"/>
        <v>141694.24599999998</v>
      </c>
      <c r="Y49" s="332">
        <f t="shared" si="88"/>
        <v>394.12199799999996</v>
      </c>
      <c r="Z49" s="332">
        <f t="shared" si="88"/>
        <v>-13</v>
      </c>
      <c r="AA49" s="332">
        <f t="shared" si="88"/>
        <v>344.79300000000001</v>
      </c>
      <c r="AB49" s="332">
        <f>AB21+AB25+AB31+AB37+AB39+AB40+AB41+AB48</f>
        <v>104</v>
      </c>
      <c r="AC49" s="332">
        <f t="shared" ref="AC49:AK49" si="89">AC21+AC25+AC31+AC37+AC39+AC40+AC41+AC48</f>
        <v>196</v>
      </c>
      <c r="AD49" s="332">
        <f>AD21+AD25+AD31+AD37+AD39+AD40+AD41+AD48</f>
        <v>-89890</v>
      </c>
      <c r="AE49" s="333">
        <f t="shared" ref="AE49" si="90">AE21+AE25+AE31+AE37+AE39+AE40+AE41+AE48</f>
        <v>236</v>
      </c>
      <c r="AF49" s="333">
        <f t="shared" ref="AF49" si="91">AF21+AF25+AF31+AF37+AF39+AF40+AF41+AF48</f>
        <v>2584</v>
      </c>
      <c r="AG49" s="333">
        <f>AG21+AG25+AG31+AG37+AG39+AG40+AG41+AG48</f>
        <v>576</v>
      </c>
      <c r="AH49" s="333">
        <f>AH21+AH25+AH31+AH37+AH39+AH40+AH41+AH48</f>
        <v>159.09856124187939</v>
      </c>
      <c r="AI49" s="332">
        <f>AI21+AI25+AI31+AI37+AI39+AI40+AI41+AI48</f>
        <v>-56</v>
      </c>
      <c r="AJ49" s="478">
        <f t="shared" si="89"/>
        <v>56329.25955924188</v>
      </c>
      <c r="AK49" s="332">
        <f t="shared" si="89"/>
        <v>0</v>
      </c>
      <c r="AL49" s="332">
        <f t="shared" ref="AL49:AN49" si="92">AL21+AL25+AL31+AL37+AL39+AL40+AL41+AL48</f>
        <v>0</v>
      </c>
      <c r="AM49" s="332">
        <f>AM21+AM25+AM31+AM37+AM39+AM40+AM41+AM48</f>
        <v>0</v>
      </c>
      <c r="AN49" s="332">
        <f t="shared" si="92"/>
        <v>0</v>
      </c>
      <c r="AO49" s="332">
        <f t="shared" ref="AO49:AQ49" si="93">AO21+AO25+AO31+AO37+AO39+AO40+AO41+AO48</f>
        <v>0</v>
      </c>
      <c r="AP49" s="332">
        <f>AP21+AP25+AP31+AP37+AP39+AP40+AP41+AP48</f>
        <v>0</v>
      </c>
      <c r="AQ49" s="332">
        <f t="shared" si="93"/>
        <v>0</v>
      </c>
      <c r="AR49" s="478">
        <f>AR25+AR31+AR37+AR39+AR40+AR41+AR48</f>
        <v>56329.25955924188</v>
      </c>
      <c r="AS49" s="633">
        <f t="shared" ref="AS49" si="94">AS21+AS25+AS31+AS37+AS39+AS40+AS41+AS48</f>
        <v>0</v>
      </c>
      <c r="AT49" s="478">
        <f>AT25+AT31+AT37+AT39+AT40+AT41+AT48</f>
        <v>56329.25955924188</v>
      </c>
      <c r="AU49" s="478">
        <f>AU25+AU31+AU37+AU39+AU40+AU41+AU48</f>
        <v>56329.25955924188</v>
      </c>
      <c r="AV49" s="552"/>
      <c r="AW49" s="486"/>
      <c r="AX49" s="486"/>
      <c r="AZ49" s="478">
        <f t="shared" ref="AZ49:BA49" si="95">AZ21+AZ25+AZ31+AZ37+AZ39+AZ40+AZ41+AZ48</f>
        <v>56329.25955924188</v>
      </c>
      <c r="BA49" s="332">
        <f t="shared" si="95"/>
        <v>0</v>
      </c>
      <c r="BB49" s="332">
        <f t="shared" ref="BB49" si="96">BB21+BB25+BB31+BB37+BB39+BB40+BB41+BB48</f>
        <v>0</v>
      </c>
      <c r="BC49" s="332">
        <f>BC21+BC25+BC31+BC37+BC39+BC40+BC41+BC48</f>
        <v>0</v>
      </c>
      <c r="BD49" s="332">
        <f>BD21+BD25+BD31+BD37+BD39+BD40+BD41+BD48</f>
        <v>0</v>
      </c>
      <c r="BE49" s="332">
        <f>BE21+BE25+BE31+BE37+BE39+BE40+BE41+BE48</f>
        <v>0</v>
      </c>
      <c r="BF49" s="332">
        <f>BF21+BF25+BF31+BF37+BF39+BF40+BF41+BF48</f>
        <v>0</v>
      </c>
      <c r="BG49" s="478">
        <f>BG25+BG31+BG37+BG39+BG40+BG41+BG48</f>
        <v>56329.25955924188</v>
      </c>
      <c r="BH49" s="633">
        <f>BH21+BH25+BH31+BH37+BH39+BH40+BH41+BH48</f>
        <v>0</v>
      </c>
      <c r="BI49" s="557">
        <f>BI25+BI31+BI37+BI39+BI40+BI41+BI48</f>
        <v>56329.25955924188</v>
      </c>
      <c r="BJ49" s="480">
        <f>BJ25+BJ31+BJ37+BJ39+BJ40+BJ41+BJ48</f>
        <v>0</v>
      </c>
    </row>
    <row r="50" spans="1:65" ht="9" customHeight="1">
      <c r="C50" s="4"/>
      <c r="D50" s="4"/>
      <c r="E50" s="331"/>
      <c r="F50" s="331"/>
      <c r="G50" s="331"/>
      <c r="H50" s="331"/>
      <c r="I50" s="331"/>
      <c r="J50" s="331"/>
      <c r="K50" s="331"/>
      <c r="L50" s="331"/>
      <c r="M50" s="331"/>
      <c r="N50" s="331"/>
      <c r="O50" s="331"/>
      <c r="P50" s="331"/>
      <c r="Q50" s="331"/>
      <c r="R50" s="331"/>
      <c r="S50" s="331"/>
      <c r="T50" s="331"/>
      <c r="U50" s="331"/>
      <c r="V50" s="331"/>
      <c r="W50" s="331"/>
      <c r="X50" s="445"/>
      <c r="Y50" s="331"/>
      <c r="Z50" s="331"/>
      <c r="AA50" s="331"/>
      <c r="AB50" s="331"/>
      <c r="AC50" s="331"/>
      <c r="AD50" s="331"/>
      <c r="AE50" s="383"/>
      <c r="AF50" s="383"/>
      <c r="AG50" s="604"/>
      <c r="AH50" s="604"/>
      <c r="AI50" s="331"/>
      <c r="AJ50" s="477"/>
      <c r="AK50" s="604"/>
      <c r="AL50" s="604"/>
      <c r="AM50" s="604"/>
      <c r="AN50" s="331"/>
      <c r="AO50" s="331"/>
      <c r="AP50" s="331"/>
      <c r="AQ50" s="331"/>
      <c r="AR50" s="477"/>
      <c r="AS50" s="632"/>
      <c r="AT50" s="477"/>
      <c r="AU50" s="467"/>
      <c r="AV50" s="552"/>
      <c r="AW50" s="486"/>
      <c r="AX50" s="486"/>
      <c r="AZ50" s="477"/>
      <c r="BA50" s="604"/>
      <c r="BB50" s="604"/>
      <c r="BC50" s="331"/>
      <c r="BD50" s="331"/>
      <c r="BE50" s="604"/>
      <c r="BF50" s="604"/>
      <c r="BG50" s="477"/>
      <c r="BH50" s="632"/>
      <c r="BI50" s="565"/>
      <c r="BJ50" s="477"/>
    </row>
    <row r="51" spans="1:65" ht="12.95" customHeight="1">
      <c r="A51" s="186">
        <v>26</v>
      </c>
      <c r="B51" s="1" t="s">
        <v>56</v>
      </c>
      <c r="C51" s="4"/>
      <c r="D51" s="4"/>
      <c r="E51" s="331">
        <f t="shared" ref="E51:V51" si="97">E18-E49</f>
        <v>20266</v>
      </c>
      <c r="F51" s="331">
        <f t="shared" si="97"/>
        <v>0</v>
      </c>
      <c r="G51" s="331">
        <f t="shared" si="97"/>
        <v>-1</v>
      </c>
      <c r="H51" s="331">
        <f t="shared" si="97"/>
        <v>0</v>
      </c>
      <c r="I51" s="331">
        <f t="shared" si="97"/>
        <v>-14</v>
      </c>
      <c r="J51" s="331">
        <f>J18-J49</f>
        <v>188</v>
      </c>
      <c r="K51" s="331">
        <f t="shared" si="97"/>
        <v>313</v>
      </c>
      <c r="L51" s="331">
        <f t="shared" si="97"/>
        <v>12</v>
      </c>
      <c r="M51" s="331">
        <f t="shared" si="97"/>
        <v>-231</v>
      </c>
      <c r="N51" s="331">
        <f t="shared" si="97"/>
        <v>0</v>
      </c>
      <c r="O51" s="331">
        <f t="shared" si="97"/>
        <v>9</v>
      </c>
      <c r="P51" s="331">
        <f t="shared" si="97"/>
        <v>5</v>
      </c>
      <c r="Q51" s="331">
        <f>Q18-Q49</f>
        <v>6</v>
      </c>
      <c r="R51" s="331">
        <f>R18-R49</f>
        <v>1776</v>
      </c>
      <c r="S51" s="331">
        <f>S18-S49</f>
        <v>0</v>
      </c>
      <c r="T51" s="331">
        <f>T18-T49</f>
        <v>317.75400000000002</v>
      </c>
      <c r="U51" s="331">
        <f>U18-U49</f>
        <v>0</v>
      </c>
      <c r="V51" s="331">
        <f t="shared" si="97"/>
        <v>489</v>
      </c>
      <c r="W51" s="331">
        <f>W18-W49</f>
        <v>1505</v>
      </c>
      <c r="X51" s="445">
        <f>SUM(E51:W51)</f>
        <v>24640.754000000001</v>
      </c>
      <c r="Y51" s="331">
        <f t="shared" ref="Y51:AA51" si="98">Y18-Y49</f>
        <v>-394.12199799999996</v>
      </c>
      <c r="Z51" s="331">
        <f t="shared" si="98"/>
        <v>13</v>
      </c>
      <c r="AA51" s="331">
        <f t="shared" si="98"/>
        <v>-344.79300000000001</v>
      </c>
      <c r="AB51" s="331">
        <f>AB18-AB49</f>
        <v>-104</v>
      </c>
      <c r="AC51" s="331">
        <f t="shared" ref="AC51:AK51" si="99">AC18-AC49</f>
        <v>-196</v>
      </c>
      <c r="AD51" s="331">
        <f>AD18-AD49</f>
        <v>12311</v>
      </c>
      <c r="AE51" s="383">
        <f t="shared" ref="AE51" si="100">AE18-AE49</f>
        <v>-236</v>
      </c>
      <c r="AF51" s="383">
        <f>AF18-AF49</f>
        <v>-2584</v>
      </c>
      <c r="AG51" s="604">
        <f>AG18-AG49</f>
        <v>-576</v>
      </c>
      <c r="AH51" s="604">
        <f>AH18-AH49</f>
        <v>-159.09856124187939</v>
      </c>
      <c r="AI51" s="331">
        <f>AI18-AI49</f>
        <v>56</v>
      </c>
      <c r="AJ51" s="477">
        <f t="shared" si="99"/>
        <v>32426.74044075812</v>
      </c>
      <c r="AK51" s="604">
        <f t="shared" si="99"/>
        <v>0</v>
      </c>
      <c r="AL51" s="604">
        <f t="shared" ref="AL51:AR51" si="101">AL18-AL49</f>
        <v>0</v>
      </c>
      <c r="AM51" s="604">
        <f>AM18-AM49</f>
        <v>0</v>
      </c>
      <c r="AN51" s="331">
        <f t="shared" si="101"/>
        <v>0</v>
      </c>
      <c r="AO51" s="331">
        <f t="shared" ref="AO51:AQ51" si="102">AO18-AO49</f>
        <v>0</v>
      </c>
      <c r="AP51" s="331">
        <f>AP18-AP49</f>
        <v>0</v>
      </c>
      <c r="AQ51" s="331">
        <f t="shared" si="102"/>
        <v>0</v>
      </c>
      <c r="AR51" s="477">
        <f t="shared" si="101"/>
        <v>32426.74044075812</v>
      </c>
      <c r="AS51" s="632">
        <f t="shared" ref="AS51" si="103">AS18-AS49</f>
        <v>0</v>
      </c>
      <c r="AT51" s="477">
        <f t="shared" ref="AT51:AU51" si="104">AT18-AT49</f>
        <v>32426.74044075812</v>
      </c>
      <c r="AU51" s="467">
        <f t="shared" si="104"/>
        <v>32426.74044075812</v>
      </c>
      <c r="AV51" s="552"/>
      <c r="AW51" s="486"/>
      <c r="AX51" s="486"/>
      <c r="AZ51" s="477">
        <f t="shared" ref="AZ51:BA51" si="105">AZ18-AZ49</f>
        <v>32426.74044075812</v>
      </c>
      <c r="BA51" s="604">
        <f t="shared" si="105"/>
        <v>0</v>
      </c>
      <c r="BB51" s="604">
        <f t="shared" ref="BB51" si="106">BB18-BB49</f>
        <v>0</v>
      </c>
      <c r="BC51" s="331">
        <f>BC18-BC49</f>
        <v>0</v>
      </c>
      <c r="BD51" s="331">
        <f>BD18-BD49</f>
        <v>0</v>
      </c>
      <c r="BE51" s="604">
        <f>BE18-BE49</f>
        <v>0</v>
      </c>
      <c r="BF51" s="604">
        <f>BF18-BF49</f>
        <v>0</v>
      </c>
      <c r="BG51" s="477">
        <f t="shared" ref="BG51:BJ51" si="107">BG18-BG49</f>
        <v>32426.74044075812</v>
      </c>
      <c r="BH51" s="632">
        <f t="shared" si="107"/>
        <v>0</v>
      </c>
      <c r="BI51" s="565">
        <f t="shared" si="107"/>
        <v>32426.74044075812</v>
      </c>
      <c r="BJ51" s="477">
        <f t="shared" si="107"/>
        <v>0</v>
      </c>
    </row>
    <row r="52" spans="1:65" ht="12.95" customHeight="1">
      <c r="C52" s="4"/>
      <c r="D52" s="4"/>
      <c r="E52" s="331"/>
      <c r="F52" s="331"/>
      <c r="G52" s="331"/>
      <c r="H52" s="331"/>
      <c r="I52" s="331"/>
      <c r="J52" s="331"/>
      <c r="K52" s="331"/>
      <c r="L52" s="331"/>
      <c r="M52" s="331"/>
      <c r="N52" s="331"/>
      <c r="O52" s="331"/>
      <c r="P52" s="331"/>
      <c r="Q52" s="331"/>
      <c r="R52" s="331"/>
      <c r="S52" s="331"/>
      <c r="T52" s="331"/>
      <c r="U52" s="331"/>
      <c r="V52" s="331"/>
      <c r="W52" s="331"/>
      <c r="X52" s="445"/>
      <c r="Y52" s="331"/>
      <c r="Z52" s="331"/>
      <c r="AA52" s="331"/>
      <c r="AB52" s="331"/>
      <c r="AC52" s="331"/>
      <c r="AD52" s="331"/>
      <c r="AE52" s="383"/>
      <c r="AF52" s="383"/>
      <c r="AG52" s="604"/>
      <c r="AH52" s="604"/>
      <c r="AI52" s="331"/>
      <c r="AJ52" s="477"/>
      <c r="AK52" s="604"/>
      <c r="AL52" s="604"/>
      <c r="AM52" s="604"/>
      <c r="AN52" s="331"/>
      <c r="AO52" s="331"/>
      <c r="AP52" s="331"/>
      <c r="AQ52" s="331"/>
      <c r="AR52" s="477"/>
      <c r="AS52" s="632"/>
      <c r="AT52" s="477"/>
      <c r="AU52" s="467"/>
      <c r="AV52" s="552"/>
      <c r="AW52" s="486"/>
      <c r="AX52" s="486"/>
      <c r="AZ52" s="477"/>
      <c r="BA52" s="604"/>
      <c r="BB52" s="604"/>
      <c r="BC52" s="331"/>
      <c r="BD52" s="331"/>
      <c r="BE52" s="604"/>
      <c r="BF52" s="604"/>
      <c r="BG52" s="477"/>
      <c r="BH52" s="632"/>
      <c r="BI52" s="565"/>
      <c r="BJ52" s="477"/>
    </row>
    <row r="53" spans="1:65" ht="12.95" customHeight="1">
      <c r="B53" s="1" t="s">
        <v>57</v>
      </c>
      <c r="C53" s="4"/>
      <c r="D53" s="4"/>
      <c r="E53" s="331"/>
      <c r="F53" s="514"/>
      <c r="G53" s="514"/>
      <c r="H53" s="514"/>
      <c r="I53" s="514"/>
      <c r="J53" s="514"/>
      <c r="K53" s="514"/>
      <c r="L53" s="514"/>
      <c r="M53" s="514"/>
      <c r="N53" s="514"/>
      <c r="O53" s="514"/>
      <c r="P53" s="514"/>
      <c r="Q53" s="514"/>
      <c r="R53" s="514"/>
      <c r="S53" s="514"/>
      <c r="T53" s="514"/>
      <c r="U53" s="514"/>
      <c r="V53" s="514"/>
      <c r="W53" s="514"/>
      <c r="X53" s="445"/>
      <c r="Y53" s="514"/>
      <c r="Z53" s="514"/>
      <c r="AA53" s="514"/>
      <c r="AB53" s="514"/>
      <c r="AC53" s="514"/>
      <c r="AD53" s="514"/>
      <c r="AE53" s="514"/>
      <c r="AF53" s="514"/>
      <c r="AG53" s="446"/>
      <c r="AH53" s="446"/>
      <c r="AI53" s="514"/>
      <c r="AJ53" s="477"/>
      <c r="AK53" s="446"/>
      <c r="AL53" s="446"/>
      <c r="AM53" s="446"/>
      <c r="AN53" s="514"/>
      <c r="AO53" s="514"/>
      <c r="AP53" s="514"/>
      <c r="AQ53" s="514"/>
      <c r="AR53" s="477"/>
      <c r="AS53" s="630"/>
      <c r="AT53" s="477"/>
      <c r="AU53" s="467"/>
      <c r="AV53" s="552"/>
      <c r="AW53" s="486"/>
      <c r="AX53" s="486"/>
      <c r="AZ53" s="477"/>
      <c r="BA53" s="446"/>
      <c r="BB53" s="446"/>
      <c r="BC53" s="514"/>
      <c r="BD53" s="514"/>
      <c r="BE53" s="446"/>
      <c r="BF53" s="446"/>
      <c r="BG53" s="477"/>
      <c r="BH53" s="630"/>
      <c r="BI53" s="565"/>
      <c r="BJ53" s="477"/>
    </row>
    <row r="54" spans="1:65">
      <c r="A54" s="186">
        <v>27</v>
      </c>
      <c r="B54" s="4" t="s">
        <v>58</v>
      </c>
      <c r="D54" s="4"/>
      <c r="E54" s="331">
        <f>'ROO INPUT'!$F54</f>
        <v>-6651</v>
      </c>
      <c r="F54" s="514">
        <f>F51*0.35</f>
        <v>0</v>
      </c>
      <c r="G54" s="514">
        <f>G51*0.35</f>
        <v>-0.35</v>
      </c>
      <c r="H54" s="514">
        <f t="shared" ref="H54" si="108">H51*0.35</f>
        <v>0</v>
      </c>
      <c r="I54" s="514">
        <f t="shared" ref="I54:M54" si="109">I51*0.35</f>
        <v>-4.8999999999999995</v>
      </c>
      <c r="J54" s="514">
        <f>J51*0.35</f>
        <v>65.8</v>
      </c>
      <c r="K54" s="514">
        <f t="shared" si="109"/>
        <v>109.55</v>
      </c>
      <c r="L54" s="514">
        <f t="shared" si="109"/>
        <v>4.1999999999999993</v>
      </c>
      <c r="M54" s="514">
        <f t="shared" si="109"/>
        <v>-80.849999999999994</v>
      </c>
      <c r="N54" s="514">
        <v>-223</v>
      </c>
      <c r="O54" s="514">
        <f>O51*0.35</f>
        <v>3.15</v>
      </c>
      <c r="P54" s="514">
        <f t="shared" ref="P54:V54" si="110">P51*0.35</f>
        <v>1.75</v>
      </c>
      <c r="Q54" s="514">
        <f>Q51*0.35</f>
        <v>2.0999999999999996</v>
      </c>
      <c r="R54" s="514">
        <f>R51*0.35</f>
        <v>621.59999999999991</v>
      </c>
      <c r="S54" s="514">
        <f>S51*0.35</f>
        <v>0</v>
      </c>
      <c r="T54" s="514">
        <f>T51*0.35</f>
        <v>111.2139</v>
      </c>
      <c r="U54" s="719">
        <f>'DEBT CALC'!E63-'Exh. No. BGM-6'!Y25</f>
        <v>-205.20060024845552</v>
      </c>
      <c r="V54" s="514">
        <f t="shared" si="110"/>
        <v>171.14999999999998</v>
      </c>
      <c r="W54" s="514">
        <f t="shared" ref="W54" si="111">W51*0.35</f>
        <v>526.75</v>
      </c>
      <c r="X54" s="445">
        <f>SUM(E54:W54)</f>
        <v>-5548.0367002484572</v>
      </c>
      <c r="Y54" s="514">
        <f>Y51*0.35</f>
        <v>-137.94269929999999</v>
      </c>
      <c r="Z54" s="514">
        <f t="shared" ref="Z54:AA54" si="112">Z51*0.35</f>
        <v>4.55</v>
      </c>
      <c r="AA54" s="514">
        <f t="shared" si="112"/>
        <v>-120.67755</v>
      </c>
      <c r="AB54" s="514">
        <f>AB51*0.35</f>
        <v>-36.4</v>
      </c>
      <c r="AC54" s="514">
        <f t="shared" ref="AC54:AI54" si="113">AC51*0.35</f>
        <v>-68.599999999999994</v>
      </c>
      <c r="AD54" s="514">
        <f t="shared" si="113"/>
        <v>4308.8499999999995</v>
      </c>
      <c r="AE54" s="514">
        <f>AE51*0.35</f>
        <v>-82.6</v>
      </c>
      <c r="AF54" s="514">
        <f t="shared" si="113"/>
        <v>-904.4</v>
      </c>
      <c r="AG54" s="446">
        <f t="shared" si="113"/>
        <v>-201.6</v>
      </c>
      <c r="AH54" s="446">
        <f t="shared" si="113"/>
        <v>-55.684496434657788</v>
      </c>
      <c r="AI54" s="514">
        <f t="shared" si="113"/>
        <v>19.599999999999998</v>
      </c>
      <c r="AJ54" s="477">
        <f>SUM(X54:AI54)</f>
        <v>-2822.9414459831155</v>
      </c>
      <c r="AK54" s="446">
        <f t="shared" ref="AK54:AO54" si="114">AK51*0.35</f>
        <v>0</v>
      </c>
      <c r="AL54" s="446">
        <f t="shared" si="114"/>
        <v>0</v>
      </c>
      <c r="AM54" s="446">
        <f t="shared" si="114"/>
        <v>0</v>
      </c>
      <c r="AN54" s="514">
        <f t="shared" si="114"/>
        <v>0</v>
      </c>
      <c r="AO54" s="514">
        <f t="shared" si="114"/>
        <v>0</v>
      </c>
      <c r="AP54" s="514">
        <f>AP51*0.35</f>
        <v>0</v>
      </c>
      <c r="AQ54" s="514">
        <f t="shared" ref="AQ54" si="115">AQ51*0.35</f>
        <v>0</v>
      </c>
      <c r="AR54" s="477">
        <f>SUM(AJ54:AQ54)</f>
        <v>-2822.9414459831155</v>
      </c>
      <c r="AS54" s="630">
        <f t="shared" ref="AS54" si="116">AS51*0.35</f>
        <v>0</v>
      </c>
      <c r="AT54" s="477">
        <f>SUM(AR54:AS54)</f>
        <v>-2822.9414459831155</v>
      </c>
      <c r="AU54" s="467">
        <f>SUM(AT54:AT54)</f>
        <v>-2822.9414459831155</v>
      </c>
      <c r="AV54" s="552"/>
      <c r="AW54" s="486"/>
      <c r="AX54" s="486"/>
      <c r="AZ54" s="477">
        <f t="shared" ref="AZ54:AZ57" si="117">AU54</f>
        <v>-2822.9414459831155</v>
      </c>
      <c r="BA54" s="446">
        <f t="shared" ref="BA54:BF54" si="118">BA51*0.35</f>
        <v>0</v>
      </c>
      <c r="BB54" s="446">
        <f t="shared" si="118"/>
        <v>0</v>
      </c>
      <c r="BC54" s="514">
        <f t="shared" si="118"/>
        <v>0</v>
      </c>
      <c r="BD54" s="514">
        <f t="shared" si="118"/>
        <v>0</v>
      </c>
      <c r="BE54" s="446">
        <f t="shared" ref="BE54" si="119">BE51*0.35</f>
        <v>0</v>
      </c>
      <c r="BF54" s="446">
        <f t="shared" si="118"/>
        <v>0</v>
      </c>
      <c r="BG54" s="477">
        <f>SUM(AZ54:BF54)</f>
        <v>-2822.9414459831155</v>
      </c>
      <c r="BH54" s="630">
        <f t="shared" ref="BH54" si="120">BH51*0.35</f>
        <v>0</v>
      </c>
      <c r="BI54" s="565">
        <f>SUM(BG54:BH54)</f>
        <v>-2822.9414459831155</v>
      </c>
      <c r="BJ54" s="477">
        <f>BI54-AU54</f>
        <v>0</v>
      </c>
    </row>
    <row r="55" spans="1:65">
      <c r="A55" s="186">
        <v>28</v>
      </c>
      <c r="B55" s="4" t="s">
        <v>205</v>
      </c>
      <c r="D55" s="4"/>
      <c r="E55" s="331">
        <f>'ROO INPUT'!$F55</f>
        <v>0</v>
      </c>
      <c r="F55" s="514">
        <f>(F82*'Exh. No. BGM-6 -5'!$P$14)*-0.35</f>
        <v>-0.497</v>
      </c>
      <c r="G55" s="514">
        <f>(G82*'Exh. No. BGM-6 -5'!$P$14)*-0.35</f>
        <v>0</v>
      </c>
      <c r="H55" s="514">
        <f>(H82*'Exh. No. BGM-6 -5'!$P$14)*-0.35</f>
        <v>-28.110319999999998</v>
      </c>
      <c r="I55" s="514">
        <f>(I82*'Exh. No. BGM-6 -5'!$P$14)*-0.35</f>
        <v>0</v>
      </c>
      <c r="J55" s="514">
        <f>(J82*'Exh. No. BGM-6 -5'!$P$14)*-0.35</f>
        <v>0</v>
      </c>
      <c r="K55" s="514">
        <f>(K82*'Exh. No. BGM-6 -5'!$P$14)*-0.35</f>
        <v>0</v>
      </c>
      <c r="L55" s="514">
        <f>(L82*'Exh. No. BGM-6 -5'!$P$14)*-0.35</f>
        <v>0</v>
      </c>
      <c r="M55" s="514">
        <f>(M82*'Exh. No. BGM-6 -5'!$P$14)*-0.35</f>
        <v>0</v>
      </c>
      <c r="N55" s="514"/>
      <c r="O55" s="514">
        <f>(O82*'Exh. No. BGM-6 -5'!$P$14)*-0.35</f>
        <v>0</v>
      </c>
      <c r="P55" s="514">
        <f>(P82*'Exh. No. BGM-6 -5'!$P$14)*-0.35</f>
        <v>0</v>
      </c>
      <c r="Q55" s="514">
        <f>(Q82*'Exh. No. BGM-6 -5'!$P$14)*-0.35</f>
        <v>0</v>
      </c>
      <c r="R55" s="514">
        <f>(R82*'Exh. No. BGM-6 -5'!$P$14)*-0.35</f>
        <v>0</v>
      </c>
      <c r="S55" s="514">
        <f>(S82*'Exh. No. BGM-6 -5'!$P$14)*-0.35</f>
        <v>0</v>
      </c>
      <c r="T55" s="514">
        <f>(T82*'Exh. No. BGM-6 -5'!$P$14)*-0.35</f>
        <v>0</v>
      </c>
      <c r="U55" s="514"/>
      <c r="V55" s="514">
        <f>(V82*'Exh. No. BGM-6 -5'!$P$14)*-0.35</f>
        <v>0</v>
      </c>
      <c r="W55" s="514">
        <f>(W82*'Exh. No. BGM-6 -5'!$P$14)*-0.35</f>
        <v>0</v>
      </c>
      <c r="X55" s="445">
        <f>SUM(E55:W55)</f>
        <v>-28.607319999999998</v>
      </c>
      <c r="Y55" s="514">
        <f>(Y82*'Exh. No. BGM-6 -5'!$P$14)*-0.35</f>
        <v>0</v>
      </c>
      <c r="Z55" s="514">
        <f>(Z82*'Exh. No. BGM-6 -5'!$P$14)*-0.35</f>
        <v>0</v>
      </c>
      <c r="AA55" s="514">
        <f>(AA82*'Exh. No. BGM-6 -5'!$P$14)*-0.35</f>
        <v>0</v>
      </c>
      <c r="AB55" s="514">
        <f>(AB82*'Exh. No. BGM-6 -5'!$P$14)*-0.35</f>
        <v>0</v>
      </c>
      <c r="AC55" s="514">
        <f>(AC82*'Exh. No. BGM-6 -5'!$P$14)*-0.35</f>
        <v>0</v>
      </c>
      <c r="AD55" s="514">
        <f>(AD82*'Exh. No. BGM-6 -5'!$P$14)*-0.35</f>
        <v>0</v>
      </c>
      <c r="AE55" s="514">
        <f>(AE82*'Exh. No. BGM-6 -5'!$P$14)*-0.35</f>
        <v>0</v>
      </c>
      <c r="AF55" s="514">
        <f>(AF82*'Exh. No. BGM-6 -5'!$P$14)*-0.35</f>
        <v>0</v>
      </c>
      <c r="AG55" s="446">
        <f>(AG82*'Exh. No. BGM-6 -5'!$P$14)*-0.35</f>
        <v>-60.693640000000002</v>
      </c>
      <c r="AH55" s="721">
        <v>-180.11280000000002</v>
      </c>
      <c r="AI55" s="514">
        <f>(AI82*'Exh. No. BGM-6 -5'!$P$14)*-0.35</f>
        <v>0</v>
      </c>
      <c r="AJ55" s="477">
        <f>SUM(X55:AI55)</f>
        <v>-269.41376000000002</v>
      </c>
      <c r="AK55" s="446">
        <f>(AK82*'Exh. No. BGM-6 -5'!$P$14)*-0.35</f>
        <v>0</v>
      </c>
      <c r="AL55" s="446">
        <f>(AL82*'Exh. No. BGM-6 -5'!$P$14)*-0.35</f>
        <v>0</v>
      </c>
      <c r="AM55" s="446">
        <f>(AM82*'Exh. No. BGM-6 -5'!$P$14)*-0.35</f>
        <v>0</v>
      </c>
      <c r="AN55" s="514">
        <f>(AN82*'Exh. No. BGM-6 -5'!$P$14)*-0.35</f>
        <v>0</v>
      </c>
      <c r="AO55" s="514">
        <f>(AO82*'Exh. No. BGM-6 -5'!$P$14)*-0.35</f>
        <v>0</v>
      </c>
      <c r="AP55" s="514">
        <f>(AP82*'Exh. No. BGM-6 -5'!$P$14)*-0.35</f>
        <v>0</v>
      </c>
      <c r="AQ55" s="514">
        <f>(AQ82*'Exh. No. BGM-6 -5'!$P$14)*-0.35</f>
        <v>0</v>
      </c>
      <c r="AR55" s="477">
        <f>SUM(AJ55:AQ55)</f>
        <v>-269.41376000000002</v>
      </c>
      <c r="AS55" s="630">
        <f>(AS82*'Exh. No. BGM-6 -5'!$P$14)*-0.35</f>
        <v>0</v>
      </c>
      <c r="AT55" s="477">
        <f>SUM(AR55:AS55)</f>
        <v>-269.41376000000002</v>
      </c>
      <c r="AU55" s="467">
        <f>SUM(AT55:AT55)</f>
        <v>-269.41376000000002</v>
      </c>
      <c r="AV55" s="552"/>
      <c r="AW55" s="486"/>
      <c r="AX55" s="486"/>
      <c r="AZ55" s="477">
        <f t="shared" si="117"/>
        <v>-269.41376000000002</v>
      </c>
      <c r="BA55" s="446">
        <f>(BA82*'Exh. No. BGM-6 -5'!$P$14)*-0.35</f>
        <v>0</v>
      </c>
      <c r="BB55" s="446">
        <f>(BB82*'Exh. No. BGM-6 -5'!$P$14)*-0.35</f>
        <v>0</v>
      </c>
      <c r="BC55" s="514">
        <f>(BC82*'Exh. No. BGM-6 -5'!$P$14)*-0.35</f>
        <v>0</v>
      </c>
      <c r="BD55" s="514">
        <f>(BD82*'Exh. No. BGM-6 -5'!$P$14)*-0.35</f>
        <v>0</v>
      </c>
      <c r="BE55" s="446">
        <f>(BE82*'Exh. No. BGM-6 -5'!$P$14)*-0.35</f>
        <v>0</v>
      </c>
      <c r="BF55" s="446">
        <f>(BF82*'Exh. No. BGM-6 -5'!$P$14)*-0.35</f>
        <v>0</v>
      </c>
      <c r="BG55" s="477">
        <f>SUM(AZ55:BF55)</f>
        <v>-269.41376000000002</v>
      </c>
      <c r="BH55" s="630">
        <f>(BH82*'Exh. No. BGM-6 -5'!$P$14)*-0.35</f>
        <v>0</v>
      </c>
      <c r="BI55" s="565">
        <f>SUM(BG55:BH55)</f>
        <v>-269.41376000000002</v>
      </c>
      <c r="BJ55" s="477">
        <f>BI55-AU55</f>
        <v>0</v>
      </c>
    </row>
    <row r="56" spans="1:65">
      <c r="A56" s="186">
        <v>29</v>
      </c>
      <c r="B56" s="4" t="s">
        <v>59</v>
      </c>
      <c r="D56" s="4"/>
      <c r="E56" s="331">
        <f>'ROO INPUT'!$F56</f>
        <v>12388</v>
      </c>
      <c r="F56" s="514">
        <v>0</v>
      </c>
      <c r="G56" s="514">
        <v>0</v>
      </c>
      <c r="H56" s="514">
        <v>0</v>
      </c>
      <c r="I56" s="514">
        <v>0</v>
      </c>
      <c r="J56" s="514">
        <v>0</v>
      </c>
      <c r="K56" s="514">
        <v>0</v>
      </c>
      <c r="L56" s="514">
        <v>0</v>
      </c>
      <c r="M56" s="514">
        <v>0</v>
      </c>
      <c r="N56" s="514">
        <v>0</v>
      </c>
      <c r="O56" s="514">
        <v>0</v>
      </c>
      <c r="P56" s="514">
        <v>0</v>
      </c>
      <c r="Q56" s="514">
        <v>0</v>
      </c>
      <c r="R56" s="514">
        <v>0</v>
      </c>
      <c r="S56" s="514">
        <v>0</v>
      </c>
      <c r="T56" s="514">
        <v>0</v>
      </c>
      <c r="U56" s="514">
        <v>0</v>
      </c>
      <c r="V56" s="514">
        <v>0</v>
      </c>
      <c r="W56" s="514">
        <v>0</v>
      </c>
      <c r="X56" s="445">
        <f>SUM(E56:W56)</f>
        <v>12388</v>
      </c>
      <c r="Y56" s="514">
        <v>0</v>
      </c>
      <c r="Z56" s="514">
        <v>0</v>
      </c>
      <c r="AA56" s="514">
        <v>0</v>
      </c>
      <c r="AB56" s="514">
        <v>0</v>
      </c>
      <c r="AC56" s="514">
        <v>0</v>
      </c>
      <c r="AD56" s="514">
        <v>0</v>
      </c>
      <c r="AE56" s="514">
        <v>0</v>
      </c>
      <c r="AF56" s="514">
        <v>0</v>
      </c>
      <c r="AG56" s="446">
        <v>0</v>
      </c>
      <c r="AH56" s="446">
        <v>0</v>
      </c>
      <c r="AI56" s="514">
        <v>0</v>
      </c>
      <c r="AJ56" s="477">
        <f>SUM(X56:AI56)</f>
        <v>12388</v>
      </c>
      <c r="AK56" s="446">
        <v>0</v>
      </c>
      <c r="AL56" s="446">
        <v>0</v>
      </c>
      <c r="AM56" s="446">
        <v>0</v>
      </c>
      <c r="AN56" s="514">
        <v>0</v>
      </c>
      <c r="AO56" s="514">
        <v>0</v>
      </c>
      <c r="AP56" s="514">
        <v>0</v>
      </c>
      <c r="AQ56" s="514">
        <v>0</v>
      </c>
      <c r="AR56" s="477">
        <f>SUM(AJ56:AQ56)</f>
        <v>12388</v>
      </c>
      <c r="AS56" s="630">
        <v>0</v>
      </c>
      <c r="AT56" s="477">
        <f>SUM(AR56:AS56)</f>
        <v>12388</v>
      </c>
      <c r="AU56" s="467">
        <f>SUM(AT56:AT56)</f>
        <v>12388</v>
      </c>
      <c r="AV56" s="552"/>
      <c r="AW56" s="486"/>
      <c r="AX56" s="486"/>
      <c r="AZ56" s="477">
        <f t="shared" si="117"/>
        <v>12388</v>
      </c>
      <c r="BA56" s="446">
        <v>0</v>
      </c>
      <c r="BB56" s="446">
        <v>0</v>
      </c>
      <c r="BC56" s="514">
        <v>0</v>
      </c>
      <c r="BD56" s="514">
        <v>0</v>
      </c>
      <c r="BE56" s="446">
        <v>0</v>
      </c>
      <c r="BF56" s="446">
        <v>0</v>
      </c>
      <c r="BG56" s="477">
        <f>SUM(AZ56:BF56)</f>
        <v>12388</v>
      </c>
      <c r="BH56" s="630">
        <v>0</v>
      </c>
      <c r="BI56" s="565">
        <f>SUM(BG56:BH56)</f>
        <v>12388</v>
      </c>
      <c r="BJ56" s="477">
        <f>BI56-AU56</f>
        <v>0</v>
      </c>
    </row>
    <row r="57" spans="1:65">
      <c r="A57" s="186">
        <v>30</v>
      </c>
      <c r="B57" s="4" t="s">
        <v>60</v>
      </c>
      <c r="D57" s="4"/>
      <c r="E57" s="332">
        <f>'ROO INPUT'!$F57</f>
        <v>-20</v>
      </c>
      <c r="F57" s="447"/>
      <c r="G57" s="447"/>
      <c r="H57" s="447"/>
      <c r="I57" s="447">
        <v>0</v>
      </c>
      <c r="J57" s="447">
        <v>0</v>
      </c>
      <c r="K57" s="447">
        <v>0</v>
      </c>
      <c r="L57" s="447">
        <v>0</v>
      </c>
      <c r="M57" s="447">
        <v>0</v>
      </c>
      <c r="N57" s="447">
        <v>0</v>
      </c>
      <c r="O57" s="447">
        <v>0</v>
      </c>
      <c r="P57" s="447">
        <v>0</v>
      </c>
      <c r="Q57" s="447">
        <v>0</v>
      </c>
      <c r="R57" s="447">
        <v>0</v>
      </c>
      <c r="S57" s="447">
        <v>0</v>
      </c>
      <c r="T57" s="447">
        <v>0</v>
      </c>
      <c r="U57" s="447">
        <v>0</v>
      </c>
      <c r="V57" s="447">
        <v>0</v>
      </c>
      <c r="W57" s="447">
        <v>0</v>
      </c>
      <c r="X57" s="448">
        <f>SUM(E57:W57)</f>
        <v>-20</v>
      </c>
      <c r="Y57" s="447">
        <v>0</v>
      </c>
      <c r="Z57" s="447">
        <v>0</v>
      </c>
      <c r="AA57" s="447">
        <v>0</v>
      </c>
      <c r="AB57" s="447">
        <v>0</v>
      </c>
      <c r="AC57" s="447">
        <v>0</v>
      </c>
      <c r="AD57" s="447">
        <v>0</v>
      </c>
      <c r="AE57" s="447">
        <v>0</v>
      </c>
      <c r="AF57" s="447">
        <v>0</v>
      </c>
      <c r="AG57" s="447">
        <v>0</v>
      </c>
      <c r="AH57" s="447">
        <v>0</v>
      </c>
      <c r="AI57" s="447">
        <v>0</v>
      </c>
      <c r="AJ57" s="478">
        <f>SUM(X57:AI57)</f>
        <v>-20</v>
      </c>
      <c r="AK57" s="447">
        <v>0</v>
      </c>
      <c r="AL57" s="447">
        <v>0</v>
      </c>
      <c r="AM57" s="447">
        <v>0</v>
      </c>
      <c r="AN57" s="447">
        <v>0</v>
      </c>
      <c r="AO57" s="447">
        <v>0</v>
      </c>
      <c r="AP57" s="447">
        <v>0</v>
      </c>
      <c r="AQ57" s="447">
        <v>0</v>
      </c>
      <c r="AR57" s="478">
        <f>SUM(AJ57:AQ57)</f>
        <v>-20</v>
      </c>
      <c r="AS57" s="631">
        <v>0</v>
      </c>
      <c r="AT57" s="478">
        <f>SUM(AR57:AS57)</f>
        <v>-20</v>
      </c>
      <c r="AU57" s="468">
        <f>SUM(AT57:AT57)</f>
        <v>-20</v>
      </c>
      <c r="AV57" s="552"/>
      <c r="AW57" s="486"/>
      <c r="AX57" s="486"/>
      <c r="AZ57" s="478">
        <f t="shared" si="117"/>
        <v>-20</v>
      </c>
      <c r="BA57" s="447">
        <v>0</v>
      </c>
      <c r="BB57" s="447">
        <v>0</v>
      </c>
      <c r="BC57" s="447">
        <v>0</v>
      </c>
      <c r="BD57" s="447">
        <v>0</v>
      </c>
      <c r="BE57" s="447">
        <v>0</v>
      </c>
      <c r="BF57" s="447">
        <v>0</v>
      </c>
      <c r="BG57" s="478">
        <f>SUM(AZ57:BF57)</f>
        <v>-20</v>
      </c>
      <c r="BH57" s="631">
        <v>0</v>
      </c>
      <c r="BI57" s="557">
        <f>SUM(BG57:BH57)</f>
        <v>-20</v>
      </c>
      <c r="BJ57" s="478">
        <f>BI57-AU57</f>
        <v>0</v>
      </c>
    </row>
    <row r="58" spans="1:65">
      <c r="E58" s="331"/>
      <c r="F58" s="331"/>
      <c r="G58" s="331"/>
      <c r="H58" s="331"/>
      <c r="I58" s="331"/>
      <c r="J58" s="331"/>
      <c r="K58" s="331"/>
      <c r="L58" s="331"/>
      <c r="M58" s="331"/>
      <c r="N58" s="331"/>
      <c r="O58" s="331"/>
      <c r="P58" s="331"/>
      <c r="Q58" s="331"/>
      <c r="R58" s="331"/>
      <c r="S58" s="331"/>
      <c r="T58" s="331"/>
      <c r="U58" s="331"/>
      <c r="V58" s="331"/>
      <c r="W58" s="331"/>
      <c r="X58" s="445"/>
      <c r="Y58" s="331"/>
      <c r="Z58" s="331"/>
      <c r="AA58" s="331"/>
      <c r="AB58" s="331"/>
      <c r="AC58" s="331"/>
      <c r="AD58" s="331"/>
      <c r="AE58" s="383"/>
      <c r="AF58" s="383"/>
      <c r="AG58" s="604"/>
      <c r="AH58" s="604"/>
      <c r="AI58" s="331"/>
      <c r="AJ58" s="477"/>
      <c r="AK58" s="604"/>
      <c r="AL58" s="604"/>
      <c r="AM58" s="604"/>
      <c r="AN58" s="331"/>
      <c r="AO58" s="331"/>
      <c r="AP58" s="331"/>
      <c r="AQ58" s="331"/>
      <c r="AR58" s="477"/>
      <c r="AS58" s="632"/>
      <c r="AT58" s="477"/>
      <c r="AU58" s="467"/>
      <c r="AV58" s="552"/>
      <c r="AW58" s="486"/>
      <c r="AX58" s="486"/>
      <c r="AZ58" s="477"/>
      <c r="BA58" s="604"/>
      <c r="BB58" s="604"/>
      <c r="BC58" s="331"/>
      <c r="BD58" s="331"/>
      <c r="BE58" s="604"/>
      <c r="BF58" s="604"/>
      <c r="BG58" s="477"/>
      <c r="BH58" s="632"/>
      <c r="BI58" s="565"/>
      <c r="BJ58" s="477"/>
    </row>
    <row r="59" spans="1:65" s="3" customFormat="1" ht="12.75" thickBot="1">
      <c r="A59" s="186">
        <v>31</v>
      </c>
      <c r="B59" s="3" t="s">
        <v>61</v>
      </c>
      <c r="E59" s="520">
        <f>E51-SUM(E54:E57)</f>
        <v>14549</v>
      </c>
      <c r="F59" s="520">
        <f t="shared" ref="F59:O59" si="121">F51-SUM(F54:F57)</f>
        <v>0.497</v>
      </c>
      <c r="G59" s="520">
        <f>G51-SUM(G54:G57)</f>
        <v>-0.65</v>
      </c>
      <c r="H59" s="520">
        <f t="shared" si="121"/>
        <v>28.110319999999998</v>
      </c>
      <c r="I59" s="520">
        <f t="shared" si="121"/>
        <v>-9.1000000000000014</v>
      </c>
      <c r="J59" s="520">
        <f>J51-SUM(J54:J57)</f>
        <v>122.2</v>
      </c>
      <c r="K59" s="520">
        <f t="shared" si="121"/>
        <v>203.45</v>
      </c>
      <c r="L59" s="520">
        <f t="shared" si="121"/>
        <v>7.8000000000000007</v>
      </c>
      <c r="M59" s="520">
        <f t="shared" si="121"/>
        <v>-150.15</v>
      </c>
      <c r="N59" s="520">
        <f t="shared" si="121"/>
        <v>223</v>
      </c>
      <c r="O59" s="520">
        <f t="shared" si="121"/>
        <v>5.85</v>
      </c>
      <c r="P59" s="520">
        <f t="shared" ref="P59:V59" si="122">P51-SUM(P54:P57)</f>
        <v>3.25</v>
      </c>
      <c r="Q59" s="520">
        <f t="shared" si="122"/>
        <v>3.9000000000000004</v>
      </c>
      <c r="R59" s="520">
        <f t="shared" si="122"/>
        <v>1154.4000000000001</v>
      </c>
      <c r="S59" s="520">
        <f t="shared" ref="S59" si="123">S51-SUM(S54:S57)</f>
        <v>0</v>
      </c>
      <c r="T59" s="520">
        <f>T51-SUM(T54:T57)</f>
        <v>206.54010000000002</v>
      </c>
      <c r="U59" s="520">
        <f t="shared" ref="U59" si="124">U51-SUM(U54:U57)</f>
        <v>205.20060024845552</v>
      </c>
      <c r="V59" s="520">
        <f t="shared" si="122"/>
        <v>317.85000000000002</v>
      </c>
      <c r="W59" s="520">
        <f>W51-SUM(W54:W57)</f>
        <v>978.25</v>
      </c>
      <c r="X59" s="450">
        <f>X51-SUM(X54:X57)+X58</f>
        <v>17849.39802024846</v>
      </c>
      <c r="Y59" s="520">
        <f t="shared" ref="Y59:Z59" si="125">Y51-SUM(Y54:Y57)</f>
        <v>-256.1792987</v>
      </c>
      <c r="Z59" s="520">
        <f t="shared" si="125"/>
        <v>8.4499999999999993</v>
      </c>
      <c r="AA59" s="520">
        <f t="shared" ref="AA59" si="126">AA51-SUM(AA54:AA57)</f>
        <v>-224.11545000000001</v>
      </c>
      <c r="AB59" s="520">
        <f>AB51-SUM(AB54:AB57)</f>
        <v>-67.599999999999994</v>
      </c>
      <c r="AC59" s="520">
        <f>AC51-SUM(AC54:AC57)</f>
        <v>-127.4</v>
      </c>
      <c r="AD59" s="520">
        <f t="shared" ref="AD59" si="127">AD51-SUM(AD54:AD57)</f>
        <v>8002.1500000000005</v>
      </c>
      <c r="AE59" s="602">
        <f>AE51-SUM(AE54:AE57)</f>
        <v>-153.4</v>
      </c>
      <c r="AF59" s="602">
        <f>AF51-SUM(AF54:AF57)</f>
        <v>-1679.6</v>
      </c>
      <c r="AG59" s="602">
        <f>AG51-SUM(AG54:AG57)</f>
        <v>-313.70636000000002</v>
      </c>
      <c r="AH59" s="602">
        <f>AH51-SUM(AH54:AH57)</f>
        <v>76.698735192778429</v>
      </c>
      <c r="AI59" s="520">
        <f>AI51-SUM(AI54:AI57)</f>
        <v>36.400000000000006</v>
      </c>
      <c r="AJ59" s="479">
        <f>AJ51-SUM(AJ54:AJ57)+AJ58</f>
        <v>23151.095646741236</v>
      </c>
      <c r="AK59" s="602">
        <f t="shared" ref="AK59:AO59" si="128">AK51-SUM(AK54:AK57)</f>
        <v>0</v>
      </c>
      <c r="AL59" s="602">
        <f t="shared" si="128"/>
        <v>0</v>
      </c>
      <c r="AM59" s="602">
        <f t="shared" si="128"/>
        <v>0</v>
      </c>
      <c r="AN59" s="520">
        <f t="shared" si="128"/>
        <v>0</v>
      </c>
      <c r="AO59" s="520">
        <f t="shared" si="128"/>
        <v>0</v>
      </c>
      <c r="AP59" s="520">
        <f>AP51-SUM(AP54:AP57)</f>
        <v>0</v>
      </c>
      <c r="AQ59" s="520">
        <f t="shared" ref="AQ59" si="129">AQ51-SUM(AQ54:AQ57)</f>
        <v>0</v>
      </c>
      <c r="AR59" s="479">
        <f>AR51-SUM(AR54:AR57)+AR58</f>
        <v>23151.095646741236</v>
      </c>
      <c r="AS59" s="634">
        <f t="shared" ref="AS59" si="130">AS51-SUM(AS54:AS57)</f>
        <v>0</v>
      </c>
      <c r="AT59" s="479">
        <f>AT51-SUM(AT54:AT57)+AT58</f>
        <v>23151.095646741236</v>
      </c>
      <c r="AU59" s="469">
        <f>AU51-SUM(AU54:AU57)</f>
        <v>23151.095646741236</v>
      </c>
      <c r="AV59" s="825"/>
      <c r="AW59" s="825"/>
      <c r="AX59" s="621"/>
      <c r="AZ59" s="479">
        <f>AZ51-SUM(AZ54:AZ57)+AZ58</f>
        <v>23151.095646741236</v>
      </c>
      <c r="BA59" s="602">
        <f t="shared" ref="BA59:BF59" si="131">BA51-SUM(BA54:BA57)</f>
        <v>0</v>
      </c>
      <c r="BB59" s="602">
        <f t="shared" si="131"/>
        <v>0</v>
      </c>
      <c r="BC59" s="520">
        <f t="shared" si="131"/>
        <v>0</v>
      </c>
      <c r="BD59" s="520">
        <f t="shared" si="131"/>
        <v>0</v>
      </c>
      <c r="BE59" s="602">
        <f t="shared" ref="BE59" si="132">BE51-SUM(BE54:BE57)</f>
        <v>0</v>
      </c>
      <c r="BF59" s="602">
        <f t="shared" si="131"/>
        <v>0</v>
      </c>
      <c r="BG59" s="479">
        <f>BG51-SUM(BG54:BG57)+BG58</f>
        <v>23151.095646741236</v>
      </c>
      <c r="BH59" s="634">
        <f t="shared" ref="BH59" si="133">BH51-SUM(BH54:BH57)</f>
        <v>0</v>
      </c>
      <c r="BI59" s="566">
        <f>BI51-SUM(BI54:BI57)+BI58</f>
        <v>23151.095646741236</v>
      </c>
      <c r="BJ59" s="479">
        <f>BJ51-SUM(BJ54:BJ57)</f>
        <v>0</v>
      </c>
    </row>
    <row r="60" spans="1:65" ht="6" customHeight="1" thickTop="1">
      <c r="E60" s="331"/>
      <c r="F60" s="331"/>
      <c r="G60" s="331"/>
      <c r="H60" s="331"/>
      <c r="I60" s="331"/>
      <c r="J60" s="331"/>
      <c r="K60" s="331"/>
      <c r="L60" s="331"/>
      <c r="M60" s="331"/>
      <c r="N60" s="331"/>
      <c r="O60" s="331"/>
      <c r="P60" s="331"/>
      <c r="Q60" s="331"/>
      <c r="R60" s="331"/>
      <c r="S60" s="331"/>
      <c r="T60" s="331"/>
      <c r="U60" s="331"/>
      <c r="V60" s="445"/>
      <c r="W60" s="445"/>
      <c r="X60" s="445"/>
      <c r="Y60" s="445"/>
      <c r="Z60" s="445"/>
      <c r="AA60" s="445"/>
      <c r="AB60" s="445"/>
      <c r="AC60" s="331"/>
      <c r="AD60" s="331"/>
      <c r="AE60" s="383"/>
      <c r="AF60" s="383"/>
      <c r="AG60" s="604"/>
      <c r="AH60" s="604"/>
      <c r="AI60" s="331"/>
      <c r="AJ60" s="477"/>
      <c r="AK60" s="604"/>
      <c r="AL60" s="604"/>
      <c r="AM60" s="604"/>
      <c r="AN60" s="331"/>
      <c r="AO60" s="445"/>
      <c r="AP60" s="445"/>
      <c r="AQ60" s="331"/>
      <c r="AR60" s="477"/>
      <c r="AS60" s="632"/>
      <c r="AT60" s="477"/>
      <c r="AU60" s="467"/>
      <c r="AV60" s="622"/>
      <c r="AX60" s="494"/>
      <c r="AY60" s="494"/>
      <c r="AZ60" s="477"/>
      <c r="BA60" s="604"/>
      <c r="BB60" s="604"/>
      <c r="BC60" s="445"/>
      <c r="BD60" s="445"/>
      <c r="BE60" s="604"/>
      <c r="BF60" s="604"/>
      <c r="BG60" s="477"/>
      <c r="BH60" s="632"/>
      <c r="BI60" s="565"/>
      <c r="BJ60" s="477"/>
    </row>
    <row r="61" spans="1:65">
      <c r="B61" s="1" t="s">
        <v>107</v>
      </c>
      <c r="E61" s="331"/>
      <c r="F61" s="331"/>
      <c r="G61" s="331"/>
      <c r="H61" s="331"/>
      <c r="I61" s="331"/>
      <c r="J61" s="331"/>
      <c r="K61" s="331"/>
      <c r="L61" s="331"/>
      <c r="M61" s="331"/>
      <c r="N61" s="331"/>
      <c r="O61" s="331"/>
      <c r="P61" s="331"/>
      <c r="Q61" s="331"/>
      <c r="R61" s="331"/>
      <c r="S61" s="331"/>
      <c r="T61" s="331"/>
      <c r="U61" s="331"/>
      <c r="V61" s="445"/>
      <c r="W61" s="445"/>
      <c r="X61" s="445"/>
      <c r="Y61" s="445"/>
      <c r="Z61" s="445"/>
      <c r="AA61" s="445"/>
      <c r="AB61" s="445"/>
      <c r="AC61" s="331"/>
      <c r="AD61" s="331"/>
      <c r="AE61" s="383"/>
      <c r="AF61" s="383"/>
      <c r="AG61" s="604"/>
      <c r="AH61" s="604"/>
      <c r="AI61" s="331"/>
      <c r="AJ61" s="477"/>
      <c r="AK61" s="604"/>
      <c r="AL61" s="604"/>
      <c r="AM61" s="604"/>
      <c r="AN61" s="331"/>
      <c r="AO61" s="445"/>
      <c r="AP61" s="445"/>
      <c r="AQ61" s="331"/>
      <c r="AR61" s="477"/>
      <c r="AS61" s="632"/>
      <c r="AT61" s="477"/>
      <c r="AU61" s="467"/>
      <c r="AX61" s="553" t="s">
        <v>480</v>
      </c>
      <c r="AY61" s="512">
        <v>4397</v>
      </c>
      <c r="AZ61" s="477"/>
      <c r="BA61" s="604"/>
      <c r="BB61" s="604"/>
      <c r="BC61" s="445"/>
      <c r="BD61" s="445"/>
      <c r="BE61" s="604"/>
      <c r="BF61" s="604"/>
      <c r="BG61" s="477"/>
      <c r="BH61" s="632"/>
      <c r="BI61" s="565"/>
      <c r="BJ61" s="477"/>
      <c r="BL61" s="553" t="s">
        <v>480</v>
      </c>
      <c r="BM61" s="512">
        <v>5338</v>
      </c>
    </row>
    <row r="62" spans="1:65">
      <c r="B62" s="1" t="s">
        <v>108</v>
      </c>
      <c r="E62" s="331"/>
      <c r="F62" s="514"/>
      <c r="G62" s="514"/>
      <c r="H62" s="514"/>
      <c r="I62" s="514"/>
      <c r="J62" s="514"/>
      <c r="K62" s="514"/>
      <c r="L62" s="514"/>
      <c r="M62" s="514"/>
      <c r="N62" s="514"/>
      <c r="O62" s="514"/>
      <c r="P62" s="514"/>
      <c r="Q62" s="514"/>
      <c r="R62" s="514"/>
      <c r="S62" s="514"/>
      <c r="T62" s="514"/>
      <c r="U62" s="514"/>
      <c r="V62" s="521"/>
      <c r="W62" s="521"/>
      <c r="X62" s="445"/>
      <c r="Y62" s="521"/>
      <c r="Z62" s="521"/>
      <c r="AA62" s="521"/>
      <c r="AB62" s="521"/>
      <c r="AC62" s="514"/>
      <c r="AD62" s="514"/>
      <c r="AE62" s="514"/>
      <c r="AF62" s="514"/>
      <c r="AG62" s="446"/>
      <c r="AH62" s="446"/>
      <c r="AI62" s="514"/>
      <c r="AJ62" s="477"/>
      <c r="AK62" s="446"/>
      <c r="AL62" s="446"/>
      <c r="AM62" s="446"/>
      <c r="AN62" s="514"/>
      <c r="AO62" s="521"/>
      <c r="AP62" s="521"/>
      <c r="AQ62" s="514"/>
      <c r="AR62" s="477"/>
      <c r="AS62" s="630"/>
      <c r="AT62" s="477"/>
      <c r="AU62" s="467"/>
      <c r="AX62" s="553" t="s">
        <v>16</v>
      </c>
      <c r="AY62" s="512">
        <v>5580</v>
      </c>
      <c r="AZ62" s="477"/>
      <c r="BA62" s="446"/>
      <c r="BB62" s="446"/>
      <c r="BC62" s="521"/>
      <c r="BD62" s="521"/>
      <c r="BE62" s="446"/>
      <c r="BF62" s="446"/>
      <c r="BG62" s="477"/>
      <c r="BH62" s="630"/>
      <c r="BI62" s="565"/>
      <c r="BJ62" s="477"/>
      <c r="BL62" s="553" t="s">
        <v>16</v>
      </c>
      <c r="BM62" s="512">
        <v>6477</v>
      </c>
    </row>
    <row r="63" spans="1:65">
      <c r="A63" s="186">
        <v>32</v>
      </c>
      <c r="B63" s="4"/>
      <c r="C63" s="4" t="s">
        <v>44</v>
      </c>
      <c r="D63" s="4"/>
      <c r="E63" s="548">
        <f>'ROO INPUT'!$F63</f>
        <v>25622</v>
      </c>
      <c r="F63" s="513">
        <v>0</v>
      </c>
      <c r="G63" s="513">
        <v>0</v>
      </c>
      <c r="H63" s="513">
        <v>0</v>
      </c>
      <c r="I63" s="513">
        <v>0</v>
      </c>
      <c r="J63" s="513">
        <v>0</v>
      </c>
      <c r="K63" s="513">
        <v>0</v>
      </c>
      <c r="L63" s="513">
        <v>0</v>
      </c>
      <c r="M63" s="513">
        <v>0</v>
      </c>
      <c r="N63" s="513">
        <v>0</v>
      </c>
      <c r="O63" s="513">
        <v>0</v>
      </c>
      <c r="P63" s="513">
        <v>0</v>
      </c>
      <c r="Q63" s="513">
        <v>0</v>
      </c>
      <c r="R63" s="513">
        <v>0</v>
      </c>
      <c r="S63" s="513">
        <v>0</v>
      </c>
      <c r="T63" s="513">
        <v>0</v>
      </c>
      <c r="U63" s="513">
        <v>0</v>
      </c>
      <c r="V63" s="522">
        <v>0</v>
      </c>
      <c r="W63" s="522">
        <v>0</v>
      </c>
      <c r="X63" s="444">
        <f>SUM(E63:W63)</f>
        <v>25622</v>
      </c>
      <c r="Y63" s="522">
        <v>0</v>
      </c>
      <c r="Z63" s="522">
        <v>0</v>
      </c>
      <c r="AA63" s="522">
        <v>0</v>
      </c>
      <c r="AB63" s="522">
        <v>0</v>
      </c>
      <c r="AC63" s="513">
        <v>0</v>
      </c>
      <c r="AD63" s="513">
        <v>0</v>
      </c>
      <c r="AE63" s="513">
        <v>0</v>
      </c>
      <c r="AF63" s="513">
        <v>0</v>
      </c>
      <c r="AG63" s="610">
        <v>163</v>
      </c>
      <c r="AH63" s="722">
        <f>+'[8]G-CAP SUMMARY'!$D$25</f>
        <v>0</v>
      </c>
      <c r="AI63" s="513">
        <v>0</v>
      </c>
      <c r="AJ63" s="476">
        <f>SUM(X63:AI63)</f>
        <v>25785</v>
      </c>
      <c r="AK63" s="610">
        <v>0</v>
      </c>
      <c r="AL63" s="610">
        <v>0</v>
      </c>
      <c r="AM63" s="610">
        <v>0</v>
      </c>
      <c r="AN63" s="513">
        <v>0</v>
      </c>
      <c r="AO63" s="522">
        <v>0</v>
      </c>
      <c r="AP63" s="522">
        <v>0</v>
      </c>
      <c r="AQ63" s="513">
        <v>0</v>
      </c>
      <c r="AR63" s="476">
        <f>SUM(AJ63:AQ63)</f>
        <v>25785</v>
      </c>
      <c r="AS63" s="629"/>
      <c r="AT63" s="476">
        <f>SUM(AR63:AS63)</f>
        <v>25785</v>
      </c>
      <c r="AU63" s="466">
        <f>SUM(AT63:AT63)</f>
        <v>25785</v>
      </c>
      <c r="AV63" s="623"/>
      <c r="AX63" s="512"/>
      <c r="AY63" s="512">
        <f>AY61-AY62</f>
        <v>-1183</v>
      </c>
      <c r="AZ63" s="476">
        <f>AU63</f>
        <v>25785</v>
      </c>
      <c r="BA63" s="610">
        <v>0</v>
      </c>
      <c r="BB63" s="610">
        <v>0</v>
      </c>
      <c r="BC63" s="522">
        <v>0</v>
      </c>
      <c r="BD63" s="522">
        <v>0</v>
      </c>
      <c r="BE63" s="610"/>
      <c r="BF63" s="610">
        <v>0</v>
      </c>
      <c r="BG63" s="476">
        <f>SUM(AZ63:BF63)</f>
        <v>25785</v>
      </c>
      <c r="BH63" s="629"/>
      <c r="BI63" s="564">
        <f>SUM(BG63:BH63)</f>
        <v>25785</v>
      </c>
      <c r="BJ63" s="476">
        <f>BI63-AU63</f>
        <v>0</v>
      </c>
      <c r="BL63" s="512"/>
      <c r="BM63" s="512">
        <f>BM61-BM62</f>
        <v>-1139</v>
      </c>
    </row>
    <row r="64" spans="1:65">
      <c r="A64" s="186">
        <v>33</v>
      </c>
      <c r="B64" s="4"/>
      <c r="C64" s="4" t="s">
        <v>63</v>
      </c>
      <c r="D64" s="4"/>
      <c r="E64" s="331">
        <f>'ROO INPUT'!$F64</f>
        <v>354360</v>
      </c>
      <c r="F64" s="514">
        <v>0</v>
      </c>
      <c r="G64" s="514">
        <v>0</v>
      </c>
      <c r="H64" s="514">
        <v>0</v>
      </c>
      <c r="I64" s="514">
        <v>0</v>
      </c>
      <c r="J64" s="514">
        <v>0</v>
      </c>
      <c r="K64" s="514">
        <v>0</v>
      </c>
      <c r="L64" s="514">
        <v>0</v>
      </c>
      <c r="M64" s="514">
        <v>0</v>
      </c>
      <c r="N64" s="514">
        <v>0</v>
      </c>
      <c r="O64" s="514">
        <v>0</v>
      </c>
      <c r="P64" s="514">
        <v>0</v>
      </c>
      <c r="Q64" s="514">
        <v>0</v>
      </c>
      <c r="R64" s="514">
        <v>0</v>
      </c>
      <c r="S64" s="514">
        <v>0</v>
      </c>
      <c r="T64" s="514">
        <v>0</v>
      </c>
      <c r="U64" s="514">
        <v>0</v>
      </c>
      <c r="V64" s="521">
        <v>0</v>
      </c>
      <c r="W64" s="521">
        <v>0</v>
      </c>
      <c r="X64" s="445">
        <f>SUM(E64:W64)</f>
        <v>354360</v>
      </c>
      <c r="Y64" s="521">
        <v>0</v>
      </c>
      <c r="Z64" s="521">
        <v>0</v>
      </c>
      <c r="AA64" s="521">
        <v>0</v>
      </c>
      <c r="AB64" s="521">
        <v>0</v>
      </c>
      <c r="AC64" s="514">
        <v>0</v>
      </c>
      <c r="AD64" s="514">
        <v>0</v>
      </c>
      <c r="AE64" s="514">
        <v>0</v>
      </c>
      <c r="AF64" s="514">
        <v>0</v>
      </c>
      <c r="AG64" s="446">
        <v>5261</v>
      </c>
      <c r="AH64" s="721">
        <f>+'[8]G-CAP SUMMARY'!$D$26</f>
        <v>5033.8143502171133</v>
      </c>
      <c r="AI64" s="514">
        <v>0</v>
      </c>
      <c r="AJ64" s="477">
        <f>SUM(X64:AI64)</f>
        <v>364654.81435021712</v>
      </c>
      <c r="AK64" s="446">
        <v>0</v>
      </c>
      <c r="AL64" s="446">
        <v>0</v>
      </c>
      <c r="AM64" s="446">
        <v>0</v>
      </c>
      <c r="AN64" s="514">
        <v>0</v>
      </c>
      <c r="AO64" s="521">
        <v>0</v>
      </c>
      <c r="AP64" s="521">
        <v>0</v>
      </c>
      <c r="AQ64" s="514">
        <v>0</v>
      </c>
      <c r="AR64" s="477">
        <f>SUM(AJ64:AQ64)</f>
        <v>364654.81435021712</v>
      </c>
      <c r="AS64" s="630"/>
      <c r="AT64" s="477">
        <f>SUM(AR64:AS64)</f>
        <v>364654.81435021712</v>
      </c>
      <c r="AU64" s="467">
        <f>SUM(AT64:AT64)</f>
        <v>364654.81435021712</v>
      </c>
      <c r="AV64" s="624"/>
      <c r="AX64" s="492"/>
      <c r="AY64" s="492">
        <v>0.65</v>
      </c>
      <c r="AZ64" s="477">
        <f t="shared" ref="AZ64:AZ65" si="134">AU64</f>
        <v>364654.81435021712</v>
      </c>
      <c r="BA64" s="446">
        <v>0</v>
      </c>
      <c r="BB64" s="446">
        <v>0</v>
      </c>
      <c r="BC64" s="521">
        <v>0</v>
      </c>
      <c r="BD64" s="521">
        <v>0</v>
      </c>
      <c r="BE64" s="446"/>
      <c r="BF64" s="446"/>
      <c r="BG64" s="477">
        <f>SUM(AZ64:BF64)</f>
        <v>364654.81435021712</v>
      </c>
      <c r="BH64" s="630"/>
      <c r="BI64" s="565">
        <f>SUM(BG64:BH64)</f>
        <v>364654.81435021712</v>
      </c>
      <c r="BJ64" s="477">
        <f>BI64-AU64</f>
        <v>0</v>
      </c>
      <c r="BL64" s="492"/>
      <c r="BM64" s="492">
        <v>0.65</v>
      </c>
    </row>
    <row r="65" spans="1:65">
      <c r="A65" s="186">
        <v>34</v>
      </c>
      <c r="B65" s="4"/>
      <c r="C65" s="4" t="s">
        <v>64</v>
      </c>
      <c r="D65" s="4"/>
      <c r="E65" s="332">
        <f>'ROO INPUT'!$F65</f>
        <v>69725</v>
      </c>
      <c r="F65" s="447">
        <v>0</v>
      </c>
      <c r="G65" s="447">
        <v>0</v>
      </c>
      <c r="H65" s="447">
        <v>0</v>
      </c>
      <c r="I65" s="447">
        <v>0</v>
      </c>
      <c r="J65" s="447">
        <v>0</v>
      </c>
      <c r="K65" s="447">
        <v>0</v>
      </c>
      <c r="L65" s="447">
        <v>0</v>
      </c>
      <c r="M65" s="447">
        <v>0</v>
      </c>
      <c r="N65" s="447">
        <v>0</v>
      </c>
      <c r="O65" s="447">
        <v>0</v>
      </c>
      <c r="P65" s="447">
        <v>0</v>
      </c>
      <c r="Q65" s="447">
        <v>0</v>
      </c>
      <c r="R65" s="447">
        <v>0</v>
      </c>
      <c r="S65" s="447">
        <v>0</v>
      </c>
      <c r="T65" s="447">
        <v>0</v>
      </c>
      <c r="U65" s="447">
        <v>0</v>
      </c>
      <c r="V65" s="523">
        <v>0</v>
      </c>
      <c r="W65" s="523">
        <v>0</v>
      </c>
      <c r="X65" s="448">
        <f>SUM(E65:W65)</f>
        <v>69725</v>
      </c>
      <c r="Y65" s="523">
        <v>0</v>
      </c>
      <c r="Z65" s="523">
        <v>0</v>
      </c>
      <c r="AA65" s="523">
        <v>0</v>
      </c>
      <c r="AB65" s="523">
        <v>0</v>
      </c>
      <c r="AC65" s="447">
        <v>0</v>
      </c>
      <c r="AD65" s="447">
        <v>0</v>
      </c>
      <c r="AE65" s="447">
        <v>0</v>
      </c>
      <c r="AF65" s="447">
        <v>0</v>
      </c>
      <c r="AG65" s="447">
        <f>4760-1312+1</f>
        <v>3449</v>
      </c>
      <c r="AH65" s="723">
        <f>+'[8]G-CAP SUMMARY'!$D$24+'[8]G-CAP SUMMARY'!$D$27</f>
        <v>2597.8429311756963</v>
      </c>
      <c r="AI65" s="447">
        <v>0</v>
      </c>
      <c r="AJ65" s="478">
        <f>SUM(X65:AI65)</f>
        <v>75771.842931175692</v>
      </c>
      <c r="AK65" s="447">
        <v>0</v>
      </c>
      <c r="AL65" s="447">
        <v>0</v>
      </c>
      <c r="AM65" s="447">
        <v>0</v>
      </c>
      <c r="AN65" s="447">
        <v>0</v>
      </c>
      <c r="AO65" s="523">
        <v>0</v>
      </c>
      <c r="AP65" s="523">
        <v>0</v>
      </c>
      <c r="AQ65" s="447">
        <v>0</v>
      </c>
      <c r="AR65" s="478">
        <f>SUM(AJ65:AQ65)</f>
        <v>75771.842931175692</v>
      </c>
      <c r="AS65" s="631"/>
      <c r="AT65" s="478">
        <f>SUM(AR65:AS65)</f>
        <v>75771.842931175692</v>
      </c>
      <c r="AU65" s="468">
        <f>SUM(AT65:AT65)</f>
        <v>75771.842931175692</v>
      </c>
      <c r="AV65" s="624"/>
      <c r="AX65" s="493"/>
      <c r="AY65" s="493">
        <f>E87</f>
        <v>0.62000299999999997</v>
      </c>
      <c r="AZ65" s="478">
        <f t="shared" si="134"/>
        <v>75771.842931175692</v>
      </c>
      <c r="BA65" s="447">
        <v>0</v>
      </c>
      <c r="BB65" s="447">
        <v>0</v>
      </c>
      <c r="BC65" s="523">
        <v>0</v>
      </c>
      <c r="BD65" s="523">
        <v>0</v>
      </c>
      <c r="BE65" s="447"/>
      <c r="BF65" s="447"/>
      <c r="BG65" s="478">
        <f>SUM(AZ65:BF65)</f>
        <v>75771.842931175692</v>
      </c>
      <c r="BH65" s="631"/>
      <c r="BI65" s="557">
        <f>SUM(BG65:BH65)</f>
        <v>75771.842931175692</v>
      </c>
      <c r="BJ65" s="478">
        <f>BI65-AU65</f>
        <v>0</v>
      </c>
      <c r="BL65" s="493"/>
      <c r="BM65" s="643">
        <f>AY65</f>
        <v>0.62000299999999997</v>
      </c>
    </row>
    <row r="66" spans="1:65" ht="18" customHeight="1">
      <c r="A66" s="186">
        <v>35</v>
      </c>
      <c r="B66" s="4" t="s">
        <v>65</v>
      </c>
      <c r="C66" s="4"/>
      <c r="E66" s="331">
        <f>SUM(E63:E65)</f>
        <v>449707</v>
      </c>
      <c r="F66" s="331">
        <f t="shared" ref="F66:N66" si="135">SUM(F63:F65)</f>
        <v>0</v>
      </c>
      <c r="G66" s="331">
        <f t="shared" si="135"/>
        <v>0</v>
      </c>
      <c r="H66" s="331">
        <f t="shared" si="135"/>
        <v>0</v>
      </c>
      <c r="I66" s="331">
        <f t="shared" si="135"/>
        <v>0</v>
      </c>
      <c r="J66" s="331">
        <f>SUM(J63:J65)</f>
        <v>0</v>
      </c>
      <c r="K66" s="331">
        <f t="shared" si="135"/>
        <v>0</v>
      </c>
      <c r="L66" s="331">
        <f t="shared" si="135"/>
        <v>0</v>
      </c>
      <c r="M66" s="331">
        <f t="shared" si="135"/>
        <v>0</v>
      </c>
      <c r="N66" s="331">
        <f t="shared" si="135"/>
        <v>0</v>
      </c>
      <c r="O66" s="331">
        <f t="shared" ref="O66:X66" si="136">SUM(O63:O65)</f>
        <v>0</v>
      </c>
      <c r="P66" s="331">
        <f t="shared" si="136"/>
        <v>0</v>
      </c>
      <c r="Q66" s="331">
        <f>SUM(Q63:Q65)</f>
        <v>0</v>
      </c>
      <c r="R66" s="331">
        <f>SUM(R63:R65)</f>
        <v>0</v>
      </c>
      <c r="S66" s="331">
        <f>SUM(S63:S65)</f>
        <v>0</v>
      </c>
      <c r="T66" s="331">
        <f>SUM(T63:T65)</f>
        <v>0</v>
      </c>
      <c r="U66" s="331">
        <f t="shared" ref="U66" si="137">SUM(U63:U65)</f>
        <v>0</v>
      </c>
      <c r="V66" s="331">
        <f>SUM(V63:V65)</f>
        <v>0</v>
      </c>
      <c r="W66" s="331">
        <f>SUM(W63:W65)</f>
        <v>0</v>
      </c>
      <c r="X66" s="445">
        <f t="shared" si="136"/>
        <v>449707</v>
      </c>
      <c r="Y66" s="331">
        <f t="shared" ref="Y66:AA66" si="138">SUM(Y63:Y65)</f>
        <v>0</v>
      </c>
      <c r="Z66" s="331">
        <f t="shared" si="138"/>
        <v>0</v>
      </c>
      <c r="AA66" s="331">
        <f t="shared" si="138"/>
        <v>0</v>
      </c>
      <c r="AB66" s="331">
        <f>SUM(AB63:AB65)</f>
        <v>0</v>
      </c>
      <c r="AC66" s="331">
        <f t="shared" ref="AC66:AJ66" si="139">SUM(AC63:AC65)</f>
        <v>0</v>
      </c>
      <c r="AD66" s="331">
        <f>SUM(AD63:AD65)</f>
        <v>0</v>
      </c>
      <c r="AE66" s="383">
        <f t="shared" ref="AE66" si="140">SUM(AE63:AE65)</f>
        <v>0</v>
      </c>
      <c r="AF66" s="383">
        <f>SUM(AF63:AF65)</f>
        <v>0</v>
      </c>
      <c r="AG66" s="604">
        <f>SUM(AG63:AG65)</f>
        <v>8873</v>
      </c>
      <c r="AH66" s="604">
        <f>SUM(AH63:AH65)</f>
        <v>7631.6572813928096</v>
      </c>
      <c r="AI66" s="331">
        <f>SUM(AI63:AI65)</f>
        <v>0</v>
      </c>
      <c r="AJ66" s="477">
        <f t="shared" si="139"/>
        <v>466211.65728139284</v>
      </c>
      <c r="AK66" s="604">
        <f t="shared" ref="AK66" si="141">SUM(AK63:AK65)</f>
        <v>0</v>
      </c>
      <c r="AL66" s="604">
        <f t="shared" ref="AL66:AR66" si="142">SUM(AL63:AL65)</f>
        <v>0</v>
      </c>
      <c r="AM66" s="604">
        <f>SUM(AM63:AM65)</f>
        <v>0</v>
      </c>
      <c r="AN66" s="331">
        <f t="shared" si="142"/>
        <v>0</v>
      </c>
      <c r="AO66" s="331">
        <f t="shared" ref="AO66:AQ66" si="143">SUM(AO63:AO65)</f>
        <v>0</v>
      </c>
      <c r="AP66" s="331">
        <f>SUM(AP63:AP65)</f>
        <v>0</v>
      </c>
      <c r="AQ66" s="331">
        <f t="shared" si="143"/>
        <v>0</v>
      </c>
      <c r="AR66" s="477">
        <f t="shared" si="142"/>
        <v>466211.65728139284</v>
      </c>
      <c r="AS66" s="632">
        <f t="shared" ref="AS66" si="144">SUM(AS63:AS65)</f>
        <v>0</v>
      </c>
      <c r="AT66" s="477">
        <f t="shared" ref="AT66:AU66" si="145">SUM(AT63:AT65)</f>
        <v>466211.65728139284</v>
      </c>
      <c r="AU66" s="467">
        <f t="shared" si="145"/>
        <v>466211.65728139284</v>
      </c>
      <c r="AV66" s="623"/>
      <c r="AX66" s="496"/>
      <c r="AY66" s="512">
        <f>AY63/AY64*AY65</f>
        <v>-1128.4054599999999</v>
      </c>
      <c r="AZ66" s="477">
        <f t="shared" ref="AZ66:BA66" si="146">SUM(AZ63:AZ65)</f>
        <v>466211.65728139284</v>
      </c>
      <c r="BA66" s="604">
        <f t="shared" si="146"/>
        <v>0</v>
      </c>
      <c r="BB66" s="604">
        <f t="shared" ref="BB66" si="147">SUM(BB63:BB65)</f>
        <v>0</v>
      </c>
      <c r="BC66" s="331">
        <f>SUM(BC63:BC65)</f>
        <v>0</v>
      </c>
      <c r="BD66" s="331">
        <f>SUM(BD63:BD65)</f>
        <v>0</v>
      </c>
      <c r="BE66" s="604">
        <f>SUM(BE63:BE65)</f>
        <v>0</v>
      </c>
      <c r="BF66" s="604">
        <f>SUM(BF63:BF65)</f>
        <v>0</v>
      </c>
      <c r="BG66" s="477">
        <f t="shared" ref="BG66:BJ66" si="148">SUM(BG63:BG65)</f>
        <v>466211.65728139284</v>
      </c>
      <c r="BH66" s="632">
        <f t="shared" si="148"/>
        <v>0</v>
      </c>
      <c r="BI66" s="565">
        <f t="shared" si="148"/>
        <v>466211.65728139284</v>
      </c>
      <c r="BJ66" s="477">
        <f t="shared" si="148"/>
        <v>0</v>
      </c>
      <c r="BL66" s="496"/>
      <c r="BM66" s="512">
        <f>BM63/BM64*BM65</f>
        <v>-1086.4360261538461</v>
      </c>
    </row>
    <row r="67" spans="1:65" ht="3.75" customHeight="1">
      <c r="B67" s="4"/>
      <c r="C67" s="4"/>
      <c r="E67" s="331"/>
      <c r="F67" s="331"/>
      <c r="G67" s="331"/>
      <c r="H67" s="331"/>
      <c r="I67" s="331"/>
      <c r="J67" s="331"/>
      <c r="K67" s="331"/>
      <c r="L67" s="331"/>
      <c r="M67" s="331"/>
      <c r="N67" s="331"/>
      <c r="O67" s="331"/>
      <c r="P67" s="331"/>
      <c r="Q67" s="331"/>
      <c r="R67" s="331"/>
      <c r="S67" s="331"/>
      <c r="T67" s="331"/>
      <c r="U67" s="331"/>
      <c r="V67" s="331"/>
      <c r="W67" s="331"/>
      <c r="X67" s="445"/>
      <c r="Y67" s="331"/>
      <c r="Z67" s="331"/>
      <c r="AA67" s="331"/>
      <c r="AB67" s="331"/>
      <c r="AC67" s="331"/>
      <c r="AD67" s="331"/>
      <c r="AE67" s="383"/>
      <c r="AF67" s="383"/>
      <c r="AG67" s="604"/>
      <c r="AH67" s="604"/>
      <c r="AI67" s="331"/>
      <c r="AJ67" s="477"/>
      <c r="AK67" s="604"/>
      <c r="AL67" s="604"/>
      <c r="AM67" s="604"/>
      <c r="AN67" s="331"/>
      <c r="AO67" s="331"/>
      <c r="AP67" s="331"/>
      <c r="AQ67" s="331"/>
      <c r="AR67" s="477"/>
      <c r="AS67" s="632"/>
      <c r="AT67" s="477"/>
      <c r="AU67" s="467"/>
      <c r="AV67" s="623"/>
      <c r="AW67" s="455"/>
      <c r="AX67" s="1"/>
      <c r="AZ67" s="477"/>
      <c r="BA67" s="604"/>
      <c r="BB67" s="604"/>
      <c r="BC67" s="331"/>
      <c r="BD67" s="331"/>
      <c r="BE67" s="604"/>
      <c r="BF67" s="604"/>
      <c r="BG67" s="477"/>
      <c r="BH67" s="632"/>
      <c r="BI67" s="565"/>
      <c r="BJ67" s="477"/>
    </row>
    <row r="68" spans="1:65">
      <c r="B68" s="4" t="s">
        <v>225</v>
      </c>
      <c r="C68" s="4"/>
      <c r="D68" s="4"/>
      <c r="E68" s="331"/>
      <c r="F68" s="514"/>
      <c r="G68" s="514"/>
      <c r="H68" s="514"/>
      <c r="I68" s="514"/>
      <c r="J68" s="514"/>
      <c r="K68" s="514"/>
      <c r="L68" s="514"/>
      <c r="M68" s="514"/>
      <c r="N68" s="514"/>
      <c r="O68" s="514"/>
      <c r="P68" s="514"/>
      <c r="Q68" s="514"/>
      <c r="R68" s="514"/>
      <c r="S68" s="514"/>
      <c r="T68" s="514"/>
      <c r="U68" s="514"/>
      <c r="V68" s="514"/>
      <c r="W68" s="514"/>
      <c r="X68" s="445"/>
      <c r="Y68" s="514"/>
      <c r="Z68" s="514"/>
      <c r="AA68" s="514"/>
      <c r="AB68" s="514"/>
      <c r="AC68" s="514"/>
      <c r="AD68" s="514"/>
      <c r="AE68" s="514"/>
      <c r="AF68" s="514"/>
      <c r="AG68" s="446"/>
      <c r="AH68" s="446"/>
      <c r="AI68" s="514"/>
      <c r="AJ68" s="477"/>
      <c r="AK68" s="446"/>
      <c r="AL68" s="446"/>
      <c r="AM68" s="446"/>
      <c r="AN68" s="514"/>
      <c r="AO68" s="514"/>
      <c r="AP68" s="514"/>
      <c r="AQ68" s="514"/>
      <c r="AR68" s="477"/>
      <c r="AS68" s="630"/>
      <c r="AT68" s="477"/>
      <c r="AU68" s="467"/>
      <c r="AV68" s="552"/>
      <c r="AW68" s="486"/>
      <c r="AX68" s="486"/>
      <c r="AZ68" s="477"/>
      <c r="BA68" s="446"/>
      <c r="BB68" s="446"/>
      <c r="BC68" s="514"/>
      <c r="BD68" s="514"/>
      <c r="BE68" s="446"/>
      <c r="BF68" s="446"/>
      <c r="BG68" s="477"/>
      <c r="BH68" s="630"/>
      <c r="BI68" s="565"/>
      <c r="BJ68" s="477"/>
    </row>
    <row r="69" spans="1:65">
      <c r="A69" s="186">
        <v>36</v>
      </c>
      <c r="B69" s="4"/>
      <c r="C69" s="4" t="s">
        <v>44</v>
      </c>
      <c r="D69" s="4"/>
      <c r="E69" s="331">
        <f>'ROO INPUT'!$F69</f>
        <v>-9824</v>
      </c>
      <c r="F69" s="514">
        <v>0</v>
      </c>
      <c r="G69" s="514">
        <v>0</v>
      </c>
      <c r="H69" s="514">
        <v>0</v>
      </c>
      <c r="I69" s="514">
        <v>0</v>
      </c>
      <c r="J69" s="514">
        <v>0</v>
      </c>
      <c r="K69" s="514">
        <v>0</v>
      </c>
      <c r="L69" s="514">
        <v>0</v>
      </c>
      <c r="M69" s="514">
        <v>0</v>
      </c>
      <c r="N69" s="514">
        <v>0</v>
      </c>
      <c r="O69" s="514">
        <v>0</v>
      </c>
      <c r="P69" s="514">
        <v>0</v>
      </c>
      <c r="Q69" s="514">
        <v>0</v>
      </c>
      <c r="R69" s="514">
        <v>0</v>
      </c>
      <c r="S69" s="514">
        <v>0</v>
      </c>
      <c r="T69" s="514">
        <v>0</v>
      </c>
      <c r="U69" s="514">
        <v>0</v>
      </c>
      <c r="V69" s="514">
        <v>0</v>
      </c>
      <c r="W69" s="514">
        <v>0</v>
      </c>
      <c r="X69" s="445">
        <f>SUM(E69:W69)</f>
        <v>-9824</v>
      </c>
      <c r="Y69" s="514">
        <v>0</v>
      </c>
      <c r="Z69" s="514">
        <v>0</v>
      </c>
      <c r="AA69" s="514">
        <v>0</v>
      </c>
      <c r="AB69" s="514">
        <v>0</v>
      </c>
      <c r="AC69" s="514">
        <v>0</v>
      </c>
      <c r="AD69" s="514">
        <v>0</v>
      </c>
      <c r="AE69" s="514">
        <v>0</v>
      </c>
      <c r="AF69" s="514">
        <v>0</v>
      </c>
      <c r="AG69" s="611">
        <v>-103</v>
      </c>
      <c r="AH69" s="611">
        <f>+'[8]G-CAP SUMMARY'!$D$32</f>
        <v>0</v>
      </c>
      <c r="AI69" s="514">
        <v>0</v>
      </c>
      <c r="AJ69" s="477">
        <f>SUM(X69:AI69)</f>
        <v>-9927</v>
      </c>
      <c r="AK69" s="611">
        <v>0</v>
      </c>
      <c r="AL69" s="611">
        <v>0</v>
      </c>
      <c r="AM69" s="611">
        <v>0</v>
      </c>
      <c r="AN69" s="514">
        <v>0</v>
      </c>
      <c r="AO69" s="514">
        <v>0</v>
      </c>
      <c r="AP69" s="514">
        <v>0</v>
      </c>
      <c r="AQ69" s="514">
        <v>0</v>
      </c>
      <c r="AR69" s="477">
        <f>SUM(AJ69:AQ69)</f>
        <v>-9927</v>
      </c>
      <c r="AS69" s="635"/>
      <c r="AT69" s="477">
        <f>SUM(AR69:AS69)</f>
        <v>-9927</v>
      </c>
      <c r="AU69" s="467">
        <f>SUM(AT69:AT69)</f>
        <v>-9927</v>
      </c>
      <c r="AV69" s="552"/>
      <c r="AW69" s="486"/>
      <c r="AX69" s="486"/>
      <c r="AZ69" s="477">
        <f t="shared" ref="AZ69:AZ71" si="149">AU69</f>
        <v>-9927</v>
      </c>
      <c r="BA69" s="611">
        <v>0</v>
      </c>
      <c r="BB69" s="611">
        <v>0</v>
      </c>
      <c r="BC69" s="514">
        <v>0</v>
      </c>
      <c r="BD69" s="514">
        <v>0</v>
      </c>
      <c r="BE69" s="611"/>
      <c r="BF69" s="611">
        <v>0</v>
      </c>
      <c r="BG69" s="477">
        <f>SUM(AZ69:BF69)</f>
        <v>-9927</v>
      </c>
      <c r="BH69" s="635"/>
      <c r="BI69" s="565">
        <f>SUM(BG69:BH69)</f>
        <v>-9927</v>
      </c>
      <c r="BJ69" s="477">
        <f>BI69-AU69</f>
        <v>0</v>
      </c>
    </row>
    <row r="70" spans="1:65">
      <c r="A70" s="186">
        <v>37</v>
      </c>
      <c r="B70" s="4"/>
      <c r="C70" s="4" t="s">
        <v>63</v>
      </c>
      <c r="D70" s="4"/>
      <c r="E70" s="331">
        <f>'ROO INPUT'!$F70</f>
        <v>-119790</v>
      </c>
      <c r="F70" s="514">
        <v>0</v>
      </c>
      <c r="G70" s="514">
        <v>0</v>
      </c>
      <c r="H70" s="514">
        <v>0</v>
      </c>
      <c r="I70" s="514">
        <v>0</v>
      </c>
      <c r="J70" s="514">
        <v>0</v>
      </c>
      <c r="K70" s="514">
        <v>0</v>
      </c>
      <c r="L70" s="514">
        <v>0</v>
      </c>
      <c r="M70" s="514">
        <v>0</v>
      </c>
      <c r="N70" s="514">
        <v>0</v>
      </c>
      <c r="O70" s="514">
        <v>0</v>
      </c>
      <c r="P70" s="514">
        <v>0</v>
      </c>
      <c r="Q70" s="514">
        <v>0</v>
      </c>
      <c r="R70" s="514">
        <v>0</v>
      </c>
      <c r="S70" s="514">
        <v>0</v>
      </c>
      <c r="T70" s="514">
        <v>0</v>
      </c>
      <c r="U70" s="514">
        <v>0</v>
      </c>
      <c r="V70" s="514">
        <v>0</v>
      </c>
      <c r="W70" s="514">
        <v>0</v>
      </c>
      <c r="X70" s="445">
        <f>SUM(E70:W70)</f>
        <v>-119790</v>
      </c>
      <c r="Y70" s="514">
        <v>0</v>
      </c>
      <c r="Z70" s="514">
        <v>0</v>
      </c>
      <c r="AA70" s="514">
        <v>0</v>
      </c>
      <c r="AB70" s="514">
        <v>0</v>
      </c>
      <c r="AC70" s="514">
        <v>0</v>
      </c>
      <c r="AD70" s="514">
        <v>0</v>
      </c>
      <c r="AE70" s="514">
        <v>0</v>
      </c>
      <c r="AF70" s="514">
        <v>0</v>
      </c>
      <c r="AG70" s="446">
        <v>-1320</v>
      </c>
      <c r="AH70" s="446">
        <f>+'[8]G-CAP SUMMARY'!$D$33</f>
        <v>-120.15107132053555</v>
      </c>
      <c r="AI70" s="514">
        <v>0</v>
      </c>
      <c r="AJ70" s="477">
        <f>SUM(X70:AI70)</f>
        <v>-121230.15107132054</v>
      </c>
      <c r="AK70" s="446">
        <v>0</v>
      </c>
      <c r="AL70" s="446">
        <v>0</v>
      </c>
      <c r="AM70" s="611">
        <v>0</v>
      </c>
      <c r="AN70" s="514">
        <v>0</v>
      </c>
      <c r="AO70" s="514">
        <v>0</v>
      </c>
      <c r="AP70" s="514">
        <v>0</v>
      </c>
      <c r="AQ70" s="514">
        <v>0</v>
      </c>
      <c r="AR70" s="477">
        <f>SUM(AJ70:AQ70)</f>
        <v>-121230.15107132054</v>
      </c>
      <c r="AS70" s="635"/>
      <c r="AT70" s="477">
        <f>SUM(AR70:AS70)</f>
        <v>-121230.15107132054</v>
      </c>
      <c r="AU70" s="467">
        <f>SUM(AT70:AT70)</f>
        <v>-121230.15107132054</v>
      </c>
      <c r="AV70" s="552"/>
      <c r="AW70" s="486"/>
      <c r="AX70" s="486"/>
      <c r="AZ70" s="477">
        <f t="shared" si="149"/>
        <v>-121230.15107132054</v>
      </c>
      <c r="BA70" s="446">
        <v>0</v>
      </c>
      <c r="BB70" s="446">
        <v>0</v>
      </c>
      <c r="BC70" s="514">
        <v>0</v>
      </c>
      <c r="BD70" s="514">
        <v>0</v>
      </c>
      <c r="BE70" s="611"/>
      <c r="BF70" s="611"/>
      <c r="BG70" s="477">
        <f>SUM(AZ70:BF70)</f>
        <v>-121230.15107132054</v>
      </c>
      <c r="BH70" s="635"/>
      <c r="BI70" s="565">
        <f>SUM(BG70:BH70)</f>
        <v>-121230.15107132054</v>
      </c>
      <c r="BJ70" s="477">
        <f>BI70-AU70</f>
        <v>0</v>
      </c>
    </row>
    <row r="71" spans="1:65">
      <c r="A71" s="186">
        <v>38</v>
      </c>
      <c r="B71" s="4"/>
      <c r="C71" s="4" t="s">
        <v>64</v>
      </c>
      <c r="D71" s="4"/>
      <c r="E71" s="331">
        <f>'ROO INPUT'!$F71</f>
        <v>-19460</v>
      </c>
      <c r="F71" s="514">
        <v>0</v>
      </c>
      <c r="G71" s="514">
        <v>0</v>
      </c>
      <c r="H71" s="514">
        <v>0</v>
      </c>
      <c r="I71" s="514">
        <v>0</v>
      </c>
      <c r="J71" s="514">
        <v>0</v>
      </c>
      <c r="K71" s="514">
        <v>0</v>
      </c>
      <c r="L71" s="514">
        <v>0</v>
      </c>
      <c r="M71" s="514">
        <v>0</v>
      </c>
      <c r="N71" s="514">
        <v>0</v>
      </c>
      <c r="O71" s="514">
        <v>0</v>
      </c>
      <c r="P71" s="514">
        <v>0</v>
      </c>
      <c r="Q71" s="514">
        <v>0</v>
      </c>
      <c r="R71" s="514">
        <v>0</v>
      </c>
      <c r="S71" s="514">
        <v>0</v>
      </c>
      <c r="T71" s="514">
        <v>0</v>
      </c>
      <c r="U71" s="514">
        <v>0</v>
      </c>
      <c r="V71" s="514">
        <v>0</v>
      </c>
      <c r="W71" s="514">
        <v>0</v>
      </c>
      <c r="X71" s="445">
        <f>SUM(E71:W71)</f>
        <v>-19460</v>
      </c>
      <c r="Y71" s="514">
        <v>0</v>
      </c>
      <c r="Z71" s="514">
        <v>0</v>
      </c>
      <c r="AA71" s="514">
        <v>0</v>
      </c>
      <c r="AB71" s="514">
        <v>0</v>
      </c>
      <c r="AC71" s="514">
        <v>0</v>
      </c>
      <c r="AD71" s="514">
        <v>0</v>
      </c>
      <c r="AE71" s="514">
        <v>0</v>
      </c>
      <c r="AF71" s="514">
        <v>0</v>
      </c>
      <c r="AG71" s="447">
        <f>930-318</f>
        <v>612</v>
      </c>
      <c r="AH71" s="723">
        <f>+'[8]G-CAP SUMMARY'!$D$31+'[8]G-CAP SUMMARY'!$D$34</f>
        <v>-229.94748992134387</v>
      </c>
      <c r="AI71" s="514">
        <v>0</v>
      </c>
      <c r="AJ71" s="477">
        <f>SUM(X71:AI71)</f>
        <v>-19077.947489921346</v>
      </c>
      <c r="AK71" s="447">
        <v>0</v>
      </c>
      <c r="AL71" s="447">
        <v>0</v>
      </c>
      <c r="AM71" s="611">
        <v>0</v>
      </c>
      <c r="AN71" s="514">
        <v>0</v>
      </c>
      <c r="AO71" s="514">
        <v>0</v>
      </c>
      <c r="AP71" s="514">
        <v>0</v>
      </c>
      <c r="AQ71" s="514">
        <v>0</v>
      </c>
      <c r="AR71" s="477">
        <f>SUM(AJ71:AQ71)</f>
        <v>-19077.947489921346</v>
      </c>
      <c r="AS71" s="636"/>
      <c r="AT71" s="477">
        <f>SUM(AR71:AS71)</f>
        <v>-19077.947489921346</v>
      </c>
      <c r="AU71" s="467">
        <f>SUM(AT71:AT71)</f>
        <v>-19077.947489921346</v>
      </c>
      <c r="AV71" s="552"/>
      <c r="AW71" s="486"/>
      <c r="AX71" s="486"/>
      <c r="AZ71" s="477">
        <f t="shared" si="149"/>
        <v>-19077.947489921346</v>
      </c>
      <c r="BA71" s="447">
        <v>0</v>
      </c>
      <c r="BB71" s="447">
        <v>0</v>
      </c>
      <c r="BC71" s="514">
        <v>0</v>
      </c>
      <c r="BD71" s="514">
        <v>0</v>
      </c>
      <c r="BE71" s="611"/>
      <c r="BF71" s="611"/>
      <c r="BG71" s="477">
        <f>SUM(AZ71:BF71)</f>
        <v>-19077.947489921346</v>
      </c>
      <c r="BH71" s="636"/>
      <c r="BI71" s="565">
        <f>SUM(BG71:BH71)</f>
        <v>-19077.947489921346</v>
      </c>
      <c r="BJ71" s="477">
        <f>BI71-AU71</f>
        <v>0</v>
      </c>
    </row>
    <row r="72" spans="1:65">
      <c r="A72" s="186">
        <v>39</v>
      </c>
      <c r="B72" s="4" t="s">
        <v>445</v>
      </c>
      <c r="C72" s="4"/>
      <c r="E72" s="334">
        <f>SUM(E69:E71)</f>
        <v>-149074</v>
      </c>
      <c r="F72" s="334">
        <f t="shared" ref="F72:N72" si="150">SUM(F69:F71)</f>
        <v>0</v>
      </c>
      <c r="G72" s="334">
        <f t="shared" si="150"/>
        <v>0</v>
      </c>
      <c r="H72" s="334">
        <f t="shared" si="150"/>
        <v>0</v>
      </c>
      <c r="I72" s="334">
        <f t="shared" si="150"/>
        <v>0</v>
      </c>
      <c r="J72" s="334">
        <f>SUM(J69:J71)</f>
        <v>0</v>
      </c>
      <c r="K72" s="334">
        <f t="shared" si="150"/>
        <v>0</v>
      </c>
      <c r="L72" s="334">
        <f t="shared" si="150"/>
        <v>0</v>
      </c>
      <c r="M72" s="334">
        <f t="shared" si="150"/>
        <v>0</v>
      </c>
      <c r="N72" s="334">
        <f t="shared" si="150"/>
        <v>0</v>
      </c>
      <c r="O72" s="334">
        <f t="shared" ref="O72:P72" si="151">SUM(O69:O71)</f>
        <v>0</v>
      </c>
      <c r="P72" s="334">
        <f t="shared" si="151"/>
        <v>0</v>
      </c>
      <c r="Q72" s="334">
        <f>SUM(Q69:Q71)</f>
        <v>0</v>
      </c>
      <c r="R72" s="334">
        <f>SUM(R69:R71)</f>
        <v>0</v>
      </c>
      <c r="S72" s="334">
        <f>SUM(S69:S71)</f>
        <v>0</v>
      </c>
      <c r="T72" s="334">
        <f>SUM(T69:T71)</f>
        <v>0</v>
      </c>
      <c r="U72" s="334">
        <f>SUM(U69:U71)</f>
        <v>0</v>
      </c>
      <c r="V72" s="334">
        <f t="shared" ref="V72:W72" si="152">SUM(V69:V71)</f>
        <v>0</v>
      </c>
      <c r="W72" s="334">
        <f t="shared" si="152"/>
        <v>0</v>
      </c>
      <c r="X72" s="451">
        <f t="shared" ref="X72:Z72" si="153">SUM(X69:X71)</f>
        <v>-149074</v>
      </c>
      <c r="Y72" s="334">
        <f t="shared" si="153"/>
        <v>0</v>
      </c>
      <c r="Z72" s="334">
        <f t="shared" si="153"/>
        <v>0</v>
      </c>
      <c r="AA72" s="334">
        <f t="shared" ref="AA72" si="154">SUM(AA69:AA71)</f>
        <v>0</v>
      </c>
      <c r="AB72" s="334">
        <f>SUM(AB69:AB71)</f>
        <v>0</v>
      </c>
      <c r="AC72" s="334">
        <f t="shared" ref="AC72:AK72" si="155">SUM(AC69:AC71)</f>
        <v>0</v>
      </c>
      <c r="AD72" s="334">
        <f>SUM(AD69:AD71)</f>
        <v>0</v>
      </c>
      <c r="AE72" s="603">
        <f t="shared" ref="AE72" si="156">SUM(AE69:AE71)</f>
        <v>0</v>
      </c>
      <c r="AF72" s="603">
        <f>SUM(AF69:AF71)</f>
        <v>0</v>
      </c>
      <c r="AG72" s="603">
        <f>SUM(AG69:AG71)</f>
        <v>-811</v>
      </c>
      <c r="AH72" s="603">
        <f>SUM(AH69:AH71)</f>
        <v>-350.09856124187945</v>
      </c>
      <c r="AI72" s="334">
        <f>SUM(AI69:AI71)</f>
        <v>0</v>
      </c>
      <c r="AJ72" s="480">
        <f t="shared" si="155"/>
        <v>-150235.09856124187</v>
      </c>
      <c r="AK72" s="333">
        <f t="shared" si="155"/>
        <v>0</v>
      </c>
      <c r="AL72" s="333">
        <f t="shared" ref="AL72:AR72" si="157">SUM(AL69:AL71)</f>
        <v>0</v>
      </c>
      <c r="AM72" s="603">
        <f>SUM(AM69:AM71)</f>
        <v>0</v>
      </c>
      <c r="AN72" s="334">
        <f t="shared" si="157"/>
        <v>0</v>
      </c>
      <c r="AO72" s="334">
        <f t="shared" ref="AO72:AQ72" si="158">SUM(AO69:AO71)</f>
        <v>0</v>
      </c>
      <c r="AP72" s="334">
        <f>SUM(AP69:AP71)</f>
        <v>0</v>
      </c>
      <c r="AQ72" s="334">
        <f t="shared" si="158"/>
        <v>0</v>
      </c>
      <c r="AR72" s="480">
        <f t="shared" si="157"/>
        <v>-150235.09856124187</v>
      </c>
      <c r="AS72" s="637">
        <f t="shared" ref="AS72" si="159">SUM(AS69:AS71)</f>
        <v>0</v>
      </c>
      <c r="AT72" s="480">
        <f t="shared" ref="AT72:AU72" si="160">SUM(AT69:AT71)</f>
        <v>-150235.09856124187</v>
      </c>
      <c r="AU72" s="470">
        <f t="shared" si="160"/>
        <v>-150235.09856124187</v>
      </c>
      <c r="AV72" s="552"/>
      <c r="AW72" s="486"/>
      <c r="AX72" s="486"/>
      <c r="AZ72" s="480">
        <f t="shared" ref="AZ72:BA72" si="161">SUM(AZ69:AZ71)</f>
        <v>-150235.09856124187</v>
      </c>
      <c r="BA72" s="333">
        <f t="shared" si="161"/>
        <v>0</v>
      </c>
      <c r="BB72" s="333">
        <f t="shared" ref="BB72" si="162">SUM(BB69:BB71)</f>
        <v>0</v>
      </c>
      <c r="BC72" s="334">
        <f>SUM(BC69:BC71)</f>
        <v>0</v>
      </c>
      <c r="BD72" s="334">
        <f>SUM(BD69:BD71)</f>
        <v>0</v>
      </c>
      <c r="BE72" s="603">
        <f>SUM(BE69:BE71)</f>
        <v>0</v>
      </c>
      <c r="BF72" s="603">
        <f>SUM(BF69:BF71)</f>
        <v>0</v>
      </c>
      <c r="BG72" s="480">
        <f t="shared" ref="BG72:BJ72" si="163">SUM(BG69:BG71)</f>
        <v>-150235.09856124187</v>
      </c>
      <c r="BH72" s="637">
        <f t="shared" si="163"/>
        <v>0</v>
      </c>
      <c r="BI72" s="567">
        <f t="shared" si="163"/>
        <v>-150235.09856124187</v>
      </c>
      <c r="BJ72" s="480">
        <f t="shared" si="163"/>
        <v>0</v>
      </c>
    </row>
    <row r="73" spans="1:65">
      <c r="A73" s="186">
        <v>40</v>
      </c>
      <c r="B73" s="4" t="s">
        <v>192</v>
      </c>
      <c r="C73" s="4"/>
      <c r="D73" s="4"/>
      <c r="E73" s="337">
        <f>E66+E72</f>
        <v>300633</v>
      </c>
      <c r="F73" s="337">
        <f t="shared" ref="F73:AU73" si="164">F66+F72</f>
        <v>0</v>
      </c>
      <c r="G73" s="337">
        <f t="shared" si="164"/>
        <v>0</v>
      </c>
      <c r="H73" s="337">
        <f t="shared" si="164"/>
        <v>0</v>
      </c>
      <c r="I73" s="337">
        <f t="shared" si="164"/>
        <v>0</v>
      </c>
      <c r="J73" s="337">
        <f t="shared" si="164"/>
        <v>0</v>
      </c>
      <c r="K73" s="337">
        <f t="shared" si="164"/>
        <v>0</v>
      </c>
      <c r="L73" s="337">
        <f t="shared" si="164"/>
        <v>0</v>
      </c>
      <c r="M73" s="337">
        <f t="shared" si="164"/>
        <v>0</v>
      </c>
      <c r="N73" s="337">
        <f t="shared" si="164"/>
        <v>0</v>
      </c>
      <c r="O73" s="337">
        <f t="shared" si="164"/>
        <v>0</v>
      </c>
      <c r="P73" s="337">
        <f t="shared" si="164"/>
        <v>0</v>
      </c>
      <c r="Q73" s="337">
        <f t="shared" si="164"/>
        <v>0</v>
      </c>
      <c r="R73" s="337">
        <f t="shared" si="164"/>
        <v>0</v>
      </c>
      <c r="S73" s="337">
        <f t="shared" ref="S73" si="165">S66+S72</f>
        <v>0</v>
      </c>
      <c r="T73" s="337">
        <f>T66+T72</f>
        <v>0</v>
      </c>
      <c r="U73" s="337">
        <f>U66+U72</f>
        <v>0</v>
      </c>
      <c r="V73" s="337">
        <f t="shared" si="164"/>
        <v>0</v>
      </c>
      <c r="W73" s="337">
        <f t="shared" si="164"/>
        <v>0</v>
      </c>
      <c r="X73" s="452">
        <f t="shared" si="164"/>
        <v>300633</v>
      </c>
      <c r="Y73" s="337">
        <f t="shared" si="164"/>
        <v>0</v>
      </c>
      <c r="Z73" s="337">
        <f t="shared" si="164"/>
        <v>0</v>
      </c>
      <c r="AA73" s="337">
        <f t="shared" si="164"/>
        <v>0</v>
      </c>
      <c r="AB73" s="337">
        <f>AB66+AB72</f>
        <v>0</v>
      </c>
      <c r="AC73" s="337">
        <f t="shared" ref="AC73" si="166">AC66+AC72</f>
        <v>0</v>
      </c>
      <c r="AD73" s="337">
        <f t="shared" ref="AD73" si="167">AD66+AD72</f>
        <v>0</v>
      </c>
      <c r="AE73" s="604">
        <f t="shared" ref="AE73" si="168">AE66+AE72</f>
        <v>0</v>
      </c>
      <c r="AF73" s="604">
        <f>AF66+AF72</f>
        <v>0</v>
      </c>
      <c r="AG73" s="337">
        <f>AG66+AG72</f>
        <v>8062</v>
      </c>
      <c r="AH73" s="337">
        <f>AH66+AH72</f>
        <v>7281.5587201509297</v>
      </c>
      <c r="AI73" s="337">
        <f>AI66+AI72</f>
        <v>0</v>
      </c>
      <c r="AJ73" s="477">
        <f t="shared" si="164"/>
        <v>315976.55872015096</v>
      </c>
      <c r="AK73" s="337">
        <f t="shared" si="164"/>
        <v>0</v>
      </c>
      <c r="AL73" s="337">
        <f t="shared" si="164"/>
        <v>0</v>
      </c>
      <c r="AM73" s="337">
        <f>AM66+AM72</f>
        <v>0</v>
      </c>
      <c r="AN73" s="337">
        <f t="shared" ref="AN73:AQ73" si="169">AN66+AN72</f>
        <v>0</v>
      </c>
      <c r="AO73" s="337">
        <f>AO66+AO72</f>
        <v>0</v>
      </c>
      <c r="AP73" s="337">
        <f>AP66+AP72</f>
        <v>0</v>
      </c>
      <c r="AQ73" s="337">
        <f t="shared" si="169"/>
        <v>0</v>
      </c>
      <c r="AR73" s="477">
        <f t="shared" ref="AR73" si="170">AR66+AR72</f>
        <v>315976.55872015096</v>
      </c>
      <c r="AS73" s="632">
        <f t="shared" si="164"/>
        <v>0</v>
      </c>
      <c r="AT73" s="477">
        <f t="shared" si="164"/>
        <v>315976.55872015096</v>
      </c>
      <c r="AU73" s="471">
        <f t="shared" si="164"/>
        <v>315976.55872015096</v>
      </c>
      <c r="AV73" s="552"/>
      <c r="AW73" s="486"/>
      <c r="AX73" s="486"/>
      <c r="AZ73" s="477">
        <f t="shared" ref="AZ73:BA73" si="171">AZ66+AZ72</f>
        <v>315976.55872015096</v>
      </c>
      <c r="BA73" s="337">
        <f t="shared" si="171"/>
        <v>0</v>
      </c>
      <c r="BB73" s="337">
        <f t="shared" ref="BB73" si="172">BB66+BB72</f>
        <v>0</v>
      </c>
      <c r="BC73" s="337">
        <f>BC66+BC72</f>
        <v>0</v>
      </c>
      <c r="BD73" s="337">
        <f>BD66+BD72</f>
        <v>0</v>
      </c>
      <c r="BE73" s="337">
        <f>BE66+BE72</f>
        <v>0</v>
      </c>
      <c r="BF73" s="337">
        <f>BF66+BF72</f>
        <v>0</v>
      </c>
      <c r="BG73" s="477">
        <f t="shared" ref="BG73:BJ73" si="173">BG66+BG72</f>
        <v>315976.55872015096</v>
      </c>
      <c r="BH73" s="632">
        <f t="shared" si="173"/>
        <v>0</v>
      </c>
      <c r="BI73" s="565">
        <f t="shared" si="173"/>
        <v>315976.55872015096</v>
      </c>
      <c r="BJ73" s="477">
        <f t="shared" si="173"/>
        <v>0</v>
      </c>
    </row>
    <row r="74" spans="1:65" s="449" customFormat="1" ht="13.5" customHeight="1">
      <c r="A74" s="5">
        <v>41</v>
      </c>
      <c r="B74" s="6" t="s">
        <v>113</v>
      </c>
      <c r="C74" s="6"/>
      <c r="D74" s="6"/>
      <c r="E74" s="332">
        <f>'ROO INPUT'!$F74</f>
        <v>-65675</v>
      </c>
      <c r="F74" s="447">
        <v>50</v>
      </c>
      <c r="G74" s="447">
        <v>0</v>
      </c>
      <c r="H74" s="447">
        <v>0</v>
      </c>
      <c r="I74" s="447">
        <v>0</v>
      </c>
      <c r="J74" s="447">
        <v>0</v>
      </c>
      <c r="K74" s="447">
        <v>0</v>
      </c>
      <c r="L74" s="447">
        <v>0</v>
      </c>
      <c r="M74" s="447">
        <v>0</v>
      </c>
      <c r="N74" s="447">
        <v>0</v>
      </c>
      <c r="O74" s="447">
        <v>0</v>
      </c>
      <c r="P74" s="447">
        <v>0</v>
      </c>
      <c r="Q74" s="447">
        <v>0</v>
      </c>
      <c r="R74" s="447">
        <v>0</v>
      </c>
      <c r="S74" s="447">
        <v>0</v>
      </c>
      <c r="T74" s="447">
        <v>0</v>
      </c>
      <c r="U74" s="447">
        <v>0</v>
      </c>
      <c r="V74" s="447">
        <v>0</v>
      </c>
      <c r="W74" s="447">
        <v>0</v>
      </c>
      <c r="X74" s="448">
        <f>SUM(E74:W74)</f>
        <v>-65625</v>
      </c>
      <c r="Y74" s="447"/>
      <c r="Z74" s="447"/>
      <c r="AA74" s="447"/>
      <c r="AB74" s="447">
        <v>0</v>
      </c>
      <c r="AC74" s="447">
        <v>0</v>
      </c>
      <c r="AD74" s="447">
        <v>0</v>
      </c>
      <c r="AE74" s="447"/>
      <c r="AF74" s="447"/>
      <c r="AG74" s="447">
        <v>-1956</v>
      </c>
      <c r="AH74" s="723">
        <f>+'[8]G-CAP SUMMARY'!$D$42</f>
        <v>-1153</v>
      </c>
      <c r="AI74" s="447"/>
      <c r="AJ74" s="478">
        <f>SUM(X74:AI74)</f>
        <v>-68734</v>
      </c>
      <c r="AK74" s="447">
        <v>0</v>
      </c>
      <c r="AL74" s="447">
        <v>0</v>
      </c>
      <c r="AM74" s="447">
        <v>0</v>
      </c>
      <c r="AN74" s="447">
        <v>0</v>
      </c>
      <c r="AO74" s="447">
        <v>0</v>
      </c>
      <c r="AP74" s="447">
        <v>0</v>
      </c>
      <c r="AQ74" s="447">
        <v>0</v>
      </c>
      <c r="AR74" s="478">
        <f>SUM(AJ74:AQ74)</f>
        <v>-68734</v>
      </c>
      <c r="AS74" s="631"/>
      <c r="AT74" s="478">
        <f>SUM(AR74:AS74)</f>
        <v>-68734</v>
      </c>
      <c r="AU74" s="468">
        <f>SUM(AT74:AT74)</f>
        <v>-68734</v>
      </c>
      <c r="AV74" s="552"/>
      <c r="AW74" s="486"/>
      <c r="AX74" s="486"/>
      <c r="AZ74" s="478">
        <f t="shared" ref="AZ74" si="174">AU74</f>
        <v>-68734</v>
      </c>
      <c r="BA74" s="447">
        <v>0</v>
      </c>
      <c r="BB74" s="447">
        <v>0</v>
      </c>
      <c r="BC74" s="447">
        <v>0</v>
      </c>
      <c r="BD74" s="447">
        <v>0</v>
      </c>
      <c r="BE74" s="447">
        <v>0</v>
      </c>
      <c r="BF74" s="447">
        <v>0</v>
      </c>
      <c r="BG74" s="478">
        <f>SUM(AZ74:BF74)</f>
        <v>-68734</v>
      </c>
      <c r="BH74" s="631"/>
      <c r="BI74" s="557">
        <f>SUM(BG74:BH74)</f>
        <v>-68734</v>
      </c>
      <c r="BJ74" s="478">
        <f>BI74-AU74</f>
        <v>0</v>
      </c>
    </row>
    <row r="75" spans="1:65" s="449" customFormat="1" ht="18.95" customHeight="1">
      <c r="A75" s="5">
        <v>42</v>
      </c>
      <c r="B75" s="6" t="s">
        <v>226</v>
      </c>
      <c r="C75" s="6"/>
      <c r="D75" s="6"/>
      <c r="E75" s="337">
        <f>E73+E74</f>
        <v>234958</v>
      </c>
      <c r="F75" s="337">
        <f>F73+F74</f>
        <v>50</v>
      </c>
      <c r="G75" s="337">
        <f t="shared" ref="G75:AA75" si="175">G73+G74</f>
        <v>0</v>
      </c>
      <c r="H75" s="337">
        <f t="shared" si="175"/>
        <v>0</v>
      </c>
      <c r="I75" s="337">
        <f t="shared" si="175"/>
        <v>0</v>
      </c>
      <c r="J75" s="337">
        <f>J73+J74</f>
        <v>0</v>
      </c>
      <c r="K75" s="337">
        <f t="shared" si="175"/>
        <v>0</v>
      </c>
      <c r="L75" s="337">
        <f t="shared" si="175"/>
        <v>0</v>
      </c>
      <c r="M75" s="337">
        <f t="shared" si="175"/>
        <v>0</v>
      </c>
      <c r="N75" s="337">
        <f t="shared" si="175"/>
        <v>0</v>
      </c>
      <c r="O75" s="337">
        <f t="shared" si="175"/>
        <v>0</v>
      </c>
      <c r="P75" s="337">
        <f t="shared" si="175"/>
        <v>0</v>
      </c>
      <c r="Q75" s="337">
        <f>Q73+Q74</f>
        <v>0</v>
      </c>
      <c r="R75" s="337">
        <f>R73+R74</f>
        <v>0</v>
      </c>
      <c r="S75" s="337">
        <f>S73+S74</f>
        <v>0</v>
      </c>
      <c r="T75" s="337">
        <f>T73+T74</f>
        <v>0</v>
      </c>
      <c r="U75" s="337">
        <f>U73+U74</f>
        <v>0</v>
      </c>
      <c r="V75" s="337">
        <f t="shared" si="175"/>
        <v>0</v>
      </c>
      <c r="W75" s="337">
        <f>W73+W74</f>
        <v>0</v>
      </c>
      <c r="X75" s="452">
        <f>X73+X74</f>
        <v>235008</v>
      </c>
      <c r="Y75" s="337">
        <f t="shared" si="175"/>
        <v>0</v>
      </c>
      <c r="Z75" s="337">
        <f t="shared" si="175"/>
        <v>0</v>
      </c>
      <c r="AA75" s="337">
        <f t="shared" si="175"/>
        <v>0</v>
      </c>
      <c r="AB75" s="337">
        <f>AB73+AB74</f>
        <v>0</v>
      </c>
      <c r="AC75" s="337">
        <f t="shared" ref="AC75:AK75" si="176">AC73+AC74</f>
        <v>0</v>
      </c>
      <c r="AD75" s="337">
        <f>AD73+AD74</f>
        <v>0</v>
      </c>
      <c r="AE75" s="604">
        <f t="shared" ref="AE75" si="177">AE73+AE74</f>
        <v>0</v>
      </c>
      <c r="AF75" s="604">
        <f>AF73+AF74</f>
        <v>0</v>
      </c>
      <c r="AG75" s="604">
        <f>AG73+AG74</f>
        <v>6106</v>
      </c>
      <c r="AH75" s="604">
        <f>AH73+AH74</f>
        <v>6128.5587201509297</v>
      </c>
      <c r="AI75" s="337">
        <f>AI73+AI74</f>
        <v>0</v>
      </c>
      <c r="AJ75" s="477">
        <f t="shared" si="176"/>
        <v>247242.55872015096</v>
      </c>
      <c r="AK75" s="337">
        <f t="shared" si="176"/>
        <v>0</v>
      </c>
      <c r="AL75" s="337">
        <f t="shared" ref="AL75:AN75" si="178">AL73+AL74</f>
        <v>0</v>
      </c>
      <c r="AM75" s="337">
        <f>AM73+AM74</f>
        <v>0</v>
      </c>
      <c r="AN75" s="337">
        <f t="shared" si="178"/>
        <v>0</v>
      </c>
      <c r="AO75" s="337">
        <f t="shared" ref="AO75:AQ75" si="179">AO73+AO74</f>
        <v>0</v>
      </c>
      <c r="AP75" s="337">
        <f>AP73+AP74</f>
        <v>0</v>
      </c>
      <c r="AQ75" s="337">
        <f t="shared" si="179"/>
        <v>0</v>
      </c>
      <c r="AR75" s="477">
        <f>AR73+AR74</f>
        <v>247242.55872015096</v>
      </c>
      <c r="AS75" s="632">
        <f t="shared" ref="AS75" si="180">AS73+AS74</f>
        <v>0</v>
      </c>
      <c r="AT75" s="477">
        <f t="shared" ref="AT75:AU75" si="181">AT73+AT74</f>
        <v>247242.55872015096</v>
      </c>
      <c r="AU75" s="471">
        <f t="shared" si="181"/>
        <v>247242.55872015096</v>
      </c>
      <c r="AV75" s="552"/>
      <c r="AW75" s="486"/>
      <c r="AX75" s="486"/>
      <c r="AZ75" s="477">
        <f t="shared" ref="AZ75:BA75" si="182">AZ73+AZ74</f>
        <v>247242.55872015096</v>
      </c>
      <c r="BA75" s="337">
        <f t="shared" si="182"/>
        <v>0</v>
      </c>
      <c r="BB75" s="337">
        <f t="shared" ref="BB75" si="183">BB73+BB74</f>
        <v>0</v>
      </c>
      <c r="BC75" s="337">
        <f>BC73+BC74</f>
        <v>0</v>
      </c>
      <c r="BD75" s="337">
        <f>BD73+BD74</f>
        <v>0</v>
      </c>
      <c r="BE75" s="337">
        <f>BE73+BE74</f>
        <v>0</v>
      </c>
      <c r="BF75" s="337">
        <f>BF73+BF74</f>
        <v>0</v>
      </c>
      <c r="BG75" s="477">
        <f t="shared" ref="BG75:BJ75" si="184">BG73+BG74</f>
        <v>247242.55872015096</v>
      </c>
      <c r="BH75" s="632">
        <f t="shared" si="184"/>
        <v>0</v>
      </c>
      <c r="BI75" s="565">
        <f t="shared" si="184"/>
        <v>247242.55872015096</v>
      </c>
      <c r="BJ75" s="477">
        <f t="shared" si="184"/>
        <v>0</v>
      </c>
    </row>
    <row r="76" spans="1:65">
      <c r="A76" s="186">
        <v>43</v>
      </c>
      <c r="B76" s="4" t="s">
        <v>68</v>
      </c>
      <c r="C76" s="4"/>
      <c r="D76" s="4"/>
      <c r="E76" s="331">
        <f>'ROO INPUT'!$F76</f>
        <v>15143</v>
      </c>
      <c r="F76" s="514">
        <v>0</v>
      </c>
      <c r="G76" s="514">
        <v>0</v>
      </c>
      <c r="H76" s="514">
        <v>0</v>
      </c>
      <c r="I76" s="514">
        <v>0</v>
      </c>
      <c r="J76" s="514">
        <v>0</v>
      </c>
      <c r="K76" s="514">
        <v>0</v>
      </c>
      <c r="L76" s="514">
        <v>0</v>
      </c>
      <c r="M76" s="514">
        <v>0</v>
      </c>
      <c r="N76" s="514">
        <v>0</v>
      </c>
      <c r="O76" s="514">
        <v>0</v>
      </c>
      <c r="P76" s="514">
        <v>0</v>
      </c>
      <c r="Q76" s="514">
        <v>0</v>
      </c>
      <c r="R76" s="514">
        <v>0</v>
      </c>
      <c r="S76" s="514">
        <v>0</v>
      </c>
      <c r="T76" s="514">
        <v>0</v>
      </c>
      <c r="U76" s="514">
        <v>0</v>
      </c>
      <c r="V76" s="514">
        <v>0</v>
      </c>
      <c r="W76" s="514">
        <v>0</v>
      </c>
      <c r="X76" s="445">
        <f>SUM(E76:W76)</f>
        <v>15143</v>
      </c>
      <c r="Y76" s="514"/>
      <c r="Z76" s="514"/>
      <c r="AA76" s="514"/>
      <c r="AB76" s="514">
        <v>0</v>
      </c>
      <c r="AC76" s="514">
        <v>0</v>
      </c>
      <c r="AD76" s="514">
        <v>0</v>
      </c>
      <c r="AE76" s="514"/>
      <c r="AF76" s="514"/>
      <c r="AG76" s="446">
        <v>0</v>
      </c>
      <c r="AH76" s="446">
        <v>0</v>
      </c>
      <c r="AI76" s="514"/>
      <c r="AJ76" s="477">
        <f>SUM(X76:AI76)</f>
        <v>15143</v>
      </c>
      <c r="AK76" s="446"/>
      <c r="AL76" s="446"/>
      <c r="AM76" s="446"/>
      <c r="AN76" s="514">
        <v>0</v>
      </c>
      <c r="AO76" s="514">
        <v>0</v>
      </c>
      <c r="AP76" s="514">
        <v>0</v>
      </c>
      <c r="AQ76" s="514">
        <v>0</v>
      </c>
      <c r="AR76" s="477">
        <f>SUM(AJ76:AQ76)</f>
        <v>15143</v>
      </c>
      <c r="AS76" s="630">
        <v>0</v>
      </c>
      <c r="AT76" s="477">
        <f>SUM(AR76:AS76)</f>
        <v>15143</v>
      </c>
      <c r="AU76" s="471">
        <f>SUM(AT76:AT76)</f>
        <v>15143</v>
      </c>
      <c r="AV76" s="552"/>
      <c r="AW76" s="486"/>
      <c r="AX76" s="486"/>
      <c r="AZ76" s="477">
        <f t="shared" ref="AZ76:AZ79" si="185">AU76</f>
        <v>15143</v>
      </c>
      <c r="BA76" s="446"/>
      <c r="BB76" s="446"/>
      <c r="BC76" s="514">
        <v>0</v>
      </c>
      <c r="BD76" s="514">
        <v>0</v>
      </c>
      <c r="BE76" s="446"/>
      <c r="BF76" s="446"/>
      <c r="BG76" s="477">
        <f>SUM(AZ76:BF76)</f>
        <v>15143</v>
      </c>
      <c r="BH76" s="630">
        <v>0</v>
      </c>
      <c r="BI76" s="565">
        <f>SUM(BG76:BH76)</f>
        <v>15143</v>
      </c>
      <c r="BJ76" s="477">
        <f>BI76-AU76</f>
        <v>0</v>
      </c>
    </row>
    <row r="77" spans="1:65" s="449" customFormat="1">
      <c r="A77" s="5">
        <v>44</v>
      </c>
      <c r="B77" s="6" t="s">
        <v>69</v>
      </c>
      <c r="C77" s="6"/>
      <c r="D77" s="6"/>
      <c r="E77" s="331">
        <f>'ROO INPUT'!$F77</f>
        <v>0</v>
      </c>
      <c r="F77" s="446">
        <v>0</v>
      </c>
      <c r="G77" s="446">
        <v>0</v>
      </c>
      <c r="H77" s="446">
        <v>0</v>
      </c>
      <c r="I77" s="446">
        <v>0</v>
      </c>
      <c r="J77" s="446">
        <v>0</v>
      </c>
      <c r="K77" s="446">
        <v>0</v>
      </c>
      <c r="L77" s="446">
        <v>0</v>
      </c>
      <c r="M77" s="446">
        <v>0</v>
      </c>
      <c r="N77" s="446">
        <v>0</v>
      </c>
      <c r="O77" s="446">
        <v>0</v>
      </c>
      <c r="P77" s="446">
        <v>0</v>
      </c>
      <c r="Q77" s="446">
        <v>0</v>
      </c>
      <c r="R77" s="446">
        <v>0</v>
      </c>
      <c r="S77" s="446">
        <v>0</v>
      </c>
      <c r="T77" s="446">
        <v>0</v>
      </c>
      <c r="U77" s="446">
        <v>0</v>
      </c>
      <c r="V77" s="446">
        <v>0</v>
      </c>
      <c r="W77" s="446">
        <v>0</v>
      </c>
      <c r="X77" s="452">
        <f>SUM(E77:W77)</f>
        <v>0</v>
      </c>
      <c r="Y77" s="446"/>
      <c r="Z77" s="446"/>
      <c r="AA77" s="446"/>
      <c r="AB77" s="446">
        <v>0</v>
      </c>
      <c r="AC77" s="446">
        <v>0</v>
      </c>
      <c r="AD77" s="446">
        <v>0</v>
      </c>
      <c r="AE77" s="446"/>
      <c r="AF77" s="446"/>
      <c r="AG77" s="446"/>
      <c r="AH77" s="446"/>
      <c r="AI77" s="446"/>
      <c r="AJ77" s="477">
        <f>SUM(X77:AI77)</f>
        <v>0</v>
      </c>
      <c r="AK77" s="446"/>
      <c r="AL77" s="446"/>
      <c r="AM77" s="446"/>
      <c r="AN77" s="446">
        <v>0</v>
      </c>
      <c r="AO77" s="446">
        <v>0</v>
      </c>
      <c r="AP77" s="446">
        <v>0</v>
      </c>
      <c r="AQ77" s="446">
        <v>0</v>
      </c>
      <c r="AR77" s="477">
        <f>SUM(AJ77:AQ77)</f>
        <v>0</v>
      </c>
      <c r="AS77" s="630"/>
      <c r="AT77" s="477">
        <f>SUM(AR77:AS77)</f>
        <v>0</v>
      </c>
      <c r="AU77" s="471">
        <f>SUM(AT77:AT77)</f>
        <v>0</v>
      </c>
      <c r="AV77" s="552"/>
      <c r="AW77" s="486"/>
      <c r="AX77" s="486"/>
      <c r="AZ77" s="477">
        <f t="shared" si="185"/>
        <v>0</v>
      </c>
      <c r="BA77" s="446"/>
      <c r="BB77" s="446"/>
      <c r="BC77" s="446">
        <v>0</v>
      </c>
      <c r="BD77" s="446">
        <v>0</v>
      </c>
      <c r="BE77" s="446"/>
      <c r="BF77" s="446"/>
      <c r="BG77" s="477">
        <f>SUM(AZ77:BF77)</f>
        <v>0</v>
      </c>
      <c r="BH77" s="630"/>
      <c r="BI77" s="565">
        <f>SUM(BG77:BH77)</f>
        <v>0</v>
      </c>
      <c r="BJ77" s="477">
        <f>SUM(BI77:BI77)</f>
        <v>0</v>
      </c>
    </row>
    <row r="78" spans="1:65" s="449" customFormat="1">
      <c r="A78" s="5">
        <v>45</v>
      </c>
      <c r="B78" s="6" t="s">
        <v>448</v>
      </c>
      <c r="C78" s="6"/>
      <c r="D78" s="6"/>
      <c r="E78" s="331">
        <f>'ROO INPUT'!$F78</f>
        <v>-509</v>
      </c>
      <c r="F78" s="446"/>
      <c r="G78" s="446">
        <v>0</v>
      </c>
      <c r="H78" s="446"/>
      <c r="I78" s="446"/>
      <c r="J78" s="446"/>
      <c r="K78" s="446"/>
      <c r="L78" s="446"/>
      <c r="M78" s="446"/>
      <c r="N78" s="446"/>
      <c r="O78" s="446"/>
      <c r="P78" s="446"/>
      <c r="Q78" s="446"/>
      <c r="R78" s="446"/>
      <c r="S78" s="446"/>
      <c r="T78" s="446"/>
      <c r="U78" s="446"/>
      <c r="V78" s="446"/>
      <c r="W78" s="446"/>
      <c r="X78" s="452">
        <f>SUM(E78:W78)</f>
        <v>-509</v>
      </c>
      <c r="Y78" s="446"/>
      <c r="Z78" s="446"/>
      <c r="AA78" s="446"/>
      <c r="AB78" s="446"/>
      <c r="AC78" s="446"/>
      <c r="AD78" s="446"/>
      <c r="AE78" s="446"/>
      <c r="AF78" s="446"/>
      <c r="AG78" s="446"/>
      <c r="AH78" s="446"/>
      <c r="AI78" s="446"/>
      <c r="AJ78" s="477">
        <f>SUM(X78:AI78)</f>
        <v>-509</v>
      </c>
      <c r="AK78" s="446"/>
      <c r="AL78" s="446"/>
      <c r="AM78" s="446"/>
      <c r="AN78" s="446"/>
      <c r="AO78" s="446"/>
      <c r="AP78" s="446"/>
      <c r="AQ78" s="446"/>
      <c r="AR78" s="477">
        <f>SUM(AJ78:AQ78)</f>
        <v>-509</v>
      </c>
      <c r="AS78" s="630"/>
      <c r="AT78" s="477">
        <f>SUM(AR78:AS78)</f>
        <v>-509</v>
      </c>
      <c r="AU78" s="471">
        <f>SUM(AT78:AT78)</f>
        <v>-509</v>
      </c>
      <c r="AV78" s="552"/>
      <c r="AW78" s="486"/>
      <c r="AX78" s="486"/>
      <c r="AZ78" s="477">
        <f t="shared" si="185"/>
        <v>-509</v>
      </c>
      <c r="BA78" s="446"/>
      <c r="BB78" s="446"/>
      <c r="BC78" s="446"/>
      <c r="BD78" s="446"/>
      <c r="BE78" s="446"/>
      <c r="BF78" s="446"/>
      <c r="BG78" s="477">
        <f>SUM(AZ78:BF78)</f>
        <v>-509</v>
      </c>
      <c r="BH78" s="630">
        <v>0</v>
      </c>
      <c r="BI78" s="565">
        <f>SUM(BG78:BH78)</f>
        <v>-509</v>
      </c>
      <c r="BJ78" s="477">
        <f>BI78-AU78</f>
        <v>0</v>
      </c>
    </row>
    <row r="79" spans="1:65">
      <c r="A79" s="186">
        <v>46</v>
      </c>
      <c r="B79" s="4" t="s">
        <v>195</v>
      </c>
      <c r="C79" s="4"/>
      <c r="D79" s="4"/>
      <c r="E79" s="332">
        <f>'ROO INPUT'!$F79</f>
        <v>9797</v>
      </c>
      <c r="F79" s="447">
        <v>0</v>
      </c>
      <c r="G79" s="447">
        <v>0</v>
      </c>
      <c r="H79" s="447">
        <v>2828</v>
      </c>
      <c r="I79" s="447">
        <v>0</v>
      </c>
      <c r="J79" s="447">
        <v>0</v>
      </c>
      <c r="K79" s="447">
        <v>0</v>
      </c>
      <c r="L79" s="447">
        <v>0</v>
      </c>
      <c r="M79" s="447">
        <v>0</v>
      </c>
      <c r="N79" s="447">
        <v>0</v>
      </c>
      <c r="O79" s="447">
        <v>0</v>
      </c>
      <c r="P79" s="447">
        <v>0</v>
      </c>
      <c r="Q79" s="447">
        <v>0</v>
      </c>
      <c r="R79" s="447">
        <v>0</v>
      </c>
      <c r="S79" s="447">
        <v>0</v>
      </c>
      <c r="T79" s="447">
        <v>0</v>
      </c>
      <c r="U79" s="447">
        <v>0</v>
      </c>
      <c r="V79" s="447">
        <v>0</v>
      </c>
      <c r="W79" s="447">
        <v>0</v>
      </c>
      <c r="X79" s="448">
        <f>SUM(E79:W79)</f>
        <v>12625</v>
      </c>
      <c r="Y79" s="447"/>
      <c r="Z79" s="447"/>
      <c r="AA79" s="447"/>
      <c r="AB79" s="447">
        <v>0</v>
      </c>
      <c r="AC79" s="447">
        <v>0</v>
      </c>
      <c r="AD79" s="447">
        <v>0</v>
      </c>
      <c r="AE79" s="447"/>
      <c r="AF79" s="447"/>
      <c r="AG79" s="447"/>
      <c r="AH79" s="447"/>
      <c r="AI79" s="447"/>
      <c r="AJ79" s="478">
        <f>SUM(X79:AI79)</f>
        <v>12625</v>
      </c>
      <c r="AK79" s="447"/>
      <c r="AL79" s="447"/>
      <c r="AM79" s="447"/>
      <c r="AN79" s="447">
        <v>0</v>
      </c>
      <c r="AO79" s="447">
        <v>0</v>
      </c>
      <c r="AP79" s="447">
        <v>0</v>
      </c>
      <c r="AQ79" s="447">
        <v>0</v>
      </c>
      <c r="AR79" s="478">
        <f>SUM(AJ79:AQ79)</f>
        <v>12625</v>
      </c>
      <c r="AS79" s="631"/>
      <c r="AT79" s="478">
        <f>SUM(AR79:AS79)</f>
        <v>12625</v>
      </c>
      <c r="AU79" s="468">
        <f>SUM(AT79:AT79)</f>
        <v>12625</v>
      </c>
      <c r="AV79" s="552"/>
      <c r="AW79" s="486"/>
      <c r="AX79" s="486"/>
      <c r="AZ79" s="478">
        <f t="shared" si="185"/>
        <v>12625</v>
      </c>
      <c r="BA79" s="447"/>
      <c r="BB79" s="447"/>
      <c r="BC79" s="447">
        <v>0</v>
      </c>
      <c r="BD79" s="447">
        <v>0</v>
      </c>
      <c r="BE79" s="447"/>
      <c r="BF79" s="447"/>
      <c r="BG79" s="478">
        <f>SUM(AZ79:BF79)</f>
        <v>12625</v>
      </c>
      <c r="BH79" s="631"/>
      <c r="BI79" s="557">
        <f>SUM(BG79:BH79)</f>
        <v>12625</v>
      </c>
      <c r="BJ79" s="478">
        <f>BI79-AU79</f>
        <v>0</v>
      </c>
    </row>
    <row r="80" spans="1:65" ht="7.5" customHeight="1">
      <c r="AG80" s="443"/>
      <c r="AH80" s="443"/>
      <c r="AJ80" s="475"/>
      <c r="AK80" s="443"/>
      <c r="AL80" s="443"/>
      <c r="AM80" s="443"/>
      <c r="AR80" s="475"/>
      <c r="AS80" s="628"/>
      <c r="AT80" s="475"/>
      <c r="AU80" s="465"/>
      <c r="AZ80" s="475"/>
      <c r="BA80" s="443"/>
      <c r="BB80" s="443"/>
      <c r="BE80" s="443"/>
      <c r="BF80" s="443"/>
      <c r="BG80" s="475"/>
      <c r="BH80" s="628"/>
      <c r="BI80" s="563"/>
      <c r="BJ80" s="475"/>
    </row>
    <row r="81" spans="1:64" ht="6.75" customHeight="1" thickBot="1">
      <c r="E81" s="331"/>
      <c r="F81" s="331"/>
      <c r="G81" s="331"/>
      <c r="H81" s="331"/>
      <c r="I81" s="331"/>
      <c r="J81" s="331"/>
      <c r="K81" s="331"/>
      <c r="L81" s="331"/>
      <c r="M81" s="331"/>
      <c r="N81" s="331"/>
      <c r="O81" s="331"/>
      <c r="P81" s="331"/>
      <c r="Q81" s="331"/>
      <c r="R81" s="331"/>
      <c r="S81" s="331"/>
      <c r="T81" s="331"/>
      <c r="U81" s="331"/>
      <c r="V81" s="331"/>
      <c r="W81" s="331"/>
      <c r="X81" s="445"/>
      <c r="Y81" s="331"/>
      <c r="Z81" s="331"/>
      <c r="AA81" s="331"/>
      <c r="AB81" s="331"/>
      <c r="AC81" s="331"/>
      <c r="AD81" s="331"/>
      <c r="AE81" s="383"/>
      <c r="AF81" s="383"/>
      <c r="AG81" s="604"/>
      <c r="AH81" s="604"/>
      <c r="AI81" s="331"/>
      <c r="AJ81" s="477"/>
      <c r="AK81" s="604"/>
      <c r="AL81" s="604"/>
      <c r="AM81" s="604"/>
      <c r="AN81" s="331"/>
      <c r="AO81" s="331"/>
      <c r="AP81" s="331"/>
      <c r="AQ81" s="331"/>
      <c r="AR81" s="477"/>
      <c r="AS81" s="632"/>
      <c r="AT81" s="477"/>
      <c r="AU81" s="467"/>
      <c r="AV81" s="552"/>
      <c r="AW81" s="486"/>
      <c r="AX81" s="486"/>
      <c r="AZ81" s="477"/>
      <c r="BA81" s="604"/>
      <c r="BB81" s="604"/>
      <c r="BC81" s="331"/>
      <c r="BD81" s="331"/>
      <c r="BE81" s="604"/>
      <c r="BF81" s="604"/>
      <c r="BG81" s="477"/>
      <c r="BH81" s="632"/>
      <c r="BI81" s="565"/>
      <c r="BJ81" s="477"/>
    </row>
    <row r="82" spans="1:64" s="453" customFormat="1" ht="12.75" thickBot="1">
      <c r="A82" s="420">
        <v>47</v>
      </c>
      <c r="B82" s="453" t="s">
        <v>70</v>
      </c>
      <c r="E82" s="450">
        <f>E75+E76+E77+E79+E78</f>
        <v>259389</v>
      </c>
      <c r="F82" s="450">
        <f t="shared" ref="F82:AA82" si="186">F75+F76+F77+F79+F78</f>
        <v>50</v>
      </c>
      <c r="G82" s="450">
        <f>G75+G76+G77+G79+G78</f>
        <v>0</v>
      </c>
      <c r="H82" s="450">
        <f t="shared" si="186"/>
        <v>2828</v>
      </c>
      <c r="I82" s="450">
        <f t="shared" si="186"/>
        <v>0</v>
      </c>
      <c r="J82" s="450">
        <f>J75+J76+J77+J79+J78</f>
        <v>0</v>
      </c>
      <c r="K82" s="450">
        <f t="shared" si="186"/>
        <v>0</v>
      </c>
      <c r="L82" s="450">
        <f t="shared" si="186"/>
        <v>0</v>
      </c>
      <c r="M82" s="450">
        <f t="shared" si="186"/>
        <v>0</v>
      </c>
      <c r="N82" s="450">
        <f t="shared" si="186"/>
        <v>0</v>
      </c>
      <c r="O82" s="450">
        <f t="shared" si="186"/>
        <v>0</v>
      </c>
      <c r="P82" s="450">
        <f t="shared" si="186"/>
        <v>0</v>
      </c>
      <c r="Q82" s="450">
        <f>Q75+Q76+Q77+Q79+Q78</f>
        <v>0</v>
      </c>
      <c r="R82" s="450">
        <f>R75+R76+R77+R79+R78</f>
        <v>0</v>
      </c>
      <c r="S82" s="450">
        <f>S75+S76+S77+S79+S78</f>
        <v>0</v>
      </c>
      <c r="T82" s="450">
        <f>T75+T76+T77+T79+T78</f>
        <v>0</v>
      </c>
      <c r="U82" s="450">
        <f>U75+U76+U77+U79+U78</f>
        <v>0</v>
      </c>
      <c r="V82" s="450">
        <f t="shared" si="186"/>
        <v>0</v>
      </c>
      <c r="W82" s="450">
        <f>W75+W76+W77+W79+W78</f>
        <v>0</v>
      </c>
      <c r="X82" s="450">
        <f t="shared" si="186"/>
        <v>262267</v>
      </c>
      <c r="Y82" s="450">
        <f>Y75+Y76+Y77+Y79+Y78</f>
        <v>0</v>
      </c>
      <c r="Z82" s="450">
        <f t="shared" si="186"/>
        <v>0</v>
      </c>
      <c r="AA82" s="450">
        <f t="shared" si="186"/>
        <v>0</v>
      </c>
      <c r="AB82" s="450">
        <f>AB75+AB76+AB77+AB79+AB78</f>
        <v>0</v>
      </c>
      <c r="AC82" s="450">
        <f t="shared" ref="AC82:AK82" si="187">AC75+AC76+AC77+AC79+AC78</f>
        <v>0</v>
      </c>
      <c r="AD82" s="450">
        <f>AD75+AD76+AD77+AD79+AD78</f>
        <v>0</v>
      </c>
      <c r="AE82" s="605">
        <f t="shared" ref="AE82" si="188">AE75+AE76+AE77+AE79+AE78</f>
        <v>0</v>
      </c>
      <c r="AF82" s="605">
        <f>AF75+AF76+AF77+AF79+AF78</f>
        <v>0</v>
      </c>
      <c r="AG82" s="450">
        <f>AG75+AG76+AG77+AG79+AG78</f>
        <v>6106</v>
      </c>
      <c r="AH82" s="450">
        <f>AH75+AH76+AH77+AH79+AH78</f>
        <v>6128.5587201509297</v>
      </c>
      <c r="AI82" s="450">
        <f>AI75+AI76+AI77+AI79+AI78</f>
        <v>0</v>
      </c>
      <c r="AJ82" s="479">
        <f t="shared" si="187"/>
        <v>274501.55872015096</v>
      </c>
      <c r="AK82" s="450">
        <f t="shared" si="187"/>
        <v>0</v>
      </c>
      <c r="AL82" s="450">
        <f t="shared" ref="AL82:AR82" si="189">AL75+AL76+AL77+AL79+AL78</f>
        <v>0</v>
      </c>
      <c r="AM82" s="450">
        <f>AM75+AM76+AM77+AM79+AM78</f>
        <v>0</v>
      </c>
      <c r="AN82" s="450">
        <f t="shared" si="189"/>
        <v>0</v>
      </c>
      <c r="AO82" s="450">
        <f t="shared" ref="AO82:AQ82" si="190">AO75+AO76+AO77+AO79+AO78</f>
        <v>0</v>
      </c>
      <c r="AP82" s="450">
        <f>AP75+AP76+AP77+AP79+AP78</f>
        <v>0</v>
      </c>
      <c r="AQ82" s="450">
        <f t="shared" si="190"/>
        <v>0</v>
      </c>
      <c r="AR82" s="479">
        <f t="shared" si="189"/>
        <v>274501.55872015096</v>
      </c>
      <c r="AS82" s="638">
        <f t="shared" ref="AS82" si="191">AS75+AS76+AS77+AS79+AS78</f>
        <v>0</v>
      </c>
      <c r="AT82" s="479">
        <f t="shared" ref="AT82:AU82" si="192">AT75+AT76+AT77+AT79+AT78</f>
        <v>274501.55872015096</v>
      </c>
      <c r="AU82" s="469">
        <f t="shared" si="192"/>
        <v>274501.55872015096</v>
      </c>
      <c r="AV82" s="649" t="s">
        <v>582</v>
      </c>
      <c r="AW82" s="490"/>
      <c r="AX82" s="490"/>
      <c r="AZ82" s="479">
        <f t="shared" ref="AZ82:BA82" si="193">AZ75+AZ76+AZ77+AZ79+AZ78</f>
        <v>274501.55872015096</v>
      </c>
      <c r="BA82" s="450">
        <f t="shared" si="193"/>
        <v>0</v>
      </c>
      <c r="BB82" s="450">
        <f t="shared" ref="BB82" si="194">BB75+BB76+BB77+BB79+BB78</f>
        <v>0</v>
      </c>
      <c r="BC82" s="450">
        <f>BC75+BC76+BC77+BC79+BC78</f>
        <v>0</v>
      </c>
      <c r="BD82" s="450">
        <f>BD75+BD76+BD77+BD79+BD78</f>
        <v>0</v>
      </c>
      <c r="BE82" s="450">
        <f>BE75+BE76+BE77+BE79+BE78</f>
        <v>0</v>
      </c>
      <c r="BF82" s="450">
        <f>BF75+BF76+BF77+BF79+BF78</f>
        <v>0</v>
      </c>
      <c r="BG82" s="479">
        <f t="shared" ref="BG82:BI82" si="195">BG75+BG76+BG77+BG79+BG78</f>
        <v>274501.55872015096</v>
      </c>
      <c r="BH82" s="638">
        <f t="shared" si="195"/>
        <v>0</v>
      </c>
      <c r="BI82" s="566">
        <f t="shared" si="195"/>
        <v>274501.55872015096</v>
      </c>
      <c r="BJ82" s="479">
        <f>BJ75+BJ76+BJ77+BJ79+BJ78</f>
        <v>0</v>
      </c>
    </row>
    <row r="83" spans="1:64" ht="13.5" thickTop="1" thickBot="1">
      <c r="A83" s="186">
        <v>48</v>
      </c>
      <c r="B83" s="1" t="s">
        <v>497</v>
      </c>
      <c r="E83" s="7">
        <f>ROUND(E59/E82,4)</f>
        <v>5.6099999999999997E-2</v>
      </c>
      <c r="F83" s="331"/>
      <c r="G83" s="331"/>
      <c r="H83" s="331"/>
      <c r="I83" s="331"/>
      <c r="J83" s="331"/>
      <c r="K83" s="331"/>
      <c r="L83" s="331"/>
      <c r="M83" s="331"/>
      <c r="N83" s="331"/>
      <c r="O83" s="331"/>
      <c r="P83" s="331"/>
      <c r="Q83" s="331"/>
      <c r="R83" s="331"/>
      <c r="S83" s="331"/>
      <c r="T83" s="331"/>
      <c r="U83" s="331"/>
      <c r="V83" s="445"/>
      <c r="W83" s="445"/>
      <c r="X83" s="462"/>
      <c r="Y83" s="445"/>
      <c r="Z83" s="445"/>
      <c r="AA83" s="445"/>
      <c r="AB83" s="445"/>
      <c r="AC83" s="331"/>
      <c r="AD83" s="331"/>
      <c r="AE83" s="383"/>
      <c r="AF83" s="383"/>
      <c r="AG83" s="613"/>
      <c r="AH83" s="613"/>
      <c r="AI83" s="331"/>
      <c r="AJ83" s="783"/>
      <c r="AK83" s="604"/>
      <c r="AL83" s="604"/>
      <c r="AM83" s="604"/>
      <c r="AN83" s="331"/>
      <c r="AO83" s="445"/>
      <c r="AP83" s="445"/>
      <c r="AQ83" s="331"/>
      <c r="AR83" s="481"/>
      <c r="AS83" s="639"/>
      <c r="AT83" s="481">
        <f>ROUND(AT59/AT82,4)</f>
        <v>8.43E-2</v>
      </c>
      <c r="AU83" s="472">
        <f>ROUND(AU59/AU82,4)</f>
        <v>8.43E-2</v>
      </c>
      <c r="AV83" s="650" t="s">
        <v>583</v>
      </c>
      <c r="AW83" s="491"/>
      <c r="AX83" s="491"/>
      <c r="AZ83" s="472"/>
      <c r="BA83" s="604"/>
      <c r="BB83" s="604"/>
      <c r="BC83" s="445"/>
      <c r="BD83" s="445"/>
      <c r="BE83" s="604"/>
      <c r="BF83" s="604"/>
      <c r="BG83" s="481"/>
      <c r="BH83" s="639"/>
      <c r="BI83" s="568">
        <f>ROUND(BI59/BI82,4)</f>
        <v>8.43E-2</v>
      </c>
      <c r="BJ83" s="651" t="e">
        <f>ROUND(BJ59/BJ82,4)</f>
        <v>#DIV/0!</v>
      </c>
      <c r="BK83" s="652" t="s">
        <v>580</v>
      </c>
      <c r="BL83" s="421"/>
    </row>
    <row r="84" spans="1:64" ht="12.75" thickBot="1">
      <c r="A84" s="186">
        <v>50</v>
      </c>
      <c r="B84" s="1" t="s">
        <v>180</v>
      </c>
      <c r="E84" s="71">
        <f>E90</f>
        <v>6865.6159728259436</v>
      </c>
      <c r="F84" s="71">
        <f t="shared" ref="F84:AT84" si="196">F90</f>
        <v>5.0451368783699442</v>
      </c>
      <c r="G84" s="71">
        <f t="shared" si="196"/>
        <v>1.0483820239579487</v>
      </c>
      <c r="H84" s="71">
        <f t="shared" si="196"/>
        <v>285.35294184060405</v>
      </c>
      <c r="I84" s="71">
        <f t="shared" si="196"/>
        <v>14.677348335411283</v>
      </c>
      <c r="J84" s="71">
        <f t="shared" ref="J84" si="197">J90</f>
        <v>-197.09582050409435</v>
      </c>
      <c r="K84" s="71">
        <f t="shared" si="196"/>
        <v>-328.1435734988379</v>
      </c>
      <c r="L84" s="71">
        <f t="shared" si="196"/>
        <v>-12.580584287495386</v>
      </c>
      <c r="M84" s="71">
        <f t="shared" si="196"/>
        <v>242.17624753428615</v>
      </c>
      <c r="N84" s="71">
        <f t="shared" si="196"/>
        <v>-359.67567898865008</v>
      </c>
      <c r="O84" s="71">
        <f t="shared" si="196"/>
        <v>-9.4354382156215379</v>
      </c>
      <c r="P84" s="71">
        <f t="shared" si="196"/>
        <v>-5.2419101197897433</v>
      </c>
      <c r="Q84" s="71">
        <f>Q90</f>
        <v>-6.2902921437476929</v>
      </c>
      <c r="R84" s="71">
        <f>R90</f>
        <v>-1861.9264745493169</v>
      </c>
      <c r="S84" s="71">
        <f>S90</f>
        <v>0</v>
      </c>
      <c r="T84" s="71">
        <f>T90</f>
        <v>-333.12758164073404</v>
      </c>
      <c r="U84" s="71">
        <f>U90</f>
        <v>-330.96710862440267</v>
      </c>
      <c r="V84" s="71">
        <f t="shared" si="196"/>
        <v>-512.65880971543697</v>
      </c>
      <c r="W84" s="71">
        <f>W90</f>
        <v>-1577.8149460567126</v>
      </c>
      <c r="X84" s="71">
        <f t="shared" si="196"/>
        <v>1878.9578110937236</v>
      </c>
      <c r="Y84" s="71">
        <f t="shared" si="196"/>
        <v>413.1904179495906</v>
      </c>
      <c r="Z84" s="71">
        <f t="shared" si="196"/>
        <v>-13.628966311453331</v>
      </c>
      <c r="AA84" s="71">
        <f t="shared" si="196"/>
        <v>361.47478318653299</v>
      </c>
      <c r="AB84" s="71">
        <f>AB90</f>
        <v>109.03173049162665</v>
      </c>
      <c r="AC84" s="71">
        <f t="shared" ref="AC84" si="198">AC90</f>
        <v>205.48287669575794</v>
      </c>
      <c r="AD84" s="71">
        <f>AD90</f>
        <v>-12906.631096946307</v>
      </c>
      <c r="AE84" s="413">
        <f t="shared" ref="AE84" si="199">AE90</f>
        <v>247.41815765407588</v>
      </c>
      <c r="AF84" s="413">
        <f>AF90</f>
        <v>2709.0191499073389</v>
      </c>
      <c r="AG84" s="71">
        <f>AG90</f>
        <v>1219.980161386316</v>
      </c>
      <c r="AH84" s="71">
        <f>AH90</f>
        <v>592.93547292216988</v>
      </c>
      <c r="AI84" s="71">
        <f>AI90</f>
        <v>-58.709393341645132</v>
      </c>
      <c r="AJ84" s="459">
        <f t="shared" si="196"/>
        <v>-5241.4788953122616</v>
      </c>
      <c r="AK84" s="71">
        <f t="shared" si="196"/>
        <v>0</v>
      </c>
      <c r="AL84" s="71">
        <f t="shared" ref="AL84:AN84" si="200">AL90</f>
        <v>0</v>
      </c>
      <c r="AM84" s="71">
        <f>AM90</f>
        <v>0</v>
      </c>
      <c r="AN84" s="71">
        <f t="shared" si="200"/>
        <v>0</v>
      </c>
      <c r="AO84" s="71">
        <f>AO90</f>
        <v>0</v>
      </c>
      <c r="AP84" s="71">
        <f>AP90</f>
        <v>0</v>
      </c>
      <c r="AQ84" s="71">
        <f t="shared" ref="AQ84" si="201">AQ90</f>
        <v>0</v>
      </c>
      <c r="AR84" s="482">
        <f>AR90</f>
        <v>-5241.4788953122616</v>
      </c>
      <c r="AS84" s="630">
        <f>AS90</f>
        <v>0</v>
      </c>
      <c r="AT84" s="482">
        <f t="shared" si="196"/>
        <v>-5241.4788953122616</v>
      </c>
      <c r="AU84" s="485">
        <f>AU90</f>
        <v>-5241.4788953122616</v>
      </c>
      <c r="AV84" s="648">
        <f>AU84-AJ84</f>
        <v>0</v>
      </c>
      <c r="AZ84" s="485">
        <f t="shared" ref="AZ84:BA84" si="202">AZ90</f>
        <v>-5241.4788953122616</v>
      </c>
      <c r="BA84" s="71">
        <f t="shared" si="202"/>
        <v>0</v>
      </c>
      <c r="BB84" s="71">
        <f t="shared" ref="BB84" si="203">BB90</f>
        <v>0</v>
      </c>
      <c r="BC84" s="71">
        <f>BC90</f>
        <v>0</v>
      </c>
      <c r="BD84" s="71">
        <f>BD90</f>
        <v>0</v>
      </c>
      <c r="BE84" s="71">
        <f>BE90</f>
        <v>0</v>
      </c>
      <c r="BF84" s="71">
        <f>BF90</f>
        <v>0</v>
      </c>
      <c r="BG84" s="482">
        <f t="shared" ref="BG84" si="204">BG90</f>
        <v>-5241.4788953122616</v>
      </c>
      <c r="BH84" s="630">
        <f>BH90</f>
        <v>0</v>
      </c>
      <c r="BI84" s="485">
        <f t="shared" ref="BI84" si="205">BI90</f>
        <v>-5241.4788953122616</v>
      </c>
      <c r="BJ84" s="485">
        <f>BJ90-1</f>
        <v>-1</v>
      </c>
      <c r="BK84" s="653" t="s">
        <v>581</v>
      </c>
      <c r="BL84" s="645"/>
    </row>
    <row r="85" spans="1:64" ht="8.25" customHeight="1">
      <c r="E85" s="331"/>
      <c r="F85" s="331"/>
      <c r="G85" s="331"/>
      <c r="H85" s="331"/>
      <c r="I85" s="331"/>
      <c r="J85" s="331"/>
      <c r="K85" s="331"/>
      <c r="L85" s="331"/>
      <c r="M85" s="331"/>
      <c r="N85" s="331"/>
      <c r="O85" s="331"/>
      <c r="P85" s="331"/>
      <c r="Q85" s="331"/>
      <c r="R85" s="331"/>
      <c r="S85" s="331"/>
      <c r="T85" s="331"/>
      <c r="U85" s="331"/>
      <c r="V85" s="445"/>
      <c r="W85" s="445"/>
      <c r="X85" s="445"/>
      <c r="Y85" s="445"/>
      <c r="Z85" s="445"/>
      <c r="AA85" s="445"/>
      <c r="AB85" s="445"/>
      <c r="AC85" s="331"/>
      <c r="AD85" s="331"/>
      <c r="AE85" s="383"/>
      <c r="AF85" s="383"/>
      <c r="AG85" s="383"/>
      <c r="AH85" s="383"/>
      <c r="AI85" s="331"/>
      <c r="AJ85" s="445"/>
      <c r="AK85" s="383"/>
      <c r="AL85" s="383"/>
      <c r="AM85" s="383"/>
      <c r="AN85" s="331"/>
      <c r="AO85" s="445"/>
      <c r="AP85" s="445"/>
      <c r="AQ85" s="331"/>
      <c r="AR85" s="445"/>
      <c r="AS85" s="383"/>
      <c r="AT85" s="445"/>
      <c r="AU85" s="445"/>
      <c r="AV85" s="552"/>
      <c r="AW85" s="486"/>
      <c r="AX85" s="486"/>
      <c r="AZ85" s="445"/>
      <c r="BA85" s="383"/>
      <c r="BB85" s="383"/>
      <c r="BC85" s="445"/>
      <c r="BD85" s="445"/>
      <c r="BE85" s="383"/>
      <c r="BF85" s="383"/>
      <c r="BG85" s="445"/>
      <c r="BH85" s="383"/>
      <c r="BI85" s="445"/>
      <c r="BJ85" s="445"/>
    </row>
    <row r="86" spans="1:64" s="455" customFormat="1" ht="16.5" customHeight="1">
      <c r="A86" s="454"/>
      <c r="D86" s="456" t="s">
        <v>453</v>
      </c>
      <c r="E86" s="524">
        <f>'Exh. No. BGM-6 -5'!N17</f>
        <v>7.2500000000000009E-2</v>
      </c>
      <c r="F86" s="383"/>
      <c r="G86" s="383"/>
      <c r="H86" s="383"/>
      <c r="I86" s="383"/>
      <c r="J86" s="383"/>
      <c r="K86" s="383"/>
      <c r="L86" s="383"/>
      <c r="M86" s="383"/>
      <c r="N86" s="383"/>
      <c r="O86" s="383"/>
      <c r="P86" s="383"/>
      <c r="Q86" s="383"/>
      <c r="R86" s="383"/>
      <c r="S86" s="383"/>
      <c r="T86" s="383"/>
      <c r="U86" s="383"/>
      <c r="V86" s="457"/>
      <c r="W86" s="457"/>
      <c r="X86" s="457"/>
      <c r="Y86" s="457"/>
      <c r="Z86" s="457"/>
      <c r="AA86" s="457"/>
      <c r="AB86" s="457"/>
      <c r="AC86" s="383"/>
      <c r="AD86" s="383"/>
      <c r="AE86" s="383"/>
      <c r="AF86" s="383"/>
      <c r="AG86" s="383"/>
      <c r="AH86" s="383"/>
      <c r="AI86" s="383"/>
      <c r="AJ86" s="457"/>
      <c r="AK86" s="383"/>
      <c r="AL86" s="383"/>
      <c r="AM86" s="383"/>
      <c r="AN86" s="383"/>
      <c r="AO86" s="457"/>
      <c r="AP86" s="457"/>
      <c r="AQ86" s="383"/>
      <c r="AR86" s="457"/>
      <c r="AS86" s="383"/>
      <c r="AT86" s="457"/>
      <c r="AU86" s="457"/>
      <c r="AV86" s="552"/>
      <c r="AW86" s="486"/>
      <c r="AX86" s="486"/>
      <c r="AZ86" s="457"/>
      <c r="BA86" s="383"/>
      <c r="BB86" s="383"/>
      <c r="BC86" s="457"/>
      <c r="BD86" s="457"/>
      <c r="BE86" s="383"/>
      <c r="BF86" s="826" t="s">
        <v>605</v>
      </c>
      <c r="BG86" s="826"/>
      <c r="BH86" s="826"/>
      <c r="BI86" s="826"/>
      <c r="BJ86" s="826"/>
      <c r="BK86" s="826"/>
    </row>
    <row r="87" spans="1:64" s="455" customFormat="1" ht="17.25" customHeight="1">
      <c r="A87" s="366"/>
      <c r="D87" s="456" t="s">
        <v>157</v>
      </c>
      <c r="E87" s="642">
        <f>'Exh. No. BGM-6 -5'!F22</f>
        <v>0.62000299999999997</v>
      </c>
      <c r="F87" s="383"/>
      <c r="G87" s="383"/>
      <c r="H87" s="383"/>
      <c r="I87" s="383"/>
      <c r="J87" s="383"/>
      <c r="K87" s="383"/>
      <c r="L87" s="383"/>
      <c r="M87" s="383"/>
      <c r="N87" s="383"/>
      <c r="O87" s="383"/>
      <c r="P87" s="383"/>
      <c r="Q87" s="383"/>
      <c r="R87" s="383"/>
      <c r="S87" s="383"/>
      <c r="T87" s="383"/>
      <c r="U87" s="383"/>
      <c r="V87" s="457"/>
      <c r="W87" s="457"/>
      <c r="X87" s="457"/>
      <c r="Y87" s="457"/>
      <c r="Z87" s="457"/>
      <c r="AA87" s="457"/>
      <c r="AB87" s="457"/>
      <c r="AC87" s="383"/>
      <c r="AD87" s="383"/>
      <c r="AE87" s="383"/>
      <c r="AF87" s="383"/>
      <c r="AG87" s="383"/>
      <c r="AH87" s="383"/>
      <c r="AI87" s="383"/>
      <c r="AJ87" s="457"/>
      <c r="AK87" s="383"/>
      <c r="AL87" s="383"/>
      <c r="AM87" s="383"/>
      <c r="AN87" s="383"/>
      <c r="AO87" s="457"/>
      <c r="AP87" s="457"/>
      <c r="AQ87" s="383"/>
      <c r="AR87" s="457"/>
      <c r="AS87" s="383"/>
      <c r="AT87" s="457"/>
      <c r="AU87" s="457"/>
      <c r="AV87" s="552"/>
      <c r="AW87" s="486"/>
      <c r="AX87" s="486"/>
      <c r="AZ87" s="457"/>
      <c r="BA87" s="383"/>
      <c r="BB87" s="383"/>
      <c r="BC87" s="457"/>
      <c r="BD87" s="457"/>
      <c r="BE87" s="383"/>
      <c r="BF87" s="826"/>
      <c r="BG87" s="826"/>
      <c r="BH87" s="826"/>
      <c r="BI87" s="826"/>
      <c r="BJ87" s="826"/>
      <c r="BK87" s="826"/>
    </row>
    <row r="88" spans="1:64" s="455" customFormat="1" ht="23.25" customHeight="1">
      <c r="A88" s="366"/>
      <c r="D88" s="456"/>
      <c r="E88" s="258"/>
      <c r="F88" s="383"/>
      <c r="G88" s="383"/>
      <c r="H88" s="383"/>
      <c r="I88" s="383"/>
      <c r="J88" s="383"/>
      <c r="K88" s="383"/>
      <c r="L88" s="383"/>
      <c r="M88" s="383"/>
      <c r="N88" s="383"/>
      <c r="O88" s="383"/>
      <c r="P88" s="383"/>
      <c r="Q88" s="383"/>
      <c r="R88" s="383"/>
      <c r="S88" s="383"/>
      <c r="T88" s="383"/>
      <c r="U88" s="383"/>
      <c r="V88" s="457"/>
      <c r="W88" s="457"/>
      <c r="X88" s="457"/>
      <c r="Y88" s="457"/>
      <c r="Z88" s="457"/>
      <c r="AA88" s="457"/>
      <c r="AB88" s="457"/>
      <c r="AC88" s="383"/>
      <c r="AD88" s="383"/>
      <c r="AE88" s="383"/>
      <c r="AF88" s="383"/>
      <c r="AG88" s="383"/>
      <c r="AH88" s="383"/>
      <c r="AI88" s="383"/>
      <c r="AJ88" s="457"/>
      <c r="AK88" s="383"/>
      <c r="AL88" s="383"/>
      <c r="AM88" s="383"/>
      <c r="AN88" s="383"/>
      <c r="AO88" s="457"/>
      <c r="AP88" s="457"/>
      <c r="AQ88" s="383"/>
      <c r="AR88" s="457"/>
      <c r="AS88" s="383"/>
      <c r="AT88" s="457"/>
      <c r="AU88" s="457"/>
      <c r="AV88" s="552"/>
      <c r="AW88" s="486"/>
      <c r="AX88" s="486"/>
      <c r="AZ88" s="457"/>
      <c r="BA88" s="383"/>
      <c r="BB88" s="383"/>
      <c r="BC88" s="457"/>
      <c r="BD88" s="457"/>
      <c r="BE88" s="383"/>
      <c r="BF88" s="383"/>
      <c r="BG88" s="457"/>
      <c r="BH88" s="383"/>
      <c r="BI88" s="457"/>
      <c r="BJ88" s="457"/>
    </row>
    <row r="89" spans="1:64" s="455" customFormat="1" ht="29.25" customHeight="1">
      <c r="A89" s="366"/>
      <c r="D89" s="456" t="s">
        <v>171</v>
      </c>
      <c r="E89" s="258">
        <f>E82*$E$86-E59</f>
        <v>4256.7025000000031</v>
      </c>
      <c r="F89" s="258">
        <f>F82*$E$86-F59</f>
        <v>3.1280000000000006</v>
      </c>
      <c r="G89" s="258">
        <f>G82*$E$86-G59</f>
        <v>0.65</v>
      </c>
      <c r="H89" s="258">
        <f>H82*$E$86-H59</f>
        <v>176.91968000000003</v>
      </c>
      <c r="I89" s="258">
        <f t="shared" ref="I89:P89" si="206">I82*$E$86-I59</f>
        <v>9.1000000000000014</v>
      </c>
      <c r="J89" s="258">
        <f>J82*$E$86-J59</f>
        <v>-122.2</v>
      </c>
      <c r="K89" s="258">
        <f t="shared" si="206"/>
        <v>-203.45</v>
      </c>
      <c r="L89" s="258">
        <f t="shared" si="206"/>
        <v>-7.8000000000000007</v>
      </c>
      <c r="M89" s="258">
        <f t="shared" si="206"/>
        <v>150.15</v>
      </c>
      <c r="N89" s="258">
        <f t="shared" si="206"/>
        <v>-223</v>
      </c>
      <c r="O89" s="258">
        <f t="shared" si="206"/>
        <v>-5.85</v>
      </c>
      <c r="P89" s="258">
        <f t="shared" si="206"/>
        <v>-3.25</v>
      </c>
      <c r="Q89" s="258">
        <f t="shared" ref="Q89:V89" si="207">Q82*$E$86-Q59</f>
        <v>-3.9000000000000004</v>
      </c>
      <c r="R89" s="258">
        <f t="shared" si="207"/>
        <v>-1154.4000000000001</v>
      </c>
      <c r="S89" s="258">
        <f t="shared" ref="S89" si="208">S82*$E$86-S59</f>
        <v>0</v>
      </c>
      <c r="T89" s="258">
        <f>T82*$E$86-T59</f>
        <v>-206.54010000000002</v>
      </c>
      <c r="U89" s="258">
        <f>U82*$E$86-U59</f>
        <v>-205.20060024845552</v>
      </c>
      <c r="V89" s="258">
        <f t="shared" si="207"/>
        <v>-317.85000000000002</v>
      </c>
      <c r="W89" s="258">
        <f>W82*$E$86-W59</f>
        <v>-978.25</v>
      </c>
      <c r="X89" s="258">
        <f t="shared" ref="X89" si="209">X82*$E$86-X59</f>
        <v>1164.9594797515419</v>
      </c>
      <c r="Y89" s="258">
        <f t="shared" ref="Y89:Z89" si="210">Y82*$E$86-Y59</f>
        <v>256.1792987</v>
      </c>
      <c r="Z89" s="258">
        <f t="shared" si="210"/>
        <v>-8.4499999999999993</v>
      </c>
      <c r="AA89" s="258">
        <f t="shared" ref="AA89:AK89" si="211">AA82*$E$86-AA59</f>
        <v>224.11545000000001</v>
      </c>
      <c r="AB89" s="258">
        <f>AB82*$E$86-AB59</f>
        <v>67.599999999999994</v>
      </c>
      <c r="AC89" s="258">
        <f t="shared" si="211"/>
        <v>127.4</v>
      </c>
      <c r="AD89" s="258">
        <f>AD82*$E$86-AD59</f>
        <v>-8002.1500000000005</v>
      </c>
      <c r="AE89" s="258">
        <f t="shared" ref="AE89" si="212">AE82*$E$86-AE59</f>
        <v>153.4</v>
      </c>
      <c r="AF89" s="258">
        <f>AF82*$E$86-AF59</f>
        <v>1679.6</v>
      </c>
      <c r="AG89" s="258">
        <f>AG82*$E$86-AG59</f>
        <v>756.39136000000008</v>
      </c>
      <c r="AH89" s="258">
        <f>AH82*$E$86-AH59</f>
        <v>367.62177201816405</v>
      </c>
      <c r="AI89" s="258">
        <f>AI82*$E$86-AI59</f>
        <v>-36.400000000000006</v>
      </c>
      <c r="AJ89" s="458">
        <f t="shared" si="211"/>
        <v>-3249.732639530288</v>
      </c>
      <c r="AK89" s="258">
        <f t="shared" si="211"/>
        <v>0</v>
      </c>
      <c r="AL89" s="258">
        <f t="shared" ref="AL89:AR89" si="213">AL82*$E$86-AL59</f>
        <v>0</v>
      </c>
      <c r="AM89" s="258">
        <f>AM82*$E$86-AM59</f>
        <v>0</v>
      </c>
      <c r="AN89" s="258">
        <f t="shared" si="213"/>
        <v>0</v>
      </c>
      <c r="AO89" s="258">
        <f>AO82*$E$86-AO59</f>
        <v>0</v>
      </c>
      <c r="AP89" s="258">
        <f>AP82*$E$86-AP59</f>
        <v>0</v>
      </c>
      <c r="AQ89" s="258">
        <f t="shared" ref="AQ89" si="214">AQ82*$E$86-AQ59</f>
        <v>0</v>
      </c>
      <c r="AR89" s="458">
        <f t="shared" si="213"/>
        <v>-3249.732639530288</v>
      </c>
      <c r="AS89" s="258">
        <f t="shared" ref="AS89" si="215">AS82*$E$86-AS59</f>
        <v>0</v>
      </c>
      <c r="AT89" s="458">
        <f t="shared" ref="AT89:AU89" si="216">AT82*$E$86-AT59</f>
        <v>-3249.732639530288</v>
      </c>
      <c r="AU89" s="458">
        <f t="shared" si="216"/>
        <v>-3249.732639530288</v>
      </c>
      <c r="AV89" s="554"/>
      <c r="AW89" s="487"/>
      <c r="AX89" s="487"/>
      <c r="AZ89" s="458">
        <f t="shared" ref="AZ89:BA89" si="217">AZ82*$E$86-AZ59</f>
        <v>-3249.732639530288</v>
      </c>
      <c r="BA89" s="258">
        <f t="shared" si="217"/>
        <v>0</v>
      </c>
      <c r="BB89" s="258">
        <f t="shared" ref="BB89" si="218">BB82*$E$86-BB59</f>
        <v>0</v>
      </c>
      <c r="BC89" s="258">
        <f>BC82*$E$86-BC59</f>
        <v>0</v>
      </c>
      <c r="BD89" s="258">
        <f>BD82*$E$86-BD59</f>
        <v>0</v>
      </c>
      <c r="BE89" s="258">
        <f>BE82*$E$86-BE59</f>
        <v>0</v>
      </c>
      <c r="BF89" s="258">
        <f>BF82*$E$86-BF59</f>
        <v>0</v>
      </c>
      <c r="BG89" s="458">
        <f t="shared" ref="BG89:BJ89" si="219">BG82*$E$86-BG59</f>
        <v>-3249.732639530288</v>
      </c>
      <c r="BH89" s="258">
        <f t="shared" si="219"/>
        <v>0</v>
      </c>
      <c r="BI89" s="458">
        <f t="shared" si="219"/>
        <v>-3249.732639530288</v>
      </c>
      <c r="BJ89" s="458">
        <f t="shared" si="219"/>
        <v>0</v>
      </c>
    </row>
    <row r="90" spans="1:64" s="455" customFormat="1">
      <c r="A90" s="366"/>
      <c r="D90" s="456" t="s">
        <v>149</v>
      </c>
      <c r="E90" s="258">
        <f t="shared" ref="E90:H90" si="220">E89/$E$87</f>
        <v>6865.6159728259436</v>
      </c>
      <c r="F90" s="258">
        <f t="shared" si="220"/>
        <v>5.0451368783699442</v>
      </c>
      <c r="G90" s="258">
        <f t="shared" si="220"/>
        <v>1.0483820239579487</v>
      </c>
      <c r="H90" s="258">
        <f t="shared" si="220"/>
        <v>285.35294184060405</v>
      </c>
      <c r="I90" s="258">
        <f t="shared" ref="I90:P90" si="221">I89/$E$87</f>
        <v>14.677348335411283</v>
      </c>
      <c r="J90" s="258">
        <f>J89/$E$87</f>
        <v>-197.09582050409435</v>
      </c>
      <c r="K90" s="258">
        <f t="shared" si="221"/>
        <v>-328.1435734988379</v>
      </c>
      <c r="L90" s="258">
        <f t="shared" si="221"/>
        <v>-12.580584287495386</v>
      </c>
      <c r="M90" s="258">
        <f t="shared" si="221"/>
        <v>242.17624753428615</v>
      </c>
      <c r="N90" s="258">
        <f t="shared" si="221"/>
        <v>-359.67567898865008</v>
      </c>
      <c r="O90" s="258">
        <f t="shared" si="221"/>
        <v>-9.4354382156215379</v>
      </c>
      <c r="P90" s="258">
        <f t="shared" si="221"/>
        <v>-5.2419101197897433</v>
      </c>
      <c r="Q90" s="258">
        <f t="shared" ref="Q90:V90" si="222">Q89/$E$87</f>
        <v>-6.2902921437476929</v>
      </c>
      <c r="R90" s="258">
        <f t="shared" si="222"/>
        <v>-1861.9264745493169</v>
      </c>
      <c r="S90" s="258">
        <f t="shared" ref="S90" si="223">S89/$E$87</f>
        <v>0</v>
      </c>
      <c r="T90" s="258">
        <f>T89/$E$87</f>
        <v>-333.12758164073404</v>
      </c>
      <c r="U90" s="258">
        <f>U89/$E$87</f>
        <v>-330.96710862440267</v>
      </c>
      <c r="V90" s="258">
        <f t="shared" si="222"/>
        <v>-512.65880971543697</v>
      </c>
      <c r="W90" s="258">
        <f>W89/$E$87</f>
        <v>-1577.8149460567126</v>
      </c>
      <c r="X90" s="258">
        <f t="shared" ref="X90" si="224">X89/$E$87</f>
        <v>1878.9578110937236</v>
      </c>
      <c r="Y90" s="258">
        <f t="shared" ref="Y90:Z90" si="225">Y89/$E$87</f>
        <v>413.1904179495906</v>
      </c>
      <c r="Z90" s="258">
        <f t="shared" si="225"/>
        <v>-13.628966311453331</v>
      </c>
      <c r="AA90" s="258">
        <f t="shared" ref="AA90:AK90" si="226">AA89/$E$87</f>
        <v>361.47478318653299</v>
      </c>
      <c r="AB90" s="258">
        <f>AB89/$E$87</f>
        <v>109.03173049162665</v>
      </c>
      <c r="AC90" s="258">
        <f t="shared" si="226"/>
        <v>205.48287669575794</v>
      </c>
      <c r="AD90" s="258">
        <f>AD89/$E$87</f>
        <v>-12906.631096946307</v>
      </c>
      <c r="AE90" s="258">
        <f t="shared" ref="AE90" si="227">AE89/$E$87</f>
        <v>247.41815765407588</v>
      </c>
      <c r="AF90" s="258">
        <f>AF89/$E$87</f>
        <v>2709.0191499073389</v>
      </c>
      <c r="AG90" s="258">
        <f>AG89/$E$87</f>
        <v>1219.980161386316</v>
      </c>
      <c r="AH90" s="258">
        <f>AH89/$E$87</f>
        <v>592.93547292216988</v>
      </c>
      <c r="AI90" s="258">
        <f>AI89/$E$87</f>
        <v>-58.709393341645132</v>
      </c>
      <c r="AJ90" s="458">
        <f t="shared" si="226"/>
        <v>-5241.4788953122616</v>
      </c>
      <c r="AK90" s="258">
        <f t="shared" si="226"/>
        <v>0</v>
      </c>
      <c r="AL90" s="258">
        <f t="shared" ref="AL90:AR90" si="228">AL89/$E$87</f>
        <v>0</v>
      </c>
      <c r="AM90" s="258">
        <f>AM89/$E$87</f>
        <v>0</v>
      </c>
      <c r="AN90" s="258">
        <f t="shared" si="228"/>
        <v>0</v>
      </c>
      <c r="AO90" s="258">
        <f>AO89/$E$87</f>
        <v>0</v>
      </c>
      <c r="AP90" s="258">
        <f>AP89/$E$87</f>
        <v>0</v>
      </c>
      <c r="AQ90" s="258">
        <f t="shared" ref="AQ90" si="229">AQ89/$E$87</f>
        <v>0</v>
      </c>
      <c r="AR90" s="458">
        <f t="shared" si="228"/>
        <v>-5241.4788953122616</v>
      </c>
      <c r="AS90" s="258">
        <f t="shared" ref="AS90" si="230">AS89/$E$87</f>
        <v>0</v>
      </c>
      <c r="AT90" s="458">
        <f t="shared" ref="AT90:AU90" si="231">AT89/$E$87</f>
        <v>-5241.4788953122616</v>
      </c>
      <c r="AU90" s="458">
        <f t="shared" si="231"/>
        <v>-5241.4788953122616</v>
      </c>
      <c r="AV90" s="554"/>
      <c r="AW90" s="487"/>
      <c r="AX90" s="487"/>
      <c r="AZ90" s="458">
        <f t="shared" ref="AZ90:BA90" si="232">AZ89/$E$87</f>
        <v>-5241.4788953122616</v>
      </c>
      <c r="BA90" s="258">
        <f t="shared" si="232"/>
        <v>0</v>
      </c>
      <c r="BB90" s="258">
        <f t="shared" ref="BB90" si="233">BB89/$E$87</f>
        <v>0</v>
      </c>
      <c r="BC90" s="258">
        <f>BC89/$E$87</f>
        <v>0</v>
      </c>
      <c r="BD90" s="258">
        <f>BD89/$E$87</f>
        <v>0</v>
      </c>
      <c r="BE90" s="258">
        <f>BE89/$E$87</f>
        <v>0</v>
      </c>
      <c r="BF90" s="258">
        <f>BF89/$E$87</f>
        <v>0</v>
      </c>
      <c r="BG90" s="458">
        <f t="shared" ref="BG90:BJ90" si="234">BG89/$E$87</f>
        <v>-5241.4788953122616</v>
      </c>
      <c r="BH90" s="258">
        <f t="shared" si="234"/>
        <v>0</v>
      </c>
      <c r="BI90" s="458">
        <f t="shared" si="234"/>
        <v>-5241.4788953122616</v>
      </c>
      <c r="BJ90" s="458">
        <f t="shared" si="234"/>
        <v>0</v>
      </c>
    </row>
    <row r="91" spans="1:64" s="455" customFormat="1">
      <c r="A91" s="366"/>
      <c r="D91" s="456"/>
      <c r="E91" s="511"/>
      <c r="F91" s="511"/>
      <c r="G91" s="511"/>
      <c r="H91" s="511"/>
      <c r="I91" s="511"/>
      <c r="J91" s="511"/>
      <c r="K91" s="511"/>
      <c r="L91" s="511"/>
      <c r="M91" s="511"/>
      <c r="N91" s="511"/>
      <c r="O91" s="511"/>
      <c r="P91" s="511"/>
      <c r="Q91" s="511"/>
      <c r="R91" s="511"/>
      <c r="S91" s="511"/>
      <c r="T91" s="511"/>
      <c r="U91" s="511"/>
      <c r="V91" s="511"/>
      <c r="W91" s="511"/>
      <c r="X91" s="459"/>
      <c r="Y91" s="511"/>
      <c r="Z91" s="511"/>
      <c r="AA91" s="511"/>
      <c r="AB91" s="511"/>
      <c r="AC91" s="511"/>
      <c r="AD91" s="511"/>
      <c r="AE91" s="511"/>
      <c r="AF91" s="511"/>
      <c r="AG91" s="511"/>
      <c r="AH91" s="511"/>
      <c r="AI91" s="511"/>
      <c r="AJ91" s="460"/>
      <c r="AK91" s="511"/>
      <c r="AL91" s="511"/>
      <c r="AM91" s="511"/>
      <c r="AN91" s="511"/>
      <c r="AO91" s="511"/>
      <c r="AP91" s="511"/>
      <c r="AQ91" s="511"/>
      <c r="AR91" s="460"/>
      <c r="AS91" s="511"/>
      <c r="AT91" s="460"/>
      <c r="AU91" s="460"/>
      <c r="AV91" s="555"/>
      <c r="AW91" s="488"/>
      <c r="AX91" s="488"/>
      <c r="AZ91" s="460"/>
      <c r="BA91" s="511"/>
      <c r="BB91" s="511"/>
      <c r="BC91" s="511"/>
      <c r="BD91" s="511"/>
      <c r="BE91" s="511"/>
      <c r="BF91" s="511"/>
      <c r="BG91" s="460"/>
      <c r="BH91" s="511"/>
      <c r="BI91" s="460"/>
      <c r="BJ91" s="460"/>
    </row>
    <row r="92" spans="1:64" s="455" customFormat="1">
      <c r="A92" s="454"/>
      <c r="D92" s="456"/>
      <c r="E92" s="524"/>
      <c r="F92" s="511"/>
      <c r="G92" s="511"/>
      <c r="H92" s="511"/>
      <c r="I92" s="511"/>
      <c r="J92" s="511"/>
      <c r="K92" s="511"/>
      <c r="L92" s="511"/>
      <c r="M92" s="511"/>
      <c r="N92" s="511"/>
      <c r="O92" s="511"/>
      <c r="P92" s="511"/>
      <c r="Q92" s="511"/>
      <c r="R92" s="511"/>
      <c r="S92" s="511"/>
      <c r="T92" s="511"/>
      <c r="U92" s="511"/>
      <c r="V92" s="511"/>
      <c r="W92" s="511"/>
      <c r="X92" s="459"/>
      <c r="Y92" s="511"/>
      <c r="Z92" s="511"/>
      <c r="AA92" s="511"/>
      <c r="AB92" s="511"/>
      <c r="AC92" s="511"/>
      <c r="AD92" s="511"/>
      <c r="AE92" s="511"/>
      <c r="AF92" s="511"/>
      <c r="AG92" s="511"/>
      <c r="AH92" s="511"/>
      <c r="AI92" s="511"/>
      <c r="AJ92" s="460"/>
      <c r="AK92" s="511"/>
      <c r="AL92" s="511"/>
      <c r="AM92" s="511"/>
      <c r="AN92" s="511"/>
      <c r="AO92" s="511"/>
      <c r="AP92" s="511"/>
      <c r="AQ92" s="511"/>
      <c r="AR92" s="460"/>
      <c r="AS92" s="511"/>
      <c r="AT92" s="460"/>
      <c r="AU92" s="460"/>
      <c r="AV92" s="555"/>
      <c r="AW92" s="488"/>
      <c r="AX92" s="488"/>
      <c r="AZ92" s="460"/>
      <c r="BA92" s="511"/>
      <c r="BB92" s="511"/>
      <c r="BC92" s="511"/>
      <c r="BD92" s="511"/>
      <c r="BE92" s="511"/>
      <c r="BF92" s="511"/>
      <c r="BG92" s="460"/>
      <c r="BH92" s="511"/>
      <c r="BI92" s="460"/>
      <c r="BJ92" s="460"/>
    </row>
    <row r="93" spans="1:64" s="455" customFormat="1">
      <c r="A93" s="366"/>
      <c r="E93" s="511"/>
      <c r="F93" s="511"/>
      <c r="G93" s="511"/>
      <c r="H93" s="511"/>
      <c r="I93" s="511"/>
      <c r="J93" s="511"/>
      <c r="K93" s="511"/>
      <c r="L93" s="511"/>
      <c r="M93" s="511"/>
      <c r="N93" s="511"/>
      <c r="O93" s="511"/>
      <c r="P93" s="511"/>
      <c r="Q93" s="511"/>
      <c r="R93" s="511"/>
      <c r="S93" s="511"/>
      <c r="T93" s="511"/>
      <c r="U93" s="511"/>
      <c r="V93" s="511"/>
      <c r="W93" s="511"/>
      <c r="X93" s="459"/>
      <c r="Y93" s="511"/>
      <c r="Z93" s="511"/>
      <c r="AA93" s="511"/>
      <c r="AB93" s="511"/>
      <c r="AC93" s="511"/>
      <c r="AD93" s="511"/>
      <c r="AE93" s="511"/>
      <c r="AF93" s="511"/>
      <c r="AG93" s="511"/>
      <c r="AH93" s="511"/>
      <c r="AI93" s="511"/>
      <c r="AJ93" s="460"/>
      <c r="AK93" s="511"/>
      <c r="AL93" s="511"/>
      <c r="AM93" s="511"/>
      <c r="AN93" s="511"/>
      <c r="AO93" s="511"/>
      <c r="AP93" s="511"/>
      <c r="AQ93" s="511"/>
      <c r="AR93" s="460"/>
      <c r="AS93" s="511"/>
      <c r="AT93" s="460"/>
      <c r="AU93" s="460"/>
      <c r="AV93" s="555"/>
      <c r="AW93" s="488"/>
      <c r="AX93" s="488"/>
      <c r="AZ93" s="460"/>
      <c r="BA93" s="511"/>
      <c r="BB93" s="511"/>
      <c r="BC93" s="511"/>
      <c r="BD93" s="511"/>
      <c r="BE93" s="511"/>
      <c r="BF93" s="511"/>
      <c r="BG93" s="460"/>
      <c r="BH93" s="511"/>
      <c r="BI93" s="460"/>
      <c r="BJ93" s="460"/>
    </row>
    <row r="94" spans="1:64" s="455" customFormat="1">
      <c r="A94" s="366"/>
      <c r="D94" s="456"/>
      <c r="E94" s="511"/>
      <c r="F94" s="511"/>
      <c r="G94" s="511"/>
      <c r="H94" s="511"/>
      <c r="I94" s="511"/>
      <c r="J94" s="511"/>
      <c r="K94" s="511"/>
      <c r="L94" s="511"/>
      <c r="M94" s="511"/>
      <c r="N94" s="511"/>
      <c r="O94" s="511"/>
      <c r="P94" s="511"/>
      <c r="Q94" s="511"/>
      <c r="R94" s="511"/>
      <c r="S94" s="511"/>
      <c r="T94" s="511"/>
      <c r="U94" s="511"/>
      <c r="V94" s="511"/>
      <c r="W94" s="511"/>
      <c r="X94" s="459"/>
      <c r="Y94" s="511"/>
      <c r="Z94" s="511"/>
      <c r="AA94" s="511"/>
      <c r="AB94" s="511"/>
      <c r="AC94" s="511"/>
      <c r="AD94" s="511"/>
      <c r="AE94" s="511"/>
      <c r="AF94" s="511"/>
      <c r="AG94" s="511"/>
      <c r="AH94" s="511"/>
      <c r="AI94" s="511"/>
      <c r="AJ94" s="460"/>
      <c r="AK94" s="511"/>
      <c r="AL94" s="511"/>
      <c r="AM94" s="511"/>
      <c r="AN94" s="511"/>
      <c r="AO94" s="511"/>
      <c r="AP94" s="511"/>
      <c r="AQ94" s="511"/>
      <c r="AR94" s="460"/>
      <c r="AS94" s="511"/>
      <c r="AT94" s="460"/>
      <c r="AU94" s="460"/>
      <c r="AV94" s="555"/>
      <c r="AW94" s="488"/>
      <c r="AX94" s="488"/>
      <c r="AZ94" s="460"/>
      <c r="BA94" s="511"/>
      <c r="BB94" s="511"/>
      <c r="BC94" s="511"/>
      <c r="BD94" s="511"/>
      <c r="BE94" s="511"/>
      <c r="BF94" s="511"/>
      <c r="BG94" s="460"/>
      <c r="BH94" s="511"/>
      <c r="BI94" s="460"/>
      <c r="BJ94" s="460"/>
    </row>
    <row r="95" spans="1:64" s="581" customFormat="1">
      <c r="A95" s="578"/>
      <c r="D95" s="577"/>
      <c r="E95" s="576"/>
      <c r="F95" s="576"/>
      <c r="G95" s="576"/>
      <c r="H95" s="576"/>
      <c r="I95" s="576"/>
      <c r="J95" s="576"/>
      <c r="K95" s="576"/>
      <c r="L95" s="576"/>
      <c r="M95" s="576"/>
      <c r="N95" s="576"/>
      <c r="O95" s="576"/>
      <c r="P95" s="576"/>
      <c r="Q95" s="576"/>
      <c r="R95" s="576"/>
      <c r="S95" s="576"/>
      <c r="T95" s="576"/>
      <c r="U95" s="576"/>
      <c r="V95" s="576"/>
      <c r="W95" s="576"/>
      <c r="X95" s="489"/>
      <c r="Y95" s="576"/>
      <c r="Z95" s="576"/>
      <c r="AA95" s="576"/>
      <c r="AB95" s="576"/>
      <c r="AC95" s="576"/>
      <c r="AD95" s="576"/>
      <c r="AE95" s="576"/>
      <c r="AF95" s="576"/>
      <c r="AG95" s="614"/>
      <c r="AH95" s="614"/>
      <c r="AI95" s="576"/>
      <c r="AJ95" s="488"/>
      <c r="AK95" s="576"/>
      <c r="AL95" s="576"/>
      <c r="AM95" s="576"/>
      <c r="AN95" s="576"/>
      <c r="AO95" s="576"/>
      <c r="AP95" s="576"/>
      <c r="AQ95" s="576"/>
      <c r="AR95" s="488"/>
      <c r="AS95" s="576"/>
      <c r="AT95" s="488"/>
      <c r="AU95" s="488"/>
      <c r="AV95" s="555"/>
      <c r="AW95" s="488"/>
      <c r="AX95" s="488"/>
      <c r="AZ95" s="488"/>
      <c r="BA95" s="576"/>
      <c r="BB95" s="576"/>
      <c r="BC95" s="576"/>
      <c r="BD95" s="576"/>
      <c r="BE95" s="576"/>
      <c r="BF95" s="576"/>
      <c r="BG95" s="488"/>
      <c r="BH95" s="576"/>
      <c r="BI95" s="488"/>
      <c r="BJ95" s="488"/>
    </row>
    <row r="96" spans="1:64" s="581" customFormat="1">
      <c r="A96" s="578"/>
      <c r="D96" s="583"/>
      <c r="E96" s="576"/>
      <c r="F96" s="576"/>
      <c r="G96" s="576"/>
      <c r="H96" s="576"/>
      <c r="I96" s="576"/>
      <c r="J96" s="576"/>
      <c r="K96" s="576"/>
      <c r="L96" s="576"/>
      <c r="M96" s="576"/>
      <c r="N96" s="576"/>
      <c r="O96" s="576"/>
      <c r="P96" s="576"/>
      <c r="Q96" s="576"/>
      <c r="R96" s="576"/>
      <c r="S96" s="576"/>
      <c r="T96" s="576"/>
      <c r="U96" s="576"/>
      <c r="V96" s="576"/>
      <c r="W96" s="576"/>
      <c r="X96" s="489"/>
      <c r="Y96" s="576"/>
      <c r="Z96" s="576"/>
      <c r="AA96" s="576"/>
      <c r="AB96" s="576"/>
      <c r="AC96" s="576"/>
      <c r="AD96" s="576"/>
      <c r="AE96" s="576"/>
      <c r="AF96" s="576"/>
      <c r="AG96" s="576"/>
      <c r="AH96" s="576"/>
      <c r="AI96" s="576"/>
      <c r="AJ96" s="488"/>
      <c r="AK96" s="576"/>
      <c r="AL96" s="576"/>
      <c r="AM96" s="576"/>
      <c r="AN96" s="576"/>
      <c r="AO96" s="576"/>
      <c r="AP96" s="576"/>
      <c r="AQ96" s="576"/>
      <c r="AR96" s="488"/>
      <c r="AS96" s="576"/>
      <c r="AT96" s="488"/>
      <c r="AU96" s="488"/>
      <c r="AV96" s="555"/>
      <c r="AW96" s="488"/>
      <c r="AX96" s="488"/>
      <c r="AZ96" s="488"/>
      <c r="BA96" s="576"/>
      <c r="BB96" s="576"/>
      <c r="BC96" s="576"/>
      <c r="BD96" s="576"/>
      <c r="BE96" s="576"/>
      <c r="BF96" s="576"/>
      <c r="BG96" s="488"/>
      <c r="BH96" s="576"/>
      <c r="BI96" s="488"/>
      <c r="BJ96" s="488"/>
    </row>
    <row r="97" spans="1:62" s="581" customFormat="1">
      <c r="A97" s="578"/>
      <c r="E97" s="443"/>
      <c r="F97" s="443"/>
      <c r="G97" s="443"/>
      <c r="H97" s="443"/>
      <c r="I97" s="443"/>
      <c r="J97" s="443"/>
      <c r="K97" s="443"/>
      <c r="L97" s="443"/>
      <c r="M97" s="443"/>
      <c r="N97" s="443"/>
      <c r="O97" s="443"/>
      <c r="P97" s="443"/>
      <c r="Q97" s="443"/>
      <c r="R97" s="443"/>
      <c r="S97" s="443"/>
      <c r="T97" s="443"/>
      <c r="U97" s="443"/>
      <c r="V97" s="489"/>
      <c r="W97" s="489"/>
      <c r="X97" s="489"/>
      <c r="Y97" s="489"/>
      <c r="Z97" s="489"/>
      <c r="AA97" s="489"/>
      <c r="AB97" s="489"/>
      <c r="AC97" s="443"/>
      <c r="AD97" s="443"/>
      <c r="AE97" s="443"/>
      <c r="AF97" s="443"/>
      <c r="AG97" s="443"/>
      <c r="AH97" s="443"/>
      <c r="AI97" s="443"/>
      <c r="AJ97" s="580"/>
      <c r="AK97" s="443"/>
      <c r="AL97" s="443"/>
      <c r="AM97" s="443"/>
      <c r="AN97" s="443"/>
      <c r="AO97" s="489"/>
      <c r="AP97" s="489"/>
      <c r="AQ97" s="443"/>
      <c r="AR97" s="489"/>
      <c r="AS97" s="443"/>
      <c r="AT97" s="489"/>
      <c r="AU97" s="489"/>
      <c r="AV97" s="549"/>
      <c r="AW97" s="489"/>
      <c r="AX97" s="489"/>
      <c r="AZ97" s="580"/>
      <c r="BA97" s="443"/>
      <c r="BB97" s="443"/>
      <c r="BC97" s="489"/>
      <c r="BD97" s="489"/>
      <c r="BE97" s="443"/>
      <c r="BF97" s="443"/>
      <c r="BG97" s="489"/>
      <c r="BH97" s="443"/>
      <c r="BI97" s="489"/>
      <c r="BJ97" s="489"/>
    </row>
    <row r="98" spans="1:62" s="581" customFormat="1">
      <c r="A98" s="578"/>
      <c r="E98" s="443"/>
      <c r="F98" s="443"/>
      <c r="G98" s="443"/>
      <c r="H98" s="443"/>
      <c r="I98" s="443"/>
      <c r="J98" s="443"/>
      <c r="K98" s="443"/>
      <c r="L98" s="443"/>
      <c r="M98" s="443"/>
      <c r="N98" s="443"/>
      <c r="O98" s="443"/>
      <c r="P98" s="443"/>
      <c r="Q98" s="443"/>
      <c r="R98" s="443"/>
      <c r="S98" s="443"/>
      <c r="T98" s="443"/>
      <c r="U98" s="443"/>
      <c r="V98" s="489"/>
      <c r="W98" s="489"/>
      <c r="X98" s="489"/>
      <c r="Y98" s="489"/>
      <c r="Z98" s="489"/>
      <c r="AA98" s="489"/>
      <c r="AB98" s="489"/>
      <c r="AC98" s="443"/>
      <c r="AD98" s="443"/>
      <c r="AE98" s="443"/>
      <c r="AF98" s="443"/>
      <c r="AG98" s="443"/>
      <c r="AH98" s="443"/>
      <c r="AI98" s="443"/>
      <c r="AJ98" s="419"/>
      <c r="AK98" s="443"/>
      <c r="AL98" s="443"/>
      <c r="AM98" s="443"/>
      <c r="AN98" s="443"/>
      <c r="AO98" s="489"/>
      <c r="AP98" s="489"/>
      <c r="AQ98" s="443"/>
      <c r="AR98" s="489"/>
      <c r="AS98" s="443"/>
      <c r="AT98" s="489"/>
      <c r="AU98" s="489"/>
      <c r="AV98" s="549"/>
      <c r="AW98" s="489"/>
      <c r="AX98" s="489"/>
      <c r="AZ98" s="419"/>
      <c r="BA98" s="443"/>
      <c r="BB98" s="443"/>
      <c r="BC98" s="489"/>
      <c r="BD98" s="489"/>
      <c r="BE98" s="443"/>
      <c r="BF98" s="443"/>
      <c r="BG98" s="489"/>
      <c r="BH98" s="443"/>
      <c r="BI98" s="489"/>
      <c r="BJ98" s="489"/>
    </row>
    <row r="99" spans="1:62" s="449" customFormat="1">
      <c r="A99" s="5"/>
      <c r="E99" s="575"/>
      <c r="F99" s="575"/>
      <c r="G99" s="575"/>
      <c r="H99" s="575"/>
      <c r="I99" s="575"/>
      <c r="J99" s="575"/>
      <c r="K99" s="575"/>
      <c r="L99" s="575"/>
      <c r="M99" s="575"/>
      <c r="N99" s="575"/>
      <c r="O99" s="575"/>
      <c r="P99" s="575"/>
      <c r="Q99" s="575"/>
      <c r="R99" s="575"/>
      <c r="S99" s="575"/>
      <c r="T99" s="575"/>
      <c r="U99" s="575"/>
      <c r="V99" s="579"/>
      <c r="W99" s="579"/>
      <c r="X99" s="579"/>
      <c r="Y99" s="579"/>
      <c r="Z99" s="579"/>
      <c r="AA99" s="579"/>
      <c r="AB99" s="579"/>
      <c r="AC99" s="575"/>
      <c r="AD99" s="575"/>
      <c r="AE99" s="443"/>
      <c r="AF99" s="443"/>
      <c r="AG99" s="443"/>
      <c r="AH99" s="443"/>
      <c r="AI99" s="575"/>
      <c r="AJ99" s="419"/>
      <c r="AK99" s="443"/>
      <c r="AL99" s="443"/>
      <c r="AM99" s="443"/>
      <c r="AN99" s="575"/>
      <c r="AO99" s="579"/>
      <c r="AP99" s="579"/>
      <c r="AQ99" s="575"/>
      <c r="AR99" s="579"/>
      <c r="AS99" s="443"/>
      <c r="AT99" s="579"/>
      <c r="AU99" s="579"/>
      <c r="AV99" s="549"/>
      <c r="AW99" s="489"/>
      <c r="AX99" s="489"/>
      <c r="AZ99" s="419"/>
      <c r="BA99" s="443"/>
      <c r="BB99" s="443"/>
      <c r="BC99" s="579"/>
      <c r="BD99" s="579"/>
      <c r="BE99" s="443"/>
      <c r="BF99" s="443"/>
      <c r="BG99" s="579"/>
      <c r="BH99" s="443"/>
      <c r="BI99" s="579"/>
      <c r="BJ99" s="579"/>
    </row>
    <row r="100" spans="1:62" s="449" customFormat="1">
      <c r="A100" s="5"/>
      <c r="E100" s="575"/>
      <c r="F100" s="575"/>
      <c r="G100" s="575"/>
      <c r="H100" s="575"/>
      <c r="I100" s="575"/>
      <c r="J100" s="575"/>
      <c r="K100" s="575"/>
      <c r="L100" s="575"/>
      <c r="M100" s="575"/>
      <c r="N100" s="575"/>
      <c r="O100" s="575"/>
      <c r="P100" s="575"/>
      <c r="Q100" s="575"/>
      <c r="R100" s="575"/>
      <c r="S100" s="575"/>
      <c r="T100" s="575"/>
      <c r="U100" s="575"/>
      <c r="V100" s="579"/>
      <c r="W100" s="579"/>
      <c r="X100" s="579"/>
      <c r="Y100" s="579"/>
      <c r="Z100" s="579"/>
      <c r="AA100" s="579"/>
      <c r="AB100" s="579"/>
      <c r="AC100" s="575"/>
      <c r="AD100" s="575"/>
      <c r="AE100" s="443"/>
      <c r="AF100" s="443"/>
      <c r="AG100" s="443"/>
      <c r="AH100" s="443"/>
      <c r="AI100" s="575"/>
      <c r="AJ100" s="442"/>
      <c r="AK100" s="443"/>
      <c r="AL100" s="443"/>
      <c r="AM100" s="443"/>
      <c r="AN100" s="575"/>
      <c r="AO100" s="579"/>
      <c r="AP100" s="579"/>
      <c r="AQ100" s="575"/>
      <c r="AR100" s="579"/>
      <c r="AS100" s="443"/>
      <c r="AT100" s="579"/>
      <c r="AU100" s="579"/>
      <c r="AV100" s="549"/>
      <c r="AW100" s="489"/>
      <c r="AX100" s="489"/>
      <c r="AZ100" s="442"/>
      <c r="BA100" s="443"/>
      <c r="BB100" s="443"/>
      <c r="BC100" s="579"/>
      <c r="BD100" s="579"/>
      <c r="BE100" s="443"/>
      <c r="BF100" s="443"/>
      <c r="BG100" s="579"/>
      <c r="BH100" s="443"/>
      <c r="BI100" s="579"/>
      <c r="BJ100" s="579"/>
    </row>
    <row r="101" spans="1:62" s="449" customFormat="1">
      <c r="A101" s="5"/>
      <c r="E101" s="575"/>
      <c r="F101" s="575"/>
      <c r="G101" s="575"/>
      <c r="H101" s="575"/>
      <c r="I101" s="575"/>
      <c r="J101" s="575"/>
      <c r="K101" s="575"/>
      <c r="L101" s="575"/>
      <c r="M101" s="575"/>
      <c r="N101" s="575"/>
      <c r="O101" s="575"/>
      <c r="P101" s="575"/>
      <c r="Q101" s="575"/>
      <c r="R101" s="575"/>
      <c r="S101" s="575"/>
      <c r="T101" s="575"/>
      <c r="U101" s="575"/>
      <c r="V101" s="579"/>
      <c r="W101" s="579"/>
      <c r="X101" s="579"/>
      <c r="Y101" s="579"/>
      <c r="Z101" s="579"/>
      <c r="AA101" s="579"/>
      <c r="AB101" s="579"/>
      <c r="AC101" s="575"/>
      <c r="AD101" s="575"/>
      <c r="AE101" s="443"/>
      <c r="AF101" s="443"/>
      <c r="AG101" s="443"/>
      <c r="AH101" s="443"/>
      <c r="AI101" s="575"/>
      <c r="AJ101" s="419"/>
      <c r="AK101" s="443"/>
      <c r="AL101" s="443"/>
      <c r="AM101" s="443"/>
      <c r="AN101" s="575"/>
      <c r="AO101" s="579"/>
      <c r="AP101" s="579"/>
      <c r="AQ101" s="575"/>
      <c r="AR101" s="579"/>
      <c r="AS101" s="443"/>
      <c r="AT101" s="579"/>
      <c r="AU101" s="579"/>
      <c r="AV101" s="549"/>
      <c r="AW101" s="489"/>
      <c r="AX101" s="489"/>
      <c r="AZ101" s="419"/>
      <c r="BA101" s="443"/>
      <c r="BB101" s="443"/>
      <c r="BC101" s="579"/>
      <c r="BD101" s="579"/>
      <c r="BE101" s="443"/>
      <c r="BF101" s="443"/>
      <c r="BG101" s="579"/>
      <c r="BH101" s="443"/>
      <c r="BI101" s="579"/>
      <c r="BJ101" s="579"/>
    </row>
    <row r="102" spans="1:62">
      <c r="AK102" s="443"/>
      <c r="AY102" s="449"/>
      <c r="AZ102" s="579"/>
      <c r="BA102" s="443"/>
      <c r="BB102" s="443"/>
    </row>
    <row r="103" spans="1:62">
      <c r="AK103" s="443"/>
      <c r="AY103" s="449"/>
      <c r="AZ103" s="579"/>
      <c r="BA103" s="443"/>
      <c r="BB103" s="443"/>
    </row>
    <row r="104" spans="1:62">
      <c r="AK104" s="443"/>
      <c r="AY104" s="449"/>
      <c r="AZ104" s="579"/>
      <c r="BA104" s="443"/>
      <c r="BB104" s="443"/>
    </row>
    <row r="105" spans="1:62">
      <c r="AK105" s="443"/>
      <c r="AY105" s="449"/>
      <c r="AZ105" s="579"/>
      <c r="BA105" s="443"/>
      <c r="BB105" s="443"/>
    </row>
  </sheetData>
  <customSheetViews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2">
    <mergeCell ref="AV59:AW59"/>
    <mergeCell ref="BF86:BK87"/>
  </mergeCells>
  <phoneticPr fontId="0" type="noConversion"/>
  <pageMargins left="0.75" right="0.5" top="0.72" bottom="0.84" header="0.5" footer="0.5"/>
  <pageSetup scale="65" firstPageNumber="4" fitToWidth="5" orientation="portrait" r:id="rId3"/>
  <headerFooter scaleWithDoc="0" alignWithMargins="0"/>
  <colBreaks count="1" manualBreakCount="1">
    <brk id="36" max="1048575" man="1"/>
  </colBreaks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AQ82"/>
  <sheetViews>
    <sheetView zoomScaleNormal="100" zoomScaleSheetLayoutView="130" workbookViewId="0"/>
  </sheetViews>
  <sheetFormatPr defaultColWidth="9.140625" defaultRowHeight="12.75"/>
  <cols>
    <col min="1" max="1" width="9.140625" style="36"/>
    <col min="2" max="2" width="6.5703125" style="36" customWidth="1"/>
    <col min="3" max="3" width="42" style="36" customWidth="1"/>
    <col min="4" max="4" width="9.140625" style="36"/>
    <col min="5" max="5" width="20.140625" style="123" customWidth="1"/>
    <col min="6" max="9" width="9.140625" style="36"/>
    <col min="10" max="10" width="19.85546875" style="36" bestFit="1" customWidth="1"/>
    <col min="11" max="11" width="11.85546875" style="36" customWidth="1"/>
    <col min="12" max="30" width="9.140625" style="36"/>
    <col min="31" max="31" width="14.7109375" style="36" customWidth="1"/>
    <col min="32" max="32" width="13" style="36" customWidth="1"/>
    <col min="33" max="16384" width="9.140625" style="36"/>
  </cols>
  <sheetData>
    <row r="1" spans="1:43" s="110" customFormat="1">
      <c r="A1" s="781"/>
      <c r="B1" s="36"/>
      <c r="C1" s="786" t="s">
        <v>633</v>
      </c>
      <c r="D1" s="108"/>
      <c r="E1" s="109"/>
      <c r="G1" s="385"/>
      <c r="H1" s="386"/>
      <c r="I1" s="386"/>
      <c r="J1" s="36"/>
      <c r="Q1" s="827" t="s">
        <v>115</v>
      </c>
      <c r="R1" s="827"/>
      <c r="S1" s="827"/>
      <c r="T1" s="827"/>
      <c r="U1" s="827"/>
      <c r="V1" s="827"/>
      <c r="W1" s="827"/>
    </row>
    <row r="2" spans="1:43" s="110" customFormat="1">
      <c r="A2" s="77"/>
      <c r="B2" s="36"/>
      <c r="C2" s="78" t="s">
        <v>636</v>
      </c>
      <c r="D2" s="108"/>
      <c r="E2" s="111"/>
      <c r="J2" s="36"/>
      <c r="Q2" s="827" t="s">
        <v>185</v>
      </c>
      <c r="R2" s="827"/>
      <c r="S2" s="827"/>
      <c r="T2" s="827"/>
      <c r="U2" s="827"/>
      <c r="V2" s="827"/>
      <c r="W2" s="827"/>
    </row>
    <row r="3" spans="1:43" s="110" customFormat="1">
      <c r="B3" s="36"/>
      <c r="C3" s="713" t="s">
        <v>641</v>
      </c>
      <c r="D3" s="108"/>
      <c r="E3" s="111"/>
      <c r="J3" s="36"/>
      <c r="Q3" s="384"/>
      <c r="R3" s="384"/>
      <c r="S3" s="384"/>
      <c r="T3" s="384"/>
      <c r="U3" s="384"/>
      <c r="V3" s="384"/>
      <c r="W3" s="384"/>
    </row>
    <row r="4" spans="1:43">
      <c r="B4" s="163"/>
      <c r="C4" s="785" t="str">
        <f>'Exh. No. BGM-6 -2'!A4</f>
        <v>Twelve Months Ended September 31, 2015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07"/>
      <c r="O4" s="107"/>
      <c r="P4" s="107"/>
    </row>
    <row r="5" spans="1:43" ht="13.5" thickBot="1">
      <c r="C5" s="44"/>
      <c r="D5" s="112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</row>
    <row r="6" spans="1:43">
      <c r="A6" s="44"/>
      <c r="C6" s="113"/>
      <c r="D6" s="112"/>
      <c r="E6" s="108"/>
      <c r="P6" s="139"/>
      <c r="Y6" s="139"/>
      <c r="Z6" s="139"/>
      <c r="AD6" s="139"/>
      <c r="AE6" s="393"/>
      <c r="AF6" s="394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</row>
    <row r="7" spans="1:43">
      <c r="A7" s="44"/>
      <c r="C7" s="113"/>
      <c r="D7" s="112"/>
      <c r="E7" s="108"/>
      <c r="AE7" s="395"/>
      <c r="AF7" s="396"/>
    </row>
    <row r="8" spans="1:43">
      <c r="A8" s="44"/>
      <c r="C8" s="112"/>
      <c r="D8" s="112"/>
      <c r="E8" s="188"/>
      <c r="F8" s="189"/>
      <c r="G8" s="189"/>
      <c r="AE8" s="395"/>
      <c r="AF8" s="396"/>
    </row>
    <row r="9" spans="1:43">
      <c r="A9" s="44" t="s">
        <v>138</v>
      </c>
      <c r="C9" s="44"/>
      <c r="D9" s="112"/>
      <c r="E9" s="44"/>
      <c r="J9" s="125" t="s">
        <v>169</v>
      </c>
      <c r="M9" s="52"/>
      <c r="N9" s="52"/>
      <c r="O9" s="52"/>
      <c r="P9" s="52"/>
      <c r="AE9" s="395"/>
      <c r="AF9" s="396"/>
    </row>
    <row r="10" spans="1:43">
      <c r="A10" s="46" t="s">
        <v>17</v>
      </c>
      <c r="C10" s="46" t="s">
        <v>74</v>
      </c>
      <c r="D10" s="112"/>
      <c r="E10" s="46" t="s">
        <v>158</v>
      </c>
      <c r="M10" s="52"/>
      <c r="N10" s="52"/>
      <c r="O10" s="52"/>
      <c r="P10" s="52"/>
      <c r="AE10" s="395"/>
      <c r="AF10" s="396"/>
    </row>
    <row r="11" spans="1:43">
      <c r="A11" s="44"/>
      <c r="C11" s="112"/>
      <c r="D11" s="112"/>
      <c r="E11" s="112"/>
      <c r="M11" s="52"/>
      <c r="N11" s="52"/>
      <c r="O11" s="52"/>
      <c r="P11" s="52"/>
      <c r="AE11" s="395"/>
      <c r="AF11" s="396"/>
    </row>
    <row r="12" spans="1:43">
      <c r="A12" s="37">
        <v>1</v>
      </c>
      <c r="C12" s="114" t="s">
        <v>159</v>
      </c>
      <c r="D12" s="112"/>
      <c r="E12" s="112">
        <v>1</v>
      </c>
      <c r="J12" s="115">
        <f>'Exh. No. BGM-6 -5'!F24</f>
        <v>-5241</v>
      </c>
      <c r="K12" s="115">
        <f>'Exh. No. BGM-6 -5'!H24</f>
        <v>-1</v>
      </c>
      <c r="M12" s="52"/>
      <c r="N12" s="390"/>
      <c r="O12" s="52"/>
      <c r="P12" s="52"/>
      <c r="AE12" s="395"/>
      <c r="AF12" s="396"/>
    </row>
    <row r="13" spans="1:43">
      <c r="A13" s="37"/>
      <c r="C13" s="114"/>
      <c r="D13" s="112"/>
      <c r="E13" s="112"/>
      <c r="K13" s="536"/>
      <c r="M13" s="52"/>
      <c r="N13" s="52"/>
      <c r="O13" s="52"/>
      <c r="P13" s="52"/>
      <c r="AE13" s="395"/>
      <c r="AF13" s="396"/>
    </row>
    <row r="14" spans="1:43">
      <c r="A14" s="37"/>
      <c r="C14" s="114" t="s">
        <v>160</v>
      </c>
      <c r="D14" s="112"/>
      <c r="E14" s="112"/>
      <c r="K14" s="536"/>
      <c r="M14" s="52"/>
      <c r="N14" s="52"/>
      <c r="O14" s="52"/>
      <c r="P14" s="52"/>
      <c r="AE14" s="395"/>
      <c r="AF14" s="396"/>
    </row>
    <row r="15" spans="1:43">
      <c r="A15" s="37">
        <v>2</v>
      </c>
      <c r="B15" s="42"/>
      <c r="C15" s="112" t="s">
        <v>161</v>
      </c>
      <c r="D15" s="112"/>
      <c r="E15" s="509">
        <v>5.8554378217771557E-3</v>
      </c>
      <c r="J15" s="116">
        <f>ROUND($J$12*E15,0)</f>
        <v>-31</v>
      </c>
      <c r="K15" s="116">
        <f>ROUND($K$12*E15,0)</f>
        <v>0</v>
      </c>
      <c r="M15" s="52"/>
      <c r="N15" s="119"/>
      <c r="O15" s="52"/>
      <c r="P15" s="52"/>
      <c r="AE15" s="395"/>
      <c r="AF15" s="396"/>
    </row>
    <row r="16" spans="1:43">
      <c r="A16" s="37"/>
      <c r="C16" s="112"/>
      <c r="D16" s="112"/>
      <c r="E16" s="509"/>
      <c r="K16" s="536"/>
      <c r="M16" s="52"/>
      <c r="N16" s="52"/>
      <c r="O16" s="52"/>
      <c r="P16" s="52"/>
      <c r="AE16" s="395"/>
      <c r="AF16" s="396"/>
    </row>
    <row r="17" spans="1:32">
      <c r="A17" s="37">
        <v>3</v>
      </c>
      <c r="C17" s="112" t="s">
        <v>162</v>
      </c>
      <c r="D17" s="112"/>
      <c r="E17" s="510">
        <v>2E-3</v>
      </c>
      <c r="J17" s="116">
        <f>ROUND($J$12*E17,0)</f>
        <v>-10</v>
      </c>
      <c r="K17" s="116">
        <f>ROUND($K$12*E17,0)</f>
        <v>0</v>
      </c>
      <c r="M17" s="52"/>
      <c r="N17" s="119"/>
      <c r="O17" s="52"/>
      <c r="P17" s="52"/>
      <c r="AE17" s="395"/>
      <c r="AF17" s="396"/>
    </row>
    <row r="18" spans="1:32">
      <c r="A18" s="37"/>
      <c r="C18" s="112"/>
      <c r="D18" s="112"/>
      <c r="E18" s="509"/>
      <c r="K18" s="536"/>
      <c r="M18" s="52"/>
      <c r="N18" s="52"/>
      <c r="O18" s="52"/>
      <c r="P18" s="52"/>
      <c r="AE18" s="395"/>
      <c r="AF18" s="396"/>
    </row>
    <row r="19" spans="1:32">
      <c r="A19" s="37">
        <v>4</v>
      </c>
      <c r="C19" s="112" t="s">
        <v>163</v>
      </c>
      <c r="D19" s="112"/>
      <c r="E19" s="509">
        <v>3.8294448535105143E-2</v>
      </c>
      <c r="J19" s="116">
        <f>ROUND($J$12*E19,0)</f>
        <v>-201</v>
      </c>
      <c r="K19" s="116">
        <f>ROUND($K$12*E19,0)</f>
        <v>0</v>
      </c>
      <c r="M19" s="52"/>
      <c r="N19" s="119"/>
      <c r="O19" s="52"/>
      <c r="P19" s="52"/>
      <c r="AE19" s="395"/>
      <c r="AF19" s="396"/>
    </row>
    <row r="20" spans="1:32">
      <c r="A20" s="37"/>
      <c r="C20" s="112"/>
      <c r="D20" s="112"/>
      <c r="E20" s="124"/>
      <c r="K20" s="536"/>
      <c r="M20" s="52"/>
      <c r="N20" s="52"/>
      <c r="O20" s="52"/>
      <c r="P20" s="52"/>
      <c r="AE20" s="395"/>
      <c r="AF20" s="396"/>
    </row>
    <row r="21" spans="1:32">
      <c r="A21" s="37">
        <v>6</v>
      </c>
      <c r="C21" s="112" t="s">
        <v>164</v>
      </c>
      <c r="D21" s="112"/>
      <c r="E21" s="405">
        <f>SUM(E15:E19)</f>
        <v>4.6149886356882303E-2</v>
      </c>
      <c r="J21" s="118">
        <f>SUM(J15:J20)</f>
        <v>-242</v>
      </c>
      <c r="K21" s="118">
        <f>SUM(K15:K20)</f>
        <v>0</v>
      </c>
      <c r="M21" s="52"/>
      <c r="N21" s="119"/>
      <c r="O21" s="52"/>
      <c r="P21" s="52"/>
      <c r="AE21" s="395"/>
      <c r="AF21" s="396"/>
    </row>
    <row r="22" spans="1:32">
      <c r="A22" s="37"/>
      <c r="C22" s="112"/>
      <c r="D22" s="112"/>
      <c r="E22" s="404"/>
      <c r="J22" s="119"/>
      <c r="K22" s="119"/>
      <c r="M22" s="52"/>
      <c r="N22" s="119"/>
      <c r="O22" s="52"/>
      <c r="P22" s="52"/>
      <c r="AE22" s="395"/>
      <c r="AF22" s="396"/>
    </row>
    <row r="23" spans="1:32">
      <c r="A23" s="37">
        <v>7</v>
      </c>
      <c r="C23" s="112" t="s">
        <v>165</v>
      </c>
      <c r="D23" s="112"/>
      <c r="E23" s="404">
        <f>E12-E21</f>
        <v>0.95385011364311767</v>
      </c>
      <c r="J23" s="119">
        <f>J12-J21</f>
        <v>-4999</v>
      </c>
      <c r="K23" s="119">
        <f>K12-K21</f>
        <v>-1</v>
      </c>
      <c r="M23" s="52"/>
      <c r="N23" s="119"/>
      <c r="O23" s="52"/>
      <c r="P23" s="52"/>
      <c r="AE23" s="395"/>
      <c r="AF23" s="396"/>
    </row>
    <row r="24" spans="1:32">
      <c r="A24" s="37"/>
      <c r="C24" s="112"/>
      <c r="D24" s="112"/>
      <c r="E24" s="404"/>
      <c r="K24" s="536"/>
      <c r="M24" s="52"/>
      <c r="N24" s="52"/>
      <c r="O24" s="52"/>
      <c r="P24" s="52"/>
      <c r="AE24" s="395"/>
      <c r="AF24" s="396"/>
    </row>
    <row r="25" spans="1:32">
      <c r="A25" s="37">
        <v>8</v>
      </c>
      <c r="C25" s="112" t="s">
        <v>166</v>
      </c>
      <c r="D25" s="120"/>
      <c r="E25" s="404">
        <f>E23*0.35</f>
        <v>0.33384753977509118</v>
      </c>
      <c r="J25" s="121">
        <f>ROUND(J23*0.35,0)</f>
        <v>-1750</v>
      </c>
      <c r="K25" s="121">
        <f>ROUND(K23*0.35,0)</f>
        <v>0</v>
      </c>
      <c r="M25" s="52"/>
      <c r="N25" s="119"/>
      <c r="O25" s="52"/>
      <c r="P25" s="52"/>
      <c r="AE25" s="395"/>
      <c r="AF25" s="396"/>
    </row>
    <row r="26" spans="1:32">
      <c r="C26" s="112"/>
      <c r="D26" s="112"/>
      <c r="E26" s="404"/>
      <c r="K26" s="536"/>
      <c r="M26" s="52"/>
      <c r="N26" s="52"/>
      <c r="O26" s="52"/>
      <c r="P26" s="52"/>
      <c r="AE26" s="395"/>
      <c r="AF26" s="396"/>
    </row>
    <row r="27" spans="1:32" ht="13.5" thickBot="1">
      <c r="A27" s="37">
        <v>9</v>
      </c>
      <c r="C27" s="112" t="s">
        <v>167</v>
      </c>
      <c r="D27" s="112"/>
      <c r="E27" s="404">
        <f>ROUND(E23-E25,6)</f>
        <v>0.62000299999999997</v>
      </c>
      <c r="J27" s="122">
        <f>J23-J25</f>
        <v>-3249</v>
      </c>
      <c r="K27" s="122">
        <f>K23-K25</f>
        <v>-1</v>
      </c>
      <c r="M27" s="52"/>
      <c r="N27" s="391"/>
      <c r="O27" s="52"/>
      <c r="P27" s="52"/>
      <c r="AE27" s="395"/>
      <c r="AF27" s="396"/>
    </row>
    <row r="28" spans="1:32" ht="13.5" customHeight="1" thickTop="1">
      <c r="C28" s="112"/>
      <c r="D28" s="112"/>
      <c r="F28" s="828"/>
      <c r="G28" s="828"/>
      <c r="H28" s="828"/>
      <c r="K28" s="536"/>
      <c r="M28" s="52"/>
      <c r="N28" s="52"/>
      <c r="O28" s="52"/>
      <c r="P28" s="52"/>
      <c r="AE28" s="395"/>
      <c r="AF28" s="396"/>
    </row>
    <row r="29" spans="1:32">
      <c r="C29" s="666" t="s">
        <v>560</v>
      </c>
      <c r="D29" s="112"/>
      <c r="F29" s="828"/>
      <c r="G29" s="828"/>
      <c r="H29" s="828"/>
      <c r="J29" s="116">
        <f>J27/E27</f>
        <v>-5240.2972243682698</v>
      </c>
      <c r="K29" s="116">
        <f>K27/E27</f>
        <v>-1.6128954214737672</v>
      </c>
      <c r="L29" s="36" t="s">
        <v>463</v>
      </c>
      <c r="M29" s="52"/>
      <c r="N29" s="52"/>
      <c r="O29" s="52"/>
      <c r="P29" s="52"/>
      <c r="AE29" s="395"/>
      <c r="AF29" s="396"/>
    </row>
    <row r="30" spans="1:32">
      <c r="C30" s="112"/>
      <c r="D30" s="112"/>
      <c r="F30" s="828"/>
      <c r="G30" s="828"/>
      <c r="H30" s="828"/>
      <c r="J30" s="63">
        <f>J29-'Exh. No. BGM-6 -5'!F24</f>
        <v>0.70277563173021917</v>
      </c>
      <c r="K30" s="662">
        <f>K29-'Exh. No. BGM-6 -5'!H24</f>
        <v>-0.61289542147376719</v>
      </c>
      <c r="L30" s="36" t="s">
        <v>86</v>
      </c>
      <c r="M30" s="52"/>
      <c r="N30" s="52"/>
      <c r="O30" s="52"/>
      <c r="P30" s="52"/>
      <c r="AE30" s="395"/>
      <c r="AF30" s="396"/>
    </row>
    <row r="31" spans="1:32">
      <c r="C31" s="112"/>
      <c r="D31" s="112"/>
      <c r="M31" s="52"/>
      <c r="N31" s="52"/>
      <c r="O31" s="52"/>
      <c r="P31" s="52"/>
      <c r="AE31" s="395"/>
      <c r="AF31" s="396"/>
    </row>
    <row r="32" spans="1:32">
      <c r="C32" s="112"/>
      <c r="D32" s="112"/>
      <c r="M32" s="52"/>
      <c r="N32" s="52"/>
      <c r="O32" s="52"/>
      <c r="P32" s="52"/>
      <c r="AE32" s="395"/>
      <c r="AF32" s="396"/>
    </row>
    <row r="33" spans="3:32">
      <c r="C33" s="112"/>
      <c r="D33" s="112"/>
      <c r="M33" s="52"/>
      <c r="N33" s="52"/>
      <c r="O33" s="52"/>
      <c r="P33" s="52"/>
      <c r="AE33" s="395"/>
      <c r="AF33" s="396"/>
    </row>
    <row r="34" spans="3:32">
      <c r="C34" s="112"/>
      <c r="D34" s="112"/>
      <c r="M34" s="52"/>
      <c r="N34" s="52"/>
      <c r="O34" s="52"/>
      <c r="P34" s="52"/>
      <c r="AE34" s="395"/>
      <c r="AF34" s="396"/>
    </row>
    <row r="35" spans="3:32">
      <c r="C35" s="112"/>
      <c r="D35" s="112"/>
      <c r="AE35" s="395"/>
      <c r="AF35" s="396"/>
    </row>
    <row r="36" spans="3:32">
      <c r="C36" s="112"/>
      <c r="D36" s="112"/>
      <c r="AE36" s="395"/>
      <c r="AF36" s="396"/>
    </row>
    <row r="37" spans="3:32">
      <c r="C37" s="112"/>
      <c r="D37" s="112"/>
      <c r="AE37" s="395"/>
      <c r="AF37" s="396"/>
    </row>
    <row r="38" spans="3:32">
      <c r="C38" s="117"/>
      <c r="D38" s="112"/>
      <c r="AE38" s="395"/>
      <c r="AF38" s="396"/>
    </row>
    <row r="39" spans="3:32">
      <c r="C39" s="112"/>
      <c r="D39" s="112"/>
      <c r="AE39" s="395"/>
      <c r="AF39" s="396"/>
    </row>
    <row r="40" spans="3:32">
      <c r="C40" s="112"/>
      <c r="D40" s="112"/>
      <c r="AE40" s="395"/>
      <c r="AF40" s="396"/>
    </row>
    <row r="41" spans="3:32">
      <c r="C41" s="112"/>
      <c r="D41" s="112"/>
      <c r="AE41" s="395"/>
      <c r="AF41" s="396"/>
    </row>
    <row r="42" spans="3:32">
      <c r="C42" s="112"/>
      <c r="D42" s="112"/>
      <c r="AE42" s="395"/>
      <c r="AF42" s="396"/>
    </row>
    <row r="43" spans="3:32">
      <c r="C43" s="112"/>
      <c r="D43" s="112"/>
      <c r="AE43" s="395"/>
      <c r="AF43" s="396"/>
    </row>
    <row r="44" spans="3:32">
      <c r="C44" s="112"/>
      <c r="AE44" s="395"/>
      <c r="AF44" s="396"/>
    </row>
    <row r="45" spans="3:32">
      <c r="C45" s="112"/>
      <c r="AE45" s="395"/>
      <c r="AF45" s="396"/>
    </row>
    <row r="46" spans="3:32">
      <c r="C46" s="112"/>
      <c r="D46" s="112"/>
      <c r="AE46" s="395"/>
      <c r="AF46" s="396"/>
    </row>
    <row r="47" spans="3:32">
      <c r="C47" s="112"/>
      <c r="D47" s="112"/>
      <c r="AE47" s="395"/>
      <c r="AF47" s="396"/>
    </row>
    <row r="48" spans="3:32">
      <c r="C48" s="112"/>
      <c r="D48" s="112"/>
      <c r="AE48" s="395"/>
      <c r="AF48" s="396"/>
    </row>
    <row r="49" spans="3:32">
      <c r="C49" s="112"/>
      <c r="D49" s="112"/>
      <c r="AE49" s="395"/>
      <c r="AF49" s="396"/>
    </row>
    <row r="50" spans="3:32">
      <c r="C50" s="112"/>
      <c r="D50" s="112"/>
      <c r="AE50" s="395"/>
      <c r="AF50" s="396"/>
    </row>
    <row r="51" spans="3:32">
      <c r="C51" s="112"/>
      <c r="D51" s="112"/>
      <c r="AE51" s="395"/>
      <c r="AF51" s="396"/>
    </row>
    <row r="52" spans="3:32">
      <c r="C52" s="112"/>
      <c r="D52" s="112"/>
      <c r="AE52" s="395"/>
      <c r="AF52" s="396"/>
    </row>
    <row r="53" spans="3:32">
      <c r="D53" s="112"/>
      <c r="AE53" s="395"/>
      <c r="AF53" s="396"/>
    </row>
    <row r="54" spans="3:32">
      <c r="C54" s="112"/>
      <c r="D54" s="112"/>
      <c r="AE54" s="395"/>
      <c r="AF54" s="396"/>
    </row>
    <row r="55" spans="3:32">
      <c r="C55" s="112"/>
      <c r="D55" s="112"/>
      <c r="AE55" s="395"/>
      <c r="AF55" s="396"/>
    </row>
    <row r="56" spans="3:32">
      <c r="AE56" s="395"/>
      <c r="AF56" s="396"/>
    </row>
    <row r="57" spans="3:32">
      <c r="AE57" s="395"/>
      <c r="AF57" s="396"/>
    </row>
    <row r="58" spans="3:32">
      <c r="AE58" s="395"/>
      <c r="AF58" s="396"/>
    </row>
    <row r="59" spans="3:32">
      <c r="AE59" s="395"/>
      <c r="AF59" s="396"/>
    </row>
    <row r="60" spans="3:32">
      <c r="AE60" s="395"/>
      <c r="AF60" s="396"/>
    </row>
    <row r="61" spans="3:32">
      <c r="AE61" s="395"/>
      <c r="AF61" s="396"/>
    </row>
    <row r="62" spans="3:32">
      <c r="AE62" s="395"/>
      <c r="AF62" s="396"/>
    </row>
    <row r="63" spans="3:32">
      <c r="AE63" s="395"/>
      <c r="AF63" s="396"/>
    </row>
    <row r="64" spans="3:32">
      <c r="AE64" s="395"/>
      <c r="AF64" s="396"/>
    </row>
    <row r="65" spans="31:32">
      <c r="AE65" s="395"/>
      <c r="AF65" s="396"/>
    </row>
    <row r="66" spans="31:32">
      <c r="AE66" s="395"/>
      <c r="AF66" s="396"/>
    </row>
    <row r="67" spans="31:32">
      <c r="AE67" s="395"/>
      <c r="AF67" s="396"/>
    </row>
    <row r="68" spans="31:32">
      <c r="AE68" s="395"/>
      <c r="AF68" s="396"/>
    </row>
    <row r="69" spans="31:32">
      <c r="AE69" s="395"/>
      <c r="AF69" s="396"/>
    </row>
    <row r="70" spans="31:32">
      <c r="AE70" s="395"/>
      <c r="AF70" s="396"/>
    </row>
    <row r="71" spans="31:32">
      <c r="AE71" s="395"/>
      <c r="AF71" s="396"/>
    </row>
    <row r="72" spans="31:32">
      <c r="AE72" s="395"/>
      <c r="AF72" s="396"/>
    </row>
    <row r="73" spans="31:32">
      <c r="AE73" s="395"/>
      <c r="AF73" s="396"/>
    </row>
    <row r="74" spans="31:32">
      <c r="AE74" s="395"/>
      <c r="AF74" s="396"/>
    </row>
    <row r="75" spans="31:32">
      <c r="AE75" s="395"/>
      <c r="AF75" s="396"/>
    </row>
    <row r="76" spans="31:32">
      <c r="AE76" s="395"/>
      <c r="AF76" s="396"/>
    </row>
    <row r="77" spans="31:32">
      <c r="AE77" s="395"/>
      <c r="AF77" s="396"/>
    </row>
    <row r="78" spans="31:32">
      <c r="AE78" s="395"/>
      <c r="AF78" s="396"/>
    </row>
    <row r="79" spans="31:32">
      <c r="AE79" s="395"/>
      <c r="AF79" s="396"/>
    </row>
    <row r="80" spans="31:32">
      <c r="AE80" s="395"/>
      <c r="AF80" s="396"/>
    </row>
    <row r="81" spans="31:36">
      <c r="AE81" s="401" t="s">
        <v>464</v>
      </c>
      <c r="AF81" s="402">
        <f>AF82+AE82</f>
        <v>0</v>
      </c>
    </row>
    <row r="82" spans="31:36" ht="13.5" thickBot="1">
      <c r="AE82" s="397"/>
      <c r="AF82" s="398"/>
      <c r="AJ82" s="36">
        <f>AJ88</f>
        <v>0</v>
      </c>
    </row>
  </sheetData>
  <mergeCells count="3">
    <mergeCell ref="Q1:W1"/>
    <mergeCell ref="Q2:W2"/>
    <mergeCell ref="F28:H30"/>
  </mergeCells>
  <phoneticPr fontId="0" type="noConversion"/>
  <printOptions horizontalCentered="1"/>
  <pageMargins left="0.75" right="0.5" top="0.97" bottom="0.84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I85"/>
  <sheetViews>
    <sheetView topLeftCell="D1" zoomScaleNormal="100" zoomScaleSheetLayoutView="55" workbookViewId="0"/>
  </sheetViews>
  <sheetFormatPr defaultRowHeight="12.75"/>
  <cols>
    <col min="1" max="1" width="7.28515625" style="36" customWidth="1"/>
    <col min="2" max="2" width="1.42578125" style="36" customWidth="1"/>
    <col min="3" max="3" width="26.140625" style="36" customWidth="1"/>
    <col min="4" max="4" width="1.140625" style="36" customWidth="1"/>
    <col min="5" max="5" width="1.7109375" style="36" customWidth="1"/>
    <col min="6" max="6" width="18.42578125" style="36" customWidth="1"/>
    <col min="7" max="7" width="15.28515625" style="36" customWidth="1"/>
    <col min="8" max="8" width="22" style="36" customWidth="1"/>
    <col min="9" max="9" width="10.85546875" style="36" customWidth="1"/>
    <col min="10" max="10" width="6" style="536" customWidth="1"/>
    <col min="11" max="11" width="20.28515625" style="36" customWidth="1"/>
    <col min="12" max="12" width="11.42578125" style="36" customWidth="1"/>
    <col min="13" max="13" width="14.28515625" style="36" customWidth="1"/>
    <col min="14" max="14" width="14.85546875" style="36" customWidth="1"/>
    <col min="15" max="15" width="6" style="536" customWidth="1"/>
    <col min="16" max="16" width="14" style="36" customWidth="1"/>
    <col min="17" max="17" width="9.28515625" customWidth="1"/>
  </cols>
  <sheetData>
    <row r="1" spans="1:35" ht="15.75">
      <c r="A1" s="73" t="s">
        <v>115</v>
      </c>
      <c r="B1" s="73"/>
      <c r="C1" s="73"/>
      <c r="D1" s="73"/>
      <c r="E1" s="73"/>
      <c r="F1" s="73"/>
      <c r="G1" s="73"/>
      <c r="H1" s="73"/>
      <c r="I1" s="172"/>
      <c r="J1" s="787" t="s">
        <v>633</v>
      </c>
      <c r="K1" s="164"/>
      <c r="L1" s="164"/>
      <c r="M1" s="164"/>
      <c r="N1" s="164"/>
      <c r="O1" s="168"/>
      <c r="P1" s="164"/>
      <c r="Q1" s="36"/>
    </row>
    <row r="2" spans="1:35" ht="15.75">
      <c r="A2" s="73" t="s">
        <v>486</v>
      </c>
      <c r="B2" s="73"/>
      <c r="C2" s="73"/>
      <c r="D2" s="73"/>
      <c r="E2" s="73"/>
      <c r="F2" s="73"/>
      <c r="G2" s="73"/>
      <c r="H2" s="73"/>
      <c r="J2" s="788" t="s">
        <v>636</v>
      </c>
      <c r="K2" s="164"/>
      <c r="L2" s="164"/>
      <c r="M2" s="164"/>
      <c r="N2" s="164"/>
      <c r="O2" s="168"/>
      <c r="P2" s="384"/>
      <c r="Q2" s="36"/>
    </row>
    <row r="3" spans="1:35" ht="15.75">
      <c r="A3" s="827" t="s">
        <v>487</v>
      </c>
      <c r="B3" s="827"/>
      <c r="C3" s="827"/>
      <c r="D3" s="827"/>
      <c r="E3" s="827"/>
      <c r="F3" s="827"/>
      <c r="G3" s="827"/>
      <c r="H3" s="827"/>
      <c r="I3" s="172"/>
      <c r="J3" s="784" t="s">
        <v>648</v>
      </c>
      <c r="K3" s="164"/>
      <c r="L3" s="164"/>
      <c r="M3" s="164"/>
      <c r="N3" s="164"/>
      <c r="O3" s="168"/>
      <c r="P3" s="164"/>
      <c r="Q3" s="36"/>
    </row>
    <row r="4" spans="1:35" ht="15.75">
      <c r="A4" s="835" t="str">
        <f>'Exh. No. BGM-6 -2'!A4</f>
        <v>Twelve Months Ended September 31, 2015</v>
      </c>
      <c r="B4" s="835"/>
      <c r="C4" s="835"/>
      <c r="D4" s="835"/>
      <c r="E4" s="835"/>
      <c r="F4" s="835"/>
      <c r="G4" s="835"/>
      <c r="H4" s="835"/>
      <c r="J4" s="789" t="s">
        <v>634</v>
      </c>
      <c r="K4" s="790"/>
      <c r="L4" s="790"/>
      <c r="M4" s="790"/>
      <c r="N4" s="790"/>
      <c r="O4" s="168"/>
      <c r="P4" s="544"/>
    </row>
    <row r="5" spans="1:35" ht="15.75">
      <c r="A5" s="827" t="s">
        <v>604</v>
      </c>
      <c r="B5" s="827"/>
      <c r="C5" s="827"/>
      <c r="D5" s="827"/>
      <c r="E5" s="827"/>
      <c r="F5" s="827"/>
      <c r="G5" s="827"/>
      <c r="H5" s="827"/>
      <c r="I5" s="172"/>
      <c r="J5" s="384"/>
      <c r="K5" s="384"/>
      <c r="L5" s="384"/>
      <c r="M5" s="384"/>
      <c r="N5" s="384"/>
      <c r="O5" s="168"/>
      <c r="P5" s="384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</row>
    <row r="6" spans="1:35" ht="15.75">
      <c r="A6" s="827"/>
      <c r="B6" s="827"/>
      <c r="C6" s="827"/>
      <c r="D6" s="827"/>
      <c r="E6" s="827"/>
      <c r="F6" s="827"/>
      <c r="G6" s="827"/>
      <c r="H6" s="827"/>
      <c r="I6" s="165"/>
      <c r="J6" s="165"/>
      <c r="K6" s="166"/>
      <c r="L6" s="166"/>
      <c r="M6" s="166"/>
      <c r="N6" s="166"/>
      <c r="O6" s="168"/>
      <c r="P6" s="166"/>
      <c r="S6" s="126"/>
      <c r="T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</row>
    <row r="7" spans="1:35" ht="15.75">
      <c r="F7" s="536"/>
      <c r="H7" s="664" t="s">
        <v>553</v>
      </c>
      <c r="I7" s="165"/>
      <c r="J7" s="798" t="s">
        <v>649</v>
      </c>
      <c r="K7" s="799"/>
      <c r="L7" s="800"/>
      <c r="M7" s="800"/>
      <c r="N7" s="800"/>
      <c r="O7" s="801"/>
      <c r="P7" s="244"/>
    </row>
    <row r="8" spans="1:35" ht="15.75">
      <c r="A8" s="40"/>
      <c r="B8" s="40"/>
      <c r="C8" s="40"/>
      <c r="D8" s="40"/>
      <c r="E8" s="40"/>
      <c r="F8" s="497"/>
      <c r="G8" s="185" t="s">
        <v>587</v>
      </c>
      <c r="H8" s="663" t="s">
        <v>603</v>
      </c>
      <c r="I8" s="167"/>
      <c r="J8" s="802"/>
      <c r="K8" s="803"/>
      <c r="L8" s="804"/>
      <c r="M8" s="805"/>
      <c r="N8" s="806"/>
      <c r="O8" s="807"/>
      <c r="P8" s="245"/>
    </row>
    <row r="9" spans="1:35" ht="15.75">
      <c r="A9" s="103" t="s">
        <v>138</v>
      </c>
      <c r="B9" s="42"/>
      <c r="C9" s="831" t="s">
        <v>74</v>
      </c>
      <c r="D9" s="832"/>
      <c r="E9" s="44"/>
      <c r="F9" s="836" t="s">
        <v>590</v>
      </c>
      <c r="G9" s="838" t="s">
        <v>589</v>
      </c>
      <c r="H9" s="836" t="s">
        <v>590</v>
      </c>
      <c r="I9" s="167"/>
      <c r="J9" s="802"/>
      <c r="K9" s="808"/>
      <c r="L9" s="806" t="s">
        <v>139</v>
      </c>
      <c r="M9" s="806"/>
      <c r="N9" s="806" t="s">
        <v>140</v>
      </c>
      <c r="O9" s="807"/>
      <c r="P9" s="245"/>
    </row>
    <row r="10" spans="1:35" ht="15.75">
      <c r="A10" s="104" t="s">
        <v>17</v>
      </c>
      <c r="B10" s="42"/>
      <c r="C10" s="833"/>
      <c r="D10" s="834"/>
      <c r="E10" s="44"/>
      <c r="F10" s="837"/>
      <c r="G10" s="839"/>
      <c r="H10" s="837"/>
      <c r="I10" s="167"/>
      <c r="J10" s="802"/>
      <c r="K10" s="809" t="s">
        <v>141</v>
      </c>
      <c r="L10" s="809" t="s">
        <v>142</v>
      </c>
      <c r="M10" s="809" t="s">
        <v>143</v>
      </c>
      <c r="N10" s="809" t="s">
        <v>143</v>
      </c>
      <c r="O10" s="807"/>
      <c r="P10" s="245"/>
    </row>
    <row r="11" spans="1:35" ht="15.75">
      <c r="A11" s="40"/>
      <c r="B11" s="40"/>
      <c r="C11" s="40"/>
      <c r="D11" s="40"/>
      <c r="E11" s="105"/>
      <c r="I11" s="167"/>
      <c r="J11" s="802"/>
      <c r="K11" s="803"/>
      <c r="L11" s="803"/>
      <c r="M11" s="803"/>
      <c r="N11" s="803"/>
      <c r="O11" s="810"/>
      <c r="P11" s="245"/>
    </row>
    <row r="12" spans="1:35" ht="15.75">
      <c r="A12" s="48">
        <v>1</v>
      </c>
      <c r="B12" s="40"/>
      <c r="C12" s="40" t="s">
        <v>156</v>
      </c>
      <c r="D12" s="40"/>
      <c r="E12" s="40"/>
      <c r="F12" s="379">
        <f>'Exh. No. BGM-6 -3'!AU82</f>
        <v>274501.55872015096</v>
      </c>
      <c r="G12" s="379">
        <f>'Exh. No. BGM-6 -3'!BI82</f>
        <v>274501.55872015096</v>
      </c>
      <c r="H12" s="379"/>
      <c r="I12" s="167"/>
      <c r="J12" s="802"/>
      <c r="K12" s="811"/>
      <c r="L12" s="811"/>
      <c r="M12" s="811"/>
      <c r="N12" s="811"/>
      <c r="O12" s="812"/>
      <c r="P12" s="245"/>
      <c r="Q12" s="126"/>
    </row>
    <row r="13" spans="1:35" ht="15.75">
      <c r="A13" s="48"/>
      <c r="B13" s="40"/>
      <c r="C13" s="40"/>
      <c r="D13" s="40"/>
      <c r="E13" s="40"/>
      <c r="F13" s="50"/>
      <c r="G13" s="50"/>
      <c r="H13" s="50"/>
      <c r="I13" s="167"/>
      <c r="J13" s="802"/>
      <c r="K13" s="813" t="s">
        <v>462</v>
      </c>
      <c r="L13" s="814">
        <f>100%-L15</f>
        <v>0.51500000000000001</v>
      </c>
      <c r="M13" s="815">
        <v>5.5100000000000003E-2</v>
      </c>
      <c r="N13" s="815">
        <f>ROUND(L13*M13,4)</f>
        <v>2.8400000000000002E-2</v>
      </c>
      <c r="O13" s="816"/>
      <c r="P13" s="246" t="s">
        <v>168</v>
      </c>
    </row>
    <row r="14" spans="1:35" ht="15.75">
      <c r="A14" s="48">
        <v>2</v>
      </c>
      <c r="B14" s="40"/>
      <c r="C14" s="40" t="s">
        <v>144</v>
      </c>
      <c r="D14" s="40"/>
      <c r="E14" s="40"/>
      <c r="F14" s="375">
        <f>N17</f>
        <v>7.2500000000000009E-2</v>
      </c>
      <c r="G14" s="375">
        <f>N17</f>
        <v>7.2500000000000009E-2</v>
      </c>
      <c r="H14" s="410"/>
      <c r="I14" s="167"/>
      <c r="J14" s="802"/>
      <c r="K14" s="813"/>
      <c r="L14" s="814"/>
      <c r="M14" s="815"/>
      <c r="N14" s="815"/>
      <c r="O14" s="816"/>
      <c r="P14" s="243">
        <f>N13+N14</f>
        <v>2.8400000000000002E-2</v>
      </c>
    </row>
    <row r="15" spans="1:35" ht="15.75">
      <c r="A15" s="48"/>
      <c r="B15" s="40"/>
      <c r="C15" s="40"/>
      <c r="D15" s="40"/>
      <c r="E15" s="40"/>
      <c r="F15" s="75"/>
      <c r="G15" s="75"/>
      <c r="H15" s="75"/>
      <c r="I15" s="167"/>
      <c r="J15" s="802"/>
      <c r="K15" s="813" t="s">
        <v>186</v>
      </c>
      <c r="L15" s="822">
        <v>0.48499999999999999</v>
      </c>
      <c r="M15" s="815">
        <v>9.0999999999999998E-2</v>
      </c>
      <c r="N15" s="823">
        <f>ROUND(L15*M15,4)</f>
        <v>4.41E-2</v>
      </c>
      <c r="O15" s="816"/>
      <c r="P15" s="245"/>
      <c r="Q15" s="126"/>
    </row>
    <row r="16" spans="1:35" ht="15.75">
      <c r="A16" s="48">
        <v>3</v>
      </c>
      <c r="B16" s="40"/>
      <c r="C16" s="40" t="s">
        <v>145</v>
      </c>
      <c r="D16" s="40"/>
      <c r="E16" s="40"/>
      <c r="F16" s="50">
        <f>ROUND(F12*F14,0)</f>
        <v>19901</v>
      </c>
      <c r="G16" s="50">
        <f>ROUND(G12*G14,0)</f>
        <v>19901</v>
      </c>
      <c r="H16" s="50"/>
      <c r="I16" s="167"/>
      <c r="J16" s="802"/>
      <c r="K16" s="811"/>
      <c r="L16" s="811"/>
      <c r="M16" s="811"/>
      <c r="N16" s="811"/>
      <c r="O16" s="812"/>
      <c r="P16" s="245"/>
    </row>
    <row r="17" spans="1:17" ht="16.5" thickBot="1">
      <c r="A17" s="48"/>
      <c r="B17" s="40"/>
      <c r="C17" s="40"/>
      <c r="D17" s="40"/>
      <c r="E17" s="40"/>
      <c r="F17" s="50"/>
      <c r="G17" s="50"/>
      <c r="H17" s="50"/>
      <c r="I17" s="167"/>
      <c r="J17" s="802"/>
      <c r="K17" s="813" t="s">
        <v>27</v>
      </c>
      <c r="L17" s="824">
        <f>SUM(L13:L15)</f>
        <v>1</v>
      </c>
      <c r="M17" s="817"/>
      <c r="N17" s="824">
        <f>SUM(N13:N15)</f>
        <v>7.2500000000000009E-2</v>
      </c>
      <c r="O17" s="818"/>
      <c r="P17" s="245"/>
    </row>
    <row r="18" spans="1:17" ht="16.5" thickTop="1">
      <c r="A18" s="48">
        <v>4</v>
      </c>
      <c r="B18" s="40"/>
      <c r="C18" s="40" t="s">
        <v>146</v>
      </c>
      <c r="D18" s="40"/>
      <c r="E18" s="40"/>
      <c r="F18" s="380">
        <f>'Exh. No. BGM-6 -3'!AU59</f>
        <v>23151.095646741236</v>
      </c>
      <c r="G18" s="380">
        <f>'Exh. No. BGM-6 -3'!BI59</f>
        <v>23151.095646741236</v>
      </c>
      <c r="H18" s="381"/>
      <c r="I18" s="167"/>
      <c r="J18" s="819"/>
      <c r="K18" s="820"/>
      <c r="L18" s="820"/>
      <c r="M18" s="820"/>
      <c r="N18" s="820"/>
      <c r="O18" s="821"/>
      <c r="P18" s="245"/>
    </row>
    <row r="19" spans="1:17" ht="15.75">
      <c r="A19" s="48"/>
      <c r="B19" s="40"/>
      <c r="C19" s="40"/>
      <c r="D19" s="40"/>
      <c r="E19" s="40"/>
      <c r="F19" s="40"/>
      <c r="G19" s="497"/>
      <c r="H19" s="40"/>
      <c r="I19" s="167"/>
      <c r="J19" s="167"/>
      <c r="K19" s="686"/>
      <c r="L19" s="139"/>
      <c r="M19" s="139"/>
      <c r="N19" s="139"/>
      <c r="O19" s="502"/>
      <c r="P19" s="545"/>
    </row>
    <row r="20" spans="1:17" ht="15.75">
      <c r="A20" s="48">
        <v>5</v>
      </c>
      <c r="B20" s="40"/>
      <c r="C20" s="40" t="s">
        <v>147</v>
      </c>
      <c r="D20" s="40"/>
      <c r="E20" s="40"/>
      <c r="F20" s="50">
        <f>F16-F18</f>
        <v>-3250.0956467412361</v>
      </c>
      <c r="G20" s="50">
        <f>G16-G18</f>
        <v>-3250.0956467412361</v>
      </c>
      <c r="H20" s="50">
        <f>G20-F20</f>
        <v>0</v>
      </c>
      <c r="I20" s="167"/>
      <c r="J20" s="167"/>
      <c r="K20" s="138"/>
      <c r="L20" s="138"/>
      <c r="M20" s="138"/>
      <c r="N20" s="138"/>
      <c r="O20" s="502"/>
      <c r="P20" s="502"/>
    </row>
    <row r="21" spans="1:17" ht="15.75">
      <c r="A21" s="48"/>
      <c r="B21" s="40"/>
      <c r="C21" s="40"/>
      <c r="D21" s="40"/>
      <c r="E21" s="40"/>
      <c r="F21" s="40"/>
      <c r="G21" s="497"/>
      <c r="H21" s="40"/>
      <c r="I21" s="74"/>
      <c r="J21" s="74"/>
      <c r="K21" s="244"/>
      <c r="L21" s="244"/>
      <c r="M21" s="244"/>
      <c r="N21" s="244"/>
      <c r="O21" s="244"/>
      <c r="P21" s="244"/>
    </row>
    <row r="22" spans="1:17" ht="15.75">
      <c r="A22" s="48">
        <v>6</v>
      </c>
      <c r="B22" s="40"/>
      <c r="C22" s="40" t="s">
        <v>148</v>
      </c>
      <c r="D22" s="40"/>
      <c r="E22" s="40"/>
      <c r="F22" s="640">
        <f>'Exh. No. BGM-6 -4'!E27</f>
        <v>0.62000299999999997</v>
      </c>
      <c r="G22" s="640">
        <f>F22</f>
        <v>0.62000299999999997</v>
      </c>
      <c r="H22" s="640">
        <f>G22</f>
        <v>0.62000299999999997</v>
      </c>
      <c r="I22" s="74"/>
      <c r="J22" s="74"/>
      <c r="K22" s="169"/>
      <c r="L22" s="170"/>
      <c r="M22" s="171"/>
      <c r="N22" s="168"/>
      <c r="O22" s="168"/>
      <c r="P22" s="245"/>
      <c r="Q22" s="144"/>
    </row>
    <row r="23" spans="1:17" ht="16.5" thickBot="1">
      <c r="A23" s="48"/>
      <c r="B23" s="40"/>
      <c r="C23" s="40"/>
      <c r="D23" s="40"/>
      <c r="E23" s="40"/>
      <c r="F23" s="40"/>
      <c r="G23" s="105"/>
      <c r="H23" s="411"/>
      <c r="I23" s="74"/>
      <c r="J23" s="74"/>
      <c r="L23" s="168"/>
      <c r="M23" s="168"/>
      <c r="N23" s="168"/>
      <c r="O23" s="168"/>
      <c r="P23" s="245"/>
      <c r="Q23" s="144"/>
    </row>
    <row r="24" spans="1:17" ht="16.5" thickBot="1">
      <c r="A24" s="48">
        <v>7</v>
      </c>
      <c r="B24" s="40"/>
      <c r="C24" s="497" t="s">
        <v>501</v>
      </c>
      <c r="D24" s="40"/>
      <c r="E24" s="143"/>
      <c r="F24" s="525">
        <f>ROUND(F20/F22,0)+1</f>
        <v>-5241</v>
      </c>
      <c r="G24" s="665">
        <f>ROUND(G20/G22,0)+1</f>
        <v>-5241</v>
      </c>
      <c r="H24" s="641">
        <f>'Exh. No. BGM-6 -3'!BJ84</f>
        <v>-1</v>
      </c>
      <c r="I24" s="74"/>
      <c r="J24" s="74"/>
      <c r="N24" s="168"/>
      <c r="O24" s="168"/>
      <c r="P24" s="245"/>
      <c r="Q24" s="144"/>
    </row>
    <row r="25" spans="1:17" ht="15.75">
      <c r="A25" s="40"/>
      <c r="B25" s="40"/>
      <c r="C25" s="40"/>
      <c r="D25" s="40"/>
      <c r="E25" s="143"/>
      <c r="F25" s="40"/>
      <c r="G25" s="105"/>
      <c r="H25" s="138"/>
      <c r="I25" s="74"/>
      <c r="J25" s="74"/>
      <c r="K25" s="675">
        <v>4397</v>
      </c>
      <c r="N25" s="169"/>
      <c r="O25" s="169"/>
      <c r="P25" s="245"/>
      <c r="Q25" s="144"/>
    </row>
    <row r="26" spans="1:17" ht="15.75">
      <c r="A26" s="48">
        <v>8</v>
      </c>
      <c r="B26" s="40"/>
      <c r="C26" s="497" t="s">
        <v>568</v>
      </c>
      <c r="D26" s="40"/>
      <c r="E26" s="40"/>
      <c r="F26" s="381">
        <f>'Exh. No. BGM-6 -2'!J15+'Exh. No. BGM-6 -2'!J16+1</f>
        <v>88474</v>
      </c>
      <c r="G26" s="381"/>
      <c r="H26" s="408">
        <f>F26+F24</f>
        <v>83233</v>
      </c>
      <c r="I26" s="74"/>
      <c r="J26" s="74"/>
      <c r="K26" s="676">
        <v>3483</v>
      </c>
      <c r="N26" s="52"/>
      <c r="O26" s="499"/>
      <c r="P26" s="245"/>
      <c r="Q26" s="144"/>
    </row>
    <row r="27" spans="1:17" ht="15.75">
      <c r="A27" s="40"/>
      <c r="B27" s="40"/>
      <c r="C27" s="40"/>
      <c r="D27" s="40"/>
      <c r="E27" s="40"/>
      <c r="F27" s="40"/>
      <c r="G27" s="105"/>
      <c r="H27" s="138"/>
      <c r="I27" s="74"/>
      <c r="J27" s="74"/>
      <c r="K27" s="675">
        <f>K26-K25</f>
        <v>-914</v>
      </c>
      <c r="N27" s="240"/>
      <c r="O27" s="240"/>
      <c r="P27" s="246"/>
      <c r="Q27" s="144"/>
    </row>
    <row r="28" spans="1:17" ht="16.5" thickBot="1">
      <c r="A28" s="48">
        <v>9</v>
      </c>
      <c r="B28" s="40"/>
      <c r="C28" s="497" t="s">
        <v>571</v>
      </c>
      <c r="D28" s="40"/>
      <c r="E28" s="40"/>
      <c r="F28" s="409">
        <f>ROUND(F24/F26,4)</f>
        <v>-5.9200000000000003E-2</v>
      </c>
      <c r="G28" s="678"/>
      <c r="H28" s="679">
        <v>1.7999999999999999E-2</v>
      </c>
      <c r="K28" s="675"/>
      <c r="N28" s="240"/>
      <c r="O28" s="240"/>
      <c r="P28" s="243"/>
      <c r="Q28" s="144"/>
    </row>
    <row r="29" spans="1:17" ht="16.5" thickTop="1">
      <c r="B29" s="40"/>
      <c r="C29" s="74"/>
      <c r="D29" s="74"/>
      <c r="E29" s="74"/>
      <c r="F29" s="74"/>
      <c r="G29" s="680"/>
      <c r="H29" s="680"/>
      <c r="K29" s="244"/>
      <c r="L29" s="241"/>
      <c r="M29" s="241"/>
      <c r="N29" s="242"/>
      <c r="O29" s="242"/>
      <c r="P29" s="245"/>
      <c r="Q29" s="144"/>
    </row>
    <row r="30" spans="1:17" ht="15.75">
      <c r="A30" s="612">
        <v>10</v>
      </c>
      <c r="C30" s="536" t="s">
        <v>569</v>
      </c>
      <c r="F30" s="644">
        <v>158581</v>
      </c>
      <c r="G30" s="502"/>
      <c r="H30" s="681">
        <f>F30+F24</f>
        <v>153340</v>
      </c>
      <c r="I30" s="828" t="s">
        <v>598</v>
      </c>
      <c r="J30" s="828"/>
      <c r="K30" s="830"/>
      <c r="L30" s="240"/>
      <c r="M30" s="240"/>
      <c r="N30" s="240"/>
      <c r="O30" s="240"/>
      <c r="P30" s="245"/>
      <c r="Q30" s="144"/>
    </row>
    <row r="31" spans="1:17" ht="15.75">
      <c r="G31" s="502"/>
      <c r="H31" s="537"/>
      <c r="K31" s="244"/>
      <c r="L31" s="241"/>
      <c r="M31" s="241"/>
      <c r="N31" s="242"/>
      <c r="O31" s="242"/>
      <c r="P31" s="245"/>
      <c r="Q31" s="144"/>
    </row>
    <row r="32" spans="1:17" ht="15.75" customHeight="1" thickBot="1">
      <c r="A32" s="612">
        <v>11</v>
      </c>
      <c r="C32" s="536" t="s">
        <v>570</v>
      </c>
      <c r="F32" s="409">
        <f>ROUND(F24/F30,4)</f>
        <v>-3.3000000000000002E-2</v>
      </c>
      <c r="G32" s="537"/>
      <c r="H32" s="679">
        <v>0.01</v>
      </c>
      <c r="K32" s="52"/>
      <c r="L32" s="52"/>
      <c r="M32" s="52"/>
      <c r="N32" s="52"/>
      <c r="O32" s="499"/>
      <c r="P32" s="245"/>
      <c r="Q32" s="144"/>
    </row>
    <row r="33" spans="1:17" ht="16.5" thickTop="1">
      <c r="A33" s="497" t="s">
        <v>483</v>
      </c>
      <c r="G33" s="682"/>
      <c r="H33" s="677" t="s">
        <v>481</v>
      </c>
      <c r="K33" s="244"/>
      <c r="L33" s="243"/>
      <c r="M33" s="243"/>
      <c r="N33" s="243"/>
      <c r="O33" s="243"/>
      <c r="P33" s="245"/>
      <c r="Q33" s="144"/>
    </row>
    <row r="34" spans="1:17" ht="15.75">
      <c r="A34" s="497"/>
      <c r="B34" s="536"/>
      <c r="C34" s="536"/>
      <c r="D34" s="536"/>
      <c r="E34" s="536"/>
      <c r="F34" s="536"/>
      <c r="G34" s="670"/>
      <c r="H34" s="677"/>
      <c r="I34" s="536"/>
      <c r="K34" s="244"/>
      <c r="L34" s="243"/>
      <c r="M34" s="243"/>
      <c r="N34" s="243"/>
      <c r="O34" s="243"/>
      <c r="P34" s="245"/>
      <c r="Q34" s="144"/>
    </row>
    <row r="35" spans="1:17" ht="15.75">
      <c r="C35" s="674" t="s">
        <v>593</v>
      </c>
      <c r="D35" s="669"/>
      <c r="E35" s="669"/>
      <c r="G35" s="403"/>
      <c r="H35" s="403"/>
      <c r="K35" s="244"/>
      <c r="L35" s="244"/>
      <c r="M35" s="244"/>
      <c r="N35" s="244"/>
      <c r="O35" s="244"/>
      <c r="P35" s="245"/>
      <c r="Q35" s="144"/>
    </row>
    <row r="36" spans="1:17">
      <c r="A36" s="685">
        <v>12</v>
      </c>
      <c r="C36" s="36" t="s">
        <v>594</v>
      </c>
      <c r="G36" s="667">
        <f>'Exh. No. BGM-6 -3'!AJ82</f>
        <v>274501.55872015096</v>
      </c>
      <c r="H36" s="671"/>
      <c r="K36" s="52"/>
      <c r="L36" s="52"/>
      <c r="M36" s="52"/>
      <c r="N36" s="52"/>
      <c r="O36" s="499"/>
      <c r="P36" s="52"/>
      <c r="Q36" s="144"/>
    </row>
    <row r="37" spans="1:17">
      <c r="A37" s="685">
        <v>13</v>
      </c>
      <c r="C37" s="36" t="s">
        <v>595</v>
      </c>
      <c r="G37" s="672">
        <f>'Exh. No. BGM-6 -3'!AJ59</f>
        <v>23151.095646741236</v>
      </c>
      <c r="H37" s="671"/>
      <c r="K37"/>
      <c r="L37"/>
      <c r="M37"/>
      <c r="N37"/>
      <c r="O37"/>
      <c r="P37"/>
    </row>
    <row r="38" spans="1:17">
      <c r="A38" s="685">
        <v>14</v>
      </c>
      <c r="C38" s="536" t="s">
        <v>592</v>
      </c>
      <c r="G38" s="683">
        <f>((G36*G14)-G37)/F22</f>
        <v>-5241.4788953122616</v>
      </c>
      <c r="H38" s="684" t="s">
        <v>16</v>
      </c>
      <c r="K38"/>
      <c r="L38"/>
      <c r="M38"/>
      <c r="N38"/>
      <c r="O38"/>
      <c r="P38"/>
    </row>
    <row r="39" spans="1:17">
      <c r="A39" s="685">
        <v>15</v>
      </c>
      <c r="C39" s="536" t="s">
        <v>591</v>
      </c>
      <c r="G39" s="668">
        <f>F24</f>
        <v>-5241</v>
      </c>
      <c r="H39" s="684" t="s">
        <v>600</v>
      </c>
      <c r="I39"/>
      <c r="J39"/>
      <c r="K39"/>
      <c r="L39"/>
      <c r="M39"/>
      <c r="N39"/>
      <c r="O39"/>
      <c r="P39"/>
    </row>
    <row r="40" spans="1:17" ht="13.5" thickBot="1">
      <c r="A40" s="685">
        <v>16</v>
      </c>
      <c r="C40" s="172" t="s">
        <v>596</v>
      </c>
      <c r="G40" s="673">
        <f>G39-G38</f>
        <v>0.47889531226155668</v>
      </c>
      <c r="H40" s="684" t="s">
        <v>601</v>
      </c>
      <c r="I40"/>
      <c r="J40"/>
      <c r="K40"/>
      <c r="L40"/>
      <c r="M40"/>
      <c r="N40"/>
      <c r="O40"/>
      <c r="P40"/>
    </row>
    <row r="41" spans="1:17" ht="14.25" thickTop="1" thickBot="1">
      <c r="A41" s="685">
        <v>17</v>
      </c>
      <c r="C41" s="172" t="s">
        <v>597</v>
      </c>
      <c r="F41" s="139"/>
      <c r="G41" s="673">
        <f>H24</f>
        <v>-1</v>
      </c>
      <c r="H41" s="684" t="s">
        <v>602</v>
      </c>
      <c r="I41"/>
      <c r="J41"/>
      <c r="K41"/>
      <c r="L41"/>
      <c r="M41"/>
      <c r="N41"/>
      <c r="O41"/>
      <c r="P41"/>
    </row>
    <row r="42" spans="1:17" ht="13.5" thickTop="1">
      <c r="F42" s="139"/>
      <c r="G42" s="139"/>
      <c r="H42" s="139"/>
      <c r="I42"/>
      <c r="J42"/>
      <c r="K42"/>
      <c r="L42"/>
      <c r="M42"/>
      <c r="N42"/>
      <c r="O42"/>
      <c r="P42"/>
    </row>
    <row r="43" spans="1:17">
      <c r="F43" s="139"/>
      <c r="G43" s="139"/>
      <c r="H43" s="139"/>
      <c r="I43"/>
      <c r="J43"/>
      <c r="K43"/>
      <c r="L43"/>
      <c r="M43"/>
      <c r="N43"/>
      <c r="O43"/>
      <c r="P43"/>
    </row>
    <row r="44" spans="1:17">
      <c r="F44" s="139"/>
      <c r="G44" s="139"/>
      <c r="H44" s="139"/>
      <c r="I44"/>
      <c r="J44"/>
      <c r="K44"/>
      <c r="L44"/>
      <c r="M44"/>
      <c r="N44"/>
      <c r="O44"/>
      <c r="P44"/>
    </row>
    <row r="45" spans="1:17">
      <c r="A45" s="829" t="s">
        <v>599</v>
      </c>
      <c r="B45" s="829"/>
      <c r="C45" s="829"/>
      <c r="D45" s="829"/>
      <c r="E45" s="829"/>
      <c r="F45" s="829"/>
      <c r="G45" s="829"/>
      <c r="H45" s="829"/>
      <c r="I45"/>
      <c r="J45"/>
      <c r="K45"/>
      <c r="L45"/>
      <c r="M45"/>
      <c r="N45"/>
      <c r="O45"/>
      <c r="P45"/>
    </row>
    <row r="46" spans="1:17">
      <c r="F46" s="139"/>
      <c r="G46" s="139"/>
      <c r="H46" s="139"/>
      <c r="I46"/>
      <c r="J46"/>
      <c r="K46"/>
      <c r="L46"/>
      <c r="M46"/>
      <c r="N46"/>
      <c r="O46"/>
      <c r="P46"/>
    </row>
    <row r="47" spans="1:17">
      <c r="F47" s="139"/>
      <c r="G47" s="139"/>
      <c r="H47" s="139"/>
      <c r="I47"/>
      <c r="J47"/>
      <c r="K47"/>
      <c r="L47"/>
      <c r="M47"/>
      <c r="N47"/>
      <c r="O47"/>
      <c r="P47"/>
    </row>
    <row r="48" spans="1:17">
      <c r="F48" s="139"/>
      <c r="G48" s="139"/>
      <c r="H48" s="139"/>
      <c r="I48"/>
      <c r="J48"/>
      <c r="K48"/>
      <c r="L48"/>
      <c r="M48"/>
      <c r="N48"/>
      <c r="O48"/>
      <c r="P48"/>
    </row>
    <row r="49" spans="6:17">
      <c r="F49" s="139"/>
      <c r="G49" s="139"/>
      <c r="H49" s="139"/>
      <c r="I49"/>
      <c r="J49"/>
      <c r="K49"/>
      <c r="L49"/>
      <c r="M49"/>
      <c r="N49"/>
      <c r="O49"/>
      <c r="P49"/>
    </row>
    <row r="50" spans="6:17">
      <c r="F50" s="139"/>
      <c r="G50" s="139"/>
      <c r="H50" s="139"/>
      <c r="I50"/>
      <c r="J50"/>
      <c r="K50"/>
      <c r="L50"/>
      <c r="M50"/>
      <c r="N50"/>
      <c r="O50"/>
      <c r="P50"/>
    </row>
    <row r="51" spans="6:17">
      <c r="F51" s="139"/>
      <c r="G51" s="139"/>
      <c r="H51" s="139"/>
      <c r="I51"/>
      <c r="J51"/>
      <c r="K51"/>
      <c r="L51"/>
      <c r="M51"/>
      <c r="N51"/>
      <c r="O51"/>
      <c r="P51"/>
    </row>
    <row r="52" spans="6:17">
      <c r="F52" s="139"/>
      <c r="G52" s="139"/>
      <c r="H52" s="139"/>
      <c r="I52"/>
      <c r="J52"/>
      <c r="K52"/>
      <c r="L52"/>
      <c r="M52"/>
      <c r="N52"/>
      <c r="O52"/>
      <c r="P52"/>
    </row>
    <row r="53" spans="6:17">
      <c r="F53" s="139"/>
      <c r="G53" s="139"/>
      <c r="H53" s="139"/>
      <c r="I53"/>
      <c r="J53"/>
      <c r="K53"/>
      <c r="L53"/>
      <c r="M53"/>
      <c r="N53"/>
      <c r="O53"/>
      <c r="P53"/>
    </row>
    <row r="54" spans="6:17">
      <c r="F54" s="139"/>
      <c r="G54" s="139"/>
      <c r="H54" s="139"/>
      <c r="I54"/>
      <c r="J54"/>
      <c r="K54" s="139"/>
      <c r="L54" s="139"/>
      <c r="M54" s="139"/>
      <c r="N54" s="139"/>
      <c r="O54" s="537"/>
      <c r="P54" s="139"/>
    </row>
    <row r="55" spans="6:17">
      <c r="F55" s="139"/>
      <c r="G55" s="139"/>
      <c r="H55" s="139"/>
      <c r="I55"/>
      <c r="J55"/>
      <c r="K55" s="139"/>
      <c r="L55" s="139"/>
      <c r="M55" s="139"/>
      <c r="N55" s="139"/>
      <c r="O55" s="537"/>
      <c r="P55" s="139"/>
    </row>
    <row r="56" spans="6:17">
      <c r="F56" s="139"/>
      <c r="G56" s="139"/>
      <c r="H56" s="139"/>
      <c r="I56" s="139"/>
      <c r="J56" s="537"/>
      <c r="K56" s="139"/>
      <c r="L56" s="139"/>
      <c r="M56" s="139"/>
      <c r="N56" s="139"/>
      <c r="O56" s="537"/>
      <c r="P56" s="139"/>
      <c r="Q56" s="126"/>
    </row>
    <row r="57" spans="6:17">
      <c r="F57" s="139"/>
      <c r="G57" s="139"/>
      <c r="H57" s="139"/>
      <c r="I57" s="139"/>
      <c r="J57" s="537"/>
      <c r="K57" s="139"/>
      <c r="L57" s="139"/>
      <c r="M57" s="139"/>
      <c r="N57" s="139"/>
      <c r="O57" s="537"/>
      <c r="P57" s="139"/>
      <c r="Q57" s="126"/>
    </row>
    <row r="58" spans="6:17">
      <c r="F58" s="139"/>
      <c r="G58" s="139"/>
      <c r="H58" s="139"/>
      <c r="I58" s="139"/>
      <c r="J58" s="537"/>
      <c r="Q58" s="126"/>
    </row>
    <row r="59" spans="6:17">
      <c r="F59" s="139"/>
      <c r="G59" s="139"/>
      <c r="H59" s="139"/>
      <c r="I59" s="139"/>
      <c r="J59" s="537"/>
      <c r="Q59" s="126"/>
    </row>
    <row r="85" spans="28:28">
      <c r="AB85">
        <f>AB91</f>
        <v>0</v>
      </c>
    </row>
  </sheetData>
  <mergeCells count="10">
    <mergeCell ref="A3:H3"/>
    <mergeCell ref="A5:H5"/>
    <mergeCell ref="F9:F10"/>
    <mergeCell ref="G9:G10"/>
    <mergeCell ref="H9:H10"/>
    <mergeCell ref="A45:H45"/>
    <mergeCell ref="I30:K30"/>
    <mergeCell ref="C9:D10"/>
    <mergeCell ref="A4:H4"/>
    <mergeCell ref="A6:H6"/>
  </mergeCells>
  <phoneticPr fontId="0" type="noConversion"/>
  <printOptions horizontalCentered="1"/>
  <pageMargins left="0.75" right="0.5" top="0.72" bottom="0.84" header="0.5" footer="0.5"/>
  <pageSetup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8"/>
  <sheetViews>
    <sheetView view="pageBreakPreview" zoomScale="85" zoomScaleNormal="100" zoomScaleSheetLayoutView="85" workbookViewId="0">
      <pane xSplit="5" ySplit="12" topLeftCell="F13" activePane="bottomRight" state="frozen"/>
      <selection activeCell="H1" sqref="H1"/>
      <selection pane="topRight" activeCell="H1" sqref="H1"/>
      <selection pane="bottomLeft" activeCell="H1" sqref="H1"/>
      <selection pane="bottomRight" activeCell="F13" sqref="F13"/>
    </sheetView>
  </sheetViews>
  <sheetFormatPr defaultColWidth="10.7109375" defaultRowHeight="12"/>
  <cols>
    <col min="1" max="1" width="5.7109375" style="228" customWidth="1"/>
    <col min="2" max="3" width="1.7109375" style="204" customWidth="1"/>
    <col min="4" max="4" width="28.7109375" style="204" customWidth="1"/>
    <col min="5" max="5" width="17.28515625" style="206" customWidth="1"/>
    <col min="6" max="49" width="20.42578125" style="206" customWidth="1"/>
    <col min="50" max="16384" width="10.7109375" style="204"/>
  </cols>
  <sheetData>
    <row r="1" spans="1:49">
      <c r="F1" s="257" t="s">
        <v>229</v>
      </c>
      <c r="G1" s="257" t="s">
        <v>229</v>
      </c>
      <c r="H1" s="257" t="s">
        <v>229</v>
      </c>
      <c r="I1" s="257" t="s">
        <v>229</v>
      </c>
      <c r="J1" s="257" t="s">
        <v>229</v>
      </c>
      <c r="K1" s="257" t="s">
        <v>229</v>
      </c>
      <c r="L1" s="257" t="s">
        <v>229</v>
      </c>
      <c r="M1" s="257" t="s">
        <v>229</v>
      </c>
      <c r="N1" s="257" t="s">
        <v>229</v>
      </c>
      <c r="O1" s="257" t="s">
        <v>229</v>
      </c>
      <c r="P1" s="257" t="s">
        <v>229</v>
      </c>
      <c r="Q1" s="257" t="s">
        <v>229</v>
      </c>
      <c r="R1" s="257" t="s">
        <v>229</v>
      </c>
      <c r="S1" s="257" t="s">
        <v>229</v>
      </c>
      <c r="T1" s="257" t="s">
        <v>229</v>
      </c>
      <c r="U1" s="257" t="s">
        <v>229</v>
      </c>
      <c r="V1" s="257" t="s">
        <v>229</v>
      </c>
      <c r="W1" s="257" t="s">
        <v>229</v>
      </c>
      <c r="X1" s="257" t="s">
        <v>229</v>
      </c>
      <c r="Y1" s="257" t="s">
        <v>229</v>
      </c>
      <c r="Z1" s="257" t="s">
        <v>229</v>
      </c>
      <c r="AA1" s="257" t="s">
        <v>229</v>
      </c>
      <c r="AB1" s="257" t="s">
        <v>229</v>
      </c>
      <c r="AC1" s="257" t="s">
        <v>229</v>
      </c>
      <c r="AD1" s="257" t="s">
        <v>229</v>
      </c>
      <c r="AE1" s="257" t="s">
        <v>229</v>
      </c>
      <c r="AF1" s="257" t="s">
        <v>229</v>
      </c>
      <c r="AG1" s="257" t="s">
        <v>229</v>
      </c>
      <c r="AH1" s="257" t="s">
        <v>229</v>
      </c>
      <c r="AI1" s="257" t="s">
        <v>229</v>
      </c>
      <c r="AJ1" s="257" t="s">
        <v>229</v>
      </c>
      <c r="AK1" s="257" t="s">
        <v>229</v>
      </c>
      <c r="AL1" s="257" t="s">
        <v>229</v>
      </c>
      <c r="AM1" s="257" t="s">
        <v>229</v>
      </c>
      <c r="AN1" s="257" t="s">
        <v>229</v>
      </c>
      <c r="AO1" s="257" t="s">
        <v>229</v>
      </c>
      <c r="AP1" s="257" t="s">
        <v>229</v>
      </c>
      <c r="AQ1" s="257" t="s">
        <v>229</v>
      </c>
      <c r="AR1" s="257" t="s">
        <v>229</v>
      </c>
      <c r="AS1" s="257" t="s">
        <v>229</v>
      </c>
      <c r="AT1" s="257" t="s">
        <v>229</v>
      </c>
      <c r="AU1" s="257" t="s">
        <v>229</v>
      </c>
      <c r="AV1" s="257" t="s">
        <v>229</v>
      </c>
      <c r="AW1" s="257" t="s">
        <v>229</v>
      </c>
    </row>
    <row r="2" spans="1:49" ht="12.75" customHeight="1">
      <c r="A2" s="203" t="str">
        <f>'ROO INPUT'!A3:C3</f>
        <v>Traditional Revenue Requirement Calculations for Avista Corporation</v>
      </c>
      <c r="E2" s="205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</row>
    <row r="3" spans="1:49" ht="12.75" customHeight="1">
      <c r="A3" s="203" t="str">
        <f>'ROO INPUT'!A4:C4</f>
        <v>Washington Natural Gas Results</v>
      </c>
      <c r="E3" s="205"/>
    </row>
    <row r="4" spans="1:49" ht="12.75" customHeight="1">
      <c r="A4" s="203" t="str">
        <f>'ROO INPUT'!A5:C5</f>
        <v>Twelve Months Ended September 31, 2015</v>
      </c>
      <c r="E4" s="208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</row>
    <row r="5" spans="1:49">
      <c r="A5" s="203" t="str">
        <f>'ROO INPUT'!A6:C6</f>
        <v xml:space="preserve">($000)   </v>
      </c>
      <c r="B5" s="203"/>
      <c r="C5" s="203"/>
      <c r="D5" s="203"/>
      <c r="E5" s="203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</row>
    <row r="6" spans="1:49" ht="12.75" customHeight="1">
      <c r="A6" s="203"/>
    </row>
    <row r="7" spans="1:49" s="211" customFormat="1">
      <c r="A7" s="210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</row>
    <row r="8" spans="1:49" s="211" customFormat="1" ht="12" customHeight="1">
      <c r="A8" s="213"/>
      <c r="B8" s="214"/>
      <c r="C8" s="215"/>
      <c r="D8" s="216"/>
      <c r="E8" s="217" t="str">
        <f>'Exh. No. BGM-6 -3'!E8</f>
        <v>Per</v>
      </c>
      <c r="F8" s="217" t="str">
        <f>'Exh. No. BGM-6 -3'!F8</f>
        <v xml:space="preserve">Deferred </v>
      </c>
      <c r="G8" s="217" t="str">
        <f>'Exh. No. BGM-6 -3'!G8</f>
        <v>Deferred Debits</v>
      </c>
      <c r="H8" s="217" t="str">
        <f>'Exh. No. BGM-6 -3'!H8</f>
        <v>Working</v>
      </c>
      <c r="I8" s="217" t="str">
        <f>'Exh. No. BGM-6 -3'!I8</f>
        <v xml:space="preserve">Eliminate </v>
      </c>
      <c r="J8" s="217" t="str">
        <f>'Exh. No. BGM-6 -3'!J8</f>
        <v>Restate</v>
      </c>
      <c r="K8" s="217" t="str">
        <f>'Exh. No. BGM-6 -3'!K8</f>
        <v>Uncollectible</v>
      </c>
      <c r="L8" s="217" t="str">
        <f>'Exh. No. BGM-6 -3'!L8</f>
        <v>Regulatory</v>
      </c>
      <c r="M8" s="217" t="str">
        <f>'Exh. No. BGM-6 -3'!M8</f>
        <v>Injuries</v>
      </c>
      <c r="N8" s="217" t="str">
        <f>'Exh. No. BGM-6 -3'!N8</f>
        <v xml:space="preserve">FIT / </v>
      </c>
      <c r="O8" s="217" t="str">
        <f>'Exh. No. BGM-6 -3'!O8</f>
        <v>Office Space</v>
      </c>
      <c r="P8" s="217" t="str">
        <f>'Exh. No. BGM-6 -3'!P8</f>
        <v>Restate</v>
      </c>
      <c r="Q8" s="217" t="str">
        <f>'Exh. No. BGM-6 -3'!Q8</f>
        <v>Net</v>
      </c>
      <c r="R8" s="217" t="str">
        <f>'Exh. No. BGM-6 -3'!R8</f>
        <v xml:space="preserve">Weather </v>
      </c>
      <c r="S8" s="217" t="str">
        <f>'Exh. No. BGM-6 -3'!S8</f>
        <v>Eliminate</v>
      </c>
      <c r="T8" s="217" t="str">
        <f>'Exh. No. BGM-6 -3'!T8</f>
        <v>Misc</v>
      </c>
      <c r="U8" s="217" t="str">
        <f>'Exh. No. BGM-6 -3'!U8</f>
        <v>Restate</v>
      </c>
      <c r="V8" s="217" t="str">
        <f>'Exh. No. BGM-6 -3'!V8</f>
        <v>Restating</v>
      </c>
      <c r="W8" s="217" t="str">
        <f>'Exh. No. BGM-6 -3'!W8</f>
        <v xml:space="preserve">Project </v>
      </c>
      <c r="X8" s="217" t="str">
        <f>'Exh. No. BGM-6 -3'!Y8</f>
        <v>Pro Forma</v>
      </c>
      <c r="Y8" s="217" t="str">
        <f>'Exh. No. BGM-6 -3'!Z8</f>
        <v>Pro Forma</v>
      </c>
      <c r="Z8" s="217" t="str">
        <f>'Exh. No. BGM-6 -3'!AA8</f>
        <v>Pro Forma</v>
      </c>
      <c r="AA8" s="217" t="str">
        <f>'Exh. No. BGM-6 -3'!AB8</f>
        <v xml:space="preserve">Pro Forma </v>
      </c>
      <c r="AB8" s="217" t="str">
        <f>'Exh. No. BGM-6 -3'!AC8</f>
        <v>Pro Forma</v>
      </c>
      <c r="AC8" s="217" t="str">
        <f>'Exh. No. BGM-6 -3'!AD8</f>
        <v>Pro Forma</v>
      </c>
      <c r="AD8" s="217" t="str">
        <f>'Exh. No. BGM-6 -3'!AE8</f>
        <v xml:space="preserve">Pro Forma </v>
      </c>
      <c r="AE8" s="217" t="str">
        <f>'Exh. No. BGM-6 -3'!AF8</f>
        <v>Pro Forma</v>
      </c>
      <c r="AF8" s="217" t="str">
        <f>'Exh. No. BGM-6 -3'!AG8</f>
        <v>Pro Forma</v>
      </c>
      <c r="AG8" s="217" t="str">
        <f>'Exh. No. BGM-6 -3'!AH8</f>
        <v xml:space="preserve">Pro Forma </v>
      </c>
      <c r="AH8" s="217" t="str">
        <f>'Exh. No. BGM-6 -3'!AI8</f>
        <v>Pro Forma</v>
      </c>
      <c r="AI8" s="217" t="str">
        <f>'Exh. No. BGM-6 -3'!AK8</f>
        <v>Cross Check</v>
      </c>
      <c r="AJ8" s="217" t="str">
        <f>'Exh. No. BGM-6 -3'!AL8</f>
        <v>Cross Check</v>
      </c>
      <c r="AK8" s="217" t="str">
        <f>'Exh. No. BGM-6 -3'!AM8</f>
        <v>Cross Check</v>
      </c>
      <c r="AL8" s="217" t="str">
        <f>'Exh. No. BGM-6 -3'!AN8</f>
        <v>Cross Check</v>
      </c>
      <c r="AM8" s="217" t="str">
        <f>'Exh. No. BGM-6 -3'!AO8</f>
        <v>Cross Check</v>
      </c>
      <c r="AN8" s="217" t="str">
        <f>'Exh. No. BGM-6 -3'!AP8</f>
        <v>Cross Check</v>
      </c>
      <c r="AO8" s="217" t="str">
        <f>'Exh. No. BGM-6 -3'!AQ8</f>
        <v>Cross Check</v>
      </c>
      <c r="AP8" s="217" t="str">
        <f>'Exh. No. BGM-6 -3'!AS8</f>
        <v>Reconcile 2017</v>
      </c>
      <c r="AQ8" s="217" t="str">
        <f>'Exh. No. BGM-6 -3'!BA8</f>
        <v>Cross Check</v>
      </c>
      <c r="AR8" s="217" t="str">
        <f>'Exh. No. BGM-6 -3'!BB8</f>
        <v>Cross Check</v>
      </c>
      <c r="AS8" s="217" t="str">
        <f>'Exh. No. BGM-6 -3'!BC8</f>
        <v>Cross Check</v>
      </c>
      <c r="AT8" s="217" t="str">
        <f>'Exh. No. BGM-6 -3'!BD8</f>
        <v>Cross Check</v>
      </c>
      <c r="AU8" s="217" t="str">
        <f>'Exh. No. BGM-6 -3'!BE8</f>
        <v>Cross Check</v>
      </c>
      <c r="AV8" s="217" t="str">
        <f>'Exh. No. BGM-6 -3'!BF8</f>
        <v>Cross Check</v>
      </c>
      <c r="AW8" s="217" t="str">
        <f>'Exh. No. BGM-6 -3'!BH8</f>
        <v>Reconcile 2018</v>
      </c>
    </row>
    <row r="9" spans="1:49" s="211" customFormat="1">
      <c r="A9" s="218" t="s">
        <v>7</v>
      </c>
      <c r="B9" s="219"/>
      <c r="C9" s="220"/>
      <c r="D9" s="221"/>
      <c r="E9" s="222" t="str">
        <f>'Exh. No. BGM-6 -3'!E9</f>
        <v xml:space="preserve">Results </v>
      </c>
      <c r="F9" s="222" t="str">
        <f>'Exh. No. BGM-6 -3'!F9</f>
        <v>FIT</v>
      </c>
      <c r="G9" s="222" t="str">
        <f>'Exh. No. BGM-6 -3'!G9</f>
        <v xml:space="preserve">and </v>
      </c>
      <c r="H9" s="222" t="str">
        <f>'Exh. No. BGM-6 -3'!H9</f>
        <v>Capital</v>
      </c>
      <c r="I9" s="222" t="str">
        <f>'Exh. No. BGM-6 -3'!I9</f>
        <v xml:space="preserve">B &amp; O </v>
      </c>
      <c r="J9" s="222" t="str">
        <f>'Exh. No. BGM-6 -3'!J9</f>
        <v>Property</v>
      </c>
      <c r="K9" s="222" t="str">
        <f>'Exh. No. BGM-6 -3'!K9</f>
        <v>Expense</v>
      </c>
      <c r="L9" s="222" t="str">
        <f>'Exh. No. BGM-6 -3'!L9</f>
        <v>Expense</v>
      </c>
      <c r="M9" s="222" t="str">
        <f>'Exh. No. BGM-6 -3'!M9</f>
        <v xml:space="preserve">and </v>
      </c>
      <c r="N9" s="222" t="str">
        <f>'Exh. No. BGM-6 -3'!N9</f>
        <v xml:space="preserve">DFIT </v>
      </c>
      <c r="O9" s="222" t="str">
        <f>'Exh. No. BGM-6 -3'!O9</f>
        <v>Charges to</v>
      </c>
      <c r="P9" s="222" t="str">
        <f>'Exh. No. BGM-6 -3'!P9</f>
        <v>Excise</v>
      </c>
      <c r="Q9" s="222" t="str">
        <f>'Exh. No. BGM-6 -3'!Q9</f>
        <v>Gains/Losses</v>
      </c>
      <c r="R9" s="222" t="str">
        <f>'Exh. No. BGM-6 -3'!R9</f>
        <v>Normalization /</v>
      </c>
      <c r="S9" s="222" t="str">
        <f>'Exh. No. BGM-6 -3'!S9</f>
        <v>Adder</v>
      </c>
      <c r="T9" s="222" t="str">
        <f>'Exh. No. BGM-6 -3'!T9</f>
        <v>Restating</v>
      </c>
      <c r="U9" s="222" t="str">
        <f>'Exh. No. BGM-6 -3'!U9</f>
        <v>Debt</v>
      </c>
      <c r="V9" s="222" t="str">
        <f>'Exh. No. BGM-6 -3'!V9</f>
        <v>Incentive</v>
      </c>
      <c r="W9" s="222" t="str">
        <f>'Exh. No. BGM-6 -3'!W9</f>
        <v>Compass</v>
      </c>
      <c r="X9" s="222" t="str">
        <f>'Exh. No. BGM-6 -3'!Y9</f>
        <v>Labor</v>
      </c>
      <c r="Y9" s="222" t="str">
        <f>'Exh. No. BGM-6 -3'!Z9</f>
        <v>Labor</v>
      </c>
      <c r="Z9" s="222" t="str">
        <f>'Exh. No. BGM-6 -3'!AA9</f>
        <v>Employee</v>
      </c>
      <c r="AA9" s="222" t="str">
        <f>'Exh. No. BGM-6 -3'!AB9</f>
        <v>Pipeline</v>
      </c>
      <c r="AB9" s="222" t="str">
        <f>'Exh. No. BGM-6 -3'!AC9</f>
        <v>Property</v>
      </c>
      <c r="AC9" s="222" t="str">
        <f>'Exh. No. BGM-6 -3'!AD9</f>
        <v xml:space="preserve"> Revenue</v>
      </c>
      <c r="AD9" s="222" t="str">
        <f>'Exh. No. BGM-6 -3'!AE9</f>
        <v>Atmospheric</v>
      </c>
      <c r="AE9" s="222" t="str">
        <f>'Exh. No. BGM-6 -3'!AF9</f>
        <v>Regulatory</v>
      </c>
      <c r="AF9" s="222" t="str">
        <f>'Exh. No. BGM-6 -3'!AG9</f>
        <v>Capital Add</v>
      </c>
      <c r="AG9" s="222" t="str">
        <f>'Exh. No. BGM-6 -3'!AH9</f>
        <v>2016 Limited</v>
      </c>
      <c r="AH9" s="222" t="str">
        <f>'Exh. No. BGM-6 -3'!AI9</f>
        <v>O&amp;M</v>
      </c>
      <c r="AI9" s="222" t="str">
        <f>'Exh. No. BGM-6 -3'!AK9</f>
        <v>Labor</v>
      </c>
      <c r="AJ9" s="222" t="str">
        <f>'Exh. No. BGM-6 -3'!AL9</f>
        <v>Capital Add</v>
      </c>
      <c r="AK9" s="222" t="str">
        <f>'Exh. No. BGM-6 -3'!AM9</f>
        <v>Capital Add</v>
      </c>
      <c r="AL9" s="222" t="str">
        <f>'Exh. No. BGM-6 -3'!AN9</f>
        <v>2017 AMI</v>
      </c>
      <c r="AM9" s="222" t="str">
        <f>'Exh. No. BGM-6 -3'!AO9</f>
        <v xml:space="preserve">Information </v>
      </c>
      <c r="AN9" s="222" t="str">
        <f>'Exh. No. BGM-6 -3'!AP9</f>
        <v>Insurance</v>
      </c>
      <c r="AO9" s="222" t="str">
        <f>'Exh. No. BGM-6 -3'!AQ9</f>
        <v>Property</v>
      </c>
      <c r="AP9" s="222" t="str">
        <f>'Exh. No. BGM-6 -3'!AS9</f>
        <v>Cross Check</v>
      </c>
      <c r="AQ9" s="222" t="str">
        <f>'Exh. No. BGM-6 -3'!BA9</f>
        <v>Labor</v>
      </c>
      <c r="AR9" s="222" t="str">
        <f>'Exh. No. BGM-6 -3'!BB9</f>
        <v xml:space="preserve">Regulatory </v>
      </c>
      <c r="AS9" s="222" t="str">
        <f>'Exh. No. BGM-6 -3'!BC9</f>
        <v>Insurance</v>
      </c>
      <c r="AT9" s="222" t="str">
        <f>'Exh. No. BGM-6 -3'!BD9</f>
        <v xml:space="preserve">Information </v>
      </c>
      <c r="AU9" s="222" t="str">
        <f>'Exh. No. BGM-6 -3'!BE9</f>
        <v>Planned Capital</v>
      </c>
      <c r="AV9" s="222" t="str">
        <f>'Exh. No. BGM-6 -3'!BF9</f>
        <v>2018 AMI</v>
      </c>
      <c r="AW9" s="222" t="str">
        <f>'Exh. No. BGM-6 -3'!BH9</f>
        <v>Cross Check</v>
      </c>
    </row>
    <row r="10" spans="1:49" s="211" customFormat="1">
      <c r="A10" s="223" t="s">
        <v>17</v>
      </c>
      <c r="B10" s="224"/>
      <c r="C10" s="225"/>
      <c r="D10" s="226" t="s">
        <v>18</v>
      </c>
      <c r="E10" s="227" t="str">
        <f>'Exh. No. BGM-6 -3'!E10</f>
        <v>Report</v>
      </c>
      <c r="F10" s="227" t="str">
        <f>'Exh. No. BGM-6 -3'!F10</f>
        <v>Rate Base</v>
      </c>
      <c r="G10" s="227" t="str">
        <f>'Exh. No. BGM-6 -3'!G10</f>
        <v>Credits</v>
      </c>
      <c r="H10" s="227"/>
      <c r="I10" s="227" t="str">
        <f>'Exh. No. BGM-6 -3'!I10</f>
        <v>Taxes</v>
      </c>
      <c r="J10" s="227" t="str">
        <f>'Exh. No. BGM-6 -3'!J10</f>
        <v>Tax</v>
      </c>
      <c r="K10" s="227"/>
      <c r="L10" s="227"/>
      <c r="M10" s="227" t="str">
        <f>'Exh. No. BGM-6 -3'!M10</f>
        <v>Damages</v>
      </c>
      <c r="N10" s="227" t="str">
        <f>'Exh. No. BGM-6 -3'!N10</f>
        <v>Expense</v>
      </c>
      <c r="O10" s="227" t="str">
        <f>'Exh. No. BGM-6 -3'!O10</f>
        <v>Subs</v>
      </c>
      <c r="P10" s="227" t="str">
        <f>'Exh. No. BGM-6 -3'!P10</f>
        <v>Taxes</v>
      </c>
      <c r="Q10" s="227"/>
      <c r="R10" s="227" t="str">
        <f>'Exh. No. BGM-6 -3'!R10</f>
        <v>Gas Cost Adjust</v>
      </c>
      <c r="S10" s="227" t="str">
        <f>'Exh. No. BGM-6 -3'!S10</f>
        <v>Schedules</v>
      </c>
      <c r="T10" s="227" t="str">
        <f>'Exh. No. BGM-6 -3'!T10</f>
        <v>Adjustments</v>
      </c>
      <c r="U10" s="227" t="str">
        <f>'Exh. No. BGM-6 -3'!U10</f>
        <v>Interest</v>
      </c>
      <c r="V10" s="227" t="str">
        <f>'Exh. No. BGM-6 -3'!V10</f>
        <v>Adjustment</v>
      </c>
      <c r="W10" s="227" t="str">
        <f>'Exh. No. BGM-6 -3'!W10</f>
        <v>Deferral</v>
      </c>
      <c r="X10" s="227" t="str">
        <f>'Exh. No. BGM-6 -3'!Y10</f>
        <v>Non-Exec</v>
      </c>
      <c r="Y10" s="227" t="str">
        <f>'Exh. No. BGM-6 -3'!Z10</f>
        <v>Exec</v>
      </c>
      <c r="Z10" s="227" t="str">
        <f>'Exh. No. BGM-6 -3'!AA10</f>
        <v>Benefits</v>
      </c>
      <c r="AA10" s="227" t="str">
        <f>'Exh. No. BGM-6 -3'!AB10</f>
        <v>Safety Labor</v>
      </c>
      <c r="AB10" s="227" t="str">
        <f>'Exh. No. BGM-6 -3'!AC10</f>
        <v>Tax</v>
      </c>
      <c r="AC10" s="227" t="str">
        <f>'Exh. No. BGM-6 -3'!AD10</f>
        <v xml:space="preserve">Normalization </v>
      </c>
      <c r="AD10" s="227" t="str">
        <f>'Exh. No. BGM-6 -3'!AE10</f>
        <v>Testing</v>
      </c>
      <c r="AE10" s="227" t="str">
        <f>'Exh. No. BGM-6 -3'!AF10</f>
        <v>Amortization</v>
      </c>
      <c r="AF10" s="227" t="str">
        <f>'Exh. No. BGM-6 -3'!AG10</f>
        <v>Dec 2015 AMA</v>
      </c>
      <c r="AG10" s="227" t="str">
        <f>'Exh. No. BGM-6 -3'!AH10</f>
        <v>Capital Adds</v>
      </c>
      <c r="AH10" s="227" t="str">
        <f>'Exh. No. BGM-6 -3'!AI10</f>
        <v>Offsets</v>
      </c>
      <c r="AI10" s="227" t="str">
        <f>'Exh. No. BGM-6 -3'!AK10</f>
        <v>Non-Exec</v>
      </c>
      <c r="AJ10" s="227" t="str">
        <f>'Exh. No. BGM-6 -3'!AL10</f>
        <v>2016 AMA</v>
      </c>
      <c r="AK10" s="227" t="str">
        <f>'Exh. No. BGM-6 -3'!AM10</f>
        <v>2017 AMA</v>
      </c>
      <c r="AL10" s="227" t="str">
        <f>'Exh. No. BGM-6 -3'!AN10</f>
        <v>Capital &amp; Expense</v>
      </c>
      <c r="AM10" s="227" t="str">
        <f>'Exh. No. BGM-6 -3'!AO10</f>
        <v>Tech/Serv Exp</v>
      </c>
      <c r="AN10" s="227" t="str">
        <f>'Exh. No. BGM-6 -3'!AP10</f>
        <v>Expense</v>
      </c>
      <c r="AO10" s="227" t="str">
        <f>'Exh. No. BGM-6 -3'!AQ10</f>
        <v>Tax Exp</v>
      </c>
      <c r="AP10" s="227" t="str">
        <f>'Exh. No. BGM-6 -3'!AS10</f>
        <v>to Attrition</v>
      </c>
      <c r="AQ10" s="227" t="str">
        <f>'Exh. No. BGM-6 -3'!BA10</f>
        <v>Non-Exec</v>
      </c>
      <c r="AR10" s="227" t="str">
        <f>'Exh. No. BGM-6 -3'!BB10</f>
        <v>Amortizations</v>
      </c>
      <c r="AS10" s="227" t="str">
        <f>'Exh. No. BGM-6 -3'!BC10</f>
        <v>Expense</v>
      </c>
      <c r="AT10" s="227" t="str">
        <f>'Exh. No. BGM-6 -3'!BD10</f>
        <v>Tech/Serv Exp</v>
      </c>
      <c r="AU10" s="227" t="str">
        <f>'Exh. No. BGM-6 -3'!BE10</f>
        <v>Add 2018 AMA</v>
      </c>
      <c r="AV10" s="227" t="str">
        <f>'Exh. No. BGM-6 -3'!BF10</f>
        <v>Capital &amp; Expense</v>
      </c>
      <c r="AW10" s="227" t="str">
        <f>'Exh. No. BGM-6 -3'!BH10</f>
        <v>to Attrition</v>
      </c>
    </row>
    <row r="11" spans="1:49" s="211" customFormat="1">
      <c r="A11" s="210"/>
      <c r="B11" s="247" t="s">
        <v>206</v>
      </c>
      <c r="E11" s="248">
        <f>'Exh. No. BGM-6 -3'!E11</f>
        <v>1</v>
      </c>
      <c r="F11" s="248">
        <f>'Exh. No. BGM-6 -3'!F11</f>
        <v>1.01</v>
      </c>
      <c r="G11" s="248">
        <f>'Exh. No. BGM-6 -3'!G11</f>
        <v>1.02</v>
      </c>
      <c r="H11" s="248">
        <f>'Exh. No. BGM-6 -3'!H11</f>
        <v>1.03</v>
      </c>
      <c r="I11" s="248">
        <f>'Exh. No. BGM-6 -3'!I11</f>
        <v>2.0099999999999998</v>
      </c>
      <c r="J11" s="248">
        <f>'Exh. No. BGM-6 -3'!J11</f>
        <v>2.0199999999999996</v>
      </c>
      <c r="K11" s="248">
        <f>'Exh. No. BGM-6 -3'!K11</f>
        <v>2.0299999999999994</v>
      </c>
      <c r="L11" s="248">
        <f>'Exh. No. BGM-6 -3'!L11</f>
        <v>2.0399999999999991</v>
      </c>
      <c r="M11" s="248">
        <f>'Exh. No. BGM-6 -3'!M11</f>
        <v>2.0499999999999989</v>
      </c>
      <c r="N11" s="248">
        <f>'Exh. No. BGM-6 -3'!N11</f>
        <v>2.0599999999999987</v>
      </c>
      <c r="O11" s="248">
        <f>'Exh. No. BGM-6 -3'!O11</f>
        <v>2.0699999999999985</v>
      </c>
      <c r="P11" s="248">
        <f>'Exh. No. BGM-6 -3'!P11</f>
        <v>2.0799999999999983</v>
      </c>
      <c r="Q11" s="248">
        <f>'Exh. No. BGM-6 -3'!Q11</f>
        <v>2.0899999999999981</v>
      </c>
      <c r="R11" s="248">
        <f>'Exh. No. BGM-6 -3'!R11</f>
        <v>2.0999999999999979</v>
      </c>
      <c r="S11" s="248">
        <f>'Exh. No. BGM-6 -3'!S11</f>
        <v>2.1099999999999977</v>
      </c>
      <c r="T11" s="248">
        <f>'Exh. No. BGM-6 -3'!T11</f>
        <v>2.1199999999999974</v>
      </c>
      <c r="U11" s="248">
        <f>'Exh. No. BGM-6 -3'!U11</f>
        <v>2.1299999999999972</v>
      </c>
      <c r="V11" s="248">
        <f>'Exh. No. BGM-6 -3'!V11</f>
        <v>2.139999999999997</v>
      </c>
      <c r="W11" s="248">
        <f>'Exh. No. BGM-6 -3'!W11</f>
        <v>2.1499999999999968</v>
      </c>
      <c r="X11" s="248">
        <f>'Exh. No. BGM-6 -3'!Y11</f>
        <v>3</v>
      </c>
      <c r="Y11" s="248">
        <f>'Exh. No. BGM-6 -3'!Z11</f>
        <v>3.01</v>
      </c>
      <c r="Z11" s="248">
        <f>'Exh. No. BGM-6 -3'!AA11</f>
        <v>3.0199999999999996</v>
      </c>
      <c r="AA11" s="248">
        <f>'Exh. No. BGM-6 -3'!AB11</f>
        <v>3.0299999999999994</v>
      </c>
      <c r="AB11" s="248">
        <f>'Exh. No. BGM-6 -3'!AC11</f>
        <v>3.0399999999999991</v>
      </c>
      <c r="AC11" s="248">
        <f>'Exh. No. BGM-6 -3'!AD11</f>
        <v>3.0499999999999989</v>
      </c>
      <c r="AD11" s="248">
        <f>'Exh. No. BGM-6 -3'!AE11</f>
        <v>3.0599999999999987</v>
      </c>
      <c r="AE11" s="248">
        <f>'Exh. No. BGM-6 -3'!AF11</f>
        <v>3.0699999999999985</v>
      </c>
      <c r="AF11" s="248">
        <f>'Exh. No. BGM-6 -3'!AG11</f>
        <v>3.0799999999999983</v>
      </c>
      <c r="AG11" s="248">
        <f>'Exh. No. BGM-6 -3'!AH11</f>
        <v>3.0899999999999981</v>
      </c>
      <c r="AH11" s="248">
        <f>'Exh. No. BGM-6 -3'!AI11</f>
        <v>3.0999999999999979</v>
      </c>
      <c r="AI11" s="248">
        <f>'Exh. No. BGM-6 -3'!AK11</f>
        <v>4</v>
      </c>
      <c r="AJ11" s="248">
        <f>'Exh. No. BGM-6 -3'!AL11</f>
        <v>4.01</v>
      </c>
      <c r="AK11" s="248">
        <f>'Exh. No. BGM-6 -3'!AM11</f>
        <v>4.0199999999999996</v>
      </c>
      <c r="AL11" s="248">
        <f>'Exh. No. BGM-6 -3'!AN11</f>
        <v>4.0299999999999994</v>
      </c>
      <c r="AM11" s="248">
        <f>'Exh. No. BGM-6 -3'!AO11</f>
        <v>4.0399999999999991</v>
      </c>
      <c r="AN11" s="248">
        <f>'Exh. No. BGM-6 -3'!AP11</f>
        <v>4.0499999999999989</v>
      </c>
      <c r="AO11" s="248">
        <f>'Exh. No. BGM-6 -3'!AQ11</f>
        <v>4.0599999999999987</v>
      </c>
      <c r="AP11" s="248">
        <f>'Exh. No. BGM-6 -3'!AS11</f>
        <v>4.0699999999999985</v>
      </c>
      <c r="AQ11" s="248">
        <f>'Exh. No. BGM-6 -3'!BA11</f>
        <v>18.010000000000002</v>
      </c>
      <c r="AR11" s="248">
        <f>'Exh. No. BGM-6 -3'!BB11</f>
        <v>18.020000000000003</v>
      </c>
      <c r="AS11" s="248">
        <f>'Exh. No. BGM-6 -3'!BC11</f>
        <v>18.030000000000005</v>
      </c>
      <c r="AT11" s="248">
        <f>'Exh. No. BGM-6 -3'!BD11</f>
        <v>18.040000000000006</v>
      </c>
      <c r="AU11" s="248">
        <f>'Exh. No. BGM-6 -3'!BE11</f>
        <v>18.050000000000008</v>
      </c>
      <c r="AV11" s="248">
        <f>'Exh. No. BGM-6 -3'!BF11</f>
        <v>18.060000000000009</v>
      </c>
      <c r="AW11" s="248">
        <f>'Exh. No. BGM-6 -3'!BH11</f>
        <v>18.070000000000011</v>
      </c>
    </row>
    <row r="12" spans="1:49" s="211" customFormat="1">
      <c r="A12" s="210"/>
      <c r="B12" s="247" t="s">
        <v>207</v>
      </c>
      <c r="E12" s="212" t="str">
        <f>'Exh. No. BGM-6 -3'!E12</f>
        <v>G-ROO</v>
      </c>
      <c r="F12" s="212" t="str">
        <f>'Exh. No. BGM-6 -3'!F12</f>
        <v>G-DFIT</v>
      </c>
      <c r="G12" s="212" t="str">
        <f>'Exh. No. BGM-6 -3'!G12</f>
        <v>G-DDC</v>
      </c>
      <c r="H12" s="212" t="str">
        <f>'Exh. No. BGM-6 -3'!H12</f>
        <v>G-WC</v>
      </c>
      <c r="I12" s="212" t="str">
        <f>'Exh. No. BGM-6 -3'!I12</f>
        <v>G-EBO</v>
      </c>
      <c r="J12" s="212" t="str">
        <f>'Exh. No. BGM-6 -3'!J12</f>
        <v>G-RPT</v>
      </c>
      <c r="K12" s="212" t="str">
        <f>'Exh. No. BGM-6 -3'!K12</f>
        <v>G-UE</v>
      </c>
      <c r="L12" s="212" t="str">
        <f>'Exh. No. BGM-6 -3'!L12</f>
        <v>G-RE</v>
      </c>
      <c r="M12" s="212" t="str">
        <f>'Exh. No. BGM-6 -3'!M12</f>
        <v>G-ID</v>
      </c>
      <c r="N12" s="212" t="str">
        <f>'Exh. No. BGM-6 -3'!N12</f>
        <v>G-FIT</v>
      </c>
      <c r="O12" s="212" t="str">
        <f>'Exh. No. BGM-6 -3'!O12</f>
        <v>G-OSC</v>
      </c>
      <c r="P12" s="212" t="str">
        <f>'Exh. No. BGM-6 -3'!P12</f>
        <v>G-RET</v>
      </c>
      <c r="Q12" s="212" t="str">
        <f>'Exh. No. BGM-6 -3'!Q12</f>
        <v>G-NGL</v>
      </c>
      <c r="R12" s="212" t="str">
        <f>'Exh. No. BGM-6 -3'!R12</f>
        <v>G-WNGC</v>
      </c>
      <c r="S12" s="212" t="str">
        <f>'Exh. No. BGM-6 -3'!S12</f>
        <v>G-EAS</v>
      </c>
      <c r="T12" s="212" t="str">
        <f>'Exh. No. BGM-6 -3'!T12</f>
        <v>G-MR</v>
      </c>
      <c r="U12" s="212" t="str">
        <f>'Exh. No. BGM-6 -3'!U12</f>
        <v>G-DI</v>
      </c>
      <c r="V12" s="212" t="str">
        <f>'Exh. No. BGM-6 -3'!V12</f>
        <v>G-RI</v>
      </c>
      <c r="W12" s="212" t="str">
        <f>'Exh. No. BGM-6 -3'!W12</f>
        <v>G-CD</v>
      </c>
      <c r="X12" s="212" t="str">
        <f>'Exh. No. BGM-6 -3'!Y12</f>
        <v>G-PLN</v>
      </c>
      <c r="Y12" s="212" t="str">
        <f>'Exh. No. BGM-6 -3'!Z12</f>
        <v>G-PLE</v>
      </c>
      <c r="Z12" s="212" t="str">
        <f>'Exh. No. BGM-6 -3'!AA12</f>
        <v>G-PEB</v>
      </c>
      <c r="AA12" s="212" t="str">
        <f>'Exh. No. BGM-6 -3'!AB12</f>
        <v>G-PPS</v>
      </c>
      <c r="AB12" s="212" t="str">
        <f>'Exh. No. BGM-6 -3'!AC12</f>
        <v>G-PPT</v>
      </c>
      <c r="AC12" s="212" t="str">
        <f>'Exh. No. BGM-6 -3'!AD12</f>
        <v>G-PREV</v>
      </c>
      <c r="AD12" s="212" t="str">
        <f>'Exh. No. BGM-6 -3'!AE12</f>
        <v>G-PAT</v>
      </c>
      <c r="AE12" s="212" t="str">
        <f>'Exh. No. BGM-6 -3'!AF12</f>
        <v>G-PRA</v>
      </c>
      <c r="AF12" s="212" t="str">
        <f>'Exh. No. BGM-6 -3'!AG12</f>
        <v>G-PCAP15</v>
      </c>
      <c r="AG12" s="212" t="str">
        <f>'Exh. No. BGM-6 -3'!AH12</f>
        <v>G-PCAP16</v>
      </c>
      <c r="AH12" s="212" t="str">
        <f>'Exh. No. BGM-6 -3'!AI12</f>
        <v>G-POFF</v>
      </c>
      <c r="AI12" s="212" t="str">
        <f>'Exh. No. BGM-6 -3'!AK12</f>
        <v>G-CLN</v>
      </c>
      <c r="AJ12" s="212" t="str">
        <f>'Exh. No. BGM-6 -3'!AL12</f>
        <v>G-CCAP16</v>
      </c>
      <c r="AK12" s="212" t="str">
        <f>'Exh. No. BGM-6 -3'!AM12</f>
        <v>G-CCAP17</v>
      </c>
      <c r="AL12" s="212" t="str">
        <f>'Exh. No. BGM-6 -3'!AN12</f>
        <v>G-CAMI</v>
      </c>
      <c r="AM12" s="212" t="str">
        <f>'Exh. No. BGM-6 -3'!AO12</f>
        <v>G-CIS</v>
      </c>
      <c r="AN12" s="212" t="str">
        <f>'Exh. No. BGM-6 -3'!AP12</f>
        <v>G-CI</v>
      </c>
      <c r="AO12" s="212" t="str">
        <f>'Exh. No. BGM-6 -3'!AQ12</f>
        <v>G-CPT</v>
      </c>
      <c r="AP12" s="212" t="str">
        <f>'Exh. No. BGM-6 -3'!AS12</f>
        <v>G-CREC</v>
      </c>
      <c r="AQ12" s="212" t="str">
        <f>'Exh. No. BGM-6 -3'!BA12</f>
        <v>G-CLN18</v>
      </c>
      <c r="AR12" s="212" t="str">
        <f>'Exh. No. BGM-6 -3'!BB12</f>
        <v>G-CRA18</v>
      </c>
      <c r="AS12" s="212" t="str">
        <f>'Exh. No. BGM-6 -3'!BC12</f>
        <v>G-CI18</v>
      </c>
      <c r="AT12" s="212" t="str">
        <f>'Exh. No. BGM-6 -3'!BD12</f>
        <v>G-CIS18</v>
      </c>
      <c r="AU12" s="212" t="str">
        <f>'Exh. No. BGM-6 -3'!BE12</f>
        <v>G-CCAP18</v>
      </c>
      <c r="AV12" s="212" t="str">
        <f>'Exh. No. BGM-6 -3'!BF12</f>
        <v>G-CAMI18</v>
      </c>
      <c r="AW12" s="212" t="str">
        <f>'Exh. No. BGM-6 -3'!BH12</f>
        <v>G-CREC18</v>
      </c>
    </row>
    <row r="14" spans="1:49">
      <c r="B14" s="204" t="s">
        <v>34</v>
      </c>
    </row>
    <row r="15" spans="1:49" s="229" customFormat="1">
      <c r="A15" s="228">
        <v>1</v>
      </c>
      <c r="B15" s="229" t="s">
        <v>35</v>
      </c>
      <c r="E15" s="328">
        <f>'Exh. No. BGM-6 -3'!E15</f>
        <v>152492</v>
      </c>
      <c r="F15" s="328">
        <f>'Exh. No. BGM-6 -3'!F15</f>
        <v>0</v>
      </c>
      <c r="G15" s="328">
        <f>'Exh. No. BGM-6 -3'!G15</f>
        <v>0</v>
      </c>
      <c r="H15" s="328">
        <f>'Exh. No. BGM-6 -3'!H15</f>
        <v>0</v>
      </c>
      <c r="I15" s="328">
        <f>'Exh. No. BGM-6 -3'!I15</f>
        <v>-5520</v>
      </c>
      <c r="J15" s="328">
        <f>'Exh. No. BGM-6 -3'!J15</f>
        <v>0</v>
      </c>
      <c r="K15" s="328">
        <f>'Exh. No. BGM-6 -3'!K15</f>
        <v>0</v>
      </c>
      <c r="L15" s="328">
        <f>'Exh. No. BGM-6 -3'!L15</f>
        <v>0</v>
      </c>
      <c r="M15" s="328">
        <f>'Exh. No. BGM-6 -3'!M15</f>
        <v>0</v>
      </c>
      <c r="N15" s="328">
        <f>'Exh. No. BGM-6 -3'!N15</f>
        <v>0</v>
      </c>
      <c r="O15" s="328">
        <f>'Exh. No. BGM-6 -3'!O15</f>
        <v>0</v>
      </c>
      <c r="P15" s="328">
        <f>'Exh. No. BGM-6 -3'!P15</f>
        <v>0</v>
      </c>
      <c r="Q15" s="328">
        <f>'Exh. No. BGM-6 -3'!Q15</f>
        <v>0</v>
      </c>
      <c r="R15" s="328">
        <f>'Exh. No. BGM-6 -3'!R15</f>
        <v>12984</v>
      </c>
      <c r="S15" s="328">
        <f>'Exh. No. BGM-6 -3'!S15</f>
        <v>-3325</v>
      </c>
      <c r="T15" s="328">
        <f>'Exh. No. BGM-6 -3'!T15</f>
        <v>0</v>
      </c>
      <c r="U15" s="328">
        <f>'Exh. No. BGM-6 -3'!U15</f>
        <v>0</v>
      </c>
      <c r="V15" s="328">
        <f>'Exh. No. BGM-6 -3'!V15</f>
        <v>0</v>
      </c>
      <c r="W15" s="328">
        <f>'Exh. No. BGM-6 -3'!W15</f>
        <v>0</v>
      </c>
      <c r="X15" s="328">
        <f>'Exh. No. BGM-6 -3'!Y15</f>
        <v>0</v>
      </c>
      <c r="Y15" s="328">
        <f>'Exh. No. BGM-6 -3'!Z15</f>
        <v>0</v>
      </c>
      <c r="Z15" s="328">
        <f>'Exh. No. BGM-6 -3'!AA15</f>
        <v>0</v>
      </c>
      <c r="AA15" s="328">
        <f>'Exh. No. BGM-6 -3'!AB15</f>
        <v>0</v>
      </c>
      <c r="AB15" s="328">
        <f>'Exh. No. BGM-6 -3'!AC15</f>
        <v>0</v>
      </c>
      <c r="AC15" s="328">
        <f>'Exh. No. BGM-6 -3'!AD15</f>
        <v>-72574</v>
      </c>
      <c r="AD15" s="328">
        <f>'Exh. No. BGM-6 -3'!AE15</f>
        <v>0</v>
      </c>
      <c r="AE15" s="328">
        <f>'Exh. No. BGM-6 -3'!AF15</f>
        <v>0</v>
      </c>
      <c r="AF15" s="328">
        <f>'Exh. No. BGM-6 -3'!AG15</f>
        <v>0</v>
      </c>
      <c r="AG15" s="328">
        <f>'Exh. No. BGM-6 -3'!AH15</f>
        <v>0</v>
      </c>
      <c r="AH15" s="328">
        <f>'Exh. No. BGM-6 -3'!AI15</f>
        <v>0</v>
      </c>
      <c r="AI15" s="328">
        <f>'Exh. No. BGM-6 -3'!AK15</f>
        <v>0</v>
      </c>
      <c r="AJ15" s="328">
        <f>'Exh. No. BGM-6 -3'!AL15</f>
        <v>0</v>
      </c>
      <c r="AK15" s="328">
        <f>'Exh. No. BGM-6 -3'!AM15</f>
        <v>0</v>
      </c>
      <c r="AL15" s="328">
        <f>'Exh. No. BGM-6 -3'!AN15</f>
        <v>0</v>
      </c>
      <c r="AM15" s="328">
        <f>'Exh. No. BGM-6 -3'!AO15</f>
        <v>0</v>
      </c>
      <c r="AN15" s="328">
        <f>'Exh. No. BGM-6 -3'!AP15</f>
        <v>0</v>
      </c>
      <c r="AO15" s="328">
        <f>'Exh. No. BGM-6 -3'!AQ15</f>
        <v>0</v>
      </c>
      <c r="AP15" s="328">
        <f>'Exh. No. BGM-6 -3'!AS15</f>
        <v>0</v>
      </c>
      <c r="AQ15" s="328">
        <f>'Exh. No. BGM-6 -3'!BA15</f>
        <v>0</v>
      </c>
      <c r="AR15" s="328">
        <f>'Exh. No. BGM-6 -3'!BB15</f>
        <v>0</v>
      </c>
      <c r="AS15" s="328">
        <f>'Exh. No. BGM-6 -3'!BC15</f>
        <v>0</v>
      </c>
      <c r="AT15" s="328">
        <f>'Exh. No. BGM-6 -3'!BD15</f>
        <v>0</v>
      </c>
      <c r="AU15" s="328">
        <f>'Exh. No. BGM-6 -3'!BE15</f>
        <v>0</v>
      </c>
      <c r="AV15" s="328">
        <f>'Exh. No. BGM-6 -3'!BF15</f>
        <v>0</v>
      </c>
      <c r="AW15" s="328">
        <f>'Exh. No. BGM-6 -3'!BH15</f>
        <v>0</v>
      </c>
    </row>
    <row r="16" spans="1:49">
      <c r="A16" s="228">
        <v>2</v>
      </c>
      <c r="B16" s="230" t="s">
        <v>36</v>
      </c>
      <c r="D16" s="230"/>
      <c r="E16" s="251">
        <f>'Exh. No. BGM-6 -3'!E16</f>
        <v>4114</v>
      </c>
      <c r="F16" s="251">
        <f>'Exh. No. BGM-6 -3'!F16</f>
        <v>0</v>
      </c>
      <c r="G16" s="251">
        <f>'Exh. No. BGM-6 -3'!G16</f>
        <v>0</v>
      </c>
      <c r="H16" s="251">
        <f>'Exh. No. BGM-6 -3'!H16</f>
        <v>0</v>
      </c>
      <c r="I16" s="251">
        <f>'Exh. No. BGM-6 -3'!I16</f>
        <v>-106</v>
      </c>
      <c r="J16" s="251">
        <f>'Exh. No. BGM-6 -3'!J16</f>
        <v>0</v>
      </c>
      <c r="K16" s="251">
        <f>'Exh. No. BGM-6 -3'!K16</f>
        <v>0</v>
      </c>
      <c r="L16" s="251">
        <f>'Exh. No. BGM-6 -3'!L16</f>
        <v>0</v>
      </c>
      <c r="M16" s="251">
        <f>'Exh. No. BGM-6 -3'!M16</f>
        <v>0</v>
      </c>
      <c r="N16" s="251">
        <f>'Exh. No. BGM-6 -3'!N16</f>
        <v>0</v>
      </c>
      <c r="O16" s="251">
        <f>'Exh. No. BGM-6 -3'!O16</f>
        <v>0</v>
      </c>
      <c r="P16" s="251">
        <f>'Exh. No. BGM-6 -3'!P16</f>
        <v>0</v>
      </c>
      <c r="Q16" s="251">
        <f>'Exh. No. BGM-6 -3'!Q16</f>
        <v>0</v>
      </c>
      <c r="R16" s="251">
        <f>'Exh. No. BGM-6 -3'!R16</f>
        <v>0</v>
      </c>
      <c r="S16" s="251">
        <f>'Exh. No. BGM-6 -3'!S16</f>
        <v>0</v>
      </c>
      <c r="T16" s="251">
        <f>'Exh. No. BGM-6 -3'!T16</f>
        <v>0</v>
      </c>
      <c r="U16" s="251">
        <f>'Exh. No. BGM-6 -3'!U16</f>
        <v>0</v>
      </c>
      <c r="V16" s="251">
        <f>'Exh. No. BGM-6 -3'!V16</f>
        <v>0</v>
      </c>
      <c r="W16" s="251">
        <f>'Exh. No. BGM-6 -3'!W16</f>
        <v>0</v>
      </c>
      <c r="X16" s="251">
        <f>'Exh. No. BGM-6 -3'!Y16</f>
        <v>0</v>
      </c>
      <c r="Y16" s="251">
        <f>'Exh. No. BGM-6 -3'!Z16</f>
        <v>0</v>
      </c>
      <c r="Z16" s="251">
        <f>'Exh. No. BGM-6 -3'!AA16</f>
        <v>0</v>
      </c>
      <c r="AA16" s="251">
        <f>'Exh. No. BGM-6 -3'!AB16</f>
        <v>0</v>
      </c>
      <c r="AB16" s="251">
        <f>'Exh. No. BGM-6 -3'!AC16</f>
        <v>0</v>
      </c>
      <c r="AC16" s="251">
        <f>'Exh. No. BGM-6 -3'!AD16</f>
        <v>408</v>
      </c>
      <c r="AD16" s="251">
        <f>'Exh. No. BGM-6 -3'!AE16</f>
        <v>0</v>
      </c>
      <c r="AE16" s="251">
        <f>'Exh. No. BGM-6 -3'!AF16</f>
        <v>0</v>
      </c>
      <c r="AF16" s="251">
        <f>'Exh. No. BGM-6 -3'!AG16</f>
        <v>0</v>
      </c>
      <c r="AG16" s="251">
        <f>'Exh. No. BGM-6 -3'!AH16</f>
        <v>0</v>
      </c>
      <c r="AH16" s="251">
        <f>'Exh. No. BGM-6 -3'!AI16</f>
        <v>0</v>
      </c>
      <c r="AI16" s="251">
        <f>'Exh. No. BGM-6 -3'!AK16</f>
        <v>0</v>
      </c>
      <c r="AJ16" s="251">
        <f>'Exh. No. BGM-6 -3'!AL16</f>
        <v>0</v>
      </c>
      <c r="AK16" s="251">
        <f>'Exh. No. BGM-6 -3'!AM16</f>
        <v>0</v>
      </c>
      <c r="AL16" s="251">
        <f>'Exh. No. BGM-6 -3'!AN16</f>
        <v>0</v>
      </c>
      <c r="AM16" s="251">
        <f>'Exh. No. BGM-6 -3'!AO16</f>
        <v>0</v>
      </c>
      <c r="AN16" s="251">
        <f>'Exh. No. BGM-6 -3'!AP16</f>
        <v>0</v>
      </c>
      <c r="AO16" s="251">
        <f>'Exh. No. BGM-6 -3'!AQ16</f>
        <v>0</v>
      </c>
      <c r="AP16" s="251">
        <f>'Exh. No. BGM-6 -3'!AS16</f>
        <v>0</v>
      </c>
      <c r="AQ16" s="251">
        <f>'Exh. No. BGM-6 -3'!BA16</f>
        <v>0</v>
      </c>
      <c r="AR16" s="251">
        <f>'Exh. No. BGM-6 -3'!BB16</f>
        <v>0</v>
      </c>
      <c r="AS16" s="251">
        <f>'Exh. No. BGM-6 -3'!BC16</f>
        <v>0</v>
      </c>
      <c r="AT16" s="251">
        <f>'Exh. No. BGM-6 -3'!BD16</f>
        <v>0</v>
      </c>
      <c r="AU16" s="251">
        <f>'Exh. No. BGM-6 -3'!BE16</f>
        <v>0</v>
      </c>
      <c r="AV16" s="251">
        <f>'Exh. No. BGM-6 -3'!BF16</f>
        <v>0</v>
      </c>
      <c r="AW16" s="251">
        <f>'Exh. No. BGM-6 -3'!BH16</f>
        <v>0</v>
      </c>
    </row>
    <row r="17" spans="1:49">
      <c r="A17" s="228">
        <v>3</v>
      </c>
      <c r="B17" s="230" t="s">
        <v>37</v>
      </c>
      <c r="D17" s="230"/>
      <c r="E17" s="252">
        <f>'Exh. No. BGM-6 -3'!E17</f>
        <v>105088</v>
      </c>
      <c r="F17" s="252">
        <f>'Exh. No. BGM-6 -3'!F17</f>
        <v>0</v>
      </c>
      <c r="G17" s="252">
        <f>'Exh. No. BGM-6 -3'!G17</f>
        <v>0</v>
      </c>
      <c r="H17" s="252">
        <f>'Exh. No. BGM-6 -3'!H17</f>
        <v>0</v>
      </c>
      <c r="I17" s="252">
        <f>'Exh. No. BGM-6 -3'!I17</f>
        <v>0</v>
      </c>
      <c r="J17" s="252">
        <f>'Exh. No. BGM-6 -3'!J17</f>
        <v>0</v>
      </c>
      <c r="K17" s="252">
        <f>'Exh. No. BGM-6 -3'!K17</f>
        <v>0</v>
      </c>
      <c r="L17" s="252">
        <f>'Exh. No. BGM-6 -3'!L17</f>
        <v>0</v>
      </c>
      <c r="M17" s="252">
        <f>'Exh. No. BGM-6 -3'!M17</f>
        <v>0</v>
      </c>
      <c r="N17" s="252">
        <f>'Exh. No. BGM-6 -3'!N17</f>
        <v>0</v>
      </c>
      <c r="O17" s="252">
        <f>'Exh. No. BGM-6 -3'!O17</f>
        <v>0</v>
      </c>
      <c r="P17" s="252">
        <f>'Exh. No. BGM-6 -3'!P17</f>
        <v>0</v>
      </c>
      <c r="Q17" s="252">
        <f>'Exh. No. BGM-6 -3'!Q17</f>
        <v>0</v>
      </c>
      <c r="R17" s="252">
        <f>'Exh. No. BGM-6 -3'!R17</f>
        <v>0</v>
      </c>
      <c r="S17" s="252">
        <f>'Exh. No. BGM-6 -3'!S17</f>
        <v>-99392</v>
      </c>
      <c r="T17" s="252">
        <f>'Exh. No. BGM-6 -3'!T17</f>
        <v>0</v>
      </c>
      <c r="U17" s="252">
        <f>'Exh. No. BGM-6 -3'!U17</f>
        <v>0</v>
      </c>
      <c r="V17" s="252">
        <f>'Exh. No. BGM-6 -3'!V17</f>
        <v>0</v>
      </c>
      <c r="W17" s="252">
        <f>'Exh. No. BGM-6 -3'!W17</f>
        <v>0</v>
      </c>
      <c r="X17" s="252">
        <f>'Exh. No. BGM-6 -3'!Y17</f>
        <v>0</v>
      </c>
      <c r="Y17" s="252">
        <f>'Exh. No. BGM-6 -3'!Z17</f>
        <v>0</v>
      </c>
      <c r="Z17" s="252">
        <f>'Exh. No. BGM-6 -3'!AA17</f>
        <v>0</v>
      </c>
      <c r="AA17" s="252">
        <f>'Exh. No. BGM-6 -3'!AB17</f>
        <v>0</v>
      </c>
      <c r="AB17" s="252">
        <f>'Exh. No. BGM-6 -3'!AC17</f>
        <v>0</v>
      </c>
      <c r="AC17" s="252">
        <f>'Exh. No. BGM-6 -3'!AD17</f>
        <v>-5413</v>
      </c>
      <c r="AD17" s="252">
        <f>'Exh. No. BGM-6 -3'!AE17</f>
        <v>0</v>
      </c>
      <c r="AE17" s="252">
        <f>'Exh. No. BGM-6 -3'!AF17</f>
        <v>0</v>
      </c>
      <c r="AF17" s="252">
        <f>'Exh. No. BGM-6 -3'!AG17</f>
        <v>0</v>
      </c>
      <c r="AG17" s="252">
        <f>'Exh. No. BGM-6 -3'!AH17</f>
        <v>0</v>
      </c>
      <c r="AH17" s="252">
        <f>'Exh. No. BGM-6 -3'!AI17</f>
        <v>0</v>
      </c>
      <c r="AI17" s="252">
        <f>'Exh. No. BGM-6 -3'!AK17</f>
        <v>0</v>
      </c>
      <c r="AJ17" s="252">
        <f>'Exh. No. BGM-6 -3'!AL17</f>
        <v>0</v>
      </c>
      <c r="AK17" s="252">
        <f>'Exh. No. BGM-6 -3'!AM17</f>
        <v>0</v>
      </c>
      <c r="AL17" s="252">
        <f>'Exh. No. BGM-6 -3'!AN17</f>
        <v>0</v>
      </c>
      <c r="AM17" s="252">
        <f>'Exh. No. BGM-6 -3'!AO17</f>
        <v>0</v>
      </c>
      <c r="AN17" s="252">
        <f>'Exh. No. BGM-6 -3'!AP17</f>
        <v>0</v>
      </c>
      <c r="AO17" s="252">
        <f>'Exh. No. BGM-6 -3'!AQ17</f>
        <v>0</v>
      </c>
      <c r="AP17" s="252">
        <f>'Exh. No. BGM-6 -3'!AS17</f>
        <v>0</v>
      </c>
      <c r="AQ17" s="252">
        <f>'Exh. No. BGM-6 -3'!BA17</f>
        <v>0</v>
      </c>
      <c r="AR17" s="252">
        <f>'Exh. No. BGM-6 -3'!BB17</f>
        <v>0</v>
      </c>
      <c r="AS17" s="252">
        <f>'Exh. No. BGM-6 -3'!BC17</f>
        <v>0</v>
      </c>
      <c r="AT17" s="252">
        <f>'Exh. No. BGM-6 -3'!BD17</f>
        <v>0</v>
      </c>
      <c r="AU17" s="252">
        <f>'Exh. No. BGM-6 -3'!BE17</f>
        <v>0</v>
      </c>
      <c r="AV17" s="252">
        <f>'Exh. No. BGM-6 -3'!BF17</f>
        <v>0</v>
      </c>
      <c r="AW17" s="252">
        <f>'Exh. No. BGM-6 -3'!BH17</f>
        <v>0</v>
      </c>
    </row>
    <row r="18" spans="1:49">
      <c r="A18" s="228">
        <v>4</v>
      </c>
      <c r="B18" s="204" t="s">
        <v>38</v>
      </c>
      <c r="C18" s="230"/>
      <c r="D18" s="230"/>
      <c r="E18" s="251">
        <f>SUM(E15:E17)</f>
        <v>261694</v>
      </c>
      <c r="F18" s="251">
        <f t="shared" ref="F18:AB18" si="0">SUM(F15:F17)</f>
        <v>0</v>
      </c>
      <c r="G18" s="251">
        <f t="shared" si="0"/>
        <v>0</v>
      </c>
      <c r="H18" s="251">
        <f t="shared" si="0"/>
        <v>0</v>
      </c>
      <c r="I18" s="251">
        <f t="shared" si="0"/>
        <v>-5626</v>
      </c>
      <c r="J18" s="251">
        <f t="shared" si="0"/>
        <v>0</v>
      </c>
      <c r="K18" s="251">
        <f t="shared" si="0"/>
        <v>0</v>
      </c>
      <c r="L18" s="251">
        <f t="shared" si="0"/>
        <v>0</v>
      </c>
      <c r="M18" s="251">
        <f t="shared" si="0"/>
        <v>0</v>
      </c>
      <c r="N18" s="251">
        <f t="shared" si="0"/>
        <v>0</v>
      </c>
      <c r="O18" s="251">
        <f t="shared" si="0"/>
        <v>0</v>
      </c>
      <c r="P18" s="251">
        <f t="shared" si="0"/>
        <v>0</v>
      </c>
      <c r="Q18" s="251">
        <f t="shared" si="0"/>
        <v>0</v>
      </c>
      <c r="R18" s="251">
        <f t="shared" si="0"/>
        <v>12984</v>
      </c>
      <c r="S18" s="251">
        <f t="shared" ref="S18" si="1">SUM(S15:S17)</f>
        <v>-102717</v>
      </c>
      <c r="T18" s="251">
        <f t="shared" si="0"/>
        <v>0</v>
      </c>
      <c r="U18" s="251">
        <f>SUM(U15:U17)</f>
        <v>0</v>
      </c>
      <c r="V18" s="251">
        <f t="shared" si="0"/>
        <v>0</v>
      </c>
      <c r="W18" s="251">
        <f t="shared" ref="W18" si="2">SUM(W15:W17)</f>
        <v>0</v>
      </c>
      <c r="X18" s="251">
        <f t="shared" si="0"/>
        <v>0</v>
      </c>
      <c r="Y18" s="251">
        <f t="shared" ref="Y18" si="3">SUM(Y15:Y17)</f>
        <v>0</v>
      </c>
      <c r="Z18" s="251">
        <f t="shared" si="0"/>
        <v>0</v>
      </c>
      <c r="AA18" s="251">
        <f>SUM(AA15:AA17)</f>
        <v>0</v>
      </c>
      <c r="AB18" s="251">
        <f t="shared" si="0"/>
        <v>0</v>
      </c>
      <c r="AC18" s="251">
        <f t="shared" ref="AC18:AP18" si="4">SUM(AC15:AC17)</f>
        <v>-77579</v>
      </c>
      <c r="AD18" s="251">
        <f>SUM(AD15:AD17)</f>
        <v>0</v>
      </c>
      <c r="AE18" s="251">
        <f t="shared" si="4"/>
        <v>0</v>
      </c>
      <c r="AF18" s="251">
        <f t="shared" si="4"/>
        <v>0</v>
      </c>
      <c r="AG18" s="251">
        <f t="shared" si="4"/>
        <v>0</v>
      </c>
      <c r="AH18" s="251">
        <f t="shared" si="4"/>
        <v>0</v>
      </c>
      <c r="AI18" s="251">
        <f t="shared" ref="AI18" si="5">SUM(AI15:AI17)</f>
        <v>0</v>
      </c>
      <c r="AJ18" s="251">
        <f t="shared" si="4"/>
        <v>0</v>
      </c>
      <c r="AK18" s="251">
        <f t="shared" si="4"/>
        <v>0</v>
      </c>
      <c r="AL18" s="251">
        <f t="shared" si="4"/>
        <v>0</v>
      </c>
      <c r="AM18" s="251">
        <f t="shared" ref="AM18" si="6">SUM(AM15:AM17)</f>
        <v>0</v>
      </c>
      <c r="AN18" s="251">
        <f t="shared" si="4"/>
        <v>0</v>
      </c>
      <c r="AO18" s="251">
        <f t="shared" ref="AO18" si="7">SUM(AO15:AO17)</f>
        <v>0</v>
      </c>
      <c r="AP18" s="251">
        <f t="shared" si="4"/>
        <v>0</v>
      </c>
      <c r="AQ18" s="251">
        <f t="shared" ref="AQ18:AW18" si="8">SUM(AQ15:AQ17)</f>
        <v>0</v>
      </c>
      <c r="AR18" s="251">
        <f t="shared" si="8"/>
        <v>0</v>
      </c>
      <c r="AS18" s="251">
        <f t="shared" ref="AS18" si="9">SUM(AS15:AS17)</f>
        <v>0</v>
      </c>
      <c r="AT18" s="251">
        <f t="shared" si="8"/>
        <v>0</v>
      </c>
      <c r="AU18" s="251">
        <f t="shared" ref="AU18" si="10">SUM(AU15:AU17)</f>
        <v>0</v>
      </c>
      <c r="AV18" s="251">
        <f t="shared" si="8"/>
        <v>0</v>
      </c>
      <c r="AW18" s="251">
        <f t="shared" si="8"/>
        <v>0</v>
      </c>
    </row>
    <row r="19" spans="1:49">
      <c r="C19" s="230"/>
      <c r="D19" s="230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</row>
    <row r="20" spans="1:49">
      <c r="B20" s="204" t="s">
        <v>39</v>
      </c>
      <c r="C20" s="230"/>
      <c r="D20" s="230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251"/>
      <c r="AV20" s="251"/>
      <c r="AW20" s="251"/>
    </row>
    <row r="21" spans="1:49">
      <c r="B21" s="230" t="s">
        <v>227</v>
      </c>
      <c r="D21" s="230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251"/>
      <c r="AV21" s="251"/>
      <c r="AW21" s="251"/>
    </row>
    <row r="22" spans="1:49">
      <c r="A22" s="228">
        <v>5</v>
      </c>
      <c r="C22" s="230" t="s">
        <v>40</v>
      </c>
      <c r="D22" s="230"/>
      <c r="E22" s="251">
        <f>'Exh. No. BGM-6 -3'!E22</f>
        <v>164944</v>
      </c>
      <c r="F22" s="251">
        <f>'Exh. No. BGM-6 -3'!F22</f>
        <v>0</v>
      </c>
      <c r="G22" s="251">
        <f>'Exh. No. BGM-6 -3'!G22</f>
        <v>0</v>
      </c>
      <c r="H22" s="251">
        <f>'Exh. No. BGM-6 -3'!H22</f>
        <v>0</v>
      </c>
      <c r="I22" s="251">
        <f>'Exh. No. BGM-6 -3'!I22</f>
        <v>0</v>
      </c>
      <c r="J22" s="251">
        <f>'Exh. No. BGM-6 -3'!J22</f>
        <v>0</v>
      </c>
      <c r="K22" s="251">
        <f>'Exh. No. BGM-6 -3'!K22</f>
        <v>0</v>
      </c>
      <c r="L22" s="251">
        <f>'Exh. No. BGM-6 -3'!L22</f>
        <v>0</v>
      </c>
      <c r="M22" s="251">
        <f>'Exh. No. BGM-6 -3'!M22</f>
        <v>0</v>
      </c>
      <c r="N22" s="251">
        <f>'Exh. No. BGM-6 -3'!N22</f>
        <v>0</v>
      </c>
      <c r="O22" s="251">
        <f>'Exh. No. BGM-6 -3'!O22</f>
        <v>0</v>
      </c>
      <c r="P22" s="251">
        <f>'Exh. No. BGM-6 -3'!P22</f>
        <v>0</v>
      </c>
      <c r="Q22" s="251">
        <f>'Exh. No. BGM-6 -3'!Q22</f>
        <v>0</v>
      </c>
      <c r="R22" s="251">
        <f>'Exh. No. BGM-6 -3'!R22</f>
        <v>10600</v>
      </c>
      <c r="S22" s="251">
        <f>'Exh. No. BGM-6 -3'!S22</f>
        <v>-88985</v>
      </c>
      <c r="T22" s="251">
        <f>'Exh. No. BGM-6 -3'!T22</f>
        <v>0</v>
      </c>
      <c r="U22" s="251">
        <f>'Exh. No. BGM-6 -3'!U22</f>
        <v>0</v>
      </c>
      <c r="V22" s="251">
        <f>'Exh. No. BGM-6 -3'!V22</f>
        <v>0</v>
      </c>
      <c r="W22" s="251">
        <f>'Exh. No. BGM-6 -3'!W22</f>
        <v>0</v>
      </c>
      <c r="X22" s="251">
        <f>'Exh. No. BGM-6 -3'!Y22</f>
        <v>0</v>
      </c>
      <c r="Y22" s="251">
        <f>'Exh. No. BGM-6 -3'!Z22</f>
        <v>0</v>
      </c>
      <c r="Z22" s="251">
        <f>'Exh. No. BGM-6 -3'!AA22</f>
        <v>0</v>
      </c>
      <c r="AA22" s="251">
        <f>'Exh. No. BGM-6 -3'!AB22</f>
        <v>0</v>
      </c>
      <c r="AB22" s="251">
        <f>'Exh. No. BGM-6 -3'!AC22</f>
        <v>0</v>
      </c>
      <c r="AC22" s="251">
        <f>'Exh. No. BGM-6 -3'!AD22</f>
        <v>-86559</v>
      </c>
      <c r="AD22" s="251">
        <f>'Exh. No. BGM-6 -3'!AE22</f>
        <v>0</v>
      </c>
      <c r="AE22" s="251">
        <f>'Exh. No. BGM-6 -3'!AF22</f>
        <v>0</v>
      </c>
      <c r="AF22" s="251">
        <f>'Exh. No. BGM-6 -3'!AG22</f>
        <v>0</v>
      </c>
      <c r="AG22" s="251">
        <f>'Exh. No. BGM-6 -3'!AH22</f>
        <v>0</v>
      </c>
      <c r="AH22" s="251">
        <f>'Exh. No. BGM-6 -3'!AI22</f>
        <v>0</v>
      </c>
      <c r="AI22" s="251">
        <f>'Exh. No. BGM-6 -3'!AK22</f>
        <v>0</v>
      </c>
      <c r="AJ22" s="251">
        <f>'Exh. No. BGM-6 -3'!AL22</f>
        <v>0</v>
      </c>
      <c r="AK22" s="251">
        <f>'Exh. No. BGM-6 -3'!AM22</f>
        <v>0</v>
      </c>
      <c r="AL22" s="251">
        <f>'Exh. No. BGM-6 -3'!AN22</f>
        <v>0</v>
      </c>
      <c r="AM22" s="251">
        <f>'Exh. No. BGM-6 -3'!AO22</f>
        <v>0</v>
      </c>
      <c r="AN22" s="251">
        <f>'Exh. No. BGM-6 -3'!AP22</f>
        <v>0</v>
      </c>
      <c r="AO22" s="251">
        <f>'Exh. No. BGM-6 -3'!AQ22</f>
        <v>0</v>
      </c>
      <c r="AP22" s="251">
        <f>'Exh. No. BGM-6 -3'!AS22</f>
        <v>0</v>
      </c>
      <c r="AQ22" s="251">
        <f>'Exh. No. BGM-6 -3'!BA22</f>
        <v>0</v>
      </c>
      <c r="AR22" s="251">
        <f>'Exh. No. BGM-6 -3'!BB22</f>
        <v>0</v>
      </c>
      <c r="AS22" s="251">
        <f>'Exh. No. BGM-6 -3'!BC22</f>
        <v>0</v>
      </c>
      <c r="AT22" s="251">
        <f>'Exh. No. BGM-6 -3'!BD22</f>
        <v>0</v>
      </c>
      <c r="AU22" s="251">
        <f>'Exh. No. BGM-6 -3'!BE22</f>
        <v>0</v>
      </c>
      <c r="AV22" s="251">
        <f>'Exh. No. BGM-6 -3'!BF22</f>
        <v>0</v>
      </c>
      <c r="AW22" s="251">
        <f>'Exh. No. BGM-6 -3'!BH22</f>
        <v>0</v>
      </c>
    </row>
    <row r="23" spans="1:49">
      <c r="A23" s="228">
        <v>6</v>
      </c>
      <c r="C23" s="230" t="s">
        <v>41</v>
      </c>
      <c r="D23" s="230"/>
      <c r="E23" s="251">
        <f>'Exh. No. BGM-6 -3'!E23</f>
        <v>810</v>
      </c>
      <c r="F23" s="251">
        <f>'Exh. No. BGM-6 -3'!F23</f>
        <v>0</v>
      </c>
      <c r="G23" s="251">
        <f>'Exh. No. BGM-6 -3'!G23</f>
        <v>0</v>
      </c>
      <c r="H23" s="251">
        <f>'Exh. No. BGM-6 -3'!H23</f>
        <v>0</v>
      </c>
      <c r="I23" s="251">
        <f>'Exh. No. BGM-6 -3'!I23</f>
        <v>0</v>
      </c>
      <c r="J23" s="251">
        <f>'Exh. No. BGM-6 -3'!J23</f>
        <v>0</v>
      </c>
      <c r="K23" s="251">
        <f>'Exh. No. BGM-6 -3'!K23</f>
        <v>0</v>
      </c>
      <c r="L23" s="251">
        <f>'Exh. No. BGM-6 -3'!L23</f>
        <v>0</v>
      </c>
      <c r="M23" s="251">
        <f>'Exh. No. BGM-6 -3'!M23</f>
        <v>0</v>
      </c>
      <c r="N23" s="251">
        <f>'Exh. No. BGM-6 -3'!N23</f>
        <v>0</v>
      </c>
      <c r="O23" s="251">
        <f>'Exh. No. BGM-6 -3'!O23</f>
        <v>0</v>
      </c>
      <c r="P23" s="251">
        <f>'Exh. No. BGM-6 -3'!P23</f>
        <v>0</v>
      </c>
      <c r="Q23" s="251">
        <f>'Exh. No. BGM-6 -3'!Q23</f>
        <v>0</v>
      </c>
      <c r="R23" s="251">
        <f>'Exh. No. BGM-6 -3'!R23</f>
        <v>9</v>
      </c>
      <c r="S23" s="251">
        <f>'Exh. No. BGM-6 -3'!S23</f>
        <v>0</v>
      </c>
      <c r="T23" s="251">
        <f>'Exh. No. BGM-6 -3'!T23</f>
        <v>0</v>
      </c>
      <c r="U23" s="251">
        <f>'Exh. No. BGM-6 -3'!U23</f>
        <v>0</v>
      </c>
      <c r="V23" s="251">
        <f>'Exh. No. BGM-6 -3'!V23</f>
        <v>-16</v>
      </c>
      <c r="W23" s="251">
        <f>'Exh. No. BGM-6 -3'!W23</f>
        <v>0</v>
      </c>
      <c r="X23" s="251">
        <f>'Exh. No. BGM-6 -3'!Y23</f>
        <v>13.065818</v>
      </c>
      <c r="Y23" s="251">
        <f>'Exh. No. BGM-6 -3'!Z23</f>
        <v>-25</v>
      </c>
      <c r="Z23" s="251">
        <f>'Exh. No. BGM-6 -3'!AA23</f>
        <v>12</v>
      </c>
      <c r="AA23" s="251">
        <f>'Exh. No. BGM-6 -3'!AB23</f>
        <v>0</v>
      </c>
      <c r="AB23" s="251">
        <f>'Exh. No. BGM-6 -3'!AC23</f>
        <v>0</v>
      </c>
      <c r="AC23" s="251">
        <f>'Exh. No. BGM-6 -3'!AD23</f>
        <v>0</v>
      </c>
      <c r="AD23" s="251">
        <f>'Exh. No. BGM-6 -3'!AE23</f>
        <v>0</v>
      </c>
      <c r="AE23" s="251">
        <f>'Exh. No. BGM-6 -3'!AF23</f>
        <v>0</v>
      </c>
      <c r="AF23" s="251">
        <f>'Exh. No. BGM-6 -3'!AG23</f>
        <v>0</v>
      </c>
      <c r="AG23" s="251">
        <f>'Exh. No. BGM-6 -3'!AH23</f>
        <v>0</v>
      </c>
      <c r="AH23" s="251">
        <f>'Exh. No. BGM-6 -3'!AI23</f>
        <v>0</v>
      </c>
      <c r="AI23" s="251">
        <f>'Exh. No. BGM-6 -3'!AK23</f>
        <v>0</v>
      </c>
      <c r="AJ23" s="251">
        <f>'Exh. No. BGM-6 -3'!AL23</f>
        <v>0</v>
      </c>
      <c r="AK23" s="251">
        <f>'Exh. No. BGM-6 -3'!AM23</f>
        <v>0</v>
      </c>
      <c r="AL23" s="251">
        <f>'Exh. No. BGM-6 -3'!AN23</f>
        <v>0</v>
      </c>
      <c r="AM23" s="251">
        <f>'Exh. No. BGM-6 -3'!AO23</f>
        <v>0</v>
      </c>
      <c r="AN23" s="251">
        <f>'Exh. No. BGM-6 -3'!AP23</f>
        <v>0</v>
      </c>
      <c r="AO23" s="251">
        <f>'Exh. No. BGM-6 -3'!AQ23</f>
        <v>0</v>
      </c>
      <c r="AP23" s="251">
        <f>'Exh. No. BGM-6 -3'!AS23</f>
        <v>0</v>
      </c>
      <c r="AQ23" s="251">
        <f>'Exh. No. BGM-6 -3'!BA23</f>
        <v>0</v>
      </c>
      <c r="AR23" s="251">
        <f>'Exh. No. BGM-6 -3'!BB23</f>
        <v>0</v>
      </c>
      <c r="AS23" s="251">
        <f>'Exh. No. BGM-6 -3'!BC23</f>
        <v>0</v>
      </c>
      <c r="AT23" s="251">
        <f>'Exh. No. BGM-6 -3'!BD23</f>
        <v>0</v>
      </c>
      <c r="AU23" s="251">
        <f>'Exh. No. BGM-6 -3'!BE23</f>
        <v>0</v>
      </c>
      <c r="AV23" s="251">
        <f>'Exh. No. BGM-6 -3'!BF23</f>
        <v>0</v>
      </c>
      <c r="AW23" s="251">
        <f>'Exh. No. BGM-6 -3'!BH23</f>
        <v>0</v>
      </c>
    </row>
    <row r="24" spans="1:49">
      <c r="A24" s="228">
        <v>7</v>
      </c>
      <c r="C24" s="230" t="s">
        <v>42</v>
      </c>
      <c r="D24" s="230"/>
      <c r="E24" s="252">
        <f>'Exh. No. BGM-6 -3'!E24</f>
        <v>8665</v>
      </c>
      <c r="F24" s="252">
        <f>'Exh. No. BGM-6 -3'!F24</f>
        <v>0</v>
      </c>
      <c r="G24" s="252">
        <f>'Exh. No. BGM-6 -3'!G24</f>
        <v>0</v>
      </c>
      <c r="H24" s="252">
        <f>'Exh. No. BGM-6 -3'!H24</f>
        <v>0</v>
      </c>
      <c r="I24" s="252">
        <f>'Exh. No. BGM-6 -3'!I24</f>
        <v>0</v>
      </c>
      <c r="J24" s="252">
        <f>'Exh. No. BGM-6 -3'!J24</f>
        <v>0</v>
      </c>
      <c r="K24" s="252">
        <f>'Exh. No. BGM-6 -3'!K24</f>
        <v>0</v>
      </c>
      <c r="L24" s="252">
        <f>'Exh. No. BGM-6 -3'!L24</f>
        <v>0</v>
      </c>
      <c r="M24" s="252">
        <f>'Exh. No. BGM-6 -3'!M24</f>
        <v>0</v>
      </c>
      <c r="N24" s="252">
        <f>'Exh. No. BGM-6 -3'!N24</f>
        <v>0</v>
      </c>
      <c r="O24" s="252">
        <f>'Exh. No. BGM-6 -3'!O24</f>
        <v>0</v>
      </c>
      <c r="P24" s="252">
        <f>'Exh. No. BGM-6 -3'!P24</f>
        <v>0</v>
      </c>
      <c r="Q24" s="252">
        <f>'Exh. No. BGM-6 -3'!Q24</f>
        <v>0</v>
      </c>
      <c r="R24" s="252">
        <f>'Exh. No. BGM-6 -3'!R24</f>
        <v>0</v>
      </c>
      <c r="S24" s="252">
        <f>'Exh. No. BGM-6 -3'!S24</f>
        <v>-8665</v>
      </c>
      <c r="T24" s="252">
        <f>'Exh. No. BGM-6 -3'!T24</f>
        <v>0</v>
      </c>
      <c r="U24" s="252">
        <f>'Exh. No. BGM-6 -3'!U24</f>
        <v>0</v>
      </c>
      <c r="V24" s="252">
        <f>'Exh. No. BGM-6 -3'!V24</f>
        <v>0</v>
      </c>
      <c r="W24" s="252">
        <f>'Exh. No. BGM-6 -3'!W24</f>
        <v>0</v>
      </c>
      <c r="X24" s="252">
        <f>'Exh. No. BGM-6 -3'!Y24</f>
        <v>0</v>
      </c>
      <c r="Y24" s="252">
        <f>'Exh. No. BGM-6 -3'!Z24</f>
        <v>0</v>
      </c>
      <c r="Z24" s="252">
        <f>'Exh. No. BGM-6 -3'!AA24</f>
        <v>0</v>
      </c>
      <c r="AA24" s="252">
        <f>'Exh. No. BGM-6 -3'!AB24</f>
        <v>0</v>
      </c>
      <c r="AB24" s="252">
        <f>'Exh. No. BGM-6 -3'!AC24</f>
        <v>0</v>
      </c>
      <c r="AC24" s="252">
        <f>'Exh. No. BGM-6 -3'!AD24</f>
        <v>0</v>
      </c>
      <c r="AD24" s="252">
        <f>'Exh. No. BGM-6 -3'!AE24</f>
        <v>0</v>
      </c>
      <c r="AE24" s="252">
        <f>'Exh. No. BGM-6 -3'!AF24</f>
        <v>0</v>
      </c>
      <c r="AF24" s="252">
        <f>'Exh. No. BGM-6 -3'!AG24</f>
        <v>0</v>
      </c>
      <c r="AG24" s="252">
        <f>'Exh. No. BGM-6 -3'!AH24</f>
        <v>0</v>
      </c>
      <c r="AH24" s="252">
        <f>'Exh. No. BGM-6 -3'!AI24</f>
        <v>0</v>
      </c>
      <c r="AI24" s="252">
        <f>'Exh. No. BGM-6 -3'!AK24</f>
        <v>0</v>
      </c>
      <c r="AJ24" s="252">
        <f>'Exh. No. BGM-6 -3'!AL24</f>
        <v>0</v>
      </c>
      <c r="AK24" s="252">
        <f>'Exh. No. BGM-6 -3'!AM24</f>
        <v>0</v>
      </c>
      <c r="AL24" s="252">
        <f>'Exh. No. BGM-6 -3'!AN24</f>
        <v>0</v>
      </c>
      <c r="AM24" s="252">
        <f>'Exh. No. BGM-6 -3'!AO24</f>
        <v>0</v>
      </c>
      <c r="AN24" s="252">
        <f>'Exh. No. BGM-6 -3'!AP24</f>
        <v>0</v>
      </c>
      <c r="AO24" s="252">
        <f>'Exh. No. BGM-6 -3'!AQ24</f>
        <v>0</v>
      </c>
      <c r="AP24" s="252">
        <f>'Exh. No. BGM-6 -3'!AS24</f>
        <v>0</v>
      </c>
      <c r="AQ24" s="252">
        <f>'Exh. No. BGM-6 -3'!BA24</f>
        <v>0</v>
      </c>
      <c r="AR24" s="252">
        <f>'Exh. No. BGM-6 -3'!BB24</f>
        <v>0</v>
      </c>
      <c r="AS24" s="252">
        <f>'Exh. No. BGM-6 -3'!BC24</f>
        <v>0</v>
      </c>
      <c r="AT24" s="252">
        <f>'Exh. No. BGM-6 -3'!BD24</f>
        <v>0</v>
      </c>
      <c r="AU24" s="252">
        <f>'Exh. No. BGM-6 -3'!BE24</f>
        <v>0</v>
      </c>
      <c r="AV24" s="252">
        <f>'Exh. No. BGM-6 -3'!BF24</f>
        <v>0</v>
      </c>
      <c r="AW24" s="252">
        <f>'Exh. No. BGM-6 -3'!BH24</f>
        <v>0</v>
      </c>
    </row>
    <row r="25" spans="1:49">
      <c r="A25" s="228">
        <v>8</v>
      </c>
      <c r="B25" s="230" t="s">
        <v>43</v>
      </c>
      <c r="C25" s="230"/>
      <c r="E25" s="253">
        <f>SUM(E22:E24)</f>
        <v>174419</v>
      </c>
      <c r="F25" s="253">
        <f t="shared" ref="F25:AB25" si="11">SUM(F22:F24)</f>
        <v>0</v>
      </c>
      <c r="G25" s="253">
        <f t="shared" si="11"/>
        <v>0</v>
      </c>
      <c r="H25" s="253">
        <f t="shared" si="11"/>
        <v>0</v>
      </c>
      <c r="I25" s="253">
        <f t="shared" si="11"/>
        <v>0</v>
      </c>
      <c r="J25" s="253">
        <f t="shared" si="11"/>
        <v>0</v>
      </c>
      <c r="K25" s="253">
        <f t="shared" si="11"/>
        <v>0</v>
      </c>
      <c r="L25" s="253">
        <f t="shared" si="11"/>
        <v>0</v>
      </c>
      <c r="M25" s="253">
        <f t="shared" si="11"/>
        <v>0</v>
      </c>
      <c r="N25" s="253">
        <f t="shared" si="11"/>
        <v>0</v>
      </c>
      <c r="O25" s="253">
        <f t="shared" si="11"/>
        <v>0</v>
      </c>
      <c r="P25" s="253">
        <f t="shared" si="11"/>
        <v>0</v>
      </c>
      <c r="Q25" s="253">
        <f t="shared" si="11"/>
        <v>0</v>
      </c>
      <c r="R25" s="253">
        <f t="shared" si="11"/>
        <v>10609</v>
      </c>
      <c r="S25" s="253">
        <f t="shared" ref="S25" si="12">SUM(S22:S24)</f>
        <v>-97650</v>
      </c>
      <c r="T25" s="253">
        <f t="shared" si="11"/>
        <v>0</v>
      </c>
      <c r="U25" s="253">
        <f>SUM(U22:U24)</f>
        <v>0</v>
      </c>
      <c r="V25" s="253">
        <f t="shared" si="11"/>
        <v>-16</v>
      </c>
      <c r="W25" s="253">
        <f t="shared" ref="W25" si="13">SUM(W22:W24)</f>
        <v>0</v>
      </c>
      <c r="X25" s="253">
        <f t="shared" si="11"/>
        <v>13.065818</v>
      </c>
      <c r="Y25" s="253">
        <f t="shared" ref="Y25" si="14">SUM(Y22:Y24)</f>
        <v>-25</v>
      </c>
      <c r="Z25" s="253">
        <f t="shared" si="11"/>
        <v>12</v>
      </c>
      <c r="AA25" s="253">
        <f>SUM(AA22:AA24)</f>
        <v>0</v>
      </c>
      <c r="AB25" s="253">
        <f t="shared" si="11"/>
        <v>0</v>
      </c>
      <c r="AC25" s="253">
        <f t="shared" ref="AC25:AP25" si="15">SUM(AC22:AC24)</f>
        <v>-86559</v>
      </c>
      <c r="AD25" s="253">
        <f>SUM(AD22:AD24)</f>
        <v>0</v>
      </c>
      <c r="AE25" s="253">
        <f t="shared" si="15"/>
        <v>0</v>
      </c>
      <c r="AF25" s="253">
        <f t="shared" si="15"/>
        <v>0</v>
      </c>
      <c r="AG25" s="253">
        <f t="shared" si="15"/>
        <v>0</v>
      </c>
      <c r="AH25" s="253">
        <f t="shared" si="15"/>
        <v>0</v>
      </c>
      <c r="AI25" s="253">
        <f t="shared" ref="AI25" si="16">SUM(AI22:AI24)</f>
        <v>0</v>
      </c>
      <c r="AJ25" s="253">
        <f t="shared" si="15"/>
        <v>0</v>
      </c>
      <c r="AK25" s="253">
        <f t="shared" si="15"/>
        <v>0</v>
      </c>
      <c r="AL25" s="253">
        <f t="shared" si="15"/>
        <v>0</v>
      </c>
      <c r="AM25" s="253">
        <f t="shared" ref="AM25" si="17">SUM(AM22:AM24)</f>
        <v>0</v>
      </c>
      <c r="AN25" s="253">
        <f t="shared" si="15"/>
        <v>0</v>
      </c>
      <c r="AO25" s="253">
        <f t="shared" ref="AO25" si="18">SUM(AO22:AO24)</f>
        <v>0</v>
      </c>
      <c r="AP25" s="253">
        <f t="shared" si="15"/>
        <v>0</v>
      </c>
      <c r="AQ25" s="253">
        <f t="shared" ref="AQ25:AW25" si="19">SUM(AQ22:AQ24)</f>
        <v>0</v>
      </c>
      <c r="AR25" s="253">
        <f t="shared" si="19"/>
        <v>0</v>
      </c>
      <c r="AS25" s="253">
        <f t="shared" ref="AS25" si="20">SUM(AS22:AS24)</f>
        <v>0</v>
      </c>
      <c r="AT25" s="253">
        <f t="shared" si="19"/>
        <v>0</v>
      </c>
      <c r="AU25" s="253">
        <f t="shared" ref="AU25" si="21">SUM(AU22:AU24)</f>
        <v>0</v>
      </c>
      <c r="AV25" s="253">
        <f t="shared" si="19"/>
        <v>0</v>
      </c>
      <c r="AW25" s="253">
        <f t="shared" si="19"/>
        <v>0</v>
      </c>
    </row>
    <row r="26" spans="1:49">
      <c r="B26" s="230"/>
      <c r="C26" s="230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1"/>
      <c r="AL26" s="251"/>
      <c r="AM26" s="251"/>
      <c r="AN26" s="251"/>
      <c r="AO26" s="251"/>
      <c r="AP26" s="251"/>
      <c r="AQ26" s="251"/>
      <c r="AR26" s="251"/>
      <c r="AS26" s="251"/>
      <c r="AT26" s="251"/>
      <c r="AU26" s="251"/>
      <c r="AV26" s="251"/>
      <c r="AW26" s="251"/>
    </row>
    <row r="27" spans="1:49">
      <c r="B27" s="230" t="s">
        <v>44</v>
      </c>
      <c r="D27" s="230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  <c r="AP27" s="251"/>
      <c r="AQ27" s="251"/>
      <c r="AR27" s="251"/>
      <c r="AS27" s="251"/>
      <c r="AT27" s="251"/>
      <c r="AU27" s="251"/>
      <c r="AV27" s="251"/>
      <c r="AW27" s="251"/>
    </row>
    <row r="28" spans="1:49">
      <c r="A28" s="228">
        <v>9</v>
      </c>
      <c r="C28" s="230" t="s">
        <v>45</v>
      </c>
      <c r="D28" s="230"/>
      <c r="E28" s="251">
        <f>'Exh. No. BGM-6 -3'!E28</f>
        <v>833</v>
      </c>
      <c r="F28" s="251">
        <f>'Exh. No. BGM-6 -3'!F28</f>
        <v>0</v>
      </c>
      <c r="G28" s="251">
        <f>'Exh. No. BGM-6 -3'!G28</f>
        <v>0</v>
      </c>
      <c r="H28" s="251">
        <f>'Exh. No. BGM-6 -3'!H28</f>
        <v>0</v>
      </c>
      <c r="I28" s="251">
        <f>'Exh. No. BGM-6 -3'!I28</f>
        <v>0</v>
      </c>
      <c r="J28" s="251">
        <f>'Exh. No. BGM-6 -3'!J28</f>
        <v>0</v>
      </c>
      <c r="K28" s="251">
        <f>'Exh. No. BGM-6 -3'!K28</f>
        <v>0</v>
      </c>
      <c r="L28" s="251">
        <f>'Exh. No. BGM-6 -3'!L28</f>
        <v>0</v>
      </c>
      <c r="M28" s="251">
        <f>'Exh. No. BGM-6 -3'!M28</f>
        <v>0</v>
      </c>
      <c r="N28" s="251">
        <f>'Exh. No. BGM-6 -3'!N28</f>
        <v>0</v>
      </c>
      <c r="O28" s="251">
        <f>'Exh. No. BGM-6 -3'!O28</f>
        <v>0</v>
      </c>
      <c r="P28" s="251">
        <f>'Exh. No. BGM-6 -3'!P28</f>
        <v>0</v>
      </c>
      <c r="Q28" s="251">
        <f>'Exh. No. BGM-6 -3'!Q28</f>
        <v>0</v>
      </c>
      <c r="R28" s="251">
        <f>'Exh. No. BGM-6 -3'!R28</f>
        <v>0</v>
      </c>
      <c r="S28" s="251">
        <f>'Exh. No. BGM-6 -3'!S28</f>
        <v>0</v>
      </c>
      <c r="T28" s="251">
        <f>'Exh. No. BGM-6 -3'!T28</f>
        <v>0</v>
      </c>
      <c r="U28" s="251">
        <f>'Exh. No. BGM-6 -3'!U28</f>
        <v>0</v>
      </c>
      <c r="V28" s="251">
        <f>'Exh. No. BGM-6 -3'!V28</f>
        <v>0</v>
      </c>
      <c r="W28" s="251">
        <f>'Exh. No. BGM-6 -3'!W28</f>
        <v>0</v>
      </c>
      <c r="X28" s="251">
        <f>'Exh. No. BGM-6 -3'!Y28</f>
        <v>-7.5600000000000001E-2</v>
      </c>
      <c r="Y28" s="251">
        <f>'Exh. No. BGM-6 -3'!Z28</f>
        <v>0</v>
      </c>
      <c r="Z28" s="251">
        <f>'Exh. No. BGM-6 -3'!AA28</f>
        <v>-0.20699999999999999</v>
      </c>
      <c r="AA28" s="251">
        <f>'Exh. No. BGM-6 -3'!AB28</f>
        <v>0</v>
      </c>
      <c r="AB28" s="251">
        <f>'Exh. No. BGM-6 -3'!AC28</f>
        <v>0</v>
      </c>
      <c r="AC28" s="251">
        <f>'Exh. No. BGM-6 -3'!AD28</f>
        <v>0</v>
      </c>
      <c r="AD28" s="251">
        <f>'Exh. No. BGM-6 -3'!AE28</f>
        <v>0</v>
      </c>
      <c r="AE28" s="251">
        <f>'Exh. No. BGM-6 -3'!AF28</f>
        <v>0</v>
      </c>
      <c r="AF28" s="251">
        <f>'Exh. No. BGM-6 -3'!AG28</f>
        <v>0</v>
      </c>
      <c r="AG28" s="251">
        <f>'Exh. No. BGM-6 -3'!AH28</f>
        <v>0</v>
      </c>
      <c r="AH28" s="251">
        <f>'Exh. No. BGM-6 -3'!AI28</f>
        <v>0</v>
      </c>
      <c r="AI28" s="251">
        <f>'Exh. No. BGM-6 -3'!AK28</f>
        <v>0</v>
      </c>
      <c r="AJ28" s="251">
        <f>'Exh. No. BGM-6 -3'!AL28</f>
        <v>0</v>
      </c>
      <c r="AK28" s="251">
        <f>'Exh. No. BGM-6 -3'!AM28</f>
        <v>0</v>
      </c>
      <c r="AL28" s="251">
        <f>'Exh. No. BGM-6 -3'!AN28</f>
        <v>0</v>
      </c>
      <c r="AM28" s="251">
        <f>'Exh. No. BGM-6 -3'!AO28</f>
        <v>0</v>
      </c>
      <c r="AN28" s="251">
        <f>'Exh. No. BGM-6 -3'!AP28</f>
        <v>0</v>
      </c>
      <c r="AO28" s="251">
        <f>'Exh. No. BGM-6 -3'!AQ28</f>
        <v>0</v>
      </c>
      <c r="AP28" s="251">
        <f>'Exh. No. BGM-6 -3'!AS28</f>
        <v>0</v>
      </c>
      <c r="AQ28" s="251">
        <f>'Exh. No. BGM-6 -3'!BA28</f>
        <v>0</v>
      </c>
      <c r="AR28" s="251">
        <f>'Exh. No. BGM-6 -3'!BB28</f>
        <v>0</v>
      </c>
      <c r="AS28" s="251">
        <f>'Exh. No. BGM-6 -3'!BC28</f>
        <v>0</v>
      </c>
      <c r="AT28" s="251">
        <f>'Exh. No. BGM-6 -3'!BD28</f>
        <v>0</v>
      </c>
      <c r="AU28" s="251">
        <f>'Exh. No. BGM-6 -3'!BE28</f>
        <v>0</v>
      </c>
      <c r="AV28" s="251">
        <f>'Exh. No. BGM-6 -3'!BF28</f>
        <v>0</v>
      </c>
      <c r="AW28" s="251">
        <f>'Exh. No. BGM-6 -3'!BH28</f>
        <v>0</v>
      </c>
    </row>
    <row r="29" spans="1:49">
      <c r="A29" s="228">
        <v>10</v>
      </c>
      <c r="C29" s="230" t="s">
        <v>224</v>
      </c>
      <c r="D29" s="230"/>
      <c r="E29" s="251">
        <f>'Exh. No. BGM-6 -3'!E29</f>
        <v>429</v>
      </c>
      <c r="F29" s="251">
        <f>'Exh. No. BGM-6 -3'!F29</f>
        <v>0</v>
      </c>
      <c r="G29" s="251">
        <f>'Exh. No. BGM-6 -3'!G29</f>
        <v>0</v>
      </c>
      <c r="H29" s="251">
        <f>'Exh. No. BGM-6 -3'!H29</f>
        <v>0</v>
      </c>
      <c r="I29" s="251">
        <f>'Exh. No. BGM-6 -3'!I29</f>
        <v>0</v>
      </c>
      <c r="J29" s="251">
        <f>'Exh. No. BGM-6 -3'!J29</f>
        <v>0</v>
      </c>
      <c r="K29" s="251">
        <f>'Exh. No. BGM-6 -3'!K29</f>
        <v>0</v>
      </c>
      <c r="L29" s="251">
        <f>'Exh. No. BGM-6 -3'!L29</f>
        <v>0</v>
      </c>
      <c r="M29" s="251">
        <f>'Exh. No. BGM-6 -3'!M29</f>
        <v>0</v>
      </c>
      <c r="N29" s="251">
        <f>'Exh. No. BGM-6 -3'!N29</f>
        <v>0</v>
      </c>
      <c r="O29" s="251">
        <f>'Exh. No. BGM-6 -3'!O29</f>
        <v>0</v>
      </c>
      <c r="P29" s="251">
        <f>'Exh. No. BGM-6 -3'!P29</f>
        <v>0</v>
      </c>
      <c r="Q29" s="251">
        <f>'Exh. No. BGM-6 -3'!Q29</f>
        <v>0</v>
      </c>
      <c r="R29" s="251">
        <f>'Exh. No. BGM-6 -3'!R29</f>
        <v>0</v>
      </c>
      <c r="S29" s="251">
        <f>'Exh. No. BGM-6 -3'!S29</f>
        <v>0</v>
      </c>
      <c r="T29" s="251">
        <f>'Exh. No. BGM-6 -3'!T29</f>
        <v>0</v>
      </c>
      <c r="U29" s="251">
        <f>'Exh. No. BGM-6 -3'!U29</f>
        <v>0</v>
      </c>
      <c r="V29" s="251">
        <f>'Exh. No. BGM-6 -3'!V29</f>
        <v>0</v>
      </c>
      <c r="W29" s="251">
        <f>'Exh. No. BGM-6 -3'!W29</f>
        <v>0</v>
      </c>
      <c r="X29" s="251">
        <f>'Exh. No. BGM-6 -3'!Y29</f>
        <v>0</v>
      </c>
      <c r="Y29" s="251">
        <f>'Exh. No. BGM-6 -3'!Z29</f>
        <v>0</v>
      </c>
      <c r="Z29" s="251">
        <f>'Exh. No. BGM-6 -3'!AA29</f>
        <v>0</v>
      </c>
      <c r="AA29" s="251">
        <f>'Exh. No. BGM-6 -3'!AB29</f>
        <v>0</v>
      </c>
      <c r="AB29" s="251">
        <f>'Exh. No. BGM-6 -3'!AC29</f>
        <v>0</v>
      </c>
      <c r="AC29" s="251">
        <f>'Exh. No. BGM-6 -3'!AD29</f>
        <v>0</v>
      </c>
      <c r="AD29" s="251">
        <f>'Exh. No. BGM-6 -3'!AE29</f>
        <v>0</v>
      </c>
      <c r="AE29" s="251">
        <f>'Exh. No. BGM-6 -3'!AF29</f>
        <v>0</v>
      </c>
      <c r="AF29" s="251">
        <f>'Exh. No. BGM-6 -3'!AG29</f>
        <v>-2</v>
      </c>
      <c r="AG29" s="251">
        <f>'Exh. No. BGM-6 -3'!AH29</f>
        <v>0</v>
      </c>
      <c r="AH29" s="251">
        <f>'Exh. No. BGM-6 -3'!AI29</f>
        <v>0</v>
      </c>
      <c r="AI29" s="251">
        <f>'Exh. No. BGM-6 -3'!AK29</f>
        <v>0</v>
      </c>
      <c r="AJ29" s="251">
        <f>'Exh. No. BGM-6 -3'!AL29</f>
        <v>0</v>
      </c>
      <c r="AK29" s="251">
        <f>'Exh. No. BGM-6 -3'!AM29</f>
        <v>0</v>
      </c>
      <c r="AL29" s="251">
        <f>'Exh. No. BGM-6 -3'!AN29</f>
        <v>0</v>
      </c>
      <c r="AM29" s="251">
        <f>'Exh. No. BGM-6 -3'!AO29</f>
        <v>0</v>
      </c>
      <c r="AN29" s="251">
        <f>'Exh. No. BGM-6 -3'!AP29</f>
        <v>0</v>
      </c>
      <c r="AO29" s="251">
        <f>'Exh. No. BGM-6 -3'!AQ29</f>
        <v>0</v>
      </c>
      <c r="AP29" s="251">
        <f>'Exh. No. BGM-6 -3'!AS29</f>
        <v>0</v>
      </c>
      <c r="AQ29" s="251">
        <f>'Exh. No. BGM-6 -3'!BA29</f>
        <v>0</v>
      </c>
      <c r="AR29" s="251">
        <f>'Exh. No. BGM-6 -3'!BB29</f>
        <v>0</v>
      </c>
      <c r="AS29" s="251">
        <f>'Exh. No. BGM-6 -3'!BC29</f>
        <v>0</v>
      </c>
      <c r="AT29" s="251">
        <f>'Exh. No. BGM-6 -3'!BD29</f>
        <v>0</v>
      </c>
      <c r="AU29" s="251">
        <f>'Exh. No. BGM-6 -3'!BE29</f>
        <v>0</v>
      </c>
      <c r="AV29" s="251">
        <f>'Exh. No. BGM-6 -3'!BF29</f>
        <v>0</v>
      </c>
      <c r="AW29" s="251">
        <f>'Exh. No. BGM-6 -3'!BH29</f>
        <v>0</v>
      </c>
    </row>
    <row r="30" spans="1:49">
      <c r="A30" s="228">
        <v>11</v>
      </c>
      <c r="C30" s="230" t="s">
        <v>22</v>
      </c>
      <c r="D30" s="230"/>
      <c r="E30" s="252">
        <f>'Exh. No. BGM-6 -3'!E30</f>
        <v>292</v>
      </c>
      <c r="F30" s="252">
        <f>'Exh. No. BGM-6 -3'!F30</f>
        <v>0</v>
      </c>
      <c r="G30" s="252">
        <f>'Exh. No. BGM-6 -3'!G30</f>
        <v>0</v>
      </c>
      <c r="H30" s="252">
        <f>'Exh. No. BGM-6 -3'!H30</f>
        <v>0</v>
      </c>
      <c r="I30" s="252">
        <f>'Exh. No. BGM-6 -3'!I30</f>
        <v>0</v>
      </c>
      <c r="J30" s="252">
        <f>'Exh. No. BGM-6 -3'!J30</f>
        <v>-14</v>
      </c>
      <c r="K30" s="252">
        <f>'Exh. No. BGM-6 -3'!K30</f>
        <v>0</v>
      </c>
      <c r="L30" s="252">
        <f>'Exh. No. BGM-6 -3'!L30</f>
        <v>0</v>
      </c>
      <c r="M30" s="252">
        <f>'Exh. No. BGM-6 -3'!M30</f>
        <v>0</v>
      </c>
      <c r="N30" s="252">
        <f>'Exh. No. BGM-6 -3'!N30</f>
        <v>0</v>
      </c>
      <c r="O30" s="252">
        <f>'Exh. No. BGM-6 -3'!O30</f>
        <v>0</v>
      </c>
      <c r="P30" s="252">
        <f>'Exh. No. BGM-6 -3'!P30</f>
        <v>0</v>
      </c>
      <c r="Q30" s="252">
        <f>'Exh. No. BGM-6 -3'!Q30</f>
        <v>0</v>
      </c>
      <c r="R30" s="252">
        <f>'Exh. No. BGM-6 -3'!R30</f>
        <v>0</v>
      </c>
      <c r="S30" s="252">
        <f>'Exh. No. BGM-6 -3'!S30</f>
        <v>0</v>
      </c>
      <c r="T30" s="252">
        <f>'Exh. No. BGM-6 -3'!T30</f>
        <v>0</v>
      </c>
      <c r="U30" s="252">
        <f>'Exh. No. BGM-6 -3'!U30</f>
        <v>0</v>
      </c>
      <c r="V30" s="252">
        <f>'Exh. No. BGM-6 -3'!V30</f>
        <v>0</v>
      </c>
      <c r="W30" s="252">
        <f>'Exh. No. BGM-6 -3'!W30</f>
        <v>0</v>
      </c>
      <c r="X30" s="252">
        <f>'Exh. No. BGM-6 -3'!Y30</f>
        <v>0</v>
      </c>
      <c r="Y30" s="252">
        <f>'Exh. No. BGM-6 -3'!Z30</f>
        <v>0</v>
      </c>
      <c r="Z30" s="252">
        <f>'Exh. No. BGM-6 -3'!AA30</f>
        <v>0</v>
      </c>
      <c r="AA30" s="252">
        <f>'Exh. No. BGM-6 -3'!AB30</f>
        <v>0</v>
      </c>
      <c r="AB30" s="252">
        <f>'Exh. No. BGM-6 -3'!AC30</f>
        <v>15</v>
      </c>
      <c r="AC30" s="252">
        <f>'Exh. No. BGM-6 -3'!AD30</f>
        <v>0</v>
      </c>
      <c r="AD30" s="252">
        <f>'Exh. No. BGM-6 -3'!AE30</f>
        <v>0</v>
      </c>
      <c r="AE30" s="252">
        <f>'Exh. No. BGM-6 -3'!AF30</f>
        <v>0</v>
      </c>
      <c r="AF30" s="252">
        <f>'Exh. No. BGM-6 -3'!AG30</f>
        <v>0</v>
      </c>
      <c r="AG30" s="252">
        <f>'Exh. No. BGM-6 -3'!AH30</f>
        <v>0</v>
      </c>
      <c r="AH30" s="252">
        <f>'Exh. No. BGM-6 -3'!AI30</f>
        <v>0</v>
      </c>
      <c r="AI30" s="252">
        <f>'Exh. No. BGM-6 -3'!AK30</f>
        <v>0</v>
      </c>
      <c r="AJ30" s="252">
        <f>'Exh. No. BGM-6 -3'!AL30</f>
        <v>0</v>
      </c>
      <c r="AK30" s="252">
        <f>'Exh. No. BGM-6 -3'!AM30</f>
        <v>0</v>
      </c>
      <c r="AL30" s="252">
        <f>'Exh. No. BGM-6 -3'!AN30</f>
        <v>0</v>
      </c>
      <c r="AM30" s="252">
        <f>'Exh. No. BGM-6 -3'!AO30</f>
        <v>0</v>
      </c>
      <c r="AN30" s="252">
        <f>'Exh. No. BGM-6 -3'!AP30</f>
        <v>0</v>
      </c>
      <c r="AO30" s="252">
        <f>'Exh. No. BGM-6 -3'!AQ30</f>
        <v>0</v>
      </c>
      <c r="AP30" s="252">
        <f>'Exh. No. BGM-6 -3'!AS30</f>
        <v>0</v>
      </c>
      <c r="AQ30" s="252">
        <f>'Exh. No. BGM-6 -3'!BA30</f>
        <v>0</v>
      </c>
      <c r="AR30" s="252">
        <f>'Exh. No. BGM-6 -3'!BB30</f>
        <v>0</v>
      </c>
      <c r="AS30" s="252">
        <f>'Exh. No. BGM-6 -3'!BC30</f>
        <v>0</v>
      </c>
      <c r="AT30" s="252">
        <f>'Exh. No. BGM-6 -3'!BD30</f>
        <v>0</v>
      </c>
      <c r="AU30" s="252">
        <f>'Exh. No. BGM-6 -3'!BE30</f>
        <v>0</v>
      </c>
      <c r="AV30" s="252">
        <f>'Exh. No. BGM-6 -3'!BF30</f>
        <v>0</v>
      </c>
      <c r="AW30" s="252">
        <f>'Exh. No. BGM-6 -3'!BH30</f>
        <v>0</v>
      </c>
    </row>
    <row r="31" spans="1:49">
      <c r="A31" s="228">
        <v>12</v>
      </c>
      <c r="B31" s="230" t="s">
        <v>47</v>
      </c>
      <c r="C31" s="230"/>
      <c r="E31" s="251">
        <f t="shared" ref="E31" si="22">SUM(E28:E30)</f>
        <v>1554</v>
      </c>
      <c r="F31" s="251">
        <f t="shared" ref="F31:AB31" si="23">SUM(F28:F30)</f>
        <v>0</v>
      </c>
      <c r="G31" s="251">
        <f t="shared" si="23"/>
        <v>0</v>
      </c>
      <c r="H31" s="251">
        <f t="shared" si="23"/>
        <v>0</v>
      </c>
      <c r="I31" s="251">
        <f t="shared" si="23"/>
        <v>0</v>
      </c>
      <c r="J31" s="251">
        <f t="shared" si="23"/>
        <v>-14</v>
      </c>
      <c r="K31" s="251">
        <f t="shared" si="23"/>
        <v>0</v>
      </c>
      <c r="L31" s="251">
        <f t="shared" si="23"/>
        <v>0</v>
      </c>
      <c r="M31" s="251">
        <f t="shared" si="23"/>
        <v>0</v>
      </c>
      <c r="N31" s="251">
        <f t="shared" si="23"/>
        <v>0</v>
      </c>
      <c r="O31" s="251">
        <f t="shared" si="23"/>
        <v>0</v>
      </c>
      <c r="P31" s="251">
        <f t="shared" si="23"/>
        <v>0</v>
      </c>
      <c r="Q31" s="251">
        <f t="shared" si="23"/>
        <v>0</v>
      </c>
      <c r="R31" s="251">
        <f t="shared" si="23"/>
        <v>0</v>
      </c>
      <c r="S31" s="251">
        <f t="shared" ref="S31" si="24">SUM(S28:S30)</f>
        <v>0</v>
      </c>
      <c r="T31" s="251">
        <f t="shared" si="23"/>
        <v>0</v>
      </c>
      <c r="U31" s="251">
        <f>SUM(U28:U30)</f>
        <v>0</v>
      </c>
      <c r="V31" s="251">
        <f t="shared" si="23"/>
        <v>0</v>
      </c>
      <c r="W31" s="251">
        <f t="shared" ref="W31" si="25">SUM(W28:W30)</f>
        <v>0</v>
      </c>
      <c r="X31" s="251">
        <f t="shared" si="23"/>
        <v>-7.5600000000000001E-2</v>
      </c>
      <c r="Y31" s="251">
        <f t="shared" ref="Y31" si="26">SUM(Y28:Y30)</f>
        <v>0</v>
      </c>
      <c r="Z31" s="251">
        <f t="shared" si="23"/>
        <v>-0.20699999999999999</v>
      </c>
      <c r="AA31" s="251">
        <f>SUM(AA28:AA30)</f>
        <v>0</v>
      </c>
      <c r="AB31" s="251">
        <f t="shared" si="23"/>
        <v>15</v>
      </c>
      <c r="AC31" s="251">
        <f t="shared" ref="AC31:AP31" si="27">SUM(AC28:AC30)</f>
        <v>0</v>
      </c>
      <c r="AD31" s="251">
        <f>SUM(AD28:AD30)</f>
        <v>0</v>
      </c>
      <c r="AE31" s="251">
        <f t="shared" si="27"/>
        <v>0</v>
      </c>
      <c r="AF31" s="251">
        <f t="shared" si="27"/>
        <v>-2</v>
      </c>
      <c r="AG31" s="251">
        <f t="shared" si="27"/>
        <v>0</v>
      </c>
      <c r="AH31" s="251">
        <f t="shared" si="27"/>
        <v>0</v>
      </c>
      <c r="AI31" s="251">
        <f t="shared" ref="AI31" si="28">SUM(AI28:AI30)</f>
        <v>0</v>
      </c>
      <c r="AJ31" s="251">
        <f t="shared" si="27"/>
        <v>0</v>
      </c>
      <c r="AK31" s="251">
        <f t="shared" si="27"/>
        <v>0</v>
      </c>
      <c r="AL31" s="251">
        <f t="shared" si="27"/>
        <v>0</v>
      </c>
      <c r="AM31" s="251">
        <f t="shared" ref="AM31" si="29">SUM(AM28:AM30)</f>
        <v>0</v>
      </c>
      <c r="AN31" s="251">
        <f t="shared" si="27"/>
        <v>0</v>
      </c>
      <c r="AO31" s="251">
        <f t="shared" ref="AO31" si="30">SUM(AO28:AO30)</f>
        <v>0</v>
      </c>
      <c r="AP31" s="251">
        <f t="shared" si="27"/>
        <v>0</v>
      </c>
      <c r="AQ31" s="251">
        <f t="shared" ref="AQ31:AW31" si="31">SUM(AQ28:AQ30)</f>
        <v>0</v>
      </c>
      <c r="AR31" s="251">
        <f t="shared" si="31"/>
        <v>0</v>
      </c>
      <c r="AS31" s="251">
        <f t="shared" ref="AS31" si="32">SUM(AS28:AS30)</f>
        <v>0</v>
      </c>
      <c r="AT31" s="251">
        <f t="shared" si="31"/>
        <v>0</v>
      </c>
      <c r="AU31" s="251">
        <f t="shared" ref="AU31" si="33">SUM(AU28:AU30)</f>
        <v>0</v>
      </c>
      <c r="AV31" s="251">
        <f t="shared" si="31"/>
        <v>0</v>
      </c>
      <c r="AW31" s="251">
        <f t="shared" si="31"/>
        <v>0</v>
      </c>
    </row>
    <row r="32" spans="1:49">
      <c r="B32" s="230"/>
      <c r="C32" s="230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</row>
    <row r="33" spans="1:49">
      <c r="B33" s="230" t="s">
        <v>48</v>
      </c>
      <c r="D33" s="230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  <c r="AS33" s="251"/>
      <c r="AT33" s="251"/>
      <c r="AU33" s="251"/>
      <c r="AV33" s="251"/>
      <c r="AW33" s="251"/>
    </row>
    <row r="34" spans="1:49">
      <c r="A34" s="228">
        <v>13</v>
      </c>
      <c r="C34" s="230" t="s">
        <v>45</v>
      </c>
      <c r="D34" s="230"/>
      <c r="E34" s="251">
        <f>'Exh. No. BGM-6 -3'!E34</f>
        <v>11531</v>
      </c>
      <c r="F34" s="251">
        <f>'Exh. No. BGM-6 -3'!F34</f>
        <v>0</v>
      </c>
      <c r="G34" s="251">
        <f>'Exh. No. BGM-6 -3'!G34</f>
        <v>0</v>
      </c>
      <c r="H34" s="251">
        <f>'Exh. No. BGM-6 -3'!H34</f>
        <v>0</v>
      </c>
      <c r="I34" s="251">
        <f>'Exh. No. BGM-6 -3'!I34</f>
        <v>0</v>
      </c>
      <c r="J34" s="251">
        <f>'Exh. No. BGM-6 -3'!J34</f>
        <v>0</v>
      </c>
      <c r="K34" s="251">
        <f>'Exh. No. BGM-6 -3'!K34</f>
        <v>0</v>
      </c>
      <c r="L34" s="251">
        <f>'Exh. No. BGM-6 -3'!L34</f>
        <v>0</v>
      </c>
      <c r="M34" s="251">
        <f>'Exh. No. BGM-6 -3'!M34</f>
        <v>0</v>
      </c>
      <c r="N34" s="251">
        <f>'Exh. No. BGM-6 -3'!N34</f>
        <v>0</v>
      </c>
      <c r="O34" s="251">
        <f>'Exh. No. BGM-6 -3'!O34</f>
        <v>0</v>
      </c>
      <c r="P34" s="251">
        <f>'Exh. No. BGM-6 -3'!P34</f>
        <v>0</v>
      </c>
      <c r="Q34" s="251">
        <f>'Exh. No. BGM-6 -3'!Q34</f>
        <v>0</v>
      </c>
      <c r="R34" s="251">
        <f>'Exh. No. BGM-6 -3'!R34</f>
        <v>0</v>
      </c>
      <c r="S34" s="251">
        <f>'Exh. No. BGM-6 -3'!S34</f>
        <v>0</v>
      </c>
      <c r="T34" s="251">
        <f>'Exh. No. BGM-6 -3'!T34</f>
        <v>0</v>
      </c>
      <c r="U34" s="251">
        <f>'Exh. No. BGM-6 -3'!U34</f>
        <v>0</v>
      </c>
      <c r="V34" s="251">
        <f>'Exh. No. BGM-6 -3'!V34</f>
        <v>-218</v>
      </c>
      <c r="W34" s="251">
        <f>'Exh. No. BGM-6 -3'!W34</f>
        <v>0</v>
      </c>
      <c r="X34" s="251">
        <f>'Exh. No. BGM-6 -3'!Y34</f>
        <v>170.575974</v>
      </c>
      <c r="Y34" s="251">
        <f>'Exh. No. BGM-6 -3'!Z34</f>
        <v>0</v>
      </c>
      <c r="Z34" s="251">
        <f>'Exh. No. BGM-6 -3'!AA34</f>
        <v>144</v>
      </c>
      <c r="AA34" s="251">
        <f>'Exh. No. BGM-6 -3'!AB34</f>
        <v>104</v>
      </c>
      <c r="AB34" s="251">
        <f>'Exh. No. BGM-6 -3'!AC34</f>
        <v>0</v>
      </c>
      <c r="AC34" s="251">
        <f>'Exh. No. BGM-6 -3'!AD34</f>
        <v>0</v>
      </c>
      <c r="AD34" s="251">
        <f>'Exh. No. BGM-6 -3'!AE34</f>
        <v>236</v>
      </c>
      <c r="AE34" s="251">
        <f>'Exh. No. BGM-6 -3'!AF34</f>
        <v>0</v>
      </c>
      <c r="AF34" s="251">
        <f>'Exh. No. BGM-6 -3'!AG34</f>
        <v>0</v>
      </c>
      <c r="AG34" s="251">
        <f>'Exh. No. BGM-6 -3'!AH34</f>
        <v>0</v>
      </c>
      <c r="AH34" s="251">
        <f>'Exh. No. BGM-6 -3'!AI34</f>
        <v>0</v>
      </c>
      <c r="AI34" s="251">
        <f>'Exh. No. BGM-6 -3'!AK34</f>
        <v>0</v>
      </c>
      <c r="AJ34" s="251">
        <f>'Exh. No. BGM-6 -3'!AL34</f>
        <v>0</v>
      </c>
      <c r="AK34" s="251">
        <f>'Exh. No. BGM-6 -3'!AM34</f>
        <v>0</v>
      </c>
      <c r="AL34" s="251">
        <f>'Exh. No. BGM-6 -3'!AN34</f>
        <v>0</v>
      </c>
      <c r="AM34" s="251">
        <f>'Exh. No. BGM-6 -3'!AO34</f>
        <v>0</v>
      </c>
      <c r="AN34" s="251">
        <f>'Exh. No. BGM-6 -3'!AP34</f>
        <v>0</v>
      </c>
      <c r="AO34" s="251">
        <f>'Exh. No. BGM-6 -3'!AQ34</f>
        <v>0</v>
      </c>
      <c r="AP34" s="251">
        <f>'Exh. No. BGM-6 -3'!AS34</f>
        <v>0</v>
      </c>
      <c r="AQ34" s="251">
        <f>'Exh. No. BGM-6 -3'!BA34</f>
        <v>0</v>
      </c>
      <c r="AR34" s="251">
        <f>'Exh. No. BGM-6 -3'!BB34</f>
        <v>0</v>
      </c>
      <c r="AS34" s="251">
        <f>'Exh. No. BGM-6 -3'!BC34</f>
        <v>0</v>
      </c>
      <c r="AT34" s="251">
        <f>'Exh. No. BGM-6 -3'!BD34</f>
        <v>0</v>
      </c>
      <c r="AU34" s="251">
        <f>'Exh. No. BGM-6 -3'!BE34</f>
        <v>0</v>
      </c>
      <c r="AV34" s="251">
        <f>'Exh. No. BGM-6 -3'!BF34</f>
        <v>0</v>
      </c>
      <c r="AW34" s="251">
        <f>'Exh. No. BGM-6 -3'!BH34</f>
        <v>0</v>
      </c>
    </row>
    <row r="35" spans="1:49">
      <c r="A35" s="228">
        <v>14</v>
      </c>
      <c r="C35" s="230" t="s">
        <v>224</v>
      </c>
      <c r="D35" s="230"/>
      <c r="E35" s="253">
        <f>'Exh. No. BGM-6 -3'!E35</f>
        <v>8931</v>
      </c>
      <c r="F35" s="253">
        <f>'Exh. No. BGM-6 -3'!F35</f>
        <v>0</v>
      </c>
      <c r="G35" s="253">
        <f>'Exh. No. BGM-6 -3'!G35</f>
        <v>0</v>
      </c>
      <c r="H35" s="253">
        <f>'Exh. No. BGM-6 -3'!H35</f>
        <v>0</v>
      </c>
      <c r="I35" s="253">
        <f>'Exh. No. BGM-6 -3'!I35</f>
        <v>0</v>
      </c>
      <c r="J35" s="253">
        <f>'Exh. No. BGM-6 -3'!J35</f>
        <v>0</v>
      </c>
      <c r="K35" s="253">
        <f>'Exh. No. BGM-6 -3'!K35</f>
        <v>0</v>
      </c>
      <c r="L35" s="253">
        <f>'Exh. No. BGM-6 -3'!L35</f>
        <v>0</v>
      </c>
      <c r="M35" s="253">
        <f>'Exh. No. BGM-6 -3'!M35</f>
        <v>0</v>
      </c>
      <c r="N35" s="253">
        <f>'Exh. No. BGM-6 -3'!N35</f>
        <v>0</v>
      </c>
      <c r="O35" s="253">
        <f>'Exh. No. BGM-6 -3'!O35</f>
        <v>0</v>
      </c>
      <c r="P35" s="253">
        <f>'Exh. No. BGM-6 -3'!P35</f>
        <v>0</v>
      </c>
      <c r="Q35" s="253">
        <f>'Exh. No. BGM-6 -3'!Q35</f>
        <v>-6</v>
      </c>
      <c r="R35" s="253">
        <f>'Exh. No. BGM-6 -3'!R35</f>
        <v>0</v>
      </c>
      <c r="S35" s="253">
        <f>'Exh. No. BGM-6 -3'!S35</f>
        <v>0</v>
      </c>
      <c r="T35" s="253">
        <f>'Exh. No. BGM-6 -3'!T35</f>
        <v>0</v>
      </c>
      <c r="U35" s="253">
        <f>'Exh. No. BGM-6 -3'!U35</f>
        <v>0</v>
      </c>
      <c r="V35" s="253">
        <f>'Exh. No. BGM-6 -3'!V35</f>
        <v>0</v>
      </c>
      <c r="W35" s="253">
        <f>'Exh. No. BGM-6 -3'!W35</f>
        <v>0</v>
      </c>
      <c r="X35" s="253">
        <f>'Exh. No. BGM-6 -3'!Y35</f>
        <v>0</v>
      </c>
      <c r="Y35" s="253">
        <f>'Exh. No. BGM-6 -3'!Z35</f>
        <v>0</v>
      </c>
      <c r="Z35" s="253">
        <f>'Exh. No. BGM-6 -3'!AA35</f>
        <v>0</v>
      </c>
      <c r="AA35" s="253">
        <f>'Exh. No. BGM-6 -3'!AB35</f>
        <v>0</v>
      </c>
      <c r="AB35" s="253">
        <f>'Exh. No. BGM-6 -3'!AC35</f>
        <v>0</v>
      </c>
      <c r="AC35" s="253">
        <f>'Exh. No. BGM-6 -3'!AD35</f>
        <v>0</v>
      </c>
      <c r="AD35" s="253">
        <f>'Exh. No. BGM-6 -3'!AE35</f>
        <v>0</v>
      </c>
      <c r="AE35" s="253">
        <f>'Exh. No. BGM-6 -3'!AF35</f>
        <v>0</v>
      </c>
      <c r="AF35" s="253">
        <f>'Exh. No. BGM-6 -3'!AG35</f>
        <v>126</v>
      </c>
      <c r="AG35" s="253">
        <f>'Exh. No. BGM-6 -3'!AH35</f>
        <v>56.651071320535543</v>
      </c>
      <c r="AH35" s="253">
        <f>'Exh. No. BGM-6 -3'!AI35</f>
        <v>0</v>
      </c>
      <c r="AI35" s="253">
        <f>'Exh. No. BGM-6 -3'!AK35</f>
        <v>0</v>
      </c>
      <c r="AJ35" s="253">
        <f>'Exh. No. BGM-6 -3'!AL35</f>
        <v>0</v>
      </c>
      <c r="AK35" s="253">
        <f>'Exh. No. BGM-6 -3'!AM35</f>
        <v>0</v>
      </c>
      <c r="AL35" s="253">
        <f>'Exh. No. BGM-6 -3'!AN35</f>
        <v>0</v>
      </c>
      <c r="AM35" s="253">
        <f>'Exh. No. BGM-6 -3'!AO35</f>
        <v>0</v>
      </c>
      <c r="AN35" s="253">
        <f>'Exh. No. BGM-6 -3'!AP35</f>
        <v>0</v>
      </c>
      <c r="AO35" s="253">
        <f>'Exh. No. BGM-6 -3'!AQ35</f>
        <v>0</v>
      </c>
      <c r="AP35" s="253">
        <f>'Exh. No. BGM-6 -3'!AS35</f>
        <v>0</v>
      </c>
      <c r="AQ35" s="253">
        <f>'Exh. No. BGM-6 -3'!BA35</f>
        <v>0</v>
      </c>
      <c r="AR35" s="253">
        <f>'Exh. No. BGM-6 -3'!BB35</f>
        <v>0</v>
      </c>
      <c r="AS35" s="253">
        <f>'Exh. No. BGM-6 -3'!BC35</f>
        <v>0</v>
      </c>
      <c r="AT35" s="253">
        <f>'Exh. No. BGM-6 -3'!BD35</f>
        <v>0</v>
      </c>
      <c r="AU35" s="253">
        <f>'Exh. No. BGM-6 -3'!BE35</f>
        <v>0</v>
      </c>
      <c r="AV35" s="253">
        <f>'Exh. No. BGM-6 -3'!BF35</f>
        <v>0</v>
      </c>
      <c r="AW35" s="253">
        <f>'Exh. No. BGM-6 -3'!BH35</f>
        <v>0</v>
      </c>
    </row>
    <row r="36" spans="1:49">
      <c r="A36" s="228">
        <v>15</v>
      </c>
      <c r="C36" s="230" t="s">
        <v>22</v>
      </c>
      <c r="D36" s="230"/>
      <c r="E36" s="252">
        <f>'Exh. No. BGM-6 -3'!E36</f>
        <v>14014</v>
      </c>
      <c r="F36" s="252">
        <f>'Exh. No. BGM-6 -3'!F36</f>
        <v>0</v>
      </c>
      <c r="G36" s="252">
        <f>'Exh. No. BGM-6 -3'!G36</f>
        <v>0</v>
      </c>
      <c r="H36" s="252">
        <f>'Exh. No. BGM-6 -3'!H36</f>
        <v>0</v>
      </c>
      <c r="I36" s="252">
        <f>'Exh. No. BGM-6 -3'!I36</f>
        <v>-5612</v>
      </c>
      <c r="J36" s="252">
        <f>'Exh. No. BGM-6 -3'!J36</f>
        <v>-174</v>
      </c>
      <c r="K36" s="252">
        <f>'Exh. No. BGM-6 -3'!K36</f>
        <v>0</v>
      </c>
      <c r="L36" s="252">
        <f>'Exh. No. BGM-6 -3'!L36</f>
        <v>0</v>
      </c>
      <c r="M36" s="252">
        <f>'Exh. No. BGM-6 -3'!M36</f>
        <v>0</v>
      </c>
      <c r="N36" s="252">
        <f>'Exh. No. BGM-6 -3'!N36</f>
        <v>0</v>
      </c>
      <c r="O36" s="252">
        <f>'Exh. No. BGM-6 -3'!O36</f>
        <v>0</v>
      </c>
      <c r="P36" s="252">
        <f>'Exh. No. BGM-6 -3'!P36</f>
        <v>-5</v>
      </c>
      <c r="Q36" s="252">
        <f>'Exh. No. BGM-6 -3'!Q36</f>
        <v>0</v>
      </c>
      <c r="R36" s="252">
        <f>'Exh. No. BGM-6 -3'!R36</f>
        <v>497</v>
      </c>
      <c r="S36" s="252">
        <f>'Exh. No. BGM-6 -3'!S36</f>
        <v>-127</v>
      </c>
      <c r="T36" s="252">
        <f>'Exh. No. BGM-6 -3'!T36</f>
        <v>0</v>
      </c>
      <c r="U36" s="252">
        <f>'Exh. No. BGM-6 -3'!U36</f>
        <v>0</v>
      </c>
      <c r="V36" s="252">
        <f>'Exh. No. BGM-6 -3'!V36</f>
        <v>0</v>
      </c>
      <c r="W36" s="252">
        <f>'Exh. No. BGM-6 -3'!W36</f>
        <v>0</v>
      </c>
      <c r="X36" s="252">
        <f>'Exh. No. BGM-6 -3'!Y36</f>
        <v>0</v>
      </c>
      <c r="Y36" s="252">
        <f>'Exh. No. BGM-6 -3'!Z36</f>
        <v>0</v>
      </c>
      <c r="Z36" s="252">
        <f>'Exh. No. BGM-6 -3'!AA36</f>
        <v>0</v>
      </c>
      <c r="AA36" s="252">
        <f>'Exh. No. BGM-6 -3'!AB36</f>
        <v>0</v>
      </c>
      <c r="AB36" s="252">
        <f>'Exh. No. BGM-6 -3'!AC36</f>
        <v>181</v>
      </c>
      <c r="AC36" s="252">
        <f>'Exh. No. BGM-6 -3'!AD36</f>
        <v>-2764</v>
      </c>
      <c r="AD36" s="252">
        <f>'Exh. No. BGM-6 -3'!AE36</f>
        <v>0</v>
      </c>
      <c r="AE36" s="252">
        <f>'Exh. No. BGM-6 -3'!AF36</f>
        <v>0</v>
      </c>
      <c r="AF36" s="252">
        <f>'Exh. No. BGM-6 -3'!AG36</f>
        <v>0</v>
      </c>
      <c r="AG36" s="252">
        <f>'Exh. No. BGM-6 -3'!AH36</f>
        <v>0</v>
      </c>
      <c r="AH36" s="252">
        <f>'Exh. No. BGM-6 -3'!AI36</f>
        <v>0</v>
      </c>
      <c r="AI36" s="252">
        <f>'Exh. No. BGM-6 -3'!AK36</f>
        <v>0</v>
      </c>
      <c r="AJ36" s="252">
        <f>'Exh. No. BGM-6 -3'!AL36</f>
        <v>0</v>
      </c>
      <c r="AK36" s="252">
        <f>'Exh. No. BGM-6 -3'!AM36</f>
        <v>0</v>
      </c>
      <c r="AL36" s="252">
        <f>'Exh. No. BGM-6 -3'!AN36</f>
        <v>0</v>
      </c>
      <c r="AM36" s="252">
        <f>'Exh. No. BGM-6 -3'!AO36</f>
        <v>0</v>
      </c>
      <c r="AN36" s="252">
        <f>'Exh. No. BGM-6 -3'!AP36</f>
        <v>0</v>
      </c>
      <c r="AO36" s="252">
        <f>'Exh. No. BGM-6 -3'!AQ36</f>
        <v>0</v>
      </c>
      <c r="AP36" s="252">
        <f>'Exh. No. BGM-6 -3'!AS36</f>
        <v>0</v>
      </c>
      <c r="AQ36" s="252">
        <f>'Exh. No. BGM-6 -3'!BA36</f>
        <v>0</v>
      </c>
      <c r="AR36" s="252">
        <f>'Exh. No. BGM-6 -3'!BB36</f>
        <v>0</v>
      </c>
      <c r="AS36" s="252">
        <f>'Exh. No. BGM-6 -3'!BC36</f>
        <v>0</v>
      </c>
      <c r="AT36" s="252">
        <f>'Exh. No. BGM-6 -3'!BD36</f>
        <v>0</v>
      </c>
      <c r="AU36" s="252">
        <f>'Exh. No. BGM-6 -3'!BE36</f>
        <v>0</v>
      </c>
      <c r="AV36" s="252">
        <f>'Exh. No. BGM-6 -3'!BF36</f>
        <v>0</v>
      </c>
      <c r="AW36" s="252">
        <f>'Exh. No. BGM-6 -3'!BH36</f>
        <v>0</v>
      </c>
    </row>
    <row r="37" spans="1:49" ht="12.95" customHeight="1">
      <c r="A37" s="228">
        <v>16</v>
      </c>
      <c r="B37" s="230" t="s">
        <v>49</v>
      </c>
      <c r="C37" s="230"/>
      <c r="E37" s="251">
        <f t="shared" ref="E37" si="34">SUM(E34:E36)</f>
        <v>34476</v>
      </c>
      <c r="F37" s="251">
        <f t="shared" ref="F37:AB37" si="35">SUM(F34:F36)</f>
        <v>0</v>
      </c>
      <c r="G37" s="251">
        <f t="shared" si="35"/>
        <v>0</v>
      </c>
      <c r="H37" s="251">
        <f t="shared" si="35"/>
        <v>0</v>
      </c>
      <c r="I37" s="251">
        <f t="shared" si="35"/>
        <v>-5612</v>
      </c>
      <c r="J37" s="251">
        <f t="shared" si="35"/>
        <v>-174</v>
      </c>
      <c r="K37" s="251">
        <f t="shared" si="35"/>
        <v>0</v>
      </c>
      <c r="L37" s="251">
        <f t="shared" si="35"/>
        <v>0</v>
      </c>
      <c r="M37" s="251">
        <f t="shared" si="35"/>
        <v>0</v>
      </c>
      <c r="N37" s="251">
        <f t="shared" si="35"/>
        <v>0</v>
      </c>
      <c r="O37" s="251">
        <f t="shared" si="35"/>
        <v>0</v>
      </c>
      <c r="P37" s="251">
        <f t="shared" si="35"/>
        <v>-5</v>
      </c>
      <c r="Q37" s="251">
        <f t="shared" si="35"/>
        <v>-6</v>
      </c>
      <c r="R37" s="251">
        <f t="shared" si="35"/>
        <v>497</v>
      </c>
      <c r="S37" s="251">
        <f t="shared" ref="S37" si="36">SUM(S34:S36)</f>
        <v>-127</v>
      </c>
      <c r="T37" s="251">
        <f t="shared" si="35"/>
        <v>0</v>
      </c>
      <c r="U37" s="251">
        <f>SUM(U34:U36)</f>
        <v>0</v>
      </c>
      <c r="V37" s="251">
        <f t="shared" si="35"/>
        <v>-218</v>
      </c>
      <c r="W37" s="251">
        <f t="shared" ref="W37" si="37">SUM(W34:W36)</f>
        <v>0</v>
      </c>
      <c r="X37" s="251">
        <f t="shared" si="35"/>
        <v>170.575974</v>
      </c>
      <c r="Y37" s="251">
        <f t="shared" ref="Y37" si="38">SUM(Y34:Y36)</f>
        <v>0</v>
      </c>
      <c r="Z37" s="251">
        <f t="shared" si="35"/>
        <v>144</v>
      </c>
      <c r="AA37" s="251">
        <f>SUM(AA34:AA36)</f>
        <v>104</v>
      </c>
      <c r="AB37" s="251">
        <f t="shared" si="35"/>
        <v>181</v>
      </c>
      <c r="AC37" s="251">
        <f t="shared" ref="AC37:AP37" si="39">SUM(AC34:AC36)</f>
        <v>-2764</v>
      </c>
      <c r="AD37" s="251">
        <f>SUM(AD34:AD36)</f>
        <v>236</v>
      </c>
      <c r="AE37" s="251">
        <f t="shared" si="39"/>
        <v>0</v>
      </c>
      <c r="AF37" s="251">
        <f t="shared" si="39"/>
        <v>126</v>
      </c>
      <c r="AG37" s="251">
        <f t="shared" si="39"/>
        <v>56.651071320535543</v>
      </c>
      <c r="AH37" s="251">
        <f t="shared" si="39"/>
        <v>0</v>
      </c>
      <c r="AI37" s="251">
        <f t="shared" ref="AI37" si="40">SUM(AI34:AI36)</f>
        <v>0</v>
      </c>
      <c r="AJ37" s="251">
        <f t="shared" si="39"/>
        <v>0</v>
      </c>
      <c r="AK37" s="251">
        <f t="shared" si="39"/>
        <v>0</v>
      </c>
      <c r="AL37" s="251">
        <f t="shared" si="39"/>
        <v>0</v>
      </c>
      <c r="AM37" s="251">
        <f t="shared" ref="AM37" si="41">SUM(AM34:AM36)</f>
        <v>0</v>
      </c>
      <c r="AN37" s="251">
        <f t="shared" si="39"/>
        <v>0</v>
      </c>
      <c r="AO37" s="251">
        <f t="shared" ref="AO37" si="42">SUM(AO34:AO36)</f>
        <v>0</v>
      </c>
      <c r="AP37" s="251">
        <f t="shared" si="39"/>
        <v>0</v>
      </c>
      <c r="AQ37" s="251">
        <f t="shared" ref="AQ37:AW37" si="43">SUM(AQ34:AQ36)</f>
        <v>0</v>
      </c>
      <c r="AR37" s="251">
        <f t="shared" si="43"/>
        <v>0</v>
      </c>
      <c r="AS37" s="251">
        <f t="shared" ref="AS37" si="44">SUM(AS34:AS36)</f>
        <v>0</v>
      </c>
      <c r="AT37" s="251">
        <f t="shared" si="43"/>
        <v>0</v>
      </c>
      <c r="AU37" s="251">
        <f t="shared" ref="AU37" si="45">SUM(AU34:AU36)</f>
        <v>0</v>
      </c>
      <c r="AV37" s="251">
        <f t="shared" si="43"/>
        <v>0</v>
      </c>
      <c r="AW37" s="251">
        <f t="shared" si="43"/>
        <v>0</v>
      </c>
    </row>
    <row r="38" spans="1:49" ht="12.95" customHeight="1">
      <c r="C38" s="230"/>
      <c r="D38" s="230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</row>
    <row r="39" spans="1:49" ht="12.95" customHeight="1">
      <c r="A39" s="228">
        <v>17</v>
      </c>
      <c r="B39" s="204" t="s">
        <v>50</v>
      </c>
      <c r="C39" s="230"/>
      <c r="D39" s="230"/>
      <c r="E39" s="251">
        <f>'Exh. No. BGM-6 -3'!E39</f>
        <v>6595</v>
      </c>
      <c r="F39" s="251">
        <f>'Exh. No. BGM-6 -3'!F39</f>
        <v>0</v>
      </c>
      <c r="G39" s="251">
        <f>'Exh. No. BGM-6 -3'!G39</f>
        <v>1</v>
      </c>
      <c r="H39" s="251">
        <f>'Exh. No. BGM-6 -3'!H39</f>
        <v>0</v>
      </c>
      <c r="I39" s="251">
        <f>'Exh. No. BGM-6 -3'!I39</f>
        <v>0</v>
      </c>
      <c r="J39" s="251">
        <f>'Exh. No. BGM-6 -3'!J39</f>
        <v>0</v>
      </c>
      <c r="K39" s="251">
        <f>'Exh. No. BGM-6 -3'!K39</f>
        <v>-313</v>
      </c>
      <c r="L39" s="251">
        <f>'Exh. No. BGM-6 -3'!L39</f>
        <v>0</v>
      </c>
      <c r="M39" s="251">
        <f>'Exh. No. BGM-6 -3'!M39</f>
        <v>0</v>
      </c>
      <c r="N39" s="251">
        <f>'Exh. No. BGM-6 -3'!N39</f>
        <v>0</v>
      </c>
      <c r="O39" s="251">
        <f>'Exh. No. BGM-6 -3'!O39</f>
        <v>0</v>
      </c>
      <c r="P39" s="251">
        <f>'Exh. No. BGM-6 -3'!P39</f>
        <v>0</v>
      </c>
      <c r="Q39" s="251">
        <f>'Exh. No. BGM-6 -3'!Q39</f>
        <v>0</v>
      </c>
      <c r="R39" s="251">
        <f>'Exh. No. BGM-6 -3'!R39</f>
        <v>76</v>
      </c>
      <c r="S39" s="251">
        <f>'Exh. No. BGM-6 -3'!S39</f>
        <v>-19</v>
      </c>
      <c r="T39" s="251">
        <f>'Exh. No. BGM-6 -3'!T39</f>
        <v>0</v>
      </c>
      <c r="U39" s="251">
        <f>'Exh. No. BGM-6 -3'!U39</f>
        <v>0</v>
      </c>
      <c r="V39" s="251">
        <f>'Exh. No. BGM-6 -3'!V39</f>
        <v>-114</v>
      </c>
      <c r="W39" s="251">
        <f>'Exh. No. BGM-6 -3'!W39</f>
        <v>0</v>
      </c>
      <c r="X39" s="251">
        <f>'Exh. No. BGM-6 -3'!Y39</f>
        <v>93.011297999999996</v>
      </c>
      <c r="Y39" s="251">
        <f>'Exh. No. BGM-6 -3'!Z39</f>
        <v>0</v>
      </c>
      <c r="Z39" s="251">
        <f>'Exh. No. BGM-6 -3'!AA39</f>
        <v>82</v>
      </c>
      <c r="AA39" s="251">
        <f>'Exh. No. BGM-6 -3'!AB39</f>
        <v>0</v>
      </c>
      <c r="AB39" s="251">
        <f>'Exh. No. BGM-6 -3'!AC39</f>
        <v>0</v>
      </c>
      <c r="AC39" s="251">
        <f>'Exh. No. BGM-6 -3'!AD39</f>
        <v>-423</v>
      </c>
      <c r="AD39" s="251">
        <f>'Exh. No. BGM-6 -3'!AE39</f>
        <v>0</v>
      </c>
      <c r="AE39" s="251">
        <f>'Exh. No. BGM-6 -3'!AF39</f>
        <v>0</v>
      </c>
      <c r="AF39" s="251">
        <f>'Exh. No. BGM-6 -3'!AG39</f>
        <v>0</v>
      </c>
      <c r="AG39" s="251">
        <f>'Exh. No. BGM-6 -3'!AH39</f>
        <v>0</v>
      </c>
      <c r="AH39" s="251">
        <f>'Exh. No. BGM-6 -3'!AI39</f>
        <v>0</v>
      </c>
      <c r="AI39" s="251">
        <f>'Exh. No. BGM-6 -3'!AK39</f>
        <v>0</v>
      </c>
      <c r="AJ39" s="251">
        <f>'Exh. No. BGM-6 -3'!AL39</f>
        <v>0</v>
      </c>
      <c r="AK39" s="251">
        <f>'Exh. No. BGM-6 -3'!AM39</f>
        <v>0</v>
      </c>
      <c r="AL39" s="251">
        <f>'Exh. No. BGM-6 -3'!AN39</f>
        <v>0</v>
      </c>
      <c r="AM39" s="251">
        <f>'Exh. No. BGM-6 -3'!AO39</f>
        <v>0</v>
      </c>
      <c r="AN39" s="251">
        <f>'Exh. No. BGM-6 -3'!AP39</f>
        <v>0</v>
      </c>
      <c r="AO39" s="251">
        <f>'Exh. No. BGM-6 -3'!AQ39</f>
        <v>0</v>
      </c>
      <c r="AP39" s="251">
        <f>'Exh. No. BGM-6 -3'!AS39</f>
        <v>0</v>
      </c>
      <c r="AQ39" s="251">
        <f>'Exh. No. BGM-6 -3'!BA39</f>
        <v>0</v>
      </c>
      <c r="AR39" s="251">
        <f>'Exh. No. BGM-6 -3'!BB39</f>
        <v>0</v>
      </c>
      <c r="AS39" s="251">
        <f>'Exh. No. BGM-6 -3'!BC39</f>
        <v>0</v>
      </c>
      <c r="AT39" s="251">
        <f>'Exh. No. BGM-6 -3'!BD39</f>
        <v>0</v>
      </c>
      <c r="AU39" s="251">
        <f>'Exh. No. BGM-6 -3'!BE39</f>
        <v>0</v>
      </c>
      <c r="AV39" s="251">
        <f>'Exh. No. BGM-6 -3'!BF39</f>
        <v>0</v>
      </c>
      <c r="AW39" s="251">
        <f>'Exh. No. BGM-6 -3'!BH39</f>
        <v>0</v>
      </c>
    </row>
    <row r="40" spans="1:49">
      <c r="A40" s="228">
        <v>18</v>
      </c>
      <c r="B40" s="204" t="s">
        <v>51</v>
      </c>
      <c r="C40" s="230"/>
      <c r="D40" s="230"/>
      <c r="E40" s="251">
        <f>'Exh. No. BGM-6 -3'!E40</f>
        <v>5790</v>
      </c>
      <c r="F40" s="251">
        <f>'Exh. No. BGM-6 -3'!F40</f>
        <v>0</v>
      </c>
      <c r="G40" s="251">
        <f>'Exh. No. BGM-6 -3'!G40</f>
        <v>0</v>
      </c>
      <c r="H40" s="251">
        <f>'Exh. No. BGM-6 -3'!H40</f>
        <v>0</v>
      </c>
      <c r="I40" s="251">
        <f>'Exh. No. BGM-6 -3'!I40</f>
        <v>0</v>
      </c>
      <c r="J40" s="251">
        <f>'Exh. No. BGM-6 -3'!J40</f>
        <v>0</v>
      </c>
      <c r="K40" s="251">
        <f>'Exh. No. BGM-6 -3'!K40</f>
        <v>0</v>
      </c>
      <c r="L40" s="251">
        <f>'Exh. No. BGM-6 -3'!L40</f>
        <v>0</v>
      </c>
      <c r="M40" s="251">
        <f>'Exh. No. BGM-6 -3'!M40</f>
        <v>0</v>
      </c>
      <c r="N40" s="251">
        <f>'Exh. No. BGM-6 -3'!N40</f>
        <v>0</v>
      </c>
      <c r="O40" s="251">
        <f>'Exh. No. BGM-6 -3'!O40</f>
        <v>0</v>
      </c>
      <c r="P40" s="251">
        <f>'Exh. No. BGM-6 -3'!P40</f>
        <v>0</v>
      </c>
      <c r="Q40" s="251">
        <f>'Exh. No. BGM-6 -3'!Q40</f>
        <v>0</v>
      </c>
      <c r="R40" s="251">
        <f>'Exh. No. BGM-6 -3'!R40</f>
        <v>0</v>
      </c>
      <c r="S40" s="251">
        <f>'Exh. No. BGM-6 -3'!S40</f>
        <v>-4914</v>
      </c>
      <c r="T40" s="251">
        <f>'Exh. No. BGM-6 -3'!T40</f>
        <v>0</v>
      </c>
      <c r="U40" s="251">
        <f>'Exh. No. BGM-6 -3'!U40</f>
        <v>0</v>
      </c>
      <c r="V40" s="251">
        <f>'Exh. No. BGM-6 -3'!V40</f>
        <v>-9</v>
      </c>
      <c r="W40" s="251">
        <f>'Exh. No. BGM-6 -3'!W40</f>
        <v>0</v>
      </c>
      <c r="X40" s="251">
        <f>'Exh. No. BGM-6 -3'!Y40</f>
        <v>7.5519059999999998</v>
      </c>
      <c r="Y40" s="251">
        <f>'Exh. No. BGM-6 -3'!Z40</f>
        <v>0</v>
      </c>
      <c r="Z40" s="251">
        <f>'Exh. No. BGM-6 -3'!AA40</f>
        <v>7</v>
      </c>
      <c r="AA40" s="251">
        <f>'Exh. No. BGM-6 -3'!AB40</f>
        <v>0</v>
      </c>
      <c r="AB40" s="251">
        <f>'Exh. No. BGM-6 -3'!AC40</f>
        <v>0</v>
      </c>
      <c r="AC40" s="251">
        <f>'Exh. No. BGM-6 -3'!AD40</f>
        <v>0</v>
      </c>
      <c r="AD40" s="251">
        <f>'Exh. No. BGM-6 -3'!AE40</f>
        <v>0</v>
      </c>
      <c r="AE40" s="251">
        <f>'Exh. No. BGM-6 -3'!AF40</f>
        <v>0</v>
      </c>
      <c r="AF40" s="251">
        <f>'Exh. No. BGM-6 -3'!AG40</f>
        <v>0</v>
      </c>
      <c r="AG40" s="251">
        <f>'Exh. No. BGM-6 -3'!AH40</f>
        <v>0</v>
      </c>
      <c r="AH40" s="251">
        <f>'Exh. No. BGM-6 -3'!AI40</f>
        <v>0</v>
      </c>
      <c r="AI40" s="251">
        <f>'Exh. No. BGM-6 -3'!AK40</f>
        <v>0</v>
      </c>
      <c r="AJ40" s="251">
        <f>'Exh. No. BGM-6 -3'!AL40</f>
        <v>0</v>
      </c>
      <c r="AK40" s="251">
        <f>'Exh. No. BGM-6 -3'!AM40</f>
        <v>0</v>
      </c>
      <c r="AL40" s="251">
        <f>'Exh. No. BGM-6 -3'!AN40</f>
        <v>0</v>
      </c>
      <c r="AM40" s="251">
        <f>'Exh. No. BGM-6 -3'!AO40</f>
        <v>0</v>
      </c>
      <c r="AN40" s="251">
        <f>'Exh. No. BGM-6 -3'!AP40</f>
        <v>0</v>
      </c>
      <c r="AO40" s="251">
        <f>'Exh. No. BGM-6 -3'!AQ40</f>
        <v>0</v>
      </c>
      <c r="AP40" s="251">
        <f>'Exh. No. BGM-6 -3'!AS40</f>
        <v>0</v>
      </c>
      <c r="AQ40" s="251">
        <f>'Exh. No. BGM-6 -3'!BA40</f>
        <v>0</v>
      </c>
      <c r="AR40" s="251">
        <f>'Exh. No. BGM-6 -3'!BB40</f>
        <v>0</v>
      </c>
      <c r="AS40" s="251">
        <f>'Exh. No. BGM-6 -3'!BC40</f>
        <v>0</v>
      </c>
      <c r="AT40" s="251">
        <f>'Exh. No. BGM-6 -3'!BD40</f>
        <v>0</v>
      </c>
      <c r="AU40" s="251">
        <f>'Exh. No. BGM-6 -3'!BE40</f>
        <v>0</v>
      </c>
      <c r="AV40" s="251">
        <f>'Exh. No. BGM-6 -3'!BF40</f>
        <v>0</v>
      </c>
      <c r="AW40" s="251">
        <f>'Exh. No. BGM-6 -3'!BH40</f>
        <v>0</v>
      </c>
    </row>
    <row r="41" spans="1:49">
      <c r="A41" s="228">
        <v>19</v>
      </c>
      <c r="B41" s="204" t="s">
        <v>52</v>
      </c>
      <c r="C41" s="230"/>
      <c r="D41" s="230"/>
      <c r="E41" s="251">
        <f>'Exh. No. BGM-6 -3'!E41</f>
        <v>0</v>
      </c>
      <c r="F41" s="251">
        <f>'Exh. No. BGM-6 -3'!F41</f>
        <v>0</v>
      </c>
      <c r="G41" s="251">
        <f>'Exh. No. BGM-6 -3'!G41</f>
        <v>0</v>
      </c>
      <c r="H41" s="251">
        <f>'Exh. No. BGM-6 -3'!H41</f>
        <v>0</v>
      </c>
      <c r="I41" s="251">
        <f>'Exh. No. BGM-6 -3'!I41</f>
        <v>0</v>
      </c>
      <c r="J41" s="251">
        <f>'Exh. No. BGM-6 -3'!J41</f>
        <v>0</v>
      </c>
      <c r="K41" s="251">
        <f>'Exh. No. BGM-6 -3'!K41</f>
        <v>0</v>
      </c>
      <c r="L41" s="251">
        <f>'Exh. No. BGM-6 -3'!L41</f>
        <v>0</v>
      </c>
      <c r="M41" s="251">
        <f>'Exh. No. BGM-6 -3'!M41</f>
        <v>0</v>
      </c>
      <c r="N41" s="251">
        <f>'Exh. No. BGM-6 -3'!N41</f>
        <v>0</v>
      </c>
      <c r="O41" s="251">
        <f>'Exh. No. BGM-6 -3'!O41</f>
        <v>0</v>
      </c>
      <c r="P41" s="251">
        <f>'Exh. No. BGM-6 -3'!P41</f>
        <v>0</v>
      </c>
      <c r="Q41" s="251">
        <f>'Exh. No. BGM-6 -3'!Q41</f>
        <v>0</v>
      </c>
      <c r="R41" s="251">
        <f>'Exh. No. BGM-6 -3'!R41</f>
        <v>0</v>
      </c>
      <c r="S41" s="251">
        <f>'Exh. No. BGM-6 -3'!S41</f>
        <v>0</v>
      </c>
      <c r="T41" s="251">
        <f>'Exh. No. BGM-6 -3'!T41</f>
        <v>0</v>
      </c>
      <c r="U41" s="251">
        <f>'Exh. No. BGM-6 -3'!U41</f>
        <v>0</v>
      </c>
      <c r="V41" s="251">
        <f>'Exh. No. BGM-6 -3'!V41</f>
        <v>0</v>
      </c>
      <c r="W41" s="251">
        <f>'Exh. No. BGM-6 -3'!W41</f>
        <v>0</v>
      </c>
      <c r="X41" s="251">
        <f>'Exh. No. BGM-6 -3'!Y41</f>
        <v>0.13</v>
      </c>
      <c r="Y41" s="251">
        <f>'Exh. No. BGM-6 -3'!Z41</f>
        <v>0</v>
      </c>
      <c r="Z41" s="251">
        <f>'Exh. No. BGM-6 -3'!AA41</f>
        <v>0</v>
      </c>
      <c r="AA41" s="251">
        <f>'Exh. No. BGM-6 -3'!AB41</f>
        <v>0</v>
      </c>
      <c r="AB41" s="251">
        <f>'Exh. No. BGM-6 -3'!AC41</f>
        <v>0</v>
      </c>
      <c r="AC41" s="251">
        <f>'Exh. No. BGM-6 -3'!AD41</f>
        <v>0</v>
      </c>
      <c r="AD41" s="251">
        <f>'Exh. No. BGM-6 -3'!AE41</f>
        <v>0</v>
      </c>
      <c r="AE41" s="251">
        <f>'Exh. No. BGM-6 -3'!AF41</f>
        <v>0</v>
      </c>
      <c r="AF41" s="251">
        <f>'Exh. No. BGM-6 -3'!AG41</f>
        <v>0</v>
      </c>
      <c r="AG41" s="251">
        <f>'Exh. No. BGM-6 -3'!AH41</f>
        <v>0</v>
      </c>
      <c r="AH41" s="251">
        <f>'Exh. No. BGM-6 -3'!AI41</f>
        <v>0</v>
      </c>
      <c r="AI41" s="251">
        <f>'Exh. No. BGM-6 -3'!AK41</f>
        <v>0</v>
      </c>
      <c r="AJ41" s="251">
        <f>'Exh. No. BGM-6 -3'!AL41</f>
        <v>0</v>
      </c>
      <c r="AK41" s="251">
        <f>'Exh. No. BGM-6 -3'!AM41</f>
        <v>0</v>
      </c>
      <c r="AL41" s="251">
        <f>'Exh. No. BGM-6 -3'!AN41</f>
        <v>0</v>
      </c>
      <c r="AM41" s="251">
        <f>'Exh. No. BGM-6 -3'!AO41</f>
        <v>0</v>
      </c>
      <c r="AN41" s="251">
        <f>'Exh. No. BGM-6 -3'!AP41</f>
        <v>0</v>
      </c>
      <c r="AO41" s="251">
        <f>'Exh. No. BGM-6 -3'!AQ41</f>
        <v>0</v>
      </c>
      <c r="AP41" s="251">
        <f>'Exh. No. BGM-6 -3'!AS41</f>
        <v>0</v>
      </c>
      <c r="AQ41" s="251">
        <f>'Exh. No. BGM-6 -3'!BA41</f>
        <v>0</v>
      </c>
      <c r="AR41" s="251">
        <f>'Exh. No. BGM-6 -3'!BB41</f>
        <v>0</v>
      </c>
      <c r="AS41" s="251">
        <f>'Exh. No. BGM-6 -3'!BC41</f>
        <v>0</v>
      </c>
      <c r="AT41" s="251">
        <f>'Exh. No. BGM-6 -3'!BD41</f>
        <v>0</v>
      </c>
      <c r="AU41" s="251">
        <f>'Exh. No. BGM-6 -3'!BE41</f>
        <v>0</v>
      </c>
      <c r="AV41" s="251">
        <f>'Exh. No. BGM-6 -3'!BF41</f>
        <v>0</v>
      </c>
      <c r="AW41" s="251">
        <f>'Exh. No. BGM-6 -3'!BH41</f>
        <v>0</v>
      </c>
    </row>
    <row r="42" spans="1:49">
      <c r="C42" s="230"/>
      <c r="D42" s="230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  <c r="AW42" s="251"/>
    </row>
    <row r="43" spans="1:49">
      <c r="B43" s="204" t="s">
        <v>53</v>
      </c>
      <c r="C43" s="230"/>
      <c r="D43" s="230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  <c r="AW43" s="251"/>
    </row>
    <row r="44" spans="1:49">
      <c r="A44" s="228">
        <v>20</v>
      </c>
      <c r="C44" s="230" t="s">
        <v>45</v>
      </c>
      <c r="D44" s="230"/>
      <c r="E44" s="251">
        <f>'Exh. No. BGM-6 -3'!E44</f>
        <v>13388</v>
      </c>
      <c r="F44" s="251">
        <f>'Exh. No. BGM-6 -3'!F44</f>
        <v>0</v>
      </c>
      <c r="G44" s="251">
        <f>'Exh. No. BGM-6 -3'!G44</f>
        <v>0</v>
      </c>
      <c r="H44" s="251">
        <f>'Exh. No. BGM-6 -3'!H44</f>
        <v>0</v>
      </c>
      <c r="I44" s="251">
        <f>'Exh. No. BGM-6 -3'!I44</f>
        <v>0</v>
      </c>
      <c r="J44" s="251">
        <f>'Exh. No. BGM-6 -3'!J44</f>
        <v>0</v>
      </c>
      <c r="K44" s="251">
        <f>'Exh. No. BGM-6 -3'!K44</f>
        <v>0</v>
      </c>
      <c r="L44" s="251">
        <f>'Exh. No. BGM-6 -3'!L44</f>
        <v>-12</v>
      </c>
      <c r="M44" s="251">
        <f>'Exh. No. BGM-6 -3'!M44</f>
        <v>231</v>
      </c>
      <c r="N44" s="251">
        <f>'Exh. No. BGM-6 -3'!N44</f>
        <v>0</v>
      </c>
      <c r="O44" s="251">
        <f>'Exh. No. BGM-6 -3'!O44</f>
        <v>-9</v>
      </c>
      <c r="P44" s="251">
        <f>'Exh. No. BGM-6 -3'!P44</f>
        <v>0</v>
      </c>
      <c r="Q44" s="251">
        <f>'Exh. No. BGM-6 -3'!Q44</f>
        <v>0</v>
      </c>
      <c r="R44" s="251">
        <f>'Exh. No. BGM-6 -3'!R44</f>
        <v>26</v>
      </c>
      <c r="S44" s="251">
        <f>'Exh. No. BGM-6 -3'!S44</f>
        <v>-7</v>
      </c>
      <c r="T44" s="251">
        <f>'Exh. No. BGM-6 -3'!T44</f>
        <v>-317.75400000000002</v>
      </c>
      <c r="U44" s="251">
        <f>'Exh. No. BGM-6 -3'!U44</f>
        <v>0</v>
      </c>
      <c r="V44" s="251">
        <f>'Exh. No. BGM-6 -3'!V44</f>
        <v>-132</v>
      </c>
      <c r="W44" s="251">
        <f>'Exh. No. BGM-6 -3'!W44</f>
        <v>0</v>
      </c>
      <c r="X44" s="251">
        <f>'Exh. No. BGM-6 -3'!Y44</f>
        <v>109.862602</v>
      </c>
      <c r="Y44" s="251">
        <f>'Exh. No. BGM-6 -3'!Z44</f>
        <v>12</v>
      </c>
      <c r="Z44" s="251">
        <f>'Exh. No. BGM-6 -3'!AA44</f>
        <v>100</v>
      </c>
      <c r="AA44" s="251">
        <f>'Exh. No. BGM-6 -3'!AB44</f>
        <v>0</v>
      </c>
      <c r="AB44" s="251">
        <f>'Exh. No. BGM-6 -3'!AC44</f>
        <v>0</v>
      </c>
      <c r="AC44" s="251">
        <f>'Exh. No. BGM-6 -3'!AD44</f>
        <v>-144</v>
      </c>
      <c r="AD44" s="251">
        <f>'Exh. No. BGM-6 -3'!AE44</f>
        <v>0</v>
      </c>
      <c r="AE44" s="251">
        <f>'Exh. No. BGM-6 -3'!AF44</f>
        <v>0</v>
      </c>
      <c r="AF44" s="251">
        <f>'Exh. No. BGM-6 -3'!AG44</f>
        <v>0</v>
      </c>
      <c r="AG44" s="251">
        <f>'Exh. No. BGM-6 -3'!AH44</f>
        <v>0</v>
      </c>
      <c r="AH44" s="251">
        <f>'Exh. No. BGM-6 -3'!AI44</f>
        <v>-56</v>
      </c>
      <c r="AI44" s="251">
        <f>'Exh. No. BGM-6 -3'!AK44</f>
        <v>0</v>
      </c>
      <c r="AJ44" s="251">
        <f>'Exh. No. BGM-6 -3'!AL44</f>
        <v>0</v>
      </c>
      <c r="AK44" s="251">
        <f>'Exh. No. BGM-6 -3'!AM44</f>
        <v>0</v>
      </c>
      <c r="AL44" s="251">
        <f>'Exh. No. BGM-6 -3'!AN44</f>
        <v>0</v>
      </c>
      <c r="AM44" s="251">
        <f>'Exh. No. BGM-6 -3'!AO44</f>
        <v>0</v>
      </c>
      <c r="AN44" s="251">
        <f>'Exh. No. BGM-6 -3'!AP44</f>
        <v>0</v>
      </c>
      <c r="AO44" s="251">
        <f>'Exh. No. BGM-6 -3'!AQ44</f>
        <v>0</v>
      </c>
      <c r="AP44" s="251">
        <f>'Exh. No. BGM-6 -3'!AS44</f>
        <v>0</v>
      </c>
      <c r="AQ44" s="251">
        <f>'Exh. No. BGM-6 -3'!BA44</f>
        <v>0</v>
      </c>
      <c r="AR44" s="251">
        <f>'Exh. No. BGM-6 -3'!BB44</f>
        <v>0</v>
      </c>
      <c r="AS44" s="251">
        <f>'Exh. No. BGM-6 -3'!BC44</f>
        <v>0</v>
      </c>
      <c r="AT44" s="251">
        <f>'Exh. No. BGM-6 -3'!BD44</f>
        <v>0</v>
      </c>
      <c r="AU44" s="251">
        <f>'Exh. No. BGM-6 -3'!BE44</f>
        <v>0</v>
      </c>
      <c r="AV44" s="251">
        <f>'Exh. No. BGM-6 -3'!BF44</f>
        <v>0</v>
      </c>
      <c r="AW44" s="251">
        <f>'Exh. No. BGM-6 -3'!BH44</f>
        <v>0</v>
      </c>
    </row>
    <row r="45" spans="1:49">
      <c r="A45" s="228">
        <v>21</v>
      </c>
      <c r="C45" s="230" t="s">
        <v>224</v>
      </c>
      <c r="D45" s="230"/>
      <c r="E45" s="251">
        <f>'Exh. No. BGM-6 -3'!E45</f>
        <v>5206</v>
      </c>
      <c r="F45" s="251">
        <f>'Exh. No. BGM-6 -3'!F45</f>
        <v>0</v>
      </c>
      <c r="G45" s="251">
        <f>'Exh. No. BGM-6 -3'!G45</f>
        <v>0</v>
      </c>
      <c r="H45" s="251">
        <f>'Exh. No. BGM-6 -3'!H45</f>
        <v>0</v>
      </c>
      <c r="I45" s="251">
        <f>'Exh. No. BGM-6 -3'!I45</f>
        <v>0</v>
      </c>
      <c r="J45" s="251">
        <f>'Exh. No. BGM-6 -3'!J45</f>
        <v>0</v>
      </c>
      <c r="K45" s="251">
        <f>'Exh. No. BGM-6 -3'!K45</f>
        <v>0</v>
      </c>
      <c r="L45" s="251">
        <f>'Exh. No. BGM-6 -3'!L45</f>
        <v>0</v>
      </c>
      <c r="M45" s="251">
        <f>'Exh. No. BGM-6 -3'!M45</f>
        <v>0</v>
      </c>
      <c r="N45" s="251">
        <f>'Exh. No. BGM-6 -3'!N45</f>
        <v>0</v>
      </c>
      <c r="O45" s="251">
        <f>'Exh. No. BGM-6 -3'!O45</f>
        <v>0</v>
      </c>
      <c r="P45" s="251">
        <f>'Exh. No. BGM-6 -3'!P45</f>
        <v>0</v>
      </c>
      <c r="Q45" s="251">
        <f>'Exh. No. BGM-6 -3'!Q45</f>
        <v>0</v>
      </c>
      <c r="R45" s="251">
        <f>'Exh. No. BGM-6 -3'!R45</f>
        <v>0</v>
      </c>
      <c r="S45" s="251">
        <f>'Exh. No. BGM-6 -3'!S45</f>
        <v>0</v>
      </c>
      <c r="T45" s="251">
        <f>'Exh. No. BGM-6 -3'!T45</f>
        <v>0</v>
      </c>
      <c r="U45" s="251">
        <f>'Exh. No. BGM-6 -3'!U45</f>
        <v>0</v>
      </c>
      <c r="V45" s="251">
        <f>'Exh. No. BGM-6 -3'!V45</f>
        <v>0</v>
      </c>
      <c r="W45" s="251">
        <f>'Exh. No. BGM-6 -3'!W45</f>
        <v>0</v>
      </c>
      <c r="X45" s="251">
        <f>'Exh. No. BGM-6 -3'!Y45</f>
        <v>0</v>
      </c>
      <c r="Y45" s="251">
        <f>'Exh. No. BGM-6 -3'!Z45</f>
        <v>0</v>
      </c>
      <c r="Z45" s="251">
        <f>'Exh. No. BGM-6 -3'!AA45</f>
        <v>0</v>
      </c>
      <c r="AA45" s="251">
        <f>'Exh. No. BGM-6 -3'!AB45</f>
        <v>0</v>
      </c>
      <c r="AB45" s="251">
        <f>'Exh. No. BGM-6 -3'!AC45</f>
        <v>0</v>
      </c>
      <c r="AC45" s="251">
        <f>'Exh. No. BGM-6 -3'!AD45</f>
        <v>0</v>
      </c>
      <c r="AD45" s="251">
        <f>'Exh. No. BGM-6 -3'!AE45</f>
        <v>0</v>
      </c>
      <c r="AE45" s="251">
        <f>'Exh. No. BGM-6 -3'!AF45</f>
        <v>0</v>
      </c>
      <c r="AF45" s="251">
        <f>'Exh. No. BGM-6 -3'!AG45</f>
        <v>452</v>
      </c>
      <c r="AG45" s="251">
        <f>'Exh. No. BGM-6 -3'!AH45</f>
        <v>102.44748992134384</v>
      </c>
      <c r="AH45" s="251">
        <f>'Exh. No. BGM-6 -3'!AI45</f>
        <v>0</v>
      </c>
      <c r="AI45" s="251">
        <f>'Exh. No. BGM-6 -3'!AK45</f>
        <v>0</v>
      </c>
      <c r="AJ45" s="251">
        <f>'Exh. No. BGM-6 -3'!AL45</f>
        <v>0</v>
      </c>
      <c r="AK45" s="251">
        <f>'Exh. No. BGM-6 -3'!AM45</f>
        <v>0</v>
      </c>
      <c r="AL45" s="251">
        <f>'Exh. No. BGM-6 -3'!AN45</f>
        <v>0</v>
      </c>
      <c r="AM45" s="251">
        <f>'Exh. No. BGM-6 -3'!AO45</f>
        <v>0</v>
      </c>
      <c r="AN45" s="251">
        <f>'Exh. No. BGM-6 -3'!AP45</f>
        <v>0</v>
      </c>
      <c r="AO45" s="251">
        <f>'Exh. No. BGM-6 -3'!AQ45</f>
        <v>0</v>
      </c>
      <c r="AP45" s="251">
        <f>'Exh. No. BGM-6 -3'!AS45</f>
        <v>0</v>
      </c>
      <c r="AQ45" s="251">
        <f>'Exh. No. BGM-6 -3'!BA45</f>
        <v>0</v>
      </c>
      <c r="AR45" s="251">
        <f>'Exh. No. BGM-6 -3'!BB45</f>
        <v>0</v>
      </c>
      <c r="AS45" s="251">
        <f>'Exh. No. BGM-6 -3'!BC45</f>
        <v>0</v>
      </c>
      <c r="AT45" s="251">
        <f>'Exh. No. BGM-6 -3'!BD45</f>
        <v>0</v>
      </c>
      <c r="AU45" s="251">
        <f>'Exh. No. BGM-6 -3'!BE45</f>
        <v>0</v>
      </c>
      <c r="AV45" s="251">
        <f>'Exh. No. BGM-6 -3'!BF45</f>
        <v>0</v>
      </c>
      <c r="AW45" s="251">
        <f>'Exh. No. BGM-6 -3'!BH45</f>
        <v>0</v>
      </c>
    </row>
    <row r="46" spans="1:49">
      <c r="A46" s="228">
        <v>22</v>
      </c>
      <c r="C46" s="9" t="s">
        <v>441</v>
      </c>
      <c r="D46" s="230"/>
      <c r="E46" s="251">
        <f>'Exh. No. BGM-6 -3'!E46</f>
        <v>0</v>
      </c>
      <c r="F46" s="251">
        <f>'Exh. No. BGM-6 -3'!F46</f>
        <v>0</v>
      </c>
      <c r="G46" s="251">
        <f>'Exh. No. BGM-6 -3'!G46</f>
        <v>0</v>
      </c>
      <c r="H46" s="251">
        <f>'Exh. No. BGM-6 -3'!H46</f>
        <v>0</v>
      </c>
      <c r="I46" s="251">
        <f>'Exh. No. BGM-6 -3'!I46</f>
        <v>0</v>
      </c>
      <c r="J46" s="251">
        <f>'Exh. No. BGM-6 -3'!J46</f>
        <v>0</v>
      </c>
      <c r="K46" s="251">
        <f>'Exh. No. BGM-6 -3'!K46</f>
        <v>0</v>
      </c>
      <c r="L46" s="251">
        <f>'Exh. No. BGM-6 -3'!L46</f>
        <v>0</v>
      </c>
      <c r="M46" s="251">
        <f>'Exh. No. BGM-6 -3'!M46</f>
        <v>0</v>
      </c>
      <c r="N46" s="251">
        <f>'Exh. No. BGM-6 -3'!N46</f>
        <v>0</v>
      </c>
      <c r="O46" s="251">
        <f>'Exh. No. BGM-6 -3'!O46</f>
        <v>0</v>
      </c>
      <c r="P46" s="251">
        <f>'Exh. No. BGM-6 -3'!P46</f>
        <v>0</v>
      </c>
      <c r="Q46" s="251">
        <f>'Exh. No. BGM-6 -3'!Q46</f>
        <v>0</v>
      </c>
      <c r="R46" s="251">
        <f>'Exh. No. BGM-6 -3'!R46</f>
        <v>0</v>
      </c>
      <c r="S46" s="251">
        <f>'Exh. No. BGM-6 -3'!S46</f>
        <v>0</v>
      </c>
      <c r="T46" s="251">
        <f>'Exh. No. BGM-6 -3'!T46</f>
        <v>0</v>
      </c>
      <c r="U46" s="251">
        <f>'Exh. No. BGM-6 -3'!U46</f>
        <v>0</v>
      </c>
      <c r="V46" s="251">
        <f>'Exh. No. BGM-6 -3'!V46</f>
        <v>0</v>
      </c>
      <c r="W46" s="251">
        <f>'Exh. No. BGM-6 -3'!W46</f>
        <v>-1505</v>
      </c>
      <c r="X46" s="251">
        <f>'Exh. No. BGM-6 -3'!Y46</f>
        <v>0</v>
      </c>
      <c r="Y46" s="251">
        <f>'Exh. No. BGM-6 -3'!Z46</f>
        <v>0</v>
      </c>
      <c r="Z46" s="251">
        <f>'Exh. No. BGM-6 -3'!AA46</f>
        <v>0</v>
      </c>
      <c r="AA46" s="251">
        <f>'Exh. No. BGM-6 -3'!AB46</f>
        <v>0</v>
      </c>
      <c r="AB46" s="251">
        <f>'Exh. No. BGM-6 -3'!AC46</f>
        <v>0</v>
      </c>
      <c r="AC46" s="251">
        <f>'Exh. No. BGM-6 -3'!AD46</f>
        <v>0</v>
      </c>
      <c r="AD46" s="251">
        <f>'Exh. No. BGM-6 -3'!AE46</f>
        <v>0</v>
      </c>
      <c r="AE46" s="251">
        <f>'Exh. No. BGM-6 -3'!AF46</f>
        <v>2584</v>
      </c>
      <c r="AF46" s="251">
        <f>'Exh. No. BGM-6 -3'!AG46</f>
        <v>0</v>
      </c>
      <c r="AG46" s="251">
        <f>'Exh. No. BGM-6 -3'!AH46</f>
        <v>0</v>
      </c>
      <c r="AH46" s="251">
        <f>'Exh. No. BGM-6 -3'!AI46</f>
        <v>0</v>
      </c>
      <c r="AI46" s="251">
        <f>'Exh. No. BGM-6 -3'!AK46</f>
        <v>0</v>
      </c>
      <c r="AJ46" s="251">
        <f>'Exh. No. BGM-6 -3'!AL46</f>
        <v>0</v>
      </c>
      <c r="AK46" s="251">
        <f>'Exh. No. BGM-6 -3'!AM46</f>
        <v>0</v>
      </c>
      <c r="AL46" s="251">
        <f>'Exh. No. BGM-6 -3'!AN46</f>
        <v>0</v>
      </c>
      <c r="AM46" s="251">
        <f>'Exh. No. BGM-6 -3'!AO46</f>
        <v>0</v>
      </c>
      <c r="AN46" s="251">
        <f>'Exh. No. BGM-6 -3'!AP46</f>
        <v>0</v>
      </c>
      <c r="AO46" s="251">
        <f>'Exh. No. BGM-6 -3'!AQ46</f>
        <v>0</v>
      </c>
      <c r="AP46" s="251">
        <f>'Exh. No. BGM-6 -3'!AS46</f>
        <v>0</v>
      </c>
      <c r="AQ46" s="251">
        <f>'Exh. No. BGM-6 -3'!BA46</f>
        <v>0</v>
      </c>
      <c r="AR46" s="251">
        <f>'Exh. No. BGM-6 -3'!BB46</f>
        <v>0</v>
      </c>
      <c r="AS46" s="251">
        <f>'Exh. No. BGM-6 -3'!BC46</f>
        <v>0</v>
      </c>
      <c r="AT46" s="251">
        <f>'Exh. No. BGM-6 -3'!BD46</f>
        <v>0</v>
      </c>
      <c r="AU46" s="251">
        <f>'Exh. No. BGM-6 -3'!BE46</f>
        <v>0</v>
      </c>
      <c r="AV46" s="251">
        <f>'Exh. No. BGM-6 -3'!BF46</f>
        <v>0</v>
      </c>
      <c r="AW46" s="251">
        <f>'Exh. No. BGM-6 -3'!BH46</f>
        <v>0</v>
      </c>
    </row>
    <row r="47" spans="1:49">
      <c r="A47" s="228">
        <v>23</v>
      </c>
      <c r="C47" s="230" t="s">
        <v>22</v>
      </c>
      <c r="D47" s="230"/>
      <c r="E47" s="252">
        <f>'Exh. No. BGM-6 -3'!E47</f>
        <v>0</v>
      </c>
      <c r="F47" s="252">
        <f>'Exh. No. BGM-6 -3'!F47</f>
        <v>0</v>
      </c>
      <c r="G47" s="252">
        <f>'Exh. No. BGM-6 -3'!G47</f>
        <v>0</v>
      </c>
      <c r="H47" s="252">
        <f>'Exh. No. BGM-6 -3'!H47</f>
        <v>0</v>
      </c>
      <c r="I47" s="252">
        <f>'Exh. No. BGM-6 -3'!I47</f>
        <v>0</v>
      </c>
      <c r="J47" s="252">
        <f>'Exh. No. BGM-6 -3'!J47</f>
        <v>0</v>
      </c>
      <c r="K47" s="252">
        <f>'Exh. No. BGM-6 -3'!K47</f>
        <v>0</v>
      </c>
      <c r="L47" s="252">
        <f>'Exh. No. BGM-6 -3'!L47</f>
        <v>0</v>
      </c>
      <c r="M47" s="252">
        <f>'Exh. No. BGM-6 -3'!M47</f>
        <v>0</v>
      </c>
      <c r="N47" s="252">
        <f>'Exh. No. BGM-6 -3'!N47</f>
        <v>0</v>
      </c>
      <c r="O47" s="252">
        <f>'Exh. No. BGM-6 -3'!O47</f>
        <v>0</v>
      </c>
      <c r="P47" s="252">
        <f>'Exh. No. BGM-6 -3'!P47</f>
        <v>0</v>
      </c>
      <c r="Q47" s="252">
        <f>'Exh. No. BGM-6 -3'!Q47</f>
        <v>0</v>
      </c>
      <c r="R47" s="252">
        <f>'Exh. No. BGM-6 -3'!R47</f>
        <v>0</v>
      </c>
      <c r="S47" s="252">
        <f>'Exh. No. BGM-6 -3'!S47</f>
        <v>0</v>
      </c>
      <c r="T47" s="252">
        <f>'Exh. No. BGM-6 -3'!T47</f>
        <v>0</v>
      </c>
      <c r="U47" s="252">
        <f>'Exh. No. BGM-6 -3'!U47</f>
        <v>0</v>
      </c>
      <c r="V47" s="252">
        <f>'Exh. No. BGM-6 -3'!V47</f>
        <v>0</v>
      </c>
      <c r="W47" s="252">
        <f>'Exh. No. BGM-6 -3'!W47</f>
        <v>0</v>
      </c>
      <c r="X47" s="252">
        <f>'Exh. No. BGM-6 -3'!Y47</f>
        <v>0</v>
      </c>
      <c r="Y47" s="252">
        <f>'Exh. No. BGM-6 -3'!Z47</f>
        <v>0</v>
      </c>
      <c r="Z47" s="252">
        <f>'Exh. No. BGM-6 -3'!AA47</f>
        <v>0</v>
      </c>
      <c r="AA47" s="252">
        <f>'Exh. No. BGM-6 -3'!AB47</f>
        <v>0</v>
      </c>
      <c r="AB47" s="252">
        <f>'Exh. No. BGM-6 -3'!AC47</f>
        <v>0</v>
      </c>
      <c r="AC47" s="252">
        <f>'Exh. No. BGM-6 -3'!AD47</f>
        <v>0</v>
      </c>
      <c r="AD47" s="252">
        <f>'Exh. No. BGM-6 -3'!AE47</f>
        <v>0</v>
      </c>
      <c r="AE47" s="252">
        <f>'Exh. No. BGM-6 -3'!AF47</f>
        <v>0</v>
      </c>
      <c r="AF47" s="252">
        <f>'Exh. No. BGM-6 -3'!AG47</f>
        <v>0</v>
      </c>
      <c r="AG47" s="252">
        <f>'Exh. No. BGM-6 -3'!AH47</f>
        <v>0</v>
      </c>
      <c r="AH47" s="252">
        <f>'Exh. No. BGM-6 -3'!AI47</f>
        <v>0</v>
      </c>
      <c r="AI47" s="252">
        <f>'Exh. No. BGM-6 -3'!AK47</f>
        <v>0</v>
      </c>
      <c r="AJ47" s="252">
        <f>'Exh. No. BGM-6 -3'!AL47</f>
        <v>0</v>
      </c>
      <c r="AK47" s="252">
        <f>'Exh. No. BGM-6 -3'!AM47</f>
        <v>0</v>
      </c>
      <c r="AL47" s="252">
        <f>'Exh. No. BGM-6 -3'!AN47</f>
        <v>0</v>
      </c>
      <c r="AM47" s="252">
        <f>'Exh. No. BGM-6 -3'!AO47</f>
        <v>0</v>
      </c>
      <c r="AN47" s="252">
        <f>'Exh. No. BGM-6 -3'!AP47</f>
        <v>0</v>
      </c>
      <c r="AO47" s="252">
        <f>'Exh. No. BGM-6 -3'!AQ47</f>
        <v>0</v>
      </c>
      <c r="AP47" s="252">
        <f>'Exh. No. BGM-6 -3'!AS47</f>
        <v>0</v>
      </c>
      <c r="AQ47" s="252">
        <f>'Exh. No. BGM-6 -3'!BA47</f>
        <v>0</v>
      </c>
      <c r="AR47" s="252">
        <f>'Exh. No. BGM-6 -3'!BB47</f>
        <v>0</v>
      </c>
      <c r="AS47" s="252">
        <f>'Exh. No. BGM-6 -3'!BC47</f>
        <v>0</v>
      </c>
      <c r="AT47" s="252">
        <f>'Exh. No. BGM-6 -3'!BD47</f>
        <v>0</v>
      </c>
      <c r="AU47" s="252">
        <f>'Exh. No. BGM-6 -3'!BE47</f>
        <v>0</v>
      </c>
      <c r="AV47" s="252">
        <f>'Exh. No. BGM-6 -3'!BF47</f>
        <v>0</v>
      </c>
      <c r="AW47" s="252">
        <f>'Exh. No. BGM-6 -3'!BH47</f>
        <v>0</v>
      </c>
    </row>
    <row r="48" spans="1:49">
      <c r="A48" s="228">
        <v>24</v>
      </c>
      <c r="B48" s="230" t="s">
        <v>54</v>
      </c>
      <c r="C48" s="230"/>
      <c r="E48" s="252">
        <f>SUM(E44:E47)</f>
        <v>18594</v>
      </c>
      <c r="F48" s="252">
        <f t="shared" ref="F48:AB48" si="46">SUM(F44:F47)</f>
        <v>0</v>
      </c>
      <c r="G48" s="252">
        <f t="shared" si="46"/>
        <v>0</v>
      </c>
      <c r="H48" s="252">
        <f t="shared" si="46"/>
        <v>0</v>
      </c>
      <c r="I48" s="252">
        <f t="shared" si="46"/>
        <v>0</v>
      </c>
      <c r="J48" s="252">
        <f t="shared" si="46"/>
        <v>0</v>
      </c>
      <c r="K48" s="252">
        <f t="shared" si="46"/>
        <v>0</v>
      </c>
      <c r="L48" s="252">
        <f t="shared" si="46"/>
        <v>-12</v>
      </c>
      <c r="M48" s="252">
        <f t="shared" si="46"/>
        <v>231</v>
      </c>
      <c r="N48" s="252">
        <f t="shared" si="46"/>
        <v>0</v>
      </c>
      <c r="O48" s="252">
        <f t="shared" si="46"/>
        <v>-9</v>
      </c>
      <c r="P48" s="252">
        <f t="shared" si="46"/>
        <v>0</v>
      </c>
      <c r="Q48" s="252">
        <f t="shared" si="46"/>
        <v>0</v>
      </c>
      <c r="R48" s="252">
        <f t="shared" si="46"/>
        <v>26</v>
      </c>
      <c r="S48" s="252">
        <f t="shared" ref="S48" si="47">SUM(S44:S47)</f>
        <v>-7</v>
      </c>
      <c r="T48" s="252">
        <f t="shared" si="46"/>
        <v>-317.75400000000002</v>
      </c>
      <c r="U48" s="252">
        <f>SUM(U44:U47)</f>
        <v>0</v>
      </c>
      <c r="V48" s="252">
        <f t="shared" si="46"/>
        <v>-132</v>
      </c>
      <c r="W48" s="252">
        <f t="shared" ref="W48" si="48">SUM(W44:W47)</f>
        <v>-1505</v>
      </c>
      <c r="X48" s="252">
        <f t="shared" si="46"/>
        <v>109.862602</v>
      </c>
      <c r="Y48" s="252">
        <f t="shared" ref="Y48" si="49">SUM(Y44:Y47)</f>
        <v>12</v>
      </c>
      <c r="Z48" s="252">
        <f t="shared" si="46"/>
        <v>100</v>
      </c>
      <c r="AA48" s="252">
        <f>SUM(AA44:AA47)</f>
        <v>0</v>
      </c>
      <c r="AB48" s="252">
        <f t="shared" si="46"/>
        <v>0</v>
      </c>
      <c r="AC48" s="252">
        <f t="shared" ref="AC48:AP48" si="50">SUM(AC44:AC47)</f>
        <v>-144</v>
      </c>
      <c r="AD48" s="252">
        <f>SUM(AD44:AD47)</f>
        <v>0</v>
      </c>
      <c r="AE48" s="252">
        <f t="shared" si="50"/>
        <v>2584</v>
      </c>
      <c r="AF48" s="252">
        <f t="shared" si="50"/>
        <v>452</v>
      </c>
      <c r="AG48" s="252">
        <f t="shared" si="50"/>
        <v>102.44748992134384</v>
      </c>
      <c r="AH48" s="252">
        <f t="shared" si="50"/>
        <v>-56</v>
      </c>
      <c r="AI48" s="252">
        <f t="shared" ref="AI48" si="51">SUM(AI44:AI47)</f>
        <v>0</v>
      </c>
      <c r="AJ48" s="252">
        <f t="shared" si="50"/>
        <v>0</v>
      </c>
      <c r="AK48" s="252">
        <f t="shared" si="50"/>
        <v>0</v>
      </c>
      <c r="AL48" s="252">
        <f t="shared" si="50"/>
        <v>0</v>
      </c>
      <c r="AM48" s="252">
        <f t="shared" ref="AM48" si="52">SUM(AM44:AM47)</f>
        <v>0</v>
      </c>
      <c r="AN48" s="252">
        <f t="shared" si="50"/>
        <v>0</v>
      </c>
      <c r="AO48" s="252">
        <f t="shared" ref="AO48" si="53">SUM(AO44:AO47)</f>
        <v>0</v>
      </c>
      <c r="AP48" s="252">
        <f t="shared" si="50"/>
        <v>0</v>
      </c>
      <c r="AQ48" s="252">
        <f t="shared" ref="AQ48:AW48" si="54">SUM(AQ44:AQ47)</f>
        <v>0</v>
      </c>
      <c r="AR48" s="252">
        <f t="shared" si="54"/>
        <v>0</v>
      </c>
      <c r="AS48" s="252">
        <f t="shared" ref="AS48" si="55">SUM(AS44:AS47)</f>
        <v>0</v>
      </c>
      <c r="AT48" s="252">
        <f t="shared" si="54"/>
        <v>0</v>
      </c>
      <c r="AU48" s="252">
        <f t="shared" ref="AU48" si="56">SUM(AU44:AU47)</f>
        <v>0</v>
      </c>
      <c r="AV48" s="252">
        <f t="shared" si="54"/>
        <v>0</v>
      </c>
      <c r="AW48" s="252">
        <f t="shared" si="54"/>
        <v>0</v>
      </c>
    </row>
    <row r="49" spans="1:49" ht="19.5" customHeight="1">
      <c r="A49" s="228">
        <v>25</v>
      </c>
      <c r="B49" s="204" t="s">
        <v>55</v>
      </c>
      <c r="C49" s="230"/>
      <c r="D49" s="230"/>
      <c r="E49" s="252">
        <f t="shared" ref="E49" si="57">E21+E25+E31+E37+E39+E40+E41+E48</f>
        <v>241428</v>
      </c>
      <c r="F49" s="252">
        <f t="shared" ref="F49:AB49" si="58">F21+F25+F31+F37+F39+F40+F41+F48</f>
        <v>0</v>
      </c>
      <c r="G49" s="252">
        <f t="shared" si="58"/>
        <v>1</v>
      </c>
      <c r="H49" s="252">
        <f t="shared" si="58"/>
        <v>0</v>
      </c>
      <c r="I49" s="252">
        <f t="shared" si="58"/>
        <v>-5612</v>
      </c>
      <c r="J49" s="252">
        <f t="shared" si="58"/>
        <v>-188</v>
      </c>
      <c r="K49" s="252">
        <f t="shared" si="58"/>
        <v>-313</v>
      </c>
      <c r="L49" s="252">
        <f t="shared" si="58"/>
        <v>-12</v>
      </c>
      <c r="M49" s="252">
        <f t="shared" si="58"/>
        <v>231</v>
      </c>
      <c r="N49" s="252">
        <f t="shared" si="58"/>
        <v>0</v>
      </c>
      <c r="O49" s="252">
        <f t="shared" si="58"/>
        <v>-9</v>
      </c>
      <c r="P49" s="252">
        <f t="shared" si="58"/>
        <v>-5</v>
      </c>
      <c r="Q49" s="252">
        <f t="shared" si="58"/>
        <v>-6</v>
      </c>
      <c r="R49" s="252">
        <f t="shared" si="58"/>
        <v>11208</v>
      </c>
      <c r="S49" s="252">
        <f t="shared" ref="S49" si="59">S21+S25+S31+S37+S39+S40+S41+S48</f>
        <v>-102717</v>
      </c>
      <c r="T49" s="252">
        <f t="shared" si="58"/>
        <v>-317.75400000000002</v>
      </c>
      <c r="U49" s="252">
        <f>U21+U25+U31+U37+U39+U40+U41+U48</f>
        <v>0</v>
      </c>
      <c r="V49" s="252">
        <f t="shared" si="58"/>
        <v>-489</v>
      </c>
      <c r="W49" s="252">
        <f t="shared" ref="W49" si="60">W21+W25+W31+W37+W39+W40+W41+W48</f>
        <v>-1505</v>
      </c>
      <c r="X49" s="252">
        <f t="shared" si="58"/>
        <v>394.12199799999996</v>
      </c>
      <c r="Y49" s="252">
        <f t="shared" ref="Y49" si="61">Y21+Y25+Y31+Y37+Y39+Y40+Y41+Y48</f>
        <v>-13</v>
      </c>
      <c r="Z49" s="252">
        <f t="shared" si="58"/>
        <v>344.79300000000001</v>
      </c>
      <c r="AA49" s="252">
        <f>AA21+AA25+AA31+AA37+AA39+AA40+AA41+AA48</f>
        <v>104</v>
      </c>
      <c r="AB49" s="252">
        <f t="shared" si="58"/>
        <v>196</v>
      </c>
      <c r="AC49" s="252">
        <f t="shared" ref="AC49:AP49" si="62">AC21+AC25+AC31+AC37+AC39+AC40+AC41+AC48</f>
        <v>-89890</v>
      </c>
      <c r="AD49" s="252">
        <f>AD21+AD25+AD31+AD37+AD39+AD40+AD41+AD48</f>
        <v>236</v>
      </c>
      <c r="AE49" s="252">
        <f t="shared" si="62"/>
        <v>2584</v>
      </c>
      <c r="AF49" s="252">
        <f t="shared" si="62"/>
        <v>576</v>
      </c>
      <c r="AG49" s="252">
        <f t="shared" si="62"/>
        <v>159.09856124187939</v>
      </c>
      <c r="AH49" s="252">
        <f t="shared" si="62"/>
        <v>-56</v>
      </c>
      <c r="AI49" s="252">
        <f t="shared" ref="AI49" si="63">AI21+AI25+AI31+AI37+AI39+AI40+AI41+AI48</f>
        <v>0</v>
      </c>
      <c r="AJ49" s="252">
        <f t="shared" si="62"/>
        <v>0</v>
      </c>
      <c r="AK49" s="252">
        <f t="shared" si="62"/>
        <v>0</v>
      </c>
      <c r="AL49" s="252">
        <f t="shared" si="62"/>
        <v>0</v>
      </c>
      <c r="AM49" s="252">
        <f t="shared" ref="AM49" si="64">AM21+AM25+AM31+AM37+AM39+AM40+AM41+AM48</f>
        <v>0</v>
      </c>
      <c r="AN49" s="252">
        <f t="shared" si="62"/>
        <v>0</v>
      </c>
      <c r="AO49" s="252">
        <f t="shared" ref="AO49" si="65">AO21+AO25+AO31+AO37+AO39+AO40+AO41+AO48</f>
        <v>0</v>
      </c>
      <c r="AP49" s="252">
        <f t="shared" si="62"/>
        <v>0</v>
      </c>
      <c r="AQ49" s="252">
        <f t="shared" ref="AQ49:AW49" si="66">AQ21+AQ25+AQ31+AQ37+AQ39+AQ40+AQ41+AQ48</f>
        <v>0</v>
      </c>
      <c r="AR49" s="252">
        <f t="shared" si="66"/>
        <v>0</v>
      </c>
      <c r="AS49" s="252">
        <f t="shared" ref="AS49" si="67">AS21+AS25+AS31+AS37+AS39+AS40+AS41+AS48</f>
        <v>0</v>
      </c>
      <c r="AT49" s="252">
        <f t="shared" si="66"/>
        <v>0</v>
      </c>
      <c r="AU49" s="252">
        <f t="shared" ref="AU49" si="68">AU21+AU25+AU31+AU37+AU39+AU40+AU41+AU48</f>
        <v>0</v>
      </c>
      <c r="AV49" s="252">
        <f t="shared" si="66"/>
        <v>0</v>
      </c>
      <c r="AW49" s="252">
        <f t="shared" si="66"/>
        <v>0</v>
      </c>
    </row>
    <row r="50" spans="1:49">
      <c r="C50" s="230"/>
      <c r="D50" s="230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</row>
    <row r="51" spans="1:49" ht="12.95" customHeight="1">
      <c r="A51" s="228">
        <v>26</v>
      </c>
      <c r="B51" s="204" t="s">
        <v>56</v>
      </c>
      <c r="C51" s="230"/>
      <c r="D51" s="230"/>
      <c r="E51" s="251">
        <f>E18-E49</f>
        <v>20266</v>
      </c>
      <c r="F51" s="251">
        <f t="shared" ref="F51:AB51" si="69">F18-F49</f>
        <v>0</v>
      </c>
      <c r="G51" s="251">
        <f t="shared" si="69"/>
        <v>-1</v>
      </c>
      <c r="H51" s="251">
        <f t="shared" si="69"/>
        <v>0</v>
      </c>
      <c r="I51" s="251">
        <f t="shared" si="69"/>
        <v>-14</v>
      </c>
      <c r="J51" s="251">
        <f t="shared" si="69"/>
        <v>188</v>
      </c>
      <c r="K51" s="251">
        <f t="shared" si="69"/>
        <v>313</v>
      </c>
      <c r="L51" s="251">
        <f t="shared" si="69"/>
        <v>12</v>
      </c>
      <c r="M51" s="251">
        <f t="shared" si="69"/>
        <v>-231</v>
      </c>
      <c r="N51" s="251">
        <f t="shared" si="69"/>
        <v>0</v>
      </c>
      <c r="O51" s="251">
        <f t="shared" si="69"/>
        <v>9</v>
      </c>
      <c r="P51" s="251">
        <f t="shared" si="69"/>
        <v>5</v>
      </c>
      <c r="Q51" s="251">
        <f t="shared" si="69"/>
        <v>6</v>
      </c>
      <c r="R51" s="251">
        <f t="shared" si="69"/>
        <v>1776</v>
      </c>
      <c r="S51" s="251">
        <f t="shared" ref="S51" si="70">S18-S49</f>
        <v>0</v>
      </c>
      <c r="T51" s="251">
        <f t="shared" si="69"/>
        <v>317.75400000000002</v>
      </c>
      <c r="U51" s="251">
        <f>U18-U49</f>
        <v>0</v>
      </c>
      <c r="V51" s="251">
        <f t="shared" si="69"/>
        <v>489</v>
      </c>
      <c r="W51" s="251">
        <f t="shared" ref="W51" si="71">W18-W49</f>
        <v>1505</v>
      </c>
      <c r="X51" s="251">
        <f t="shared" si="69"/>
        <v>-394.12199799999996</v>
      </c>
      <c r="Y51" s="251">
        <f t="shared" ref="Y51" si="72">Y18-Y49</f>
        <v>13</v>
      </c>
      <c r="Z51" s="251">
        <f t="shared" si="69"/>
        <v>-344.79300000000001</v>
      </c>
      <c r="AA51" s="251">
        <f>AA18-AA49</f>
        <v>-104</v>
      </c>
      <c r="AB51" s="251">
        <f t="shared" si="69"/>
        <v>-196</v>
      </c>
      <c r="AC51" s="251">
        <f t="shared" ref="AC51:AP51" si="73">AC18-AC49</f>
        <v>12311</v>
      </c>
      <c r="AD51" s="251">
        <f>AD18-AD49</f>
        <v>-236</v>
      </c>
      <c r="AE51" s="251">
        <f t="shared" si="73"/>
        <v>-2584</v>
      </c>
      <c r="AF51" s="251">
        <f t="shared" si="73"/>
        <v>-576</v>
      </c>
      <c r="AG51" s="251">
        <f t="shared" si="73"/>
        <v>-159.09856124187939</v>
      </c>
      <c r="AH51" s="251">
        <f t="shared" si="73"/>
        <v>56</v>
      </c>
      <c r="AI51" s="251">
        <f t="shared" ref="AI51" si="74">AI18-AI49</f>
        <v>0</v>
      </c>
      <c r="AJ51" s="251">
        <f t="shared" si="73"/>
        <v>0</v>
      </c>
      <c r="AK51" s="251">
        <f t="shared" si="73"/>
        <v>0</v>
      </c>
      <c r="AL51" s="251">
        <f t="shared" si="73"/>
        <v>0</v>
      </c>
      <c r="AM51" s="251">
        <f t="shared" ref="AM51" si="75">AM18-AM49</f>
        <v>0</v>
      </c>
      <c r="AN51" s="251">
        <f t="shared" si="73"/>
        <v>0</v>
      </c>
      <c r="AO51" s="251">
        <f t="shared" ref="AO51" si="76">AO18-AO49</f>
        <v>0</v>
      </c>
      <c r="AP51" s="251">
        <f t="shared" si="73"/>
        <v>0</v>
      </c>
      <c r="AQ51" s="251">
        <f t="shared" ref="AQ51:AW51" si="77">AQ18-AQ49</f>
        <v>0</v>
      </c>
      <c r="AR51" s="251">
        <f t="shared" si="77"/>
        <v>0</v>
      </c>
      <c r="AS51" s="251">
        <f t="shared" ref="AS51" si="78">AS18-AS49</f>
        <v>0</v>
      </c>
      <c r="AT51" s="251">
        <f t="shared" si="77"/>
        <v>0</v>
      </c>
      <c r="AU51" s="251">
        <f t="shared" ref="AU51" si="79">AU18-AU49</f>
        <v>0</v>
      </c>
      <c r="AV51" s="251">
        <f t="shared" si="77"/>
        <v>0</v>
      </c>
      <c r="AW51" s="251">
        <f t="shared" si="77"/>
        <v>0</v>
      </c>
    </row>
    <row r="52" spans="1:49" ht="12.95" customHeight="1">
      <c r="C52" s="230"/>
      <c r="D52" s="230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</row>
    <row r="53" spans="1:49" ht="12.95" customHeight="1">
      <c r="B53" s="204" t="s">
        <v>57</v>
      </c>
      <c r="C53" s="230"/>
      <c r="D53" s="230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  <c r="AI53" s="251"/>
      <c r="AJ53" s="251"/>
      <c r="AK53" s="251"/>
      <c r="AL53" s="251"/>
      <c r="AM53" s="251"/>
      <c r="AN53" s="251"/>
      <c r="AO53" s="251"/>
      <c r="AP53" s="251"/>
      <c r="AQ53" s="251"/>
      <c r="AR53" s="251"/>
      <c r="AS53" s="251"/>
      <c r="AT53" s="251"/>
      <c r="AU53" s="251"/>
      <c r="AV53" s="251"/>
      <c r="AW53" s="251"/>
    </row>
    <row r="54" spans="1:49">
      <c r="A54" s="228">
        <v>27</v>
      </c>
      <c r="B54" s="230" t="s">
        <v>58</v>
      </c>
      <c r="D54" s="230"/>
      <c r="E54" s="251">
        <f>'Exh. No. BGM-6 -3'!E54</f>
        <v>-6651</v>
      </c>
      <c r="F54" s="251">
        <f>'Exh. No. BGM-6 -3'!F54</f>
        <v>0</v>
      </c>
      <c r="G54" s="251">
        <f>'Exh. No. BGM-6 -3'!G54</f>
        <v>-0.35</v>
      </c>
      <c r="H54" s="251">
        <f>'Exh. No. BGM-6 -3'!H54</f>
        <v>0</v>
      </c>
      <c r="I54" s="251">
        <f>'Exh. No. BGM-6 -3'!I54</f>
        <v>-4.8999999999999995</v>
      </c>
      <c r="J54" s="251">
        <f>'Exh. No. BGM-6 -3'!J54</f>
        <v>65.8</v>
      </c>
      <c r="K54" s="251">
        <f>'Exh. No. BGM-6 -3'!K54</f>
        <v>109.55</v>
      </c>
      <c r="L54" s="251">
        <f>'Exh. No. BGM-6 -3'!L54</f>
        <v>4.1999999999999993</v>
      </c>
      <c r="M54" s="251">
        <f>'Exh. No. BGM-6 -3'!M54</f>
        <v>-80.849999999999994</v>
      </c>
      <c r="N54" s="251">
        <f>'Exh. No. BGM-6 -3'!N54</f>
        <v>-223</v>
      </c>
      <c r="O54" s="251">
        <f>'Exh. No. BGM-6 -3'!O54</f>
        <v>3.15</v>
      </c>
      <c r="P54" s="251">
        <f>'Exh. No. BGM-6 -3'!P54</f>
        <v>1.75</v>
      </c>
      <c r="Q54" s="251">
        <f>'Exh. No. BGM-6 -3'!Q54</f>
        <v>2.0999999999999996</v>
      </c>
      <c r="R54" s="251">
        <f>'Exh. No. BGM-6 -3'!R54</f>
        <v>621.59999999999991</v>
      </c>
      <c r="S54" s="251">
        <f>'Exh. No. BGM-6 -3'!S54</f>
        <v>0</v>
      </c>
      <c r="T54" s="251">
        <f>'Exh. No. BGM-6 -3'!T54</f>
        <v>111.2139</v>
      </c>
      <c r="U54" s="251">
        <f>'Exh. No. BGM-6 -3'!U54</f>
        <v>-205.20060024845552</v>
      </c>
      <c r="V54" s="251">
        <f>'Exh. No. BGM-6 -3'!V54</f>
        <v>171.14999999999998</v>
      </c>
      <c r="W54" s="251">
        <f>'Exh. No. BGM-6 -3'!W54</f>
        <v>526.75</v>
      </c>
      <c r="X54" s="251">
        <f>'Exh. No. BGM-6 -3'!Y54</f>
        <v>-137.94269929999999</v>
      </c>
      <c r="Y54" s="251">
        <f>'Exh. No. BGM-6 -3'!Z54</f>
        <v>4.55</v>
      </c>
      <c r="Z54" s="251">
        <f>'Exh. No. BGM-6 -3'!AA54</f>
        <v>-120.67755</v>
      </c>
      <c r="AA54" s="251">
        <f>'Exh. No. BGM-6 -3'!AB54</f>
        <v>-36.4</v>
      </c>
      <c r="AB54" s="251">
        <f>'Exh. No. BGM-6 -3'!AC54</f>
        <v>-68.599999999999994</v>
      </c>
      <c r="AC54" s="251">
        <f>'Exh. No. BGM-6 -3'!AD54</f>
        <v>4308.8499999999995</v>
      </c>
      <c r="AD54" s="251">
        <f>'Exh. No. BGM-6 -3'!AE54</f>
        <v>-82.6</v>
      </c>
      <c r="AE54" s="251">
        <f>'Exh. No. BGM-6 -3'!AF54</f>
        <v>-904.4</v>
      </c>
      <c r="AF54" s="251">
        <f>'Exh. No. BGM-6 -3'!AG54</f>
        <v>-201.6</v>
      </c>
      <c r="AG54" s="251">
        <f>'Exh. No. BGM-6 -3'!AH54</f>
        <v>-55.684496434657788</v>
      </c>
      <c r="AH54" s="251">
        <f>'Exh. No. BGM-6 -3'!AI54</f>
        <v>19.599999999999998</v>
      </c>
      <c r="AI54" s="251">
        <f>'Exh. No. BGM-6 -3'!AK54</f>
        <v>0</v>
      </c>
      <c r="AJ54" s="251">
        <f>'Exh. No. BGM-6 -3'!AL54</f>
        <v>0</v>
      </c>
      <c r="AK54" s="251">
        <f>'Exh. No. BGM-6 -3'!AM54</f>
        <v>0</v>
      </c>
      <c r="AL54" s="251">
        <f>'Exh. No. BGM-6 -3'!AN54</f>
        <v>0</v>
      </c>
      <c r="AM54" s="251">
        <f>'Exh. No. BGM-6 -3'!AO54</f>
        <v>0</v>
      </c>
      <c r="AN54" s="251">
        <f>'Exh. No. BGM-6 -3'!AP54</f>
        <v>0</v>
      </c>
      <c r="AO54" s="251">
        <f>'Exh. No. BGM-6 -3'!AQ54</f>
        <v>0</v>
      </c>
      <c r="AP54" s="251">
        <f>'Exh. No. BGM-6 -3'!AS54</f>
        <v>0</v>
      </c>
      <c r="AQ54" s="251">
        <f>'Exh. No. BGM-6 -3'!BA54</f>
        <v>0</v>
      </c>
      <c r="AR54" s="251">
        <f>'Exh. No. BGM-6 -3'!BB54</f>
        <v>0</v>
      </c>
      <c r="AS54" s="251">
        <f>'Exh. No. BGM-6 -3'!BC54</f>
        <v>0</v>
      </c>
      <c r="AT54" s="251">
        <f>'Exh. No. BGM-6 -3'!BD54</f>
        <v>0</v>
      </c>
      <c r="AU54" s="251">
        <f>'Exh. No. BGM-6 -3'!BE54</f>
        <v>0</v>
      </c>
      <c r="AV54" s="251">
        <f>'Exh. No. BGM-6 -3'!BF54</f>
        <v>0</v>
      </c>
      <c r="AW54" s="251">
        <f>'Exh. No. BGM-6 -3'!BH54</f>
        <v>0</v>
      </c>
    </row>
    <row r="55" spans="1:49">
      <c r="A55" s="228">
        <v>28</v>
      </c>
      <c r="B55" s="230" t="s">
        <v>205</v>
      </c>
      <c r="D55" s="230"/>
      <c r="E55" s="251">
        <f>'Exh. No. BGM-6 -3'!E55</f>
        <v>0</v>
      </c>
      <c r="F55" s="251">
        <f>'Exh. No. BGM-6 -3'!F55</f>
        <v>-0.497</v>
      </c>
      <c r="G55" s="251">
        <f>'Exh. No. BGM-6 -3'!G55</f>
        <v>0</v>
      </c>
      <c r="H55" s="251">
        <f>'Exh. No. BGM-6 -3'!H55</f>
        <v>-28.110319999999998</v>
      </c>
      <c r="I55" s="251">
        <f>'Exh. No. BGM-6 -3'!I55</f>
        <v>0</v>
      </c>
      <c r="J55" s="251">
        <f>'Exh. No. BGM-6 -3'!J55</f>
        <v>0</v>
      </c>
      <c r="K55" s="251">
        <f>'Exh. No. BGM-6 -3'!K55</f>
        <v>0</v>
      </c>
      <c r="L55" s="251">
        <f>'Exh. No. BGM-6 -3'!L55</f>
        <v>0</v>
      </c>
      <c r="M55" s="251">
        <f>'Exh. No. BGM-6 -3'!M55</f>
        <v>0</v>
      </c>
      <c r="N55" s="251">
        <f>'Exh. No. BGM-6 -3'!N55</f>
        <v>0</v>
      </c>
      <c r="O55" s="251">
        <f>'Exh. No. BGM-6 -3'!O55</f>
        <v>0</v>
      </c>
      <c r="P55" s="251">
        <f>'Exh. No. BGM-6 -3'!P55</f>
        <v>0</v>
      </c>
      <c r="Q55" s="251">
        <f>'Exh. No. BGM-6 -3'!Q55</f>
        <v>0</v>
      </c>
      <c r="R55" s="251">
        <f>'Exh. No. BGM-6 -3'!R55</f>
        <v>0</v>
      </c>
      <c r="S55" s="251">
        <f>'Exh. No. BGM-6 -3'!S55</f>
        <v>0</v>
      </c>
      <c r="T55" s="251">
        <f>'Exh. No. BGM-6 -3'!T55</f>
        <v>0</v>
      </c>
      <c r="U55" s="251">
        <f>'Exh. No. BGM-6 -3'!U55</f>
        <v>0</v>
      </c>
      <c r="V55" s="251">
        <f>'Exh. No. BGM-6 -3'!V55</f>
        <v>0</v>
      </c>
      <c r="W55" s="251">
        <f>'Exh. No. BGM-6 -3'!W55</f>
        <v>0</v>
      </c>
      <c r="X55" s="251">
        <f>'Exh. No. BGM-6 -3'!Y55</f>
        <v>0</v>
      </c>
      <c r="Y55" s="251">
        <f>'Exh. No. BGM-6 -3'!Z55</f>
        <v>0</v>
      </c>
      <c r="Z55" s="251">
        <f>'Exh. No. BGM-6 -3'!AA55</f>
        <v>0</v>
      </c>
      <c r="AA55" s="251">
        <f>'Exh. No. BGM-6 -3'!AB55</f>
        <v>0</v>
      </c>
      <c r="AB55" s="251">
        <f>'Exh. No. BGM-6 -3'!AC55</f>
        <v>0</v>
      </c>
      <c r="AC55" s="251">
        <f>'Exh. No. BGM-6 -3'!AD55</f>
        <v>0</v>
      </c>
      <c r="AD55" s="251">
        <f>'Exh. No. BGM-6 -3'!AE55</f>
        <v>0</v>
      </c>
      <c r="AE55" s="251">
        <f>'Exh. No. BGM-6 -3'!AF55</f>
        <v>0</v>
      </c>
      <c r="AF55" s="251">
        <f>'Exh. No. BGM-6 -3'!AG55</f>
        <v>-60.693640000000002</v>
      </c>
      <c r="AG55" s="251">
        <f>'Exh. No. BGM-6 -3'!AH55</f>
        <v>-180.11280000000002</v>
      </c>
      <c r="AH55" s="251">
        <f>'Exh. No. BGM-6 -3'!AI55</f>
        <v>0</v>
      </c>
      <c r="AI55" s="251">
        <f>'Exh. No. BGM-6 -3'!AK55</f>
        <v>0</v>
      </c>
      <c r="AJ55" s="251">
        <f>'Exh. No. BGM-6 -3'!AL55</f>
        <v>0</v>
      </c>
      <c r="AK55" s="251">
        <f>'Exh. No. BGM-6 -3'!AM55</f>
        <v>0</v>
      </c>
      <c r="AL55" s="251">
        <f>'Exh. No. BGM-6 -3'!AN55</f>
        <v>0</v>
      </c>
      <c r="AM55" s="251">
        <f>'Exh. No. BGM-6 -3'!AO55</f>
        <v>0</v>
      </c>
      <c r="AN55" s="251">
        <f>'Exh. No. BGM-6 -3'!AP55</f>
        <v>0</v>
      </c>
      <c r="AO55" s="251">
        <f>'Exh. No. BGM-6 -3'!AQ55</f>
        <v>0</v>
      </c>
      <c r="AP55" s="251">
        <f>'Exh. No. BGM-6 -3'!AS55</f>
        <v>0</v>
      </c>
      <c r="AQ55" s="251">
        <f>'Exh. No. BGM-6 -3'!BA55</f>
        <v>0</v>
      </c>
      <c r="AR55" s="251">
        <f>'Exh. No. BGM-6 -3'!BB55</f>
        <v>0</v>
      </c>
      <c r="AS55" s="251">
        <f>'Exh. No. BGM-6 -3'!BC55</f>
        <v>0</v>
      </c>
      <c r="AT55" s="251">
        <f>'Exh. No. BGM-6 -3'!BD55</f>
        <v>0</v>
      </c>
      <c r="AU55" s="251">
        <f>'Exh. No. BGM-6 -3'!BE55</f>
        <v>0</v>
      </c>
      <c r="AV55" s="251">
        <f>'Exh. No. BGM-6 -3'!BF55</f>
        <v>0</v>
      </c>
      <c r="AW55" s="251">
        <f>'Exh. No. BGM-6 -3'!BH55</f>
        <v>0</v>
      </c>
    </row>
    <row r="56" spans="1:49">
      <c r="A56" s="228">
        <v>29</v>
      </c>
      <c r="B56" s="230" t="s">
        <v>59</v>
      </c>
      <c r="D56" s="230"/>
      <c r="E56" s="251">
        <f>'Exh. No. BGM-6 -3'!E56</f>
        <v>12388</v>
      </c>
      <c r="F56" s="251">
        <f>'Exh. No. BGM-6 -3'!F56</f>
        <v>0</v>
      </c>
      <c r="G56" s="251">
        <f>'Exh. No. BGM-6 -3'!G56</f>
        <v>0</v>
      </c>
      <c r="H56" s="251">
        <f>'Exh. No. BGM-6 -3'!H56</f>
        <v>0</v>
      </c>
      <c r="I56" s="251">
        <f>'Exh. No. BGM-6 -3'!I56</f>
        <v>0</v>
      </c>
      <c r="J56" s="251">
        <f>'Exh. No. BGM-6 -3'!J56</f>
        <v>0</v>
      </c>
      <c r="K56" s="251">
        <f>'Exh. No. BGM-6 -3'!K56</f>
        <v>0</v>
      </c>
      <c r="L56" s="251">
        <f>'Exh. No. BGM-6 -3'!L56</f>
        <v>0</v>
      </c>
      <c r="M56" s="251">
        <f>'Exh. No. BGM-6 -3'!M56</f>
        <v>0</v>
      </c>
      <c r="N56" s="251">
        <f>'Exh. No. BGM-6 -3'!N56</f>
        <v>0</v>
      </c>
      <c r="O56" s="251">
        <f>'Exh. No. BGM-6 -3'!O56</f>
        <v>0</v>
      </c>
      <c r="P56" s="251">
        <f>'Exh. No. BGM-6 -3'!P56</f>
        <v>0</v>
      </c>
      <c r="Q56" s="251">
        <f>'Exh. No. BGM-6 -3'!Q56</f>
        <v>0</v>
      </c>
      <c r="R56" s="251">
        <f>'Exh. No. BGM-6 -3'!R56</f>
        <v>0</v>
      </c>
      <c r="S56" s="251">
        <f>'Exh. No. BGM-6 -3'!S56</f>
        <v>0</v>
      </c>
      <c r="T56" s="251">
        <f>'Exh. No. BGM-6 -3'!T56</f>
        <v>0</v>
      </c>
      <c r="U56" s="251">
        <f>'Exh. No. BGM-6 -3'!U56</f>
        <v>0</v>
      </c>
      <c r="V56" s="251">
        <f>'Exh. No. BGM-6 -3'!V56</f>
        <v>0</v>
      </c>
      <c r="W56" s="251">
        <f>'Exh. No. BGM-6 -3'!W56</f>
        <v>0</v>
      </c>
      <c r="X56" s="251">
        <f>'Exh. No. BGM-6 -3'!Y56</f>
        <v>0</v>
      </c>
      <c r="Y56" s="251">
        <f>'Exh. No. BGM-6 -3'!Z56</f>
        <v>0</v>
      </c>
      <c r="Z56" s="251">
        <f>'Exh. No. BGM-6 -3'!AA56</f>
        <v>0</v>
      </c>
      <c r="AA56" s="251">
        <f>'Exh. No. BGM-6 -3'!AB56</f>
        <v>0</v>
      </c>
      <c r="AB56" s="251">
        <f>'Exh. No. BGM-6 -3'!AC56</f>
        <v>0</v>
      </c>
      <c r="AC56" s="251">
        <f>'Exh. No. BGM-6 -3'!AD56</f>
        <v>0</v>
      </c>
      <c r="AD56" s="251">
        <f>'Exh. No. BGM-6 -3'!AE56</f>
        <v>0</v>
      </c>
      <c r="AE56" s="251">
        <f>'Exh. No. BGM-6 -3'!AF56</f>
        <v>0</v>
      </c>
      <c r="AF56" s="251">
        <f>'Exh. No. BGM-6 -3'!AG56</f>
        <v>0</v>
      </c>
      <c r="AG56" s="251">
        <f>'Exh. No. BGM-6 -3'!AH56</f>
        <v>0</v>
      </c>
      <c r="AH56" s="251">
        <f>'Exh. No. BGM-6 -3'!AI56</f>
        <v>0</v>
      </c>
      <c r="AI56" s="251">
        <f>'Exh. No. BGM-6 -3'!AK56</f>
        <v>0</v>
      </c>
      <c r="AJ56" s="251">
        <f>'Exh. No. BGM-6 -3'!AL56</f>
        <v>0</v>
      </c>
      <c r="AK56" s="251">
        <f>'Exh. No. BGM-6 -3'!AM56</f>
        <v>0</v>
      </c>
      <c r="AL56" s="251">
        <f>'Exh. No. BGM-6 -3'!AN56</f>
        <v>0</v>
      </c>
      <c r="AM56" s="251">
        <f>'Exh. No. BGM-6 -3'!AO56</f>
        <v>0</v>
      </c>
      <c r="AN56" s="251">
        <f>'Exh. No. BGM-6 -3'!AP56</f>
        <v>0</v>
      </c>
      <c r="AO56" s="251">
        <f>'Exh. No. BGM-6 -3'!AQ56</f>
        <v>0</v>
      </c>
      <c r="AP56" s="251">
        <f>'Exh. No. BGM-6 -3'!AS56</f>
        <v>0</v>
      </c>
      <c r="AQ56" s="251">
        <f>'Exh. No. BGM-6 -3'!BA56</f>
        <v>0</v>
      </c>
      <c r="AR56" s="251">
        <f>'Exh. No. BGM-6 -3'!BB56</f>
        <v>0</v>
      </c>
      <c r="AS56" s="251">
        <f>'Exh. No. BGM-6 -3'!BC56</f>
        <v>0</v>
      </c>
      <c r="AT56" s="251">
        <f>'Exh. No. BGM-6 -3'!BD56</f>
        <v>0</v>
      </c>
      <c r="AU56" s="251">
        <f>'Exh. No. BGM-6 -3'!BE56</f>
        <v>0</v>
      </c>
      <c r="AV56" s="251">
        <f>'Exh. No. BGM-6 -3'!BF56</f>
        <v>0</v>
      </c>
      <c r="AW56" s="251">
        <f>'Exh. No. BGM-6 -3'!BH56</f>
        <v>0</v>
      </c>
    </row>
    <row r="57" spans="1:49">
      <c r="A57" s="228">
        <v>30</v>
      </c>
      <c r="B57" s="230" t="s">
        <v>60</v>
      </c>
      <c r="D57" s="230"/>
      <c r="E57" s="252">
        <f>'Exh. No. BGM-6 -3'!E57</f>
        <v>-20</v>
      </c>
      <c r="F57" s="252">
        <f>'Exh. No. BGM-6 -3'!F57</f>
        <v>0</v>
      </c>
      <c r="G57" s="252">
        <f>'Exh. No. BGM-6 -3'!G57</f>
        <v>0</v>
      </c>
      <c r="H57" s="252">
        <f>'Exh. No. BGM-6 -3'!H57</f>
        <v>0</v>
      </c>
      <c r="I57" s="252">
        <f>'Exh. No. BGM-6 -3'!I57</f>
        <v>0</v>
      </c>
      <c r="J57" s="252">
        <f>'Exh. No. BGM-6 -3'!J57</f>
        <v>0</v>
      </c>
      <c r="K57" s="252">
        <f>'Exh. No. BGM-6 -3'!K57</f>
        <v>0</v>
      </c>
      <c r="L57" s="252">
        <f>'Exh. No. BGM-6 -3'!L57</f>
        <v>0</v>
      </c>
      <c r="M57" s="252">
        <f>'Exh. No. BGM-6 -3'!M57</f>
        <v>0</v>
      </c>
      <c r="N57" s="252">
        <f>'Exh. No. BGM-6 -3'!N57</f>
        <v>0</v>
      </c>
      <c r="O57" s="252">
        <f>'Exh. No. BGM-6 -3'!O57</f>
        <v>0</v>
      </c>
      <c r="P57" s="252">
        <f>'Exh. No. BGM-6 -3'!P57</f>
        <v>0</v>
      </c>
      <c r="Q57" s="252">
        <f>'Exh. No. BGM-6 -3'!Q57</f>
        <v>0</v>
      </c>
      <c r="R57" s="252">
        <f>'Exh. No. BGM-6 -3'!R57</f>
        <v>0</v>
      </c>
      <c r="S57" s="252">
        <f>'Exh. No. BGM-6 -3'!S57</f>
        <v>0</v>
      </c>
      <c r="T57" s="252">
        <f>'Exh. No. BGM-6 -3'!T57</f>
        <v>0</v>
      </c>
      <c r="U57" s="252">
        <f>'Exh. No. BGM-6 -3'!U57</f>
        <v>0</v>
      </c>
      <c r="V57" s="252">
        <f>'Exh. No. BGM-6 -3'!V57</f>
        <v>0</v>
      </c>
      <c r="W57" s="252">
        <f>'Exh. No. BGM-6 -3'!W57</f>
        <v>0</v>
      </c>
      <c r="X57" s="252">
        <f>'Exh. No. BGM-6 -3'!Y57</f>
        <v>0</v>
      </c>
      <c r="Y57" s="252">
        <f>'Exh. No. BGM-6 -3'!Z57</f>
        <v>0</v>
      </c>
      <c r="Z57" s="252">
        <f>'Exh. No. BGM-6 -3'!AA57</f>
        <v>0</v>
      </c>
      <c r="AA57" s="252">
        <f>'Exh. No. BGM-6 -3'!AB57</f>
        <v>0</v>
      </c>
      <c r="AB57" s="252">
        <f>'Exh. No. BGM-6 -3'!AC57</f>
        <v>0</v>
      </c>
      <c r="AC57" s="252">
        <f>'Exh. No. BGM-6 -3'!AD57</f>
        <v>0</v>
      </c>
      <c r="AD57" s="252">
        <f>'Exh. No. BGM-6 -3'!AE57</f>
        <v>0</v>
      </c>
      <c r="AE57" s="252">
        <f>'Exh. No. BGM-6 -3'!AF57</f>
        <v>0</v>
      </c>
      <c r="AF57" s="252">
        <f>'Exh. No. BGM-6 -3'!AG57</f>
        <v>0</v>
      </c>
      <c r="AG57" s="252">
        <f>'Exh. No. BGM-6 -3'!AH57</f>
        <v>0</v>
      </c>
      <c r="AH57" s="252">
        <f>'Exh. No. BGM-6 -3'!AI57</f>
        <v>0</v>
      </c>
      <c r="AI57" s="252">
        <f>'Exh. No. BGM-6 -3'!AK57</f>
        <v>0</v>
      </c>
      <c r="AJ57" s="252">
        <f>'Exh. No. BGM-6 -3'!AL57</f>
        <v>0</v>
      </c>
      <c r="AK57" s="252">
        <f>'Exh. No. BGM-6 -3'!AM57</f>
        <v>0</v>
      </c>
      <c r="AL57" s="252">
        <f>'Exh. No. BGM-6 -3'!AN57</f>
        <v>0</v>
      </c>
      <c r="AM57" s="252">
        <f>'Exh. No. BGM-6 -3'!AO57</f>
        <v>0</v>
      </c>
      <c r="AN57" s="252">
        <f>'Exh. No. BGM-6 -3'!AP57</f>
        <v>0</v>
      </c>
      <c r="AO57" s="252">
        <f>'Exh. No. BGM-6 -3'!AQ57</f>
        <v>0</v>
      </c>
      <c r="AP57" s="252">
        <f>'Exh. No. BGM-6 -3'!AS57</f>
        <v>0</v>
      </c>
      <c r="AQ57" s="252">
        <f>'Exh. No. BGM-6 -3'!BA57</f>
        <v>0</v>
      </c>
      <c r="AR57" s="252">
        <f>'Exh. No. BGM-6 -3'!BB57</f>
        <v>0</v>
      </c>
      <c r="AS57" s="252">
        <f>'Exh. No. BGM-6 -3'!BC57</f>
        <v>0</v>
      </c>
      <c r="AT57" s="252">
        <f>'Exh. No. BGM-6 -3'!BD57</f>
        <v>0</v>
      </c>
      <c r="AU57" s="252">
        <f>'Exh. No. BGM-6 -3'!BE57</f>
        <v>0</v>
      </c>
      <c r="AV57" s="252">
        <f>'Exh. No. BGM-6 -3'!BF57</f>
        <v>0</v>
      </c>
      <c r="AW57" s="252">
        <f>'Exh. No. BGM-6 -3'!BH57</f>
        <v>0</v>
      </c>
    </row>
    <row r="58" spans="1:49"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1"/>
      <c r="Z58" s="251"/>
      <c r="AA58" s="251"/>
      <c r="AB58" s="251"/>
      <c r="AC58" s="251"/>
      <c r="AD58" s="251"/>
      <c r="AE58" s="251"/>
      <c r="AF58" s="251"/>
      <c r="AG58" s="251"/>
      <c r="AH58" s="251"/>
      <c r="AI58" s="251"/>
      <c r="AJ58" s="251"/>
      <c r="AK58" s="251"/>
      <c r="AL58" s="251"/>
      <c r="AM58" s="251"/>
      <c r="AN58" s="251"/>
      <c r="AO58" s="251"/>
      <c r="AP58" s="251"/>
      <c r="AQ58" s="251"/>
      <c r="AR58" s="251"/>
      <c r="AS58" s="251"/>
      <c r="AT58" s="251"/>
      <c r="AU58" s="251"/>
      <c r="AV58" s="251"/>
      <c r="AW58" s="251"/>
    </row>
    <row r="59" spans="1:49" s="229" customFormat="1" ht="12.75" thickBot="1">
      <c r="A59" s="228">
        <v>31</v>
      </c>
      <c r="B59" s="229" t="s">
        <v>61</v>
      </c>
      <c r="E59" s="368">
        <f>E51-SUM(E54:E57)</f>
        <v>14549</v>
      </c>
      <c r="F59" s="368">
        <f t="shared" ref="F59:AB59" si="80">F51-SUM(F54:F57)</f>
        <v>0.497</v>
      </c>
      <c r="G59" s="368">
        <f t="shared" si="80"/>
        <v>-0.65</v>
      </c>
      <c r="H59" s="368">
        <f t="shared" si="80"/>
        <v>28.110319999999998</v>
      </c>
      <c r="I59" s="368">
        <f t="shared" si="80"/>
        <v>-9.1000000000000014</v>
      </c>
      <c r="J59" s="368">
        <f t="shared" si="80"/>
        <v>122.2</v>
      </c>
      <c r="K59" s="368">
        <f t="shared" si="80"/>
        <v>203.45</v>
      </c>
      <c r="L59" s="368">
        <f t="shared" si="80"/>
        <v>7.8000000000000007</v>
      </c>
      <c r="M59" s="368">
        <f t="shared" si="80"/>
        <v>-150.15</v>
      </c>
      <c r="N59" s="368">
        <f t="shared" si="80"/>
        <v>223</v>
      </c>
      <c r="O59" s="368">
        <f t="shared" si="80"/>
        <v>5.85</v>
      </c>
      <c r="P59" s="368">
        <f t="shared" si="80"/>
        <v>3.25</v>
      </c>
      <c r="Q59" s="368">
        <f t="shared" si="80"/>
        <v>3.9000000000000004</v>
      </c>
      <c r="R59" s="368">
        <f t="shared" si="80"/>
        <v>1154.4000000000001</v>
      </c>
      <c r="S59" s="368">
        <f t="shared" ref="S59" si="81">S51-SUM(S54:S57)</f>
        <v>0</v>
      </c>
      <c r="T59" s="368">
        <f t="shared" si="80"/>
        <v>206.54010000000002</v>
      </c>
      <c r="U59" s="368">
        <f>U51-SUM(U54:U57)</f>
        <v>205.20060024845552</v>
      </c>
      <c r="V59" s="368">
        <f t="shared" si="80"/>
        <v>317.85000000000002</v>
      </c>
      <c r="W59" s="368">
        <f t="shared" ref="W59" si="82">W51-SUM(W54:W57)</f>
        <v>978.25</v>
      </c>
      <c r="X59" s="368">
        <f t="shared" si="80"/>
        <v>-256.1792987</v>
      </c>
      <c r="Y59" s="368">
        <f t="shared" ref="Y59" si="83">Y51-SUM(Y54:Y57)</f>
        <v>8.4499999999999993</v>
      </c>
      <c r="Z59" s="368">
        <f t="shared" si="80"/>
        <v>-224.11545000000001</v>
      </c>
      <c r="AA59" s="368">
        <f>AA51-SUM(AA54:AA57)</f>
        <v>-67.599999999999994</v>
      </c>
      <c r="AB59" s="368">
        <f t="shared" si="80"/>
        <v>-127.4</v>
      </c>
      <c r="AC59" s="368">
        <f t="shared" ref="AC59:AP59" si="84">AC51-SUM(AC54:AC57)</f>
        <v>8002.1500000000005</v>
      </c>
      <c r="AD59" s="368">
        <f>AD51-SUM(AD54:AD57)</f>
        <v>-153.4</v>
      </c>
      <c r="AE59" s="368">
        <f t="shared" si="84"/>
        <v>-1679.6</v>
      </c>
      <c r="AF59" s="368">
        <f t="shared" si="84"/>
        <v>-313.70636000000002</v>
      </c>
      <c r="AG59" s="368">
        <f t="shared" si="84"/>
        <v>76.698735192778429</v>
      </c>
      <c r="AH59" s="368">
        <f t="shared" si="84"/>
        <v>36.400000000000006</v>
      </c>
      <c r="AI59" s="368">
        <f t="shared" ref="AI59" si="85">AI51-SUM(AI54:AI57)</f>
        <v>0</v>
      </c>
      <c r="AJ59" s="368">
        <f t="shared" si="84"/>
        <v>0</v>
      </c>
      <c r="AK59" s="368">
        <f t="shared" si="84"/>
        <v>0</v>
      </c>
      <c r="AL59" s="368">
        <f t="shared" si="84"/>
        <v>0</v>
      </c>
      <c r="AM59" s="368">
        <f t="shared" ref="AM59" si="86">AM51-SUM(AM54:AM57)</f>
        <v>0</v>
      </c>
      <c r="AN59" s="368">
        <f t="shared" si="84"/>
        <v>0</v>
      </c>
      <c r="AO59" s="368">
        <f t="shared" ref="AO59" si="87">AO51-SUM(AO54:AO57)</f>
        <v>0</v>
      </c>
      <c r="AP59" s="368">
        <f t="shared" si="84"/>
        <v>0</v>
      </c>
      <c r="AQ59" s="368">
        <f t="shared" ref="AQ59:AW59" si="88">AQ51-SUM(AQ54:AQ57)</f>
        <v>0</v>
      </c>
      <c r="AR59" s="368">
        <f t="shared" si="88"/>
        <v>0</v>
      </c>
      <c r="AS59" s="368">
        <f t="shared" ref="AS59" si="89">AS51-SUM(AS54:AS57)</f>
        <v>0</v>
      </c>
      <c r="AT59" s="368">
        <f t="shared" si="88"/>
        <v>0</v>
      </c>
      <c r="AU59" s="368">
        <f t="shared" ref="AU59" si="90">AU51-SUM(AU54:AU57)</f>
        <v>0</v>
      </c>
      <c r="AV59" s="368">
        <f t="shared" si="88"/>
        <v>0</v>
      </c>
      <c r="AW59" s="368">
        <f t="shared" si="88"/>
        <v>0</v>
      </c>
    </row>
    <row r="60" spans="1:49" ht="12.75" thickTop="1"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51"/>
      <c r="V60" s="251"/>
      <c r="W60" s="251"/>
      <c r="X60" s="251"/>
      <c r="Y60" s="251"/>
      <c r="Z60" s="251"/>
      <c r="AA60" s="251"/>
      <c r="AB60" s="251"/>
      <c r="AC60" s="251"/>
      <c r="AD60" s="251"/>
      <c r="AE60" s="251"/>
      <c r="AF60" s="251"/>
      <c r="AG60" s="251"/>
      <c r="AH60" s="251"/>
      <c r="AI60" s="251"/>
      <c r="AJ60" s="251"/>
      <c r="AK60" s="251"/>
      <c r="AL60" s="251"/>
      <c r="AM60" s="251"/>
      <c r="AN60" s="251"/>
      <c r="AO60" s="251"/>
      <c r="AP60" s="251"/>
      <c r="AQ60" s="251"/>
      <c r="AR60" s="251"/>
      <c r="AS60" s="251"/>
      <c r="AT60" s="251"/>
      <c r="AU60" s="251"/>
      <c r="AV60" s="251"/>
      <c r="AW60" s="251"/>
    </row>
    <row r="61" spans="1:49">
      <c r="B61" s="204" t="s">
        <v>107</v>
      </c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51"/>
      <c r="V61" s="251"/>
      <c r="W61" s="251"/>
      <c r="X61" s="251"/>
      <c r="Y61" s="251"/>
      <c r="Z61" s="251"/>
      <c r="AA61" s="251"/>
      <c r="AB61" s="251"/>
      <c r="AC61" s="251"/>
      <c r="AD61" s="251"/>
      <c r="AE61" s="251"/>
      <c r="AF61" s="251"/>
      <c r="AG61" s="251"/>
      <c r="AH61" s="251"/>
      <c r="AI61" s="251"/>
      <c r="AJ61" s="251"/>
      <c r="AK61" s="251"/>
      <c r="AL61" s="251"/>
      <c r="AM61" s="251"/>
      <c r="AN61" s="251"/>
      <c r="AO61" s="251"/>
      <c r="AP61" s="251"/>
      <c r="AQ61" s="251"/>
      <c r="AR61" s="251"/>
      <c r="AS61" s="251"/>
      <c r="AT61" s="251"/>
      <c r="AU61" s="251"/>
      <c r="AV61" s="251"/>
      <c r="AW61" s="251"/>
    </row>
    <row r="62" spans="1:49">
      <c r="B62" s="204" t="s">
        <v>108</v>
      </c>
      <c r="E62" s="251"/>
      <c r="F62" s="251"/>
      <c r="G62" s="251"/>
      <c r="H62" s="25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51"/>
      <c r="V62" s="251"/>
      <c r="W62" s="251"/>
      <c r="X62" s="251"/>
      <c r="Y62" s="251"/>
      <c r="Z62" s="251"/>
      <c r="AA62" s="251"/>
      <c r="AB62" s="251"/>
      <c r="AC62" s="251"/>
      <c r="AD62" s="251"/>
      <c r="AE62" s="251"/>
      <c r="AF62" s="251"/>
      <c r="AG62" s="251"/>
      <c r="AH62" s="251"/>
      <c r="AI62" s="251"/>
      <c r="AJ62" s="251"/>
      <c r="AK62" s="251"/>
      <c r="AL62" s="251"/>
      <c r="AM62" s="251"/>
      <c r="AN62" s="251"/>
      <c r="AO62" s="251"/>
      <c r="AP62" s="251"/>
      <c r="AQ62" s="251"/>
      <c r="AR62" s="251"/>
      <c r="AS62" s="251"/>
      <c r="AT62" s="251"/>
      <c r="AU62" s="251"/>
      <c r="AV62" s="251"/>
      <c r="AW62" s="251"/>
    </row>
    <row r="63" spans="1:49">
      <c r="A63" s="228">
        <v>32</v>
      </c>
      <c r="B63" s="230"/>
      <c r="C63" s="230" t="s">
        <v>44</v>
      </c>
      <c r="D63" s="230"/>
      <c r="E63" s="328">
        <f>'Exh. No. BGM-6 -3'!E63</f>
        <v>25622</v>
      </c>
      <c r="F63" s="328">
        <f>'Exh. No. BGM-6 -3'!F63</f>
        <v>0</v>
      </c>
      <c r="G63" s="328">
        <f>'Exh. No. BGM-6 -3'!G63</f>
        <v>0</v>
      </c>
      <c r="H63" s="328">
        <f>'Exh. No. BGM-6 -3'!H63</f>
        <v>0</v>
      </c>
      <c r="I63" s="328">
        <f>'Exh. No. BGM-6 -3'!I63</f>
        <v>0</v>
      </c>
      <c r="J63" s="328">
        <f>'Exh. No. BGM-6 -3'!J63</f>
        <v>0</v>
      </c>
      <c r="K63" s="328">
        <f>'Exh. No. BGM-6 -3'!K63</f>
        <v>0</v>
      </c>
      <c r="L63" s="328">
        <f>'Exh. No. BGM-6 -3'!L63</f>
        <v>0</v>
      </c>
      <c r="M63" s="328">
        <f>'Exh. No. BGM-6 -3'!M63</f>
        <v>0</v>
      </c>
      <c r="N63" s="328">
        <f>'Exh. No. BGM-6 -3'!N63</f>
        <v>0</v>
      </c>
      <c r="O63" s="328">
        <f>'Exh. No. BGM-6 -3'!O63</f>
        <v>0</v>
      </c>
      <c r="P63" s="328">
        <f>'Exh. No. BGM-6 -3'!P63</f>
        <v>0</v>
      </c>
      <c r="Q63" s="328">
        <f>'Exh. No. BGM-6 -3'!Q63</f>
        <v>0</v>
      </c>
      <c r="R63" s="328">
        <f>'Exh. No. BGM-6 -3'!R63</f>
        <v>0</v>
      </c>
      <c r="S63" s="328">
        <f>'Exh. No. BGM-6 -3'!S63</f>
        <v>0</v>
      </c>
      <c r="T63" s="328">
        <f>'Exh. No. BGM-6 -3'!T63</f>
        <v>0</v>
      </c>
      <c r="U63" s="328">
        <f>'Exh. No. BGM-6 -3'!U63</f>
        <v>0</v>
      </c>
      <c r="V63" s="328">
        <f>'Exh. No. BGM-6 -3'!V63</f>
        <v>0</v>
      </c>
      <c r="W63" s="328">
        <f>'Exh. No. BGM-6 -3'!W63</f>
        <v>0</v>
      </c>
      <c r="X63" s="328">
        <f>'Exh. No. BGM-6 -3'!Y63</f>
        <v>0</v>
      </c>
      <c r="Y63" s="328">
        <f>'Exh. No. BGM-6 -3'!Z63</f>
        <v>0</v>
      </c>
      <c r="Z63" s="328">
        <f>'Exh. No. BGM-6 -3'!AA63</f>
        <v>0</v>
      </c>
      <c r="AA63" s="328">
        <f>'Exh. No. BGM-6 -3'!AB63</f>
        <v>0</v>
      </c>
      <c r="AB63" s="328">
        <f>'Exh. No. BGM-6 -3'!AC63</f>
        <v>0</v>
      </c>
      <c r="AC63" s="328">
        <f>'Exh. No. BGM-6 -3'!AD63</f>
        <v>0</v>
      </c>
      <c r="AD63" s="328">
        <f>'Exh. No. BGM-6 -3'!AE63</f>
        <v>0</v>
      </c>
      <c r="AE63" s="328">
        <f>'Exh. No. BGM-6 -3'!AF63</f>
        <v>0</v>
      </c>
      <c r="AF63" s="328">
        <f>'Exh. No. BGM-6 -3'!AG63</f>
        <v>163</v>
      </c>
      <c r="AG63" s="328">
        <f>'Exh. No. BGM-6 -3'!AH63</f>
        <v>0</v>
      </c>
      <c r="AH63" s="328">
        <f>'Exh. No. BGM-6 -3'!AI63</f>
        <v>0</v>
      </c>
      <c r="AI63" s="328">
        <f>'Exh. No. BGM-6 -3'!AK63</f>
        <v>0</v>
      </c>
      <c r="AJ63" s="328">
        <f>'Exh. No. BGM-6 -3'!AL63</f>
        <v>0</v>
      </c>
      <c r="AK63" s="328">
        <f>'Exh. No. BGM-6 -3'!AM63</f>
        <v>0</v>
      </c>
      <c r="AL63" s="328">
        <f>'Exh. No. BGM-6 -3'!AN63</f>
        <v>0</v>
      </c>
      <c r="AM63" s="328">
        <f>'Exh. No. BGM-6 -3'!AO63</f>
        <v>0</v>
      </c>
      <c r="AN63" s="328">
        <f>'Exh. No. BGM-6 -3'!AP63</f>
        <v>0</v>
      </c>
      <c r="AO63" s="328">
        <f>'Exh. No. BGM-6 -3'!AQ63</f>
        <v>0</v>
      </c>
      <c r="AP63" s="328">
        <f>'Exh. No. BGM-6 -3'!AS63</f>
        <v>0</v>
      </c>
      <c r="AQ63" s="328">
        <f>'Exh. No. BGM-6 -3'!BA63</f>
        <v>0</v>
      </c>
      <c r="AR63" s="328">
        <f>'Exh. No. BGM-6 -3'!BB63</f>
        <v>0</v>
      </c>
      <c r="AS63" s="328">
        <f>'Exh. No. BGM-6 -3'!BC63</f>
        <v>0</v>
      </c>
      <c r="AT63" s="328">
        <f>'Exh. No. BGM-6 -3'!BD63</f>
        <v>0</v>
      </c>
      <c r="AU63" s="328">
        <f>'Exh. No. BGM-6 -3'!BE63</f>
        <v>0</v>
      </c>
      <c r="AV63" s="328">
        <f>'Exh. No. BGM-6 -3'!BF63</f>
        <v>0</v>
      </c>
      <c r="AW63" s="328">
        <f>'Exh. No. BGM-6 -3'!BH63</f>
        <v>0</v>
      </c>
    </row>
    <row r="64" spans="1:49">
      <c r="A64" s="228">
        <v>33</v>
      </c>
      <c r="B64" s="230"/>
      <c r="C64" s="230" t="s">
        <v>63</v>
      </c>
      <c r="D64" s="230"/>
      <c r="E64" s="251">
        <f>'Exh. No. BGM-6 -3'!E64</f>
        <v>354360</v>
      </c>
      <c r="F64" s="251">
        <f>'Exh. No. BGM-6 -3'!F64</f>
        <v>0</v>
      </c>
      <c r="G64" s="251">
        <f>'Exh. No. BGM-6 -3'!G64</f>
        <v>0</v>
      </c>
      <c r="H64" s="251">
        <f>'Exh. No. BGM-6 -3'!H64</f>
        <v>0</v>
      </c>
      <c r="I64" s="251">
        <f>'Exh. No. BGM-6 -3'!I64</f>
        <v>0</v>
      </c>
      <c r="J64" s="251">
        <f>'Exh. No. BGM-6 -3'!J64</f>
        <v>0</v>
      </c>
      <c r="K64" s="251">
        <f>'Exh. No. BGM-6 -3'!K64</f>
        <v>0</v>
      </c>
      <c r="L64" s="251">
        <f>'Exh. No. BGM-6 -3'!L64</f>
        <v>0</v>
      </c>
      <c r="M64" s="251">
        <f>'Exh. No. BGM-6 -3'!M64</f>
        <v>0</v>
      </c>
      <c r="N64" s="251">
        <f>'Exh. No. BGM-6 -3'!N64</f>
        <v>0</v>
      </c>
      <c r="O64" s="251">
        <f>'Exh. No. BGM-6 -3'!O64</f>
        <v>0</v>
      </c>
      <c r="P64" s="251">
        <f>'Exh. No. BGM-6 -3'!P64</f>
        <v>0</v>
      </c>
      <c r="Q64" s="251">
        <f>'Exh. No. BGM-6 -3'!Q64</f>
        <v>0</v>
      </c>
      <c r="R64" s="251">
        <f>'Exh. No. BGM-6 -3'!R64</f>
        <v>0</v>
      </c>
      <c r="S64" s="251">
        <f>'Exh. No. BGM-6 -3'!S64</f>
        <v>0</v>
      </c>
      <c r="T64" s="251">
        <f>'Exh. No. BGM-6 -3'!T64</f>
        <v>0</v>
      </c>
      <c r="U64" s="251">
        <f>'Exh. No. BGM-6 -3'!U64</f>
        <v>0</v>
      </c>
      <c r="V64" s="251">
        <f>'Exh. No. BGM-6 -3'!V64</f>
        <v>0</v>
      </c>
      <c r="W64" s="251">
        <f>'Exh. No. BGM-6 -3'!W64</f>
        <v>0</v>
      </c>
      <c r="X64" s="251">
        <f>'Exh. No. BGM-6 -3'!Y64</f>
        <v>0</v>
      </c>
      <c r="Y64" s="251">
        <f>'Exh. No. BGM-6 -3'!Z64</f>
        <v>0</v>
      </c>
      <c r="Z64" s="251">
        <f>'Exh. No. BGM-6 -3'!AA64</f>
        <v>0</v>
      </c>
      <c r="AA64" s="251">
        <f>'Exh. No. BGM-6 -3'!AB64</f>
        <v>0</v>
      </c>
      <c r="AB64" s="251">
        <f>'Exh. No. BGM-6 -3'!AC64</f>
        <v>0</v>
      </c>
      <c r="AC64" s="251">
        <f>'Exh. No. BGM-6 -3'!AD64</f>
        <v>0</v>
      </c>
      <c r="AD64" s="251">
        <f>'Exh. No. BGM-6 -3'!AE64</f>
        <v>0</v>
      </c>
      <c r="AE64" s="251">
        <f>'Exh. No. BGM-6 -3'!AF64</f>
        <v>0</v>
      </c>
      <c r="AF64" s="251">
        <f>'Exh. No. BGM-6 -3'!AG64</f>
        <v>5261</v>
      </c>
      <c r="AG64" s="251">
        <f>'Exh. No. BGM-6 -3'!AH64</f>
        <v>5033.8143502171133</v>
      </c>
      <c r="AH64" s="251">
        <f>'Exh. No. BGM-6 -3'!AI64</f>
        <v>0</v>
      </c>
      <c r="AI64" s="251">
        <f>'Exh. No. BGM-6 -3'!AK64</f>
        <v>0</v>
      </c>
      <c r="AJ64" s="251">
        <f>'Exh. No. BGM-6 -3'!AL64</f>
        <v>0</v>
      </c>
      <c r="AK64" s="251">
        <f>'Exh. No. BGM-6 -3'!AM64</f>
        <v>0</v>
      </c>
      <c r="AL64" s="251">
        <f>'Exh. No. BGM-6 -3'!AN64</f>
        <v>0</v>
      </c>
      <c r="AM64" s="251">
        <f>'Exh. No. BGM-6 -3'!AO64</f>
        <v>0</v>
      </c>
      <c r="AN64" s="251">
        <f>'Exh. No. BGM-6 -3'!AP64</f>
        <v>0</v>
      </c>
      <c r="AO64" s="251">
        <f>'Exh. No. BGM-6 -3'!AQ64</f>
        <v>0</v>
      </c>
      <c r="AP64" s="251">
        <f>'Exh. No. BGM-6 -3'!AS64</f>
        <v>0</v>
      </c>
      <c r="AQ64" s="251">
        <f>'Exh. No. BGM-6 -3'!BA64</f>
        <v>0</v>
      </c>
      <c r="AR64" s="251">
        <f>'Exh. No. BGM-6 -3'!BB64</f>
        <v>0</v>
      </c>
      <c r="AS64" s="251">
        <f>'Exh. No. BGM-6 -3'!BC64</f>
        <v>0</v>
      </c>
      <c r="AT64" s="251">
        <f>'Exh. No. BGM-6 -3'!BD64</f>
        <v>0</v>
      </c>
      <c r="AU64" s="251">
        <f>'Exh. No. BGM-6 -3'!BE64</f>
        <v>0</v>
      </c>
      <c r="AV64" s="251">
        <f>'Exh. No. BGM-6 -3'!BF64</f>
        <v>0</v>
      </c>
      <c r="AW64" s="251">
        <f>'Exh. No. BGM-6 -3'!BH64</f>
        <v>0</v>
      </c>
    </row>
    <row r="65" spans="1:49">
      <c r="A65" s="228">
        <v>34</v>
      </c>
      <c r="B65" s="230"/>
      <c r="C65" s="230" t="s">
        <v>64</v>
      </c>
      <c r="D65" s="230"/>
      <c r="E65" s="252">
        <f>'Exh. No. BGM-6 -3'!E65</f>
        <v>69725</v>
      </c>
      <c r="F65" s="252">
        <f>'Exh. No. BGM-6 -3'!F65</f>
        <v>0</v>
      </c>
      <c r="G65" s="252">
        <f>'Exh. No. BGM-6 -3'!G65</f>
        <v>0</v>
      </c>
      <c r="H65" s="252">
        <f>'Exh. No. BGM-6 -3'!H65</f>
        <v>0</v>
      </c>
      <c r="I65" s="252">
        <f>'Exh. No. BGM-6 -3'!I65</f>
        <v>0</v>
      </c>
      <c r="J65" s="252">
        <f>'Exh. No. BGM-6 -3'!J65</f>
        <v>0</v>
      </c>
      <c r="K65" s="252">
        <f>'Exh. No. BGM-6 -3'!K65</f>
        <v>0</v>
      </c>
      <c r="L65" s="252">
        <f>'Exh. No. BGM-6 -3'!L65</f>
        <v>0</v>
      </c>
      <c r="M65" s="252">
        <f>'Exh. No. BGM-6 -3'!M65</f>
        <v>0</v>
      </c>
      <c r="N65" s="252">
        <f>'Exh. No. BGM-6 -3'!N65</f>
        <v>0</v>
      </c>
      <c r="O65" s="252">
        <f>'Exh. No. BGM-6 -3'!O65</f>
        <v>0</v>
      </c>
      <c r="P65" s="252">
        <f>'Exh. No. BGM-6 -3'!P65</f>
        <v>0</v>
      </c>
      <c r="Q65" s="252">
        <f>'Exh. No. BGM-6 -3'!Q65</f>
        <v>0</v>
      </c>
      <c r="R65" s="252">
        <f>'Exh. No. BGM-6 -3'!R65</f>
        <v>0</v>
      </c>
      <c r="S65" s="252">
        <f>'Exh. No. BGM-6 -3'!S65</f>
        <v>0</v>
      </c>
      <c r="T65" s="252">
        <f>'Exh. No. BGM-6 -3'!T65</f>
        <v>0</v>
      </c>
      <c r="U65" s="252">
        <f>'Exh. No. BGM-6 -3'!U65</f>
        <v>0</v>
      </c>
      <c r="V65" s="252">
        <f>'Exh. No. BGM-6 -3'!V65</f>
        <v>0</v>
      </c>
      <c r="W65" s="252">
        <f>'Exh. No. BGM-6 -3'!W65</f>
        <v>0</v>
      </c>
      <c r="X65" s="252">
        <f>'Exh. No. BGM-6 -3'!Y65</f>
        <v>0</v>
      </c>
      <c r="Y65" s="252">
        <f>'Exh. No. BGM-6 -3'!Z65</f>
        <v>0</v>
      </c>
      <c r="Z65" s="252">
        <f>'Exh. No. BGM-6 -3'!AA65</f>
        <v>0</v>
      </c>
      <c r="AA65" s="252">
        <f>'Exh. No. BGM-6 -3'!AB65</f>
        <v>0</v>
      </c>
      <c r="AB65" s="252">
        <f>'Exh. No. BGM-6 -3'!AC65</f>
        <v>0</v>
      </c>
      <c r="AC65" s="252">
        <f>'Exh. No. BGM-6 -3'!AD65</f>
        <v>0</v>
      </c>
      <c r="AD65" s="252">
        <f>'Exh. No. BGM-6 -3'!AE65</f>
        <v>0</v>
      </c>
      <c r="AE65" s="252">
        <f>'Exh. No. BGM-6 -3'!AF65</f>
        <v>0</v>
      </c>
      <c r="AF65" s="252">
        <f>'Exh. No. BGM-6 -3'!AG65</f>
        <v>3449</v>
      </c>
      <c r="AG65" s="252">
        <f>'Exh. No. BGM-6 -3'!AH65</f>
        <v>2597.8429311756963</v>
      </c>
      <c r="AH65" s="252">
        <f>'Exh. No. BGM-6 -3'!AI65</f>
        <v>0</v>
      </c>
      <c r="AI65" s="252">
        <f>'Exh. No. BGM-6 -3'!AK65</f>
        <v>0</v>
      </c>
      <c r="AJ65" s="252">
        <f>'Exh. No. BGM-6 -3'!AL65</f>
        <v>0</v>
      </c>
      <c r="AK65" s="252">
        <f>'Exh. No. BGM-6 -3'!AM65</f>
        <v>0</v>
      </c>
      <c r="AL65" s="252">
        <f>'Exh. No. BGM-6 -3'!AN65</f>
        <v>0</v>
      </c>
      <c r="AM65" s="252">
        <f>'Exh. No. BGM-6 -3'!AO65</f>
        <v>0</v>
      </c>
      <c r="AN65" s="252">
        <f>'Exh. No. BGM-6 -3'!AP65</f>
        <v>0</v>
      </c>
      <c r="AO65" s="252">
        <f>'Exh. No. BGM-6 -3'!AQ65</f>
        <v>0</v>
      </c>
      <c r="AP65" s="252">
        <f>'Exh. No. BGM-6 -3'!AS65</f>
        <v>0</v>
      </c>
      <c r="AQ65" s="252">
        <f>'Exh. No. BGM-6 -3'!BA65</f>
        <v>0</v>
      </c>
      <c r="AR65" s="252">
        <f>'Exh. No. BGM-6 -3'!BB65</f>
        <v>0</v>
      </c>
      <c r="AS65" s="252">
        <f>'Exh. No. BGM-6 -3'!BC65</f>
        <v>0</v>
      </c>
      <c r="AT65" s="252">
        <f>'Exh. No. BGM-6 -3'!BD65</f>
        <v>0</v>
      </c>
      <c r="AU65" s="252">
        <f>'Exh. No. BGM-6 -3'!BE65</f>
        <v>0</v>
      </c>
      <c r="AV65" s="252">
        <f>'Exh. No. BGM-6 -3'!BF65</f>
        <v>0</v>
      </c>
      <c r="AW65" s="252">
        <f>'Exh. No. BGM-6 -3'!BH65</f>
        <v>0</v>
      </c>
    </row>
    <row r="66" spans="1:49" ht="18" customHeight="1">
      <c r="A66" s="228">
        <v>35</v>
      </c>
      <c r="B66" s="230" t="s">
        <v>65</v>
      </c>
      <c r="C66" s="230"/>
      <c r="E66" s="251">
        <f>SUM(E63:E65)</f>
        <v>449707</v>
      </c>
      <c r="F66" s="251">
        <f t="shared" ref="F66:AB66" si="91">SUM(F63:F65)</f>
        <v>0</v>
      </c>
      <c r="G66" s="251">
        <f t="shared" si="91"/>
        <v>0</v>
      </c>
      <c r="H66" s="251">
        <f t="shared" si="91"/>
        <v>0</v>
      </c>
      <c r="I66" s="251">
        <f t="shared" si="91"/>
        <v>0</v>
      </c>
      <c r="J66" s="251">
        <f t="shared" si="91"/>
        <v>0</v>
      </c>
      <c r="K66" s="251">
        <f t="shared" si="91"/>
        <v>0</v>
      </c>
      <c r="L66" s="251">
        <f t="shared" si="91"/>
        <v>0</v>
      </c>
      <c r="M66" s="251">
        <f t="shared" si="91"/>
        <v>0</v>
      </c>
      <c r="N66" s="251">
        <f t="shared" si="91"/>
        <v>0</v>
      </c>
      <c r="O66" s="251">
        <f t="shared" si="91"/>
        <v>0</v>
      </c>
      <c r="P66" s="251">
        <f t="shared" si="91"/>
        <v>0</v>
      </c>
      <c r="Q66" s="251">
        <f t="shared" si="91"/>
        <v>0</v>
      </c>
      <c r="R66" s="251">
        <f t="shared" si="91"/>
        <v>0</v>
      </c>
      <c r="S66" s="251">
        <f t="shared" ref="S66" si="92">SUM(S63:S65)</f>
        <v>0</v>
      </c>
      <c r="T66" s="251">
        <f t="shared" si="91"/>
        <v>0</v>
      </c>
      <c r="U66" s="251">
        <f>SUM(U63:U65)</f>
        <v>0</v>
      </c>
      <c r="V66" s="251">
        <f t="shared" si="91"/>
        <v>0</v>
      </c>
      <c r="W66" s="251">
        <f t="shared" ref="W66" si="93">SUM(W63:W65)</f>
        <v>0</v>
      </c>
      <c r="X66" s="251">
        <f t="shared" si="91"/>
        <v>0</v>
      </c>
      <c r="Y66" s="251">
        <f t="shared" ref="Y66" si="94">SUM(Y63:Y65)</f>
        <v>0</v>
      </c>
      <c r="Z66" s="251">
        <f t="shared" si="91"/>
        <v>0</v>
      </c>
      <c r="AA66" s="251">
        <f>SUM(AA63:AA65)</f>
        <v>0</v>
      </c>
      <c r="AB66" s="251">
        <f t="shared" si="91"/>
        <v>0</v>
      </c>
      <c r="AC66" s="251">
        <f t="shared" ref="AC66:AP66" si="95">SUM(AC63:AC65)</f>
        <v>0</v>
      </c>
      <c r="AD66" s="251">
        <f>SUM(AD63:AD65)</f>
        <v>0</v>
      </c>
      <c r="AE66" s="251">
        <f t="shared" si="95"/>
        <v>0</v>
      </c>
      <c r="AF66" s="251">
        <f t="shared" si="95"/>
        <v>8873</v>
      </c>
      <c r="AG66" s="251">
        <f t="shared" si="95"/>
        <v>7631.6572813928096</v>
      </c>
      <c r="AH66" s="251">
        <f t="shared" si="95"/>
        <v>0</v>
      </c>
      <c r="AI66" s="251">
        <f t="shared" ref="AI66" si="96">SUM(AI63:AI65)</f>
        <v>0</v>
      </c>
      <c r="AJ66" s="251">
        <f t="shared" si="95"/>
        <v>0</v>
      </c>
      <c r="AK66" s="251">
        <f t="shared" si="95"/>
        <v>0</v>
      </c>
      <c r="AL66" s="251">
        <f t="shared" si="95"/>
        <v>0</v>
      </c>
      <c r="AM66" s="251">
        <f t="shared" ref="AM66" si="97">SUM(AM63:AM65)</f>
        <v>0</v>
      </c>
      <c r="AN66" s="251">
        <f t="shared" si="95"/>
        <v>0</v>
      </c>
      <c r="AO66" s="251">
        <f t="shared" ref="AO66" si="98">SUM(AO63:AO65)</f>
        <v>0</v>
      </c>
      <c r="AP66" s="251">
        <f t="shared" si="95"/>
        <v>0</v>
      </c>
      <c r="AQ66" s="251">
        <f t="shared" ref="AQ66:AW66" si="99">SUM(AQ63:AQ65)</f>
        <v>0</v>
      </c>
      <c r="AR66" s="251">
        <f t="shared" si="99"/>
        <v>0</v>
      </c>
      <c r="AS66" s="251">
        <f t="shared" ref="AS66" si="100">SUM(AS63:AS65)</f>
        <v>0</v>
      </c>
      <c r="AT66" s="251">
        <f t="shared" si="99"/>
        <v>0</v>
      </c>
      <c r="AU66" s="251">
        <f t="shared" ref="AU66" si="101">SUM(AU63:AU65)</f>
        <v>0</v>
      </c>
      <c r="AV66" s="251">
        <f t="shared" si="99"/>
        <v>0</v>
      </c>
      <c r="AW66" s="251">
        <f t="shared" si="99"/>
        <v>0</v>
      </c>
    </row>
    <row r="67" spans="1:49" ht="12.75" customHeight="1">
      <c r="B67" s="230"/>
      <c r="C67" s="230"/>
      <c r="E67" s="251"/>
      <c r="F67" s="251"/>
      <c r="G67" s="251"/>
      <c r="H67" s="251"/>
      <c r="I67" s="251"/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U67" s="251"/>
      <c r="V67" s="251"/>
      <c r="W67" s="251"/>
      <c r="X67" s="251"/>
      <c r="Y67" s="251"/>
      <c r="Z67" s="251"/>
      <c r="AA67" s="251"/>
      <c r="AB67" s="251"/>
      <c r="AC67" s="251"/>
      <c r="AD67" s="251"/>
      <c r="AE67" s="251"/>
      <c r="AF67" s="251"/>
      <c r="AG67" s="251"/>
      <c r="AH67" s="251"/>
      <c r="AI67" s="251"/>
      <c r="AJ67" s="251"/>
      <c r="AK67" s="251"/>
      <c r="AL67" s="251"/>
      <c r="AM67" s="251"/>
      <c r="AN67" s="251"/>
      <c r="AO67" s="251"/>
      <c r="AP67" s="251"/>
      <c r="AQ67" s="251"/>
      <c r="AR67" s="251"/>
      <c r="AS67" s="251"/>
      <c r="AT67" s="251"/>
      <c r="AU67" s="251"/>
      <c r="AV67" s="251"/>
      <c r="AW67" s="251"/>
    </row>
    <row r="68" spans="1:49">
      <c r="B68" s="230" t="s">
        <v>225</v>
      </c>
      <c r="C68" s="230"/>
      <c r="D68" s="230"/>
      <c r="E68" s="251"/>
      <c r="F68" s="251"/>
      <c r="G68" s="251"/>
      <c r="H68" s="251"/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251"/>
      <c r="T68" s="251"/>
      <c r="U68" s="251"/>
      <c r="V68" s="251"/>
      <c r="W68" s="251"/>
      <c r="X68" s="251"/>
      <c r="Y68" s="251"/>
      <c r="Z68" s="251"/>
      <c r="AA68" s="251"/>
      <c r="AB68" s="251"/>
      <c r="AC68" s="251"/>
      <c r="AD68" s="251"/>
      <c r="AE68" s="251"/>
      <c r="AF68" s="251"/>
      <c r="AG68" s="251"/>
      <c r="AH68" s="251"/>
      <c r="AI68" s="251"/>
      <c r="AJ68" s="251"/>
      <c r="AK68" s="251"/>
      <c r="AL68" s="251"/>
      <c r="AM68" s="251"/>
      <c r="AN68" s="251"/>
      <c r="AO68" s="251"/>
      <c r="AP68" s="251"/>
      <c r="AQ68" s="251"/>
      <c r="AR68" s="251"/>
      <c r="AS68" s="251"/>
      <c r="AT68" s="251"/>
      <c r="AU68" s="251"/>
      <c r="AV68" s="251"/>
      <c r="AW68" s="251"/>
    </row>
    <row r="69" spans="1:49">
      <c r="A69" s="228">
        <v>36</v>
      </c>
      <c r="B69" s="230"/>
      <c r="C69" s="230" t="s">
        <v>44</v>
      </c>
      <c r="D69" s="230"/>
      <c r="E69" s="251">
        <f>'Exh. No. BGM-6 -3'!E69</f>
        <v>-9824</v>
      </c>
      <c r="F69" s="251">
        <f>'Exh. No. BGM-6 -3'!F69</f>
        <v>0</v>
      </c>
      <c r="G69" s="251">
        <f>'Exh. No. BGM-6 -3'!G69</f>
        <v>0</v>
      </c>
      <c r="H69" s="251">
        <f>'Exh. No. BGM-6 -3'!H69</f>
        <v>0</v>
      </c>
      <c r="I69" s="251">
        <f>'Exh. No. BGM-6 -3'!I69</f>
        <v>0</v>
      </c>
      <c r="J69" s="251">
        <f>'Exh. No. BGM-6 -3'!J69</f>
        <v>0</v>
      </c>
      <c r="K69" s="251">
        <f>'Exh. No. BGM-6 -3'!K69</f>
        <v>0</v>
      </c>
      <c r="L69" s="251">
        <f>'Exh. No. BGM-6 -3'!L69</f>
        <v>0</v>
      </c>
      <c r="M69" s="251">
        <f>'Exh. No. BGM-6 -3'!M69</f>
        <v>0</v>
      </c>
      <c r="N69" s="251">
        <f>'Exh. No. BGM-6 -3'!N69</f>
        <v>0</v>
      </c>
      <c r="O69" s="251">
        <f>'Exh. No. BGM-6 -3'!O69</f>
        <v>0</v>
      </c>
      <c r="P69" s="251">
        <f>'Exh. No. BGM-6 -3'!P69</f>
        <v>0</v>
      </c>
      <c r="Q69" s="251">
        <f>'Exh. No. BGM-6 -3'!Q69</f>
        <v>0</v>
      </c>
      <c r="R69" s="251">
        <f>'Exh. No. BGM-6 -3'!R69</f>
        <v>0</v>
      </c>
      <c r="S69" s="251">
        <f>'Exh. No. BGM-6 -3'!S69</f>
        <v>0</v>
      </c>
      <c r="T69" s="251">
        <f>'Exh. No. BGM-6 -3'!T69</f>
        <v>0</v>
      </c>
      <c r="U69" s="251">
        <f>'Exh. No. BGM-6 -3'!U69</f>
        <v>0</v>
      </c>
      <c r="V69" s="251">
        <f>'Exh. No. BGM-6 -3'!V69</f>
        <v>0</v>
      </c>
      <c r="W69" s="251">
        <f>'Exh. No. BGM-6 -3'!W69</f>
        <v>0</v>
      </c>
      <c r="X69" s="251">
        <f>'Exh. No. BGM-6 -3'!Y69</f>
        <v>0</v>
      </c>
      <c r="Y69" s="251">
        <f>'Exh. No. BGM-6 -3'!Z69</f>
        <v>0</v>
      </c>
      <c r="Z69" s="251">
        <f>'Exh. No. BGM-6 -3'!AA69</f>
        <v>0</v>
      </c>
      <c r="AA69" s="251">
        <f>'Exh. No. BGM-6 -3'!AB69</f>
        <v>0</v>
      </c>
      <c r="AB69" s="251">
        <f>'Exh. No. BGM-6 -3'!AC69</f>
        <v>0</v>
      </c>
      <c r="AC69" s="251">
        <f>'Exh. No. BGM-6 -3'!AD69</f>
        <v>0</v>
      </c>
      <c r="AD69" s="251">
        <f>'Exh. No. BGM-6 -3'!AE69</f>
        <v>0</v>
      </c>
      <c r="AE69" s="251">
        <f>'Exh. No. BGM-6 -3'!AF69</f>
        <v>0</v>
      </c>
      <c r="AF69" s="251">
        <f>'Exh. No. BGM-6 -3'!AG69</f>
        <v>-103</v>
      </c>
      <c r="AG69" s="251">
        <f>'Exh. No. BGM-6 -3'!AH69</f>
        <v>0</v>
      </c>
      <c r="AH69" s="251">
        <f>'Exh. No. BGM-6 -3'!AI69</f>
        <v>0</v>
      </c>
      <c r="AI69" s="251">
        <f>'Exh. No. BGM-6 -3'!AK69</f>
        <v>0</v>
      </c>
      <c r="AJ69" s="251">
        <f>'Exh. No. BGM-6 -3'!AL69</f>
        <v>0</v>
      </c>
      <c r="AK69" s="251">
        <f>'Exh. No. BGM-6 -3'!AM69</f>
        <v>0</v>
      </c>
      <c r="AL69" s="251">
        <f>'Exh. No. BGM-6 -3'!AN69</f>
        <v>0</v>
      </c>
      <c r="AM69" s="251">
        <f>'Exh. No. BGM-6 -3'!AO69</f>
        <v>0</v>
      </c>
      <c r="AN69" s="251">
        <f>'Exh. No. BGM-6 -3'!AP69</f>
        <v>0</v>
      </c>
      <c r="AO69" s="251">
        <f>'Exh. No. BGM-6 -3'!AQ69</f>
        <v>0</v>
      </c>
      <c r="AP69" s="251">
        <f>'Exh. No. BGM-6 -3'!AS69</f>
        <v>0</v>
      </c>
      <c r="AQ69" s="251">
        <f>'Exh. No. BGM-6 -3'!BA69</f>
        <v>0</v>
      </c>
      <c r="AR69" s="251">
        <f>'Exh. No. BGM-6 -3'!BB69</f>
        <v>0</v>
      </c>
      <c r="AS69" s="251">
        <f>'Exh. No. BGM-6 -3'!BC69</f>
        <v>0</v>
      </c>
      <c r="AT69" s="251">
        <f>'Exh. No. BGM-6 -3'!BD69</f>
        <v>0</v>
      </c>
      <c r="AU69" s="251">
        <f>'Exh. No. BGM-6 -3'!BE69</f>
        <v>0</v>
      </c>
      <c r="AV69" s="251">
        <f>'Exh. No. BGM-6 -3'!BF69</f>
        <v>0</v>
      </c>
      <c r="AW69" s="251">
        <f>'Exh. No. BGM-6 -3'!BH69</f>
        <v>0</v>
      </c>
    </row>
    <row r="70" spans="1:49">
      <c r="A70" s="228">
        <v>37</v>
      </c>
      <c r="B70" s="230"/>
      <c r="C70" s="230" t="s">
        <v>63</v>
      </c>
      <c r="D70" s="230"/>
      <c r="E70" s="251">
        <f>'Exh. No. BGM-6 -3'!E70</f>
        <v>-119790</v>
      </c>
      <c r="F70" s="251">
        <f>'Exh. No. BGM-6 -3'!F70</f>
        <v>0</v>
      </c>
      <c r="G70" s="251">
        <f>'Exh. No. BGM-6 -3'!G70</f>
        <v>0</v>
      </c>
      <c r="H70" s="251">
        <f>'Exh. No. BGM-6 -3'!H70</f>
        <v>0</v>
      </c>
      <c r="I70" s="251">
        <f>'Exh. No. BGM-6 -3'!I70</f>
        <v>0</v>
      </c>
      <c r="J70" s="251">
        <f>'Exh. No. BGM-6 -3'!J70</f>
        <v>0</v>
      </c>
      <c r="K70" s="251">
        <f>'Exh. No. BGM-6 -3'!K70</f>
        <v>0</v>
      </c>
      <c r="L70" s="251">
        <f>'Exh. No. BGM-6 -3'!L70</f>
        <v>0</v>
      </c>
      <c r="M70" s="251">
        <f>'Exh. No. BGM-6 -3'!M70</f>
        <v>0</v>
      </c>
      <c r="N70" s="251">
        <f>'Exh. No. BGM-6 -3'!N70</f>
        <v>0</v>
      </c>
      <c r="O70" s="251">
        <f>'Exh. No. BGM-6 -3'!O70</f>
        <v>0</v>
      </c>
      <c r="P70" s="251">
        <f>'Exh. No. BGM-6 -3'!P70</f>
        <v>0</v>
      </c>
      <c r="Q70" s="251">
        <f>'Exh. No. BGM-6 -3'!Q70</f>
        <v>0</v>
      </c>
      <c r="R70" s="251">
        <f>'Exh. No. BGM-6 -3'!R70</f>
        <v>0</v>
      </c>
      <c r="S70" s="251">
        <f>'Exh. No. BGM-6 -3'!S70</f>
        <v>0</v>
      </c>
      <c r="T70" s="251">
        <f>'Exh. No. BGM-6 -3'!T70</f>
        <v>0</v>
      </c>
      <c r="U70" s="251">
        <f>'Exh. No. BGM-6 -3'!U70</f>
        <v>0</v>
      </c>
      <c r="V70" s="251">
        <f>'Exh. No. BGM-6 -3'!V70</f>
        <v>0</v>
      </c>
      <c r="W70" s="251">
        <f>'Exh. No. BGM-6 -3'!W70</f>
        <v>0</v>
      </c>
      <c r="X70" s="251">
        <f>'Exh. No. BGM-6 -3'!Y70</f>
        <v>0</v>
      </c>
      <c r="Y70" s="251">
        <f>'Exh. No. BGM-6 -3'!Z70</f>
        <v>0</v>
      </c>
      <c r="Z70" s="251">
        <f>'Exh. No. BGM-6 -3'!AA70</f>
        <v>0</v>
      </c>
      <c r="AA70" s="251">
        <f>'Exh. No. BGM-6 -3'!AB70</f>
        <v>0</v>
      </c>
      <c r="AB70" s="251">
        <f>'Exh. No. BGM-6 -3'!AC70</f>
        <v>0</v>
      </c>
      <c r="AC70" s="251">
        <f>'Exh. No. BGM-6 -3'!AD70</f>
        <v>0</v>
      </c>
      <c r="AD70" s="251">
        <f>'Exh. No. BGM-6 -3'!AE70</f>
        <v>0</v>
      </c>
      <c r="AE70" s="251">
        <f>'Exh. No. BGM-6 -3'!AF70</f>
        <v>0</v>
      </c>
      <c r="AF70" s="251">
        <f>'Exh. No. BGM-6 -3'!AG70</f>
        <v>-1320</v>
      </c>
      <c r="AG70" s="251">
        <f>'Exh. No. BGM-6 -3'!AH70</f>
        <v>-120.15107132053555</v>
      </c>
      <c r="AH70" s="251">
        <f>'Exh. No. BGM-6 -3'!AI70</f>
        <v>0</v>
      </c>
      <c r="AI70" s="251">
        <f>'Exh. No. BGM-6 -3'!AK70</f>
        <v>0</v>
      </c>
      <c r="AJ70" s="251">
        <f>'Exh. No. BGM-6 -3'!AL70</f>
        <v>0</v>
      </c>
      <c r="AK70" s="251">
        <f>'Exh. No. BGM-6 -3'!AM70</f>
        <v>0</v>
      </c>
      <c r="AL70" s="251">
        <f>'Exh. No. BGM-6 -3'!AN70</f>
        <v>0</v>
      </c>
      <c r="AM70" s="251">
        <f>'Exh. No. BGM-6 -3'!AO70</f>
        <v>0</v>
      </c>
      <c r="AN70" s="251">
        <f>'Exh. No. BGM-6 -3'!AP70</f>
        <v>0</v>
      </c>
      <c r="AO70" s="251">
        <f>'Exh. No. BGM-6 -3'!AQ70</f>
        <v>0</v>
      </c>
      <c r="AP70" s="251">
        <f>'Exh. No. BGM-6 -3'!AS70</f>
        <v>0</v>
      </c>
      <c r="AQ70" s="251">
        <f>'Exh. No. BGM-6 -3'!BA70</f>
        <v>0</v>
      </c>
      <c r="AR70" s="251">
        <f>'Exh. No. BGM-6 -3'!BB70</f>
        <v>0</v>
      </c>
      <c r="AS70" s="251">
        <f>'Exh. No. BGM-6 -3'!BC70</f>
        <v>0</v>
      </c>
      <c r="AT70" s="251">
        <f>'Exh. No. BGM-6 -3'!BD70</f>
        <v>0</v>
      </c>
      <c r="AU70" s="251">
        <f>'Exh. No. BGM-6 -3'!BE70</f>
        <v>0</v>
      </c>
      <c r="AV70" s="251">
        <f>'Exh. No. BGM-6 -3'!BF70</f>
        <v>0</v>
      </c>
      <c r="AW70" s="251">
        <f>'Exh. No. BGM-6 -3'!BH70</f>
        <v>0</v>
      </c>
    </row>
    <row r="71" spans="1:49">
      <c r="A71" s="228">
        <v>38</v>
      </c>
      <c r="B71" s="230"/>
      <c r="C71" s="230" t="s">
        <v>64</v>
      </c>
      <c r="D71" s="230"/>
      <c r="E71" s="252">
        <f>'Exh. No. BGM-6 -3'!E71</f>
        <v>-19460</v>
      </c>
      <c r="F71" s="252">
        <f>'Exh. No. BGM-6 -3'!F71</f>
        <v>0</v>
      </c>
      <c r="G71" s="252">
        <f>'Exh. No. BGM-6 -3'!G71</f>
        <v>0</v>
      </c>
      <c r="H71" s="252">
        <f>'Exh. No. BGM-6 -3'!H71</f>
        <v>0</v>
      </c>
      <c r="I71" s="252">
        <f>'Exh. No. BGM-6 -3'!I71</f>
        <v>0</v>
      </c>
      <c r="J71" s="252">
        <f>'Exh. No. BGM-6 -3'!J71</f>
        <v>0</v>
      </c>
      <c r="K71" s="252">
        <f>'Exh. No. BGM-6 -3'!K71</f>
        <v>0</v>
      </c>
      <c r="L71" s="252">
        <f>'Exh. No. BGM-6 -3'!L71</f>
        <v>0</v>
      </c>
      <c r="M71" s="252">
        <f>'Exh. No. BGM-6 -3'!M71</f>
        <v>0</v>
      </c>
      <c r="N71" s="252">
        <f>'Exh. No. BGM-6 -3'!N71</f>
        <v>0</v>
      </c>
      <c r="O71" s="252">
        <f>'Exh. No. BGM-6 -3'!O71</f>
        <v>0</v>
      </c>
      <c r="P71" s="252">
        <f>'Exh. No. BGM-6 -3'!P71</f>
        <v>0</v>
      </c>
      <c r="Q71" s="252">
        <f>'Exh. No. BGM-6 -3'!Q71</f>
        <v>0</v>
      </c>
      <c r="R71" s="252">
        <f>'Exh. No. BGM-6 -3'!R71</f>
        <v>0</v>
      </c>
      <c r="S71" s="252">
        <f>'Exh. No. BGM-6 -3'!S71</f>
        <v>0</v>
      </c>
      <c r="T71" s="252">
        <f>'Exh. No. BGM-6 -3'!T71</f>
        <v>0</v>
      </c>
      <c r="U71" s="252">
        <f>'Exh. No. BGM-6 -3'!U71</f>
        <v>0</v>
      </c>
      <c r="V71" s="252">
        <f>'Exh. No. BGM-6 -3'!V71</f>
        <v>0</v>
      </c>
      <c r="W71" s="252">
        <f>'Exh. No. BGM-6 -3'!W71</f>
        <v>0</v>
      </c>
      <c r="X71" s="252">
        <f>'Exh. No. BGM-6 -3'!Y71</f>
        <v>0</v>
      </c>
      <c r="Y71" s="252">
        <f>'Exh. No. BGM-6 -3'!Z71</f>
        <v>0</v>
      </c>
      <c r="Z71" s="252">
        <f>'Exh. No. BGM-6 -3'!AA71</f>
        <v>0</v>
      </c>
      <c r="AA71" s="252">
        <f>'Exh. No. BGM-6 -3'!AB71</f>
        <v>0</v>
      </c>
      <c r="AB71" s="252">
        <f>'Exh. No. BGM-6 -3'!AC71</f>
        <v>0</v>
      </c>
      <c r="AC71" s="252">
        <f>'Exh. No. BGM-6 -3'!AD71</f>
        <v>0</v>
      </c>
      <c r="AD71" s="252">
        <f>'Exh. No. BGM-6 -3'!AE71</f>
        <v>0</v>
      </c>
      <c r="AE71" s="252">
        <f>'Exh. No. BGM-6 -3'!AF71</f>
        <v>0</v>
      </c>
      <c r="AF71" s="252">
        <f>'Exh. No. BGM-6 -3'!AG71</f>
        <v>612</v>
      </c>
      <c r="AG71" s="252">
        <f>'Exh. No. BGM-6 -3'!AH71</f>
        <v>-229.94748992134387</v>
      </c>
      <c r="AH71" s="252">
        <f>'Exh. No. BGM-6 -3'!AI71</f>
        <v>0</v>
      </c>
      <c r="AI71" s="252">
        <f>'Exh. No. BGM-6 -3'!AK71</f>
        <v>0</v>
      </c>
      <c r="AJ71" s="252">
        <f>'Exh. No. BGM-6 -3'!AL71</f>
        <v>0</v>
      </c>
      <c r="AK71" s="252">
        <f>'Exh. No. BGM-6 -3'!AM71</f>
        <v>0</v>
      </c>
      <c r="AL71" s="252">
        <f>'Exh. No. BGM-6 -3'!AN71</f>
        <v>0</v>
      </c>
      <c r="AM71" s="252">
        <f>'Exh. No. BGM-6 -3'!AO71</f>
        <v>0</v>
      </c>
      <c r="AN71" s="252">
        <f>'Exh. No. BGM-6 -3'!AP71</f>
        <v>0</v>
      </c>
      <c r="AO71" s="252">
        <f>'Exh. No. BGM-6 -3'!AQ71</f>
        <v>0</v>
      </c>
      <c r="AP71" s="252">
        <f>'Exh. No. BGM-6 -3'!AS71</f>
        <v>0</v>
      </c>
      <c r="AQ71" s="252">
        <f>'Exh. No. BGM-6 -3'!BA71</f>
        <v>0</v>
      </c>
      <c r="AR71" s="252">
        <f>'Exh. No. BGM-6 -3'!BB71</f>
        <v>0</v>
      </c>
      <c r="AS71" s="252">
        <f>'Exh. No. BGM-6 -3'!BC71</f>
        <v>0</v>
      </c>
      <c r="AT71" s="252">
        <f>'Exh. No. BGM-6 -3'!BD71</f>
        <v>0</v>
      </c>
      <c r="AU71" s="252">
        <f>'Exh. No. BGM-6 -3'!BE71</f>
        <v>0</v>
      </c>
      <c r="AV71" s="252">
        <f>'Exh. No. BGM-6 -3'!BF71</f>
        <v>0</v>
      </c>
      <c r="AW71" s="252">
        <f>'Exh. No. BGM-6 -3'!BH71</f>
        <v>0</v>
      </c>
    </row>
    <row r="72" spans="1:49">
      <c r="A72" s="228">
        <v>39</v>
      </c>
      <c r="B72" s="230" t="s">
        <v>445</v>
      </c>
      <c r="C72" s="230"/>
      <c r="E72" s="254">
        <f>SUM(E69:E71)</f>
        <v>-149074</v>
      </c>
      <c r="F72" s="254">
        <f t="shared" ref="F72:AB72" si="102">SUM(F69:F71)</f>
        <v>0</v>
      </c>
      <c r="G72" s="254">
        <f t="shared" si="102"/>
        <v>0</v>
      </c>
      <c r="H72" s="254">
        <f t="shared" si="102"/>
        <v>0</v>
      </c>
      <c r="I72" s="254">
        <f t="shared" si="102"/>
        <v>0</v>
      </c>
      <c r="J72" s="254">
        <f t="shared" si="102"/>
        <v>0</v>
      </c>
      <c r="K72" s="254">
        <f t="shared" si="102"/>
        <v>0</v>
      </c>
      <c r="L72" s="254">
        <f t="shared" si="102"/>
        <v>0</v>
      </c>
      <c r="M72" s="254">
        <f t="shared" si="102"/>
        <v>0</v>
      </c>
      <c r="N72" s="254">
        <f t="shared" si="102"/>
        <v>0</v>
      </c>
      <c r="O72" s="254">
        <f t="shared" si="102"/>
        <v>0</v>
      </c>
      <c r="P72" s="254">
        <f t="shared" si="102"/>
        <v>0</v>
      </c>
      <c r="Q72" s="254">
        <f t="shared" si="102"/>
        <v>0</v>
      </c>
      <c r="R72" s="254">
        <f t="shared" si="102"/>
        <v>0</v>
      </c>
      <c r="S72" s="254">
        <f t="shared" ref="S72" si="103">SUM(S69:S71)</f>
        <v>0</v>
      </c>
      <c r="T72" s="254">
        <f t="shared" si="102"/>
        <v>0</v>
      </c>
      <c r="U72" s="254">
        <f>SUM(U69:U71)</f>
        <v>0</v>
      </c>
      <c r="V72" s="254">
        <f t="shared" si="102"/>
        <v>0</v>
      </c>
      <c r="W72" s="254">
        <f t="shared" ref="W72" si="104">SUM(W69:W71)</f>
        <v>0</v>
      </c>
      <c r="X72" s="254">
        <f t="shared" si="102"/>
        <v>0</v>
      </c>
      <c r="Y72" s="254">
        <f t="shared" ref="Y72" si="105">SUM(Y69:Y71)</f>
        <v>0</v>
      </c>
      <c r="Z72" s="254">
        <f t="shared" si="102"/>
        <v>0</v>
      </c>
      <c r="AA72" s="254">
        <f>SUM(AA69:AA71)</f>
        <v>0</v>
      </c>
      <c r="AB72" s="254">
        <f t="shared" si="102"/>
        <v>0</v>
      </c>
      <c r="AC72" s="254">
        <f t="shared" ref="AC72:AP72" si="106">SUM(AC69:AC71)</f>
        <v>0</v>
      </c>
      <c r="AD72" s="254">
        <f>SUM(AD69:AD71)</f>
        <v>0</v>
      </c>
      <c r="AE72" s="254">
        <f t="shared" si="106"/>
        <v>0</v>
      </c>
      <c r="AF72" s="254">
        <f t="shared" si="106"/>
        <v>-811</v>
      </c>
      <c r="AG72" s="254">
        <f t="shared" si="106"/>
        <v>-350.09856124187945</v>
      </c>
      <c r="AH72" s="254">
        <f t="shared" si="106"/>
        <v>0</v>
      </c>
      <c r="AI72" s="254">
        <f t="shared" ref="AI72" si="107">SUM(AI69:AI71)</f>
        <v>0</v>
      </c>
      <c r="AJ72" s="254">
        <f t="shared" si="106"/>
        <v>0</v>
      </c>
      <c r="AK72" s="254">
        <f t="shared" si="106"/>
        <v>0</v>
      </c>
      <c r="AL72" s="254">
        <f t="shared" si="106"/>
        <v>0</v>
      </c>
      <c r="AM72" s="254">
        <f t="shared" ref="AM72" si="108">SUM(AM69:AM71)</f>
        <v>0</v>
      </c>
      <c r="AN72" s="254">
        <f t="shared" si="106"/>
        <v>0</v>
      </c>
      <c r="AO72" s="254">
        <f t="shared" ref="AO72" si="109">SUM(AO69:AO71)</f>
        <v>0</v>
      </c>
      <c r="AP72" s="254">
        <f t="shared" si="106"/>
        <v>0</v>
      </c>
      <c r="AQ72" s="254">
        <f t="shared" ref="AQ72:AW72" si="110">SUM(AQ69:AQ71)</f>
        <v>0</v>
      </c>
      <c r="AR72" s="254">
        <f t="shared" si="110"/>
        <v>0</v>
      </c>
      <c r="AS72" s="254">
        <f t="shared" ref="AS72" si="111">SUM(AS69:AS71)</f>
        <v>0</v>
      </c>
      <c r="AT72" s="254">
        <f t="shared" si="110"/>
        <v>0</v>
      </c>
      <c r="AU72" s="254">
        <f t="shared" ref="AU72" si="112">SUM(AU69:AU71)</f>
        <v>0</v>
      </c>
      <c r="AV72" s="254">
        <f t="shared" si="110"/>
        <v>0</v>
      </c>
      <c r="AW72" s="254">
        <f t="shared" si="110"/>
        <v>0</v>
      </c>
    </row>
    <row r="73" spans="1:49">
      <c r="A73" s="228">
        <v>40</v>
      </c>
      <c r="B73" s="230" t="s">
        <v>192</v>
      </c>
      <c r="C73" s="230"/>
      <c r="D73" s="230"/>
      <c r="E73" s="255">
        <f>E66+E72</f>
        <v>300633</v>
      </c>
      <c r="F73" s="255">
        <f t="shared" ref="F73:AB73" si="113">F66+F72</f>
        <v>0</v>
      </c>
      <c r="G73" s="255">
        <f t="shared" si="113"/>
        <v>0</v>
      </c>
      <c r="H73" s="255">
        <f t="shared" si="113"/>
        <v>0</v>
      </c>
      <c r="I73" s="255">
        <f t="shared" si="113"/>
        <v>0</v>
      </c>
      <c r="J73" s="255">
        <f t="shared" si="113"/>
        <v>0</v>
      </c>
      <c r="K73" s="255">
        <f t="shared" si="113"/>
        <v>0</v>
      </c>
      <c r="L73" s="255">
        <f t="shared" si="113"/>
        <v>0</v>
      </c>
      <c r="M73" s="255">
        <f t="shared" si="113"/>
        <v>0</v>
      </c>
      <c r="N73" s="255">
        <f t="shared" si="113"/>
        <v>0</v>
      </c>
      <c r="O73" s="255">
        <f t="shared" si="113"/>
        <v>0</v>
      </c>
      <c r="P73" s="255">
        <f t="shared" si="113"/>
        <v>0</v>
      </c>
      <c r="Q73" s="255">
        <f t="shared" si="113"/>
        <v>0</v>
      </c>
      <c r="R73" s="255">
        <f t="shared" si="113"/>
        <v>0</v>
      </c>
      <c r="S73" s="255">
        <f t="shared" ref="S73" si="114">S66+S72</f>
        <v>0</v>
      </c>
      <c r="T73" s="255">
        <f t="shared" si="113"/>
        <v>0</v>
      </c>
      <c r="U73" s="255">
        <f>U66+U72</f>
        <v>0</v>
      </c>
      <c r="V73" s="255">
        <f t="shared" si="113"/>
        <v>0</v>
      </c>
      <c r="W73" s="255">
        <f t="shared" ref="W73" si="115">W66+W72</f>
        <v>0</v>
      </c>
      <c r="X73" s="255">
        <f t="shared" si="113"/>
        <v>0</v>
      </c>
      <c r="Y73" s="255">
        <f t="shared" ref="Y73" si="116">Y66+Y72</f>
        <v>0</v>
      </c>
      <c r="Z73" s="255">
        <f t="shared" si="113"/>
        <v>0</v>
      </c>
      <c r="AA73" s="255">
        <f>AA66+AA72</f>
        <v>0</v>
      </c>
      <c r="AB73" s="255">
        <f t="shared" si="113"/>
        <v>0</v>
      </c>
      <c r="AC73" s="255">
        <f t="shared" ref="AC73:AP73" si="117">AC66+AC72</f>
        <v>0</v>
      </c>
      <c r="AD73" s="255">
        <f>AD66+AD72</f>
        <v>0</v>
      </c>
      <c r="AE73" s="255">
        <f t="shared" si="117"/>
        <v>0</v>
      </c>
      <c r="AF73" s="255">
        <f t="shared" si="117"/>
        <v>8062</v>
      </c>
      <c r="AG73" s="255">
        <f t="shared" si="117"/>
        <v>7281.5587201509297</v>
      </c>
      <c r="AH73" s="255">
        <f t="shared" si="117"/>
        <v>0</v>
      </c>
      <c r="AI73" s="255">
        <f t="shared" ref="AI73" si="118">AI66+AI72</f>
        <v>0</v>
      </c>
      <c r="AJ73" s="255">
        <f t="shared" si="117"/>
        <v>0</v>
      </c>
      <c r="AK73" s="255">
        <f t="shared" si="117"/>
        <v>0</v>
      </c>
      <c r="AL73" s="255">
        <f t="shared" si="117"/>
        <v>0</v>
      </c>
      <c r="AM73" s="255">
        <f t="shared" ref="AM73" si="119">AM66+AM72</f>
        <v>0</v>
      </c>
      <c r="AN73" s="255">
        <f t="shared" si="117"/>
        <v>0</v>
      </c>
      <c r="AO73" s="255">
        <f t="shared" ref="AO73" si="120">AO66+AO72</f>
        <v>0</v>
      </c>
      <c r="AP73" s="255">
        <f t="shared" si="117"/>
        <v>0</v>
      </c>
      <c r="AQ73" s="255">
        <f t="shared" ref="AQ73:AW73" si="121">AQ66+AQ72</f>
        <v>0</v>
      </c>
      <c r="AR73" s="255">
        <f t="shared" si="121"/>
        <v>0</v>
      </c>
      <c r="AS73" s="255">
        <f t="shared" ref="AS73" si="122">AS66+AS72</f>
        <v>0</v>
      </c>
      <c r="AT73" s="255">
        <f t="shared" si="121"/>
        <v>0</v>
      </c>
      <c r="AU73" s="255">
        <f t="shared" ref="AU73" si="123">AU66+AU72</f>
        <v>0</v>
      </c>
      <c r="AV73" s="255">
        <f t="shared" si="121"/>
        <v>0</v>
      </c>
      <c r="AW73" s="255">
        <f t="shared" si="121"/>
        <v>0</v>
      </c>
    </row>
    <row r="74" spans="1:49" s="233" customFormat="1" ht="18.95" customHeight="1">
      <c r="A74" s="231">
        <v>41</v>
      </c>
      <c r="B74" s="232" t="s">
        <v>228</v>
      </c>
      <c r="C74" s="232"/>
      <c r="D74" s="232"/>
      <c r="E74" s="252">
        <f>'Exh. No. BGM-6 -3'!E74</f>
        <v>-65675</v>
      </c>
      <c r="F74" s="252">
        <f>'Exh. No. BGM-6 -3'!F74</f>
        <v>50</v>
      </c>
      <c r="G74" s="252">
        <f>'Exh. No. BGM-6 -3'!G74</f>
        <v>0</v>
      </c>
      <c r="H74" s="252">
        <f>'Exh. No. BGM-6 -3'!H74</f>
        <v>0</v>
      </c>
      <c r="I74" s="252">
        <f>'Exh. No. BGM-6 -3'!I74</f>
        <v>0</v>
      </c>
      <c r="J74" s="252">
        <f>'Exh. No. BGM-6 -3'!J74</f>
        <v>0</v>
      </c>
      <c r="K74" s="252">
        <f>'Exh. No. BGM-6 -3'!K74</f>
        <v>0</v>
      </c>
      <c r="L74" s="252">
        <f>'Exh. No. BGM-6 -3'!L74</f>
        <v>0</v>
      </c>
      <c r="M74" s="252">
        <f>'Exh. No. BGM-6 -3'!M74</f>
        <v>0</v>
      </c>
      <c r="N74" s="252">
        <f>'Exh. No. BGM-6 -3'!N74</f>
        <v>0</v>
      </c>
      <c r="O74" s="252">
        <f>'Exh. No. BGM-6 -3'!O74</f>
        <v>0</v>
      </c>
      <c r="P74" s="252">
        <f>'Exh. No. BGM-6 -3'!P74</f>
        <v>0</v>
      </c>
      <c r="Q74" s="252">
        <f>'Exh. No. BGM-6 -3'!Q74</f>
        <v>0</v>
      </c>
      <c r="R74" s="252">
        <f>'Exh. No. BGM-6 -3'!R74</f>
        <v>0</v>
      </c>
      <c r="S74" s="252">
        <f>'Exh. No. BGM-6 -3'!S74</f>
        <v>0</v>
      </c>
      <c r="T74" s="252">
        <f>'Exh. No. BGM-6 -3'!T74</f>
        <v>0</v>
      </c>
      <c r="U74" s="252">
        <f>'Exh. No. BGM-6 -3'!U74</f>
        <v>0</v>
      </c>
      <c r="V74" s="252">
        <f>'Exh. No. BGM-6 -3'!V74</f>
        <v>0</v>
      </c>
      <c r="W74" s="252">
        <f>'Exh. No. BGM-6 -3'!W74</f>
        <v>0</v>
      </c>
      <c r="X74" s="252">
        <f>'Exh. No. BGM-6 -3'!Y74</f>
        <v>0</v>
      </c>
      <c r="Y74" s="252">
        <f>'Exh. No. BGM-6 -3'!Z74</f>
        <v>0</v>
      </c>
      <c r="Z74" s="252">
        <f>'Exh. No. BGM-6 -3'!AA74</f>
        <v>0</v>
      </c>
      <c r="AA74" s="252">
        <f>'Exh. No. BGM-6 -3'!AB74</f>
        <v>0</v>
      </c>
      <c r="AB74" s="252">
        <f>'Exh. No. BGM-6 -3'!AC74</f>
        <v>0</v>
      </c>
      <c r="AC74" s="252">
        <f>'Exh. No. BGM-6 -3'!AD74</f>
        <v>0</v>
      </c>
      <c r="AD74" s="252">
        <f>'Exh. No. BGM-6 -3'!AE74</f>
        <v>0</v>
      </c>
      <c r="AE74" s="252">
        <f>'Exh. No. BGM-6 -3'!AF74</f>
        <v>0</v>
      </c>
      <c r="AF74" s="252">
        <f>'Exh. No. BGM-6 -3'!AG74</f>
        <v>-1956</v>
      </c>
      <c r="AG74" s="252">
        <f>'Exh. No. BGM-6 -3'!AH74</f>
        <v>-1153</v>
      </c>
      <c r="AH74" s="252">
        <f>'Exh. No. BGM-6 -3'!AI74</f>
        <v>0</v>
      </c>
      <c r="AI74" s="252">
        <f>'Exh. No. BGM-6 -3'!AK74</f>
        <v>0</v>
      </c>
      <c r="AJ74" s="252">
        <f>'Exh. No. BGM-6 -3'!AL74</f>
        <v>0</v>
      </c>
      <c r="AK74" s="252">
        <f>'Exh. No. BGM-6 -3'!AM74</f>
        <v>0</v>
      </c>
      <c r="AL74" s="252">
        <f>'Exh. No. BGM-6 -3'!AN74</f>
        <v>0</v>
      </c>
      <c r="AM74" s="252">
        <f>'Exh. No. BGM-6 -3'!AO74</f>
        <v>0</v>
      </c>
      <c r="AN74" s="252">
        <f>'Exh. No. BGM-6 -3'!AP74</f>
        <v>0</v>
      </c>
      <c r="AO74" s="252">
        <f>'Exh. No. BGM-6 -3'!AQ74</f>
        <v>0</v>
      </c>
      <c r="AP74" s="252">
        <f>'Exh. No. BGM-6 -3'!AS74</f>
        <v>0</v>
      </c>
      <c r="AQ74" s="252">
        <f>'Exh. No. BGM-6 -3'!BA74</f>
        <v>0</v>
      </c>
      <c r="AR74" s="252">
        <f>'Exh. No. BGM-6 -3'!BB74</f>
        <v>0</v>
      </c>
      <c r="AS74" s="252">
        <f>'Exh. No. BGM-6 -3'!BC74</f>
        <v>0</v>
      </c>
      <c r="AT74" s="252">
        <f>'Exh. No. BGM-6 -3'!BD74</f>
        <v>0</v>
      </c>
      <c r="AU74" s="252">
        <f>'Exh. No. BGM-6 -3'!BE74</f>
        <v>0</v>
      </c>
      <c r="AV74" s="252">
        <f>'Exh. No. BGM-6 -3'!BF74</f>
        <v>0</v>
      </c>
      <c r="AW74" s="252">
        <f>'Exh. No. BGM-6 -3'!BH74</f>
        <v>0</v>
      </c>
    </row>
    <row r="75" spans="1:49" s="233" customFormat="1" ht="18.95" customHeight="1">
      <c r="A75" s="231">
        <v>42</v>
      </c>
      <c r="B75" s="232" t="s">
        <v>226</v>
      </c>
      <c r="C75" s="232"/>
      <c r="D75" s="232"/>
      <c r="E75" s="255">
        <f>E73+E74</f>
        <v>234958</v>
      </c>
      <c r="F75" s="255">
        <f t="shared" ref="F75:AB75" si="124">F73+F74</f>
        <v>50</v>
      </c>
      <c r="G75" s="255">
        <f t="shared" si="124"/>
        <v>0</v>
      </c>
      <c r="H75" s="255">
        <f t="shared" si="124"/>
        <v>0</v>
      </c>
      <c r="I75" s="255">
        <f t="shared" si="124"/>
        <v>0</v>
      </c>
      <c r="J75" s="255">
        <f t="shared" si="124"/>
        <v>0</v>
      </c>
      <c r="K75" s="255">
        <f t="shared" si="124"/>
        <v>0</v>
      </c>
      <c r="L75" s="255">
        <f t="shared" si="124"/>
        <v>0</v>
      </c>
      <c r="M75" s="255">
        <f t="shared" si="124"/>
        <v>0</v>
      </c>
      <c r="N75" s="255">
        <f t="shared" si="124"/>
        <v>0</v>
      </c>
      <c r="O75" s="255">
        <f t="shared" si="124"/>
        <v>0</v>
      </c>
      <c r="P75" s="255">
        <f t="shared" si="124"/>
        <v>0</v>
      </c>
      <c r="Q75" s="255">
        <f t="shared" si="124"/>
        <v>0</v>
      </c>
      <c r="R75" s="255">
        <f t="shared" si="124"/>
        <v>0</v>
      </c>
      <c r="S75" s="255">
        <f t="shared" ref="S75" si="125">S73+S74</f>
        <v>0</v>
      </c>
      <c r="T75" s="255">
        <f t="shared" si="124"/>
        <v>0</v>
      </c>
      <c r="U75" s="255">
        <f>U73+U74</f>
        <v>0</v>
      </c>
      <c r="V75" s="255">
        <f t="shared" si="124"/>
        <v>0</v>
      </c>
      <c r="W75" s="255">
        <f t="shared" ref="W75" si="126">W73+W74</f>
        <v>0</v>
      </c>
      <c r="X75" s="255">
        <f t="shared" si="124"/>
        <v>0</v>
      </c>
      <c r="Y75" s="255">
        <f t="shared" ref="Y75" si="127">Y73+Y74</f>
        <v>0</v>
      </c>
      <c r="Z75" s="255">
        <f t="shared" si="124"/>
        <v>0</v>
      </c>
      <c r="AA75" s="255">
        <f>AA73+AA74</f>
        <v>0</v>
      </c>
      <c r="AB75" s="255">
        <f t="shared" si="124"/>
        <v>0</v>
      </c>
      <c r="AC75" s="255">
        <f t="shared" ref="AC75:AP75" si="128">AC73+AC74</f>
        <v>0</v>
      </c>
      <c r="AD75" s="255">
        <f>AD73+AD74</f>
        <v>0</v>
      </c>
      <c r="AE75" s="255">
        <f t="shared" si="128"/>
        <v>0</v>
      </c>
      <c r="AF75" s="255">
        <f t="shared" si="128"/>
        <v>6106</v>
      </c>
      <c r="AG75" s="255">
        <f t="shared" si="128"/>
        <v>6128.5587201509297</v>
      </c>
      <c r="AH75" s="255">
        <f t="shared" si="128"/>
        <v>0</v>
      </c>
      <c r="AI75" s="255">
        <f t="shared" ref="AI75" si="129">AI73+AI74</f>
        <v>0</v>
      </c>
      <c r="AJ75" s="255">
        <f t="shared" si="128"/>
        <v>0</v>
      </c>
      <c r="AK75" s="255">
        <f t="shared" si="128"/>
        <v>0</v>
      </c>
      <c r="AL75" s="255">
        <f t="shared" si="128"/>
        <v>0</v>
      </c>
      <c r="AM75" s="255">
        <f t="shared" ref="AM75" si="130">AM73+AM74</f>
        <v>0</v>
      </c>
      <c r="AN75" s="255">
        <f t="shared" si="128"/>
        <v>0</v>
      </c>
      <c r="AO75" s="255">
        <f t="shared" ref="AO75" si="131">AO73+AO74</f>
        <v>0</v>
      </c>
      <c r="AP75" s="255">
        <f t="shared" si="128"/>
        <v>0</v>
      </c>
      <c r="AQ75" s="255">
        <f t="shared" ref="AQ75:AW75" si="132">AQ73+AQ74</f>
        <v>0</v>
      </c>
      <c r="AR75" s="255">
        <f t="shared" si="132"/>
        <v>0</v>
      </c>
      <c r="AS75" s="255">
        <f t="shared" ref="AS75" si="133">AS73+AS74</f>
        <v>0</v>
      </c>
      <c r="AT75" s="255">
        <f t="shared" si="132"/>
        <v>0</v>
      </c>
      <c r="AU75" s="255">
        <f t="shared" ref="AU75" si="134">AU73+AU74</f>
        <v>0</v>
      </c>
      <c r="AV75" s="255">
        <f t="shared" si="132"/>
        <v>0</v>
      </c>
      <c r="AW75" s="255">
        <f t="shared" si="132"/>
        <v>0</v>
      </c>
    </row>
    <row r="76" spans="1:49">
      <c r="A76" s="228">
        <v>43</v>
      </c>
      <c r="B76" s="230" t="s">
        <v>68</v>
      </c>
      <c r="C76" s="230"/>
      <c r="D76" s="230"/>
      <c r="E76" s="251">
        <f>'Exh. No. BGM-6 -3'!E76</f>
        <v>15143</v>
      </c>
      <c r="F76" s="251">
        <f>'Exh. No. BGM-6 -3'!F76</f>
        <v>0</v>
      </c>
      <c r="G76" s="251">
        <f>'Exh. No. BGM-6 -3'!G76</f>
        <v>0</v>
      </c>
      <c r="H76" s="251">
        <f>'Exh. No. BGM-6 -3'!H76</f>
        <v>0</v>
      </c>
      <c r="I76" s="251">
        <f>'Exh. No. BGM-6 -3'!I76</f>
        <v>0</v>
      </c>
      <c r="J76" s="251">
        <f>'Exh. No. BGM-6 -3'!J76</f>
        <v>0</v>
      </c>
      <c r="K76" s="251">
        <f>'Exh. No. BGM-6 -3'!K76</f>
        <v>0</v>
      </c>
      <c r="L76" s="251">
        <f>'Exh. No. BGM-6 -3'!L76</f>
        <v>0</v>
      </c>
      <c r="M76" s="251">
        <f>'Exh. No. BGM-6 -3'!M76</f>
        <v>0</v>
      </c>
      <c r="N76" s="251">
        <f>'Exh. No. BGM-6 -3'!N76</f>
        <v>0</v>
      </c>
      <c r="O76" s="251">
        <f>'Exh. No. BGM-6 -3'!O76</f>
        <v>0</v>
      </c>
      <c r="P76" s="251">
        <f>'Exh. No. BGM-6 -3'!P76</f>
        <v>0</v>
      </c>
      <c r="Q76" s="251">
        <f>'Exh. No. BGM-6 -3'!Q76</f>
        <v>0</v>
      </c>
      <c r="R76" s="251">
        <f>'Exh. No. BGM-6 -3'!R76</f>
        <v>0</v>
      </c>
      <c r="S76" s="251">
        <f>'Exh. No. BGM-6 -3'!S76</f>
        <v>0</v>
      </c>
      <c r="T76" s="251">
        <f>'Exh. No. BGM-6 -3'!T76</f>
        <v>0</v>
      </c>
      <c r="U76" s="251">
        <f>'Exh. No. BGM-6 -3'!U76</f>
        <v>0</v>
      </c>
      <c r="V76" s="251">
        <f>'Exh. No. BGM-6 -3'!V76</f>
        <v>0</v>
      </c>
      <c r="W76" s="251">
        <f>'Exh. No. BGM-6 -3'!W76</f>
        <v>0</v>
      </c>
      <c r="X76" s="251">
        <f>'Exh. No. BGM-6 -3'!Y76</f>
        <v>0</v>
      </c>
      <c r="Y76" s="251">
        <f>'Exh. No. BGM-6 -3'!Z76</f>
        <v>0</v>
      </c>
      <c r="Z76" s="251">
        <f>'Exh. No. BGM-6 -3'!AA76</f>
        <v>0</v>
      </c>
      <c r="AA76" s="251">
        <f>'Exh. No. BGM-6 -3'!AB76</f>
        <v>0</v>
      </c>
      <c r="AB76" s="251">
        <f>'Exh. No. BGM-6 -3'!AC76</f>
        <v>0</v>
      </c>
      <c r="AC76" s="251">
        <f>'Exh. No. BGM-6 -3'!AD76</f>
        <v>0</v>
      </c>
      <c r="AD76" s="251">
        <f>'Exh. No. BGM-6 -3'!AE76</f>
        <v>0</v>
      </c>
      <c r="AE76" s="251">
        <f>'Exh. No. BGM-6 -3'!AF76</f>
        <v>0</v>
      </c>
      <c r="AF76" s="251">
        <f>'Exh. No. BGM-6 -3'!AG76</f>
        <v>0</v>
      </c>
      <c r="AG76" s="251">
        <f>'Exh. No. BGM-6 -3'!AH76</f>
        <v>0</v>
      </c>
      <c r="AH76" s="251">
        <f>'Exh. No. BGM-6 -3'!AI76</f>
        <v>0</v>
      </c>
      <c r="AI76" s="251">
        <f>'Exh. No. BGM-6 -3'!AK76</f>
        <v>0</v>
      </c>
      <c r="AJ76" s="251">
        <f>'Exh. No. BGM-6 -3'!AL76</f>
        <v>0</v>
      </c>
      <c r="AK76" s="251">
        <f>'Exh. No. BGM-6 -3'!AM76</f>
        <v>0</v>
      </c>
      <c r="AL76" s="251">
        <f>'Exh. No. BGM-6 -3'!AN76</f>
        <v>0</v>
      </c>
      <c r="AM76" s="251">
        <f>'Exh. No. BGM-6 -3'!AO76</f>
        <v>0</v>
      </c>
      <c r="AN76" s="251">
        <f>'Exh. No. BGM-6 -3'!AP76</f>
        <v>0</v>
      </c>
      <c r="AO76" s="251">
        <f>'Exh. No. BGM-6 -3'!AQ76</f>
        <v>0</v>
      </c>
      <c r="AP76" s="251">
        <f>'Exh. No. BGM-6 -3'!AS76</f>
        <v>0</v>
      </c>
      <c r="AQ76" s="251">
        <f>'Exh. No. BGM-6 -3'!BA76</f>
        <v>0</v>
      </c>
      <c r="AR76" s="251">
        <f>'Exh. No. BGM-6 -3'!BB76</f>
        <v>0</v>
      </c>
      <c r="AS76" s="251">
        <f>'Exh. No. BGM-6 -3'!BC76</f>
        <v>0</v>
      </c>
      <c r="AT76" s="251">
        <f>'Exh. No. BGM-6 -3'!BD76</f>
        <v>0</v>
      </c>
      <c r="AU76" s="251">
        <f>'Exh. No. BGM-6 -3'!BE76</f>
        <v>0</v>
      </c>
      <c r="AV76" s="251">
        <f>'Exh. No. BGM-6 -3'!BF76</f>
        <v>0</v>
      </c>
      <c r="AW76" s="251">
        <f>'Exh. No. BGM-6 -3'!BH76</f>
        <v>0</v>
      </c>
    </row>
    <row r="77" spans="1:49" s="233" customFormat="1">
      <c r="A77" s="231">
        <v>44</v>
      </c>
      <c r="B77" s="232" t="s">
        <v>69</v>
      </c>
      <c r="C77" s="232"/>
      <c r="D77" s="232"/>
      <c r="E77" s="251">
        <f>'Exh. No. BGM-6 -3'!E77</f>
        <v>0</v>
      </c>
      <c r="F77" s="251">
        <f>'Exh. No. BGM-6 -3'!F77</f>
        <v>0</v>
      </c>
      <c r="G77" s="251">
        <f>'Exh. No. BGM-6 -3'!G77</f>
        <v>0</v>
      </c>
      <c r="H77" s="251">
        <f>'Exh. No. BGM-6 -3'!H77</f>
        <v>0</v>
      </c>
      <c r="I77" s="251">
        <f>'Exh. No. BGM-6 -3'!I77</f>
        <v>0</v>
      </c>
      <c r="J77" s="251">
        <f>'Exh. No. BGM-6 -3'!J77</f>
        <v>0</v>
      </c>
      <c r="K77" s="251">
        <f>'Exh. No. BGM-6 -3'!K77</f>
        <v>0</v>
      </c>
      <c r="L77" s="251">
        <f>'Exh. No. BGM-6 -3'!L77</f>
        <v>0</v>
      </c>
      <c r="M77" s="251">
        <f>'Exh. No. BGM-6 -3'!M77</f>
        <v>0</v>
      </c>
      <c r="N77" s="251">
        <f>'Exh. No. BGM-6 -3'!N77</f>
        <v>0</v>
      </c>
      <c r="O77" s="251">
        <f>'Exh. No. BGM-6 -3'!O77</f>
        <v>0</v>
      </c>
      <c r="P77" s="251">
        <f>'Exh. No. BGM-6 -3'!P77</f>
        <v>0</v>
      </c>
      <c r="Q77" s="251">
        <f>'Exh. No. BGM-6 -3'!Q77</f>
        <v>0</v>
      </c>
      <c r="R77" s="251">
        <f>'Exh. No. BGM-6 -3'!R77</f>
        <v>0</v>
      </c>
      <c r="S77" s="251">
        <f>'Exh. No. BGM-6 -3'!S77</f>
        <v>0</v>
      </c>
      <c r="T77" s="251">
        <f>'Exh. No. BGM-6 -3'!T77</f>
        <v>0</v>
      </c>
      <c r="U77" s="251">
        <f>'Exh. No. BGM-6 -3'!U77</f>
        <v>0</v>
      </c>
      <c r="V77" s="251">
        <f>'Exh. No. BGM-6 -3'!V77</f>
        <v>0</v>
      </c>
      <c r="W77" s="251">
        <f>'Exh. No. BGM-6 -3'!W77</f>
        <v>0</v>
      </c>
      <c r="X77" s="251">
        <f>'Exh. No. BGM-6 -3'!Y77</f>
        <v>0</v>
      </c>
      <c r="Y77" s="251">
        <f>'Exh. No. BGM-6 -3'!Z77</f>
        <v>0</v>
      </c>
      <c r="Z77" s="251">
        <f>'Exh. No. BGM-6 -3'!AA77</f>
        <v>0</v>
      </c>
      <c r="AA77" s="251">
        <f>'Exh. No. BGM-6 -3'!AB77</f>
        <v>0</v>
      </c>
      <c r="AB77" s="251">
        <f>'Exh. No. BGM-6 -3'!AC77</f>
        <v>0</v>
      </c>
      <c r="AC77" s="251">
        <f>'Exh. No. BGM-6 -3'!AD77</f>
        <v>0</v>
      </c>
      <c r="AD77" s="251">
        <f>'Exh. No. BGM-6 -3'!AE77</f>
        <v>0</v>
      </c>
      <c r="AE77" s="251">
        <f>'Exh. No. BGM-6 -3'!AF77</f>
        <v>0</v>
      </c>
      <c r="AF77" s="251">
        <f>'Exh. No. BGM-6 -3'!AG77</f>
        <v>0</v>
      </c>
      <c r="AG77" s="251">
        <f>'Exh. No. BGM-6 -3'!AH77</f>
        <v>0</v>
      </c>
      <c r="AH77" s="251">
        <f>'Exh. No. BGM-6 -3'!AI77</f>
        <v>0</v>
      </c>
      <c r="AI77" s="251">
        <f>'Exh. No. BGM-6 -3'!AK77</f>
        <v>0</v>
      </c>
      <c r="AJ77" s="251">
        <f>'Exh. No. BGM-6 -3'!AL77</f>
        <v>0</v>
      </c>
      <c r="AK77" s="251">
        <f>'Exh. No. BGM-6 -3'!AM77</f>
        <v>0</v>
      </c>
      <c r="AL77" s="251">
        <f>'Exh. No. BGM-6 -3'!AN77</f>
        <v>0</v>
      </c>
      <c r="AM77" s="251">
        <f>'Exh. No. BGM-6 -3'!AO77</f>
        <v>0</v>
      </c>
      <c r="AN77" s="251">
        <f>'Exh. No. BGM-6 -3'!AP77</f>
        <v>0</v>
      </c>
      <c r="AO77" s="251">
        <f>'Exh. No. BGM-6 -3'!AQ77</f>
        <v>0</v>
      </c>
      <c r="AP77" s="251">
        <f>'Exh. No. BGM-6 -3'!AS77</f>
        <v>0</v>
      </c>
      <c r="AQ77" s="251">
        <f>'Exh. No. BGM-6 -3'!BA77</f>
        <v>0</v>
      </c>
      <c r="AR77" s="251">
        <f>'Exh. No. BGM-6 -3'!BB77</f>
        <v>0</v>
      </c>
      <c r="AS77" s="251">
        <f>'Exh. No. BGM-6 -3'!BC77</f>
        <v>0</v>
      </c>
      <c r="AT77" s="251">
        <f>'Exh. No. BGM-6 -3'!BD77</f>
        <v>0</v>
      </c>
      <c r="AU77" s="251">
        <f>'Exh. No. BGM-6 -3'!BE77</f>
        <v>0</v>
      </c>
      <c r="AV77" s="251">
        <f>'Exh. No. BGM-6 -3'!BF77</f>
        <v>0</v>
      </c>
      <c r="AW77" s="251">
        <f>'Exh. No. BGM-6 -3'!BH77</f>
        <v>0</v>
      </c>
    </row>
    <row r="78" spans="1:49" s="233" customFormat="1">
      <c r="A78" s="231">
        <v>45</v>
      </c>
      <c r="B78" s="232" t="s">
        <v>448</v>
      </c>
      <c r="C78" s="232"/>
      <c r="D78" s="232"/>
      <c r="E78" s="251">
        <f>'Exh. No. BGM-6 -3'!E78</f>
        <v>-509</v>
      </c>
      <c r="F78" s="251">
        <f>'Exh. No. BGM-6 -3'!F78</f>
        <v>0</v>
      </c>
      <c r="G78" s="251">
        <f>'Exh. No. BGM-6 -3'!G78</f>
        <v>0</v>
      </c>
      <c r="H78" s="251">
        <f>'Exh. No. BGM-6 -3'!H78</f>
        <v>0</v>
      </c>
      <c r="I78" s="251">
        <f>'Exh. No. BGM-6 -3'!I78</f>
        <v>0</v>
      </c>
      <c r="J78" s="251">
        <f>'Exh. No. BGM-6 -3'!J78</f>
        <v>0</v>
      </c>
      <c r="K78" s="251">
        <f>'Exh. No. BGM-6 -3'!K78</f>
        <v>0</v>
      </c>
      <c r="L78" s="251">
        <f>'Exh. No. BGM-6 -3'!L78</f>
        <v>0</v>
      </c>
      <c r="M78" s="251">
        <f>'Exh. No. BGM-6 -3'!M78</f>
        <v>0</v>
      </c>
      <c r="N78" s="251">
        <f>'Exh. No. BGM-6 -3'!N78</f>
        <v>0</v>
      </c>
      <c r="O78" s="251">
        <f>'Exh. No. BGM-6 -3'!O78</f>
        <v>0</v>
      </c>
      <c r="P78" s="251">
        <f>'Exh. No. BGM-6 -3'!P78</f>
        <v>0</v>
      </c>
      <c r="Q78" s="251">
        <f>'Exh. No. BGM-6 -3'!Q78</f>
        <v>0</v>
      </c>
      <c r="R78" s="251">
        <f>'Exh. No. BGM-6 -3'!R78</f>
        <v>0</v>
      </c>
      <c r="S78" s="251">
        <f>'Exh. No. BGM-6 -3'!S78</f>
        <v>0</v>
      </c>
      <c r="T78" s="251">
        <f>'Exh. No. BGM-6 -3'!T78</f>
        <v>0</v>
      </c>
      <c r="U78" s="251">
        <f>'Exh. No. BGM-6 -3'!U78</f>
        <v>0</v>
      </c>
      <c r="V78" s="251">
        <f>'Exh. No. BGM-6 -3'!V78</f>
        <v>0</v>
      </c>
      <c r="W78" s="251">
        <f>'Exh. No. BGM-6 -3'!W78</f>
        <v>0</v>
      </c>
      <c r="X78" s="251">
        <f>'Exh. No. BGM-6 -3'!Y78</f>
        <v>0</v>
      </c>
      <c r="Y78" s="251">
        <f>'Exh. No. BGM-6 -3'!Z78</f>
        <v>0</v>
      </c>
      <c r="Z78" s="251">
        <f>'Exh. No. BGM-6 -3'!AA78</f>
        <v>0</v>
      </c>
      <c r="AA78" s="251">
        <f>'Exh. No. BGM-6 -3'!AB78</f>
        <v>0</v>
      </c>
      <c r="AB78" s="251">
        <f>'Exh. No. BGM-6 -3'!AC78</f>
        <v>0</v>
      </c>
      <c r="AC78" s="251">
        <f>'Exh. No. BGM-6 -3'!AD78</f>
        <v>0</v>
      </c>
      <c r="AD78" s="251">
        <f>'Exh. No. BGM-6 -3'!AE78</f>
        <v>0</v>
      </c>
      <c r="AE78" s="251">
        <f>'Exh. No. BGM-6 -3'!AF78</f>
        <v>0</v>
      </c>
      <c r="AF78" s="251">
        <f>'Exh. No. BGM-6 -3'!AG78</f>
        <v>0</v>
      </c>
      <c r="AG78" s="251">
        <f>'Exh. No. BGM-6 -3'!AH78</f>
        <v>0</v>
      </c>
      <c r="AH78" s="251">
        <f>'Exh. No. BGM-6 -3'!AI78</f>
        <v>0</v>
      </c>
      <c r="AI78" s="251">
        <f>'Exh. No. BGM-6 -3'!AK78</f>
        <v>0</v>
      </c>
      <c r="AJ78" s="251">
        <f>'Exh. No. BGM-6 -3'!AL78</f>
        <v>0</v>
      </c>
      <c r="AK78" s="251">
        <f>'Exh. No. BGM-6 -3'!AM78</f>
        <v>0</v>
      </c>
      <c r="AL78" s="251">
        <f>'Exh. No. BGM-6 -3'!AN78</f>
        <v>0</v>
      </c>
      <c r="AM78" s="251">
        <f>'Exh. No. BGM-6 -3'!AO78</f>
        <v>0</v>
      </c>
      <c r="AN78" s="251">
        <f>'Exh. No. BGM-6 -3'!AP78</f>
        <v>0</v>
      </c>
      <c r="AO78" s="251">
        <f>'Exh. No. BGM-6 -3'!AQ78</f>
        <v>0</v>
      </c>
      <c r="AP78" s="251">
        <f>'Exh. No. BGM-6 -3'!AS78</f>
        <v>0</v>
      </c>
      <c r="AQ78" s="251">
        <f>'Exh. No. BGM-6 -3'!BA78</f>
        <v>0</v>
      </c>
      <c r="AR78" s="251">
        <f>'Exh. No. BGM-6 -3'!BB78</f>
        <v>0</v>
      </c>
      <c r="AS78" s="251">
        <f>'Exh. No. BGM-6 -3'!BC78</f>
        <v>0</v>
      </c>
      <c r="AT78" s="251">
        <f>'Exh. No. BGM-6 -3'!BD78</f>
        <v>0</v>
      </c>
      <c r="AU78" s="251">
        <f>'Exh. No. BGM-6 -3'!BE78</f>
        <v>0</v>
      </c>
      <c r="AV78" s="251">
        <f>'Exh. No. BGM-6 -3'!BF78</f>
        <v>0</v>
      </c>
      <c r="AW78" s="251">
        <f>'Exh. No. BGM-6 -3'!BH78</f>
        <v>0</v>
      </c>
    </row>
    <row r="79" spans="1:49">
      <c r="A79" s="228">
        <v>46</v>
      </c>
      <c r="B79" s="230" t="s">
        <v>195</v>
      </c>
      <c r="C79" s="230"/>
      <c r="D79" s="230"/>
      <c r="E79" s="252">
        <f>'Exh. No. BGM-6 -3'!E79</f>
        <v>9797</v>
      </c>
      <c r="F79" s="252">
        <f>'Exh. No. BGM-6 -3'!F79</f>
        <v>0</v>
      </c>
      <c r="G79" s="252">
        <f>'Exh. No. BGM-6 -3'!G79</f>
        <v>0</v>
      </c>
      <c r="H79" s="252">
        <f>'Exh. No. BGM-6 -3'!H79</f>
        <v>2828</v>
      </c>
      <c r="I79" s="252">
        <f>'Exh. No. BGM-6 -3'!I79</f>
        <v>0</v>
      </c>
      <c r="J79" s="252">
        <f>'Exh. No. BGM-6 -3'!J79</f>
        <v>0</v>
      </c>
      <c r="K79" s="252">
        <f>'Exh. No. BGM-6 -3'!K79</f>
        <v>0</v>
      </c>
      <c r="L79" s="252">
        <f>'Exh. No. BGM-6 -3'!L79</f>
        <v>0</v>
      </c>
      <c r="M79" s="252">
        <f>'Exh. No. BGM-6 -3'!M79</f>
        <v>0</v>
      </c>
      <c r="N79" s="252">
        <f>'Exh. No. BGM-6 -3'!N79</f>
        <v>0</v>
      </c>
      <c r="O79" s="252">
        <f>'Exh. No. BGM-6 -3'!O79</f>
        <v>0</v>
      </c>
      <c r="P79" s="252">
        <f>'Exh. No. BGM-6 -3'!P79</f>
        <v>0</v>
      </c>
      <c r="Q79" s="252">
        <f>'Exh. No. BGM-6 -3'!Q79</f>
        <v>0</v>
      </c>
      <c r="R79" s="252">
        <f>'Exh. No. BGM-6 -3'!R79</f>
        <v>0</v>
      </c>
      <c r="S79" s="252">
        <f>'Exh. No. BGM-6 -3'!S79</f>
        <v>0</v>
      </c>
      <c r="T79" s="252">
        <f>'Exh. No. BGM-6 -3'!T79</f>
        <v>0</v>
      </c>
      <c r="U79" s="252">
        <f>'Exh. No. BGM-6 -3'!U79</f>
        <v>0</v>
      </c>
      <c r="V79" s="252">
        <f>'Exh. No. BGM-6 -3'!V79</f>
        <v>0</v>
      </c>
      <c r="W79" s="252">
        <f>'Exh. No. BGM-6 -3'!W79</f>
        <v>0</v>
      </c>
      <c r="X79" s="252">
        <f>'Exh. No. BGM-6 -3'!Y79</f>
        <v>0</v>
      </c>
      <c r="Y79" s="252">
        <f>'Exh. No. BGM-6 -3'!Z79</f>
        <v>0</v>
      </c>
      <c r="Z79" s="252">
        <f>'Exh. No. BGM-6 -3'!AA79</f>
        <v>0</v>
      </c>
      <c r="AA79" s="252">
        <f>'Exh. No. BGM-6 -3'!AB79</f>
        <v>0</v>
      </c>
      <c r="AB79" s="252">
        <f>'Exh. No. BGM-6 -3'!AC79</f>
        <v>0</v>
      </c>
      <c r="AC79" s="252">
        <f>'Exh. No. BGM-6 -3'!AD79</f>
        <v>0</v>
      </c>
      <c r="AD79" s="252">
        <f>'Exh. No. BGM-6 -3'!AE79</f>
        <v>0</v>
      </c>
      <c r="AE79" s="252">
        <f>'Exh. No. BGM-6 -3'!AF79</f>
        <v>0</v>
      </c>
      <c r="AF79" s="252">
        <f>'Exh. No. BGM-6 -3'!AG79</f>
        <v>0</v>
      </c>
      <c r="AG79" s="252">
        <f>'Exh. No. BGM-6 -3'!AH79</f>
        <v>0</v>
      </c>
      <c r="AH79" s="252">
        <f>'Exh. No. BGM-6 -3'!AI79</f>
        <v>0</v>
      </c>
      <c r="AI79" s="252">
        <f>'Exh. No. BGM-6 -3'!AK79</f>
        <v>0</v>
      </c>
      <c r="AJ79" s="252">
        <f>'Exh. No. BGM-6 -3'!AL79</f>
        <v>0</v>
      </c>
      <c r="AK79" s="252">
        <f>'Exh. No. BGM-6 -3'!AM79</f>
        <v>0</v>
      </c>
      <c r="AL79" s="252">
        <f>'Exh. No. BGM-6 -3'!AN79</f>
        <v>0</v>
      </c>
      <c r="AM79" s="252">
        <f>'Exh. No. BGM-6 -3'!AO79</f>
        <v>0</v>
      </c>
      <c r="AN79" s="252">
        <f>'Exh. No. BGM-6 -3'!AP79</f>
        <v>0</v>
      </c>
      <c r="AO79" s="252">
        <f>'Exh. No. BGM-6 -3'!AQ79</f>
        <v>0</v>
      </c>
      <c r="AP79" s="252">
        <f>'Exh. No. BGM-6 -3'!AS79</f>
        <v>0</v>
      </c>
      <c r="AQ79" s="252">
        <f>'Exh. No. BGM-6 -3'!BA79</f>
        <v>0</v>
      </c>
      <c r="AR79" s="252">
        <f>'Exh. No. BGM-6 -3'!BB79</f>
        <v>0</v>
      </c>
      <c r="AS79" s="252">
        <f>'Exh. No. BGM-6 -3'!BC79</f>
        <v>0</v>
      </c>
      <c r="AT79" s="252">
        <f>'Exh. No. BGM-6 -3'!BD79</f>
        <v>0</v>
      </c>
      <c r="AU79" s="252">
        <f>'Exh. No. BGM-6 -3'!BE79</f>
        <v>0</v>
      </c>
      <c r="AV79" s="252">
        <f>'Exh. No. BGM-6 -3'!BF79</f>
        <v>0</v>
      </c>
      <c r="AW79" s="252">
        <f>'Exh. No. BGM-6 -3'!BH79</f>
        <v>0</v>
      </c>
    </row>
    <row r="81" spans="1:49">
      <c r="E81" s="251"/>
      <c r="F81" s="251"/>
      <c r="G81" s="251"/>
      <c r="H81" s="251"/>
      <c r="I81" s="251"/>
      <c r="J81" s="251"/>
      <c r="K81" s="251"/>
      <c r="L81" s="251"/>
      <c r="M81" s="251"/>
      <c r="N81" s="251"/>
      <c r="O81" s="251"/>
      <c r="P81" s="251"/>
      <c r="Q81" s="251"/>
      <c r="R81" s="251"/>
      <c r="S81" s="251"/>
      <c r="T81" s="251"/>
      <c r="U81" s="251"/>
      <c r="V81" s="251"/>
      <c r="W81" s="251"/>
      <c r="X81" s="251"/>
      <c r="Y81" s="251"/>
      <c r="Z81" s="251"/>
      <c r="AA81" s="251"/>
      <c r="AB81" s="251"/>
      <c r="AC81" s="251"/>
      <c r="AD81" s="251"/>
      <c r="AE81" s="251"/>
      <c r="AF81" s="251"/>
      <c r="AG81" s="251"/>
      <c r="AH81" s="251"/>
      <c r="AI81" s="251"/>
      <c r="AJ81" s="251"/>
      <c r="AK81" s="251"/>
      <c r="AL81" s="251"/>
      <c r="AM81" s="251"/>
      <c r="AN81" s="251"/>
      <c r="AO81" s="251"/>
      <c r="AP81" s="251"/>
      <c r="AQ81" s="251"/>
      <c r="AR81" s="251"/>
      <c r="AS81" s="251"/>
      <c r="AT81" s="251"/>
      <c r="AU81" s="251"/>
      <c r="AV81" s="251"/>
      <c r="AW81" s="251"/>
    </row>
    <row r="82" spans="1:49" s="367" customFormat="1" ht="12.75" thickBot="1">
      <c r="A82" s="210">
        <v>47</v>
      </c>
      <c r="B82" s="367" t="s">
        <v>70</v>
      </c>
      <c r="E82" s="369">
        <f>E75+E76+E77+E79+E78</f>
        <v>259389</v>
      </c>
      <c r="F82" s="369">
        <f t="shared" ref="F82:AB82" si="135">F75+F76+F77+F79+F78</f>
        <v>50</v>
      </c>
      <c r="G82" s="369">
        <f t="shared" si="135"/>
        <v>0</v>
      </c>
      <c r="H82" s="369">
        <f t="shared" si="135"/>
        <v>2828</v>
      </c>
      <c r="I82" s="369">
        <f t="shared" si="135"/>
        <v>0</v>
      </c>
      <c r="J82" s="369">
        <f t="shared" si="135"/>
        <v>0</v>
      </c>
      <c r="K82" s="369">
        <f t="shared" si="135"/>
        <v>0</v>
      </c>
      <c r="L82" s="369">
        <f t="shared" si="135"/>
        <v>0</v>
      </c>
      <c r="M82" s="369">
        <f t="shared" si="135"/>
        <v>0</v>
      </c>
      <c r="N82" s="369">
        <f t="shared" si="135"/>
        <v>0</v>
      </c>
      <c r="O82" s="369">
        <f t="shared" si="135"/>
        <v>0</v>
      </c>
      <c r="P82" s="369">
        <f t="shared" si="135"/>
        <v>0</v>
      </c>
      <c r="Q82" s="369">
        <f t="shared" si="135"/>
        <v>0</v>
      </c>
      <c r="R82" s="369">
        <f t="shared" si="135"/>
        <v>0</v>
      </c>
      <c r="S82" s="369">
        <f t="shared" ref="S82" si="136">S75+S76+S77+S79+S78</f>
        <v>0</v>
      </c>
      <c r="T82" s="369">
        <f t="shared" si="135"/>
        <v>0</v>
      </c>
      <c r="U82" s="369">
        <f>U75+U76+U77+U79+U78</f>
        <v>0</v>
      </c>
      <c r="V82" s="369">
        <f t="shared" si="135"/>
        <v>0</v>
      </c>
      <c r="W82" s="369">
        <f t="shared" ref="W82" si="137">W75+W76+W77+W79+W78</f>
        <v>0</v>
      </c>
      <c r="X82" s="369">
        <f t="shared" si="135"/>
        <v>0</v>
      </c>
      <c r="Y82" s="369">
        <f t="shared" ref="Y82" si="138">Y75+Y76+Y77+Y79+Y78</f>
        <v>0</v>
      </c>
      <c r="Z82" s="369">
        <f t="shared" si="135"/>
        <v>0</v>
      </c>
      <c r="AA82" s="369">
        <f>AA75+AA76+AA77+AA79+AA78</f>
        <v>0</v>
      </c>
      <c r="AB82" s="369">
        <f t="shared" si="135"/>
        <v>0</v>
      </c>
      <c r="AC82" s="369">
        <f t="shared" ref="AC82:AP82" si="139">AC75+AC76+AC77+AC79+AC78</f>
        <v>0</v>
      </c>
      <c r="AD82" s="369">
        <f>AD75+AD76+AD77+AD79+AD78</f>
        <v>0</v>
      </c>
      <c r="AE82" s="369">
        <f t="shared" si="139"/>
        <v>0</v>
      </c>
      <c r="AF82" s="369">
        <f t="shared" si="139"/>
        <v>6106</v>
      </c>
      <c r="AG82" s="369">
        <f t="shared" si="139"/>
        <v>6128.5587201509297</v>
      </c>
      <c r="AH82" s="369">
        <f t="shared" si="139"/>
        <v>0</v>
      </c>
      <c r="AI82" s="369">
        <f t="shared" ref="AI82" si="140">AI75+AI76+AI77+AI79+AI78</f>
        <v>0</v>
      </c>
      <c r="AJ82" s="369">
        <f t="shared" si="139"/>
        <v>0</v>
      </c>
      <c r="AK82" s="369">
        <f t="shared" si="139"/>
        <v>0</v>
      </c>
      <c r="AL82" s="369">
        <f t="shared" si="139"/>
        <v>0</v>
      </c>
      <c r="AM82" s="369">
        <f t="shared" ref="AM82" si="141">AM75+AM76+AM77+AM79+AM78</f>
        <v>0</v>
      </c>
      <c r="AN82" s="369">
        <f t="shared" si="139"/>
        <v>0</v>
      </c>
      <c r="AO82" s="369">
        <f t="shared" ref="AO82" si="142">AO75+AO76+AO77+AO79+AO78</f>
        <v>0</v>
      </c>
      <c r="AP82" s="369">
        <f t="shared" si="139"/>
        <v>0</v>
      </c>
      <c r="AQ82" s="369">
        <f t="shared" ref="AQ82:AW82" si="143">AQ75+AQ76+AQ77+AQ79+AQ78</f>
        <v>0</v>
      </c>
      <c r="AR82" s="369">
        <f t="shared" si="143"/>
        <v>0</v>
      </c>
      <c r="AS82" s="369">
        <f t="shared" ref="AS82" si="144">AS75+AS76+AS77+AS79+AS78</f>
        <v>0</v>
      </c>
      <c r="AT82" s="369">
        <f t="shared" si="143"/>
        <v>0</v>
      </c>
      <c r="AU82" s="369">
        <f t="shared" ref="AU82" si="145">AU75+AU76+AU77+AU79+AU78</f>
        <v>0</v>
      </c>
      <c r="AV82" s="369">
        <f t="shared" si="143"/>
        <v>0</v>
      </c>
      <c r="AW82" s="369">
        <f t="shared" si="143"/>
        <v>0</v>
      </c>
    </row>
    <row r="83" spans="1:49" ht="18" customHeight="1" thickTop="1">
      <c r="E83" s="327"/>
      <c r="F83" s="251"/>
      <c r="G83" s="251"/>
      <c r="H83" s="251"/>
      <c r="I83" s="251"/>
      <c r="J83" s="251"/>
      <c r="K83" s="251"/>
      <c r="L83" s="251"/>
      <c r="M83" s="251"/>
      <c r="N83" s="251"/>
      <c r="O83" s="251"/>
      <c r="P83" s="251"/>
      <c r="Q83" s="251"/>
      <c r="R83" s="251"/>
      <c r="S83" s="251"/>
      <c r="T83" s="251"/>
      <c r="U83" s="251"/>
      <c r="V83" s="251"/>
      <c r="W83" s="251"/>
      <c r="X83" s="251"/>
      <c r="Y83" s="251"/>
      <c r="Z83" s="251"/>
      <c r="AA83" s="251"/>
      <c r="AB83" s="251"/>
      <c r="AC83" s="251"/>
      <c r="AD83" s="251"/>
      <c r="AE83" s="251"/>
      <c r="AF83" s="251"/>
      <c r="AG83" s="251"/>
      <c r="AH83" s="251"/>
      <c r="AI83" s="251"/>
      <c r="AJ83" s="251"/>
      <c r="AK83" s="251"/>
      <c r="AL83" s="251"/>
      <c r="AM83" s="251"/>
      <c r="AN83" s="251"/>
      <c r="AO83" s="251"/>
      <c r="AP83" s="251"/>
      <c r="AQ83" s="251"/>
      <c r="AR83" s="251"/>
      <c r="AS83" s="251"/>
      <c r="AT83" s="251"/>
      <c r="AU83" s="251"/>
      <c r="AV83" s="251"/>
      <c r="AW83" s="251"/>
    </row>
    <row r="84" spans="1:49">
      <c r="F84" s="251"/>
      <c r="G84" s="251"/>
      <c r="H84" s="251"/>
      <c r="I84" s="251"/>
      <c r="J84" s="251"/>
      <c r="K84" s="251"/>
      <c r="L84" s="251"/>
      <c r="M84" s="251"/>
      <c r="N84" s="251"/>
      <c r="O84" s="251"/>
      <c r="P84" s="251"/>
      <c r="Q84" s="251"/>
      <c r="R84" s="251"/>
      <c r="S84" s="251"/>
      <c r="T84" s="251"/>
      <c r="U84" s="251"/>
      <c r="V84" s="251"/>
      <c r="W84" s="251"/>
      <c r="X84" s="251"/>
      <c r="Y84" s="251"/>
      <c r="Z84" s="251"/>
      <c r="AA84" s="251"/>
      <c r="AB84" s="251"/>
      <c r="AC84" s="251"/>
      <c r="AD84" s="251"/>
      <c r="AE84" s="251"/>
      <c r="AF84" s="251"/>
      <c r="AG84" s="251"/>
      <c r="AH84" s="251"/>
      <c r="AI84" s="251"/>
      <c r="AJ84" s="251"/>
      <c r="AK84" s="251"/>
      <c r="AL84" s="251"/>
      <c r="AM84" s="251"/>
      <c r="AN84" s="251"/>
      <c r="AO84" s="251"/>
      <c r="AP84" s="251"/>
      <c r="AQ84" s="251"/>
      <c r="AR84" s="251"/>
      <c r="AS84" s="251"/>
      <c r="AT84" s="251"/>
      <c r="AU84" s="251"/>
      <c r="AV84" s="251"/>
      <c r="AW84" s="251"/>
    </row>
    <row r="85" spans="1:49">
      <c r="E85" s="251"/>
      <c r="F85" s="251"/>
      <c r="G85" s="251"/>
      <c r="H85" s="251"/>
      <c r="I85" s="251"/>
      <c r="J85" s="251"/>
      <c r="K85" s="251"/>
      <c r="L85" s="251"/>
      <c r="M85" s="251"/>
      <c r="N85" s="251"/>
      <c r="O85" s="251"/>
      <c r="P85" s="251"/>
      <c r="Q85" s="251"/>
      <c r="R85" s="251"/>
      <c r="S85" s="251"/>
      <c r="T85" s="251"/>
      <c r="U85" s="251"/>
      <c r="V85" s="251"/>
      <c r="W85" s="251"/>
      <c r="X85" s="251"/>
      <c r="Y85" s="251"/>
      <c r="Z85" s="251"/>
      <c r="AA85" s="251"/>
      <c r="AB85" s="251"/>
      <c r="AC85" s="251"/>
      <c r="AD85" s="251"/>
      <c r="AE85" s="251"/>
      <c r="AF85" s="251"/>
      <c r="AG85" s="251"/>
      <c r="AH85" s="251"/>
      <c r="AI85" s="251"/>
      <c r="AJ85" s="251"/>
      <c r="AK85" s="251"/>
      <c r="AL85" s="251"/>
      <c r="AM85" s="251"/>
      <c r="AN85" s="251"/>
      <c r="AO85" s="251"/>
      <c r="AP85" s="251"/>
      <c r="AQ85" s="251"/>
      <c r="AR85" s="251"/>
      <c r="AS85" s="251"/>
      <c r="AT85" s="251"/>
      <c r="AU85" s="251"/>
      <c r="AV85" s="251"/>
      <c r="AW85" s="251"/>
    </row>
    <row r="86" spans="1:49" s="235" customFormat="1">
      <c r="A86" s="234"/>
      <c r="D86" s="236"/>
      <c r="E86" s="377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  <c r="U86" s="253"/>
      <c r="V86" s="253"/>
      <c r="W86" s="253"/>
      <c r="X86" s="253"/>
      <c r="Y86" s="253"/>
      <c r="Z86" s="253"/>
      <c r="AA86" s="253"/>
      <c r="AB86" s="253"/>
      <c r="AC86" s="253"/>
      <c r="AD86" s="253"/>
      <c r="AE86" s="253"/>
      <c r="AF86" s="253"/>
      <c r="AG86" s="253"/>
      <c r="AH86" s="253"/>
      <c r="AI86" s="253"/>
      <c r="AJ86" s="253"/>
      <c r="AK86" s="253"/>
      <c r="AL86" s="253"/>
      <c r="AM86" s="253"/>
      <c r="AN86" s="253"/>
      <c r="AO86" s="253"/>
      <c r="AP86" s="253"/>
      <c r="AQ86" s="253"/>
      <c r="AR86" s="253"/>
      <c r="AS86" s="253"/>
      <c r="AT86" s="253"/>
      <c r="AU86" s="253"/>
      <c r="AV86" s="253"/>
      <c r="AW86" s="253"/>
    </row>
    <row r="87" spans="1:49" s="235" customFormat="1">
      <c r="A87" s="238"/>
      <c r="D87" s="236"/>
      <c r="E87" s="376"/>
      <c r="F87" s="253"/>
      <c r="G87" s="253"/>
      <c r="H87" s="253"/>
      <c r="I87" s="253"/>
      <c r="J87" s="253"/>
      <c r="K87" s="253"/>
      <c r="L87" s="253"/>
      <c r="M87" s="253"/>
      <c r="N87" s="253"/>
      <c r="O87" s="253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53"/>
      <c r="AD87" s="253"/>
      <c r="AE87" s="253"/>
      <c r="AF87" s="253"/>
      <c r="AG87" s="253"/>
      <c r="AH87" s="253"/>
      <c r="AI87" s="253"/>
      <c r="AJ87" s="253"/>
      <c r="AK87" s="253"/>
      <c r="AL87" s="253"/>
      <c r="AM87" s="253"/>
      <c r="AN87" s="253"/>
      <c r="AO87" s="253"/>
      <c r="AP87" s="253"/>
      <c r="AQ87" s="253"/>
      <c r="AR87" s="253"/>
      <c r="AS87" s="253"/>
      <c r="AT87" s="253"/>
      <c r="AU87" s="253"/>
      <c r="AV87" s="253"/>
      <c r="AW87" s="253"/>
    </row>
    <row r="88" spans="1:49" s="235" customFormat="1">
      <c r="A88" s="238"/>
      <c r="D88" s="236"/>
      <c r="E88" s="256"/>
      <c r="F88" s="253"/>
      <c r="G88" s="253"/>
      <c r="H88" s="253"/>
      <c r="I88" s="253"/>
      <c r="J88" s="253"/>
      <c r="K88" s="253"/>
      <c r="L88" s="253"/>
      <c r="M88" s="253"/>
      <c r="N88" s="253"/>
      <c r="O88" s="253"/>
      <c r="P88" s="253"/>
      <c r="Q88" s="253"/>
      <c r="R88" s="253"/>
      <c r="S88" s="253"/>
      <c r="T88" s="253"/>
      <c r="U88" s="253"/>
      <c r="V88" s="253"/>
      <c r="W88" s="253"/>
      <c r="X88" s="253"/>
      <c r="Y88" s="253"/>
      <c r="Z88" s="253"/>
      <c r="AA88" s="253"/>
      <c r="AB88" s="253"/>
      <c r="AC88" s="253"/>
      <c r="AD88" s="253"/>
      <c r="AE88" s="253"/>
      <c r="AF88" s="253"/>
      <c r="AG88" s="253"/>
      <c r="AH88" s="253"/>
      <c r="AI88" s="253"/>
      <c r="AJ88" s="253"/>
      <c r="AK88" s="253"/>
      <c r="AL88" s="253"/>
      <c r="AM88" s="253"/>
      <c r="AN88" s="253"/>
      <c r="AO88" s="253"/>
      <c r="AP88" s="253"/>
      <c r="AQ88" s="253"/>
      <c r="AR88" s="253"/>
      <c r="AS88" s="253"/>
      <c r="AT88" s="253"/>
      <c r="AU88" s="253"/>
      <c r="AV88" s="253"/>
      <c r="AW88" s="253"/>
    </row>
    <row r="89" spans="1:49" s="235" customFormat="1">
      <c r="A89" s="238"/>
      <c r="D89" s="236"/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6"/>
      <c r="P89" s="256"/>
      <c r="Q89" s="256"/>
      <c r="R89" s="256"/>
      <c r="S89" s="256"/>
      <c r="T89" s="256"/>
      <c r="U89" s="256"/>
      <c r="V89" s="256"/>
      <c r="W89" s="256"/>
      <c r="X89" s="256"/>
      <c r="Y89" s="256"/>
      <c r="Z89" s="256"/>
      <c r="AA89" s="256"/>
      <c r="AB89" s="256"/>
      <c r="AC89" s="256"/>
      <c r="AD89" s="256"/>
      <c r="AE89" s="256"/>
      <c r="AF89" s="256"/>
      <c r="AG89" s="256"/>
      <c r="AH89" s="256"/>
      <c r="AI89" s="256"/>
      <c r="AJ89" s="256"/>
      <c r="AK89" s="256"/>
      <c r="AL89" s="256"/>
      <c r="AM89" s="256"/>
      <c r="AN89" s="256"/>
      <c r="AO89" s="256"/>
      <c r="AP89" s="256"/>
      <c r="AQ89" s="256"/>
      <c r="AR89" s="256"/>
      <c r="AS89" s="256"/>
      <c r="AT89" s="256"/>
      <c r="AU89" s="256"/>
      <c r="AV89" s="256"/>
      <c r="AW89" s="256"/>
    </row>
    <row r="90" spans="1:49" s="235" customFormat="1">
      <c r="A90" s="238"/>
      <c r="D90" s="236"/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  <c r="U90" s="256"/>
      <c r="V90" s="256"/>
      <c r="W90" s="256"/>
      <c r="X90" s="256"/>
      <c r="Y90" s="256"/>
      <c r="Z90" s="256"/>
      <c r="AA90" s="256"/>
      <c r="AB90" s="256"/>
      <c r="AC90" s="256"/>
      <c r="AD90" s="256"/>
      <c r="AE90" s="256"/>
      <c r="AF90" s="256"/>
      <c r="AG90" s="256"/>
      <c r="AH90" s="256"/>
      <c r="AI90" s="256"/>
      <c r="AJ90" s="256"/>
      <c r="AK90" s="256"/>
      <c r="AL90" s="256"/>
      <c r="AM90" s="256"/>
      <c r="AN90" s="256"/>
      <c r="AO90" s="256"/>
      <c r="AP90" s="256"/>
      <c r="AQ90" s="256"/>
      <c r="AR90" s="256"/>
      <c r="AS90" s="256"/>
      <c r="AT90" s="256"/>
      <c r="AU90" s="256"/>
      <c r="AV90" s="256"/>
      <c r="AW90" s="256"/>
    </row>
    <row r="91" spans="1:49" s="235" customFormat="1">
      <c r="A91" s="238"/>
      <c r="D91" s="236"/>
      <c r="E91" s="202"/>
      <c r="F91" s="202"/>
      <c r="G91" s="202"/>
      <c r="H91" s="202"/>
      <c r="I91" s="202"/>
      <c r="J91" s="202"/>
      <c r="K91" s="202"/>
      <c r="L91" s="202"/>
      <c r="M91" s="202"/>
      <c r="N91" s="202"/>
      <c r="O91" s="202"/>
      <c r="P91" s="202"/>
      <c r="Q91" s="202"/>
      <c r="R91" s="202"/>
      <c r="S91" s="202"/>
      <c r="T91" s="202"/>
      <c r="U91" s="202"/>
      <c r="V91" s="202"/>
      <c r="W91" s="202"/>
      <c r="X91" s="202"/>
      <c r="Y91" s="202"/>
      <c r="Z91" s="202"/>
      <c r="AA91" s="202"/>
      <c r="AB91" s="202"/>
      <c r="AC91" s="202"/>
      <c r="AD91" s="202"/>
      <c r="AE91" s="202"/>
      <c r="AF91" s="202"/>
      <c r="AG91" s="202"/>
      <c r="AH91" s="202"/>
      <c r="AI91" s="202"/>
      <c r="AJ91" s="202"/>
      <c r="AK91" s="202"/>
      <c r="AL91" s="202"/>
      <c r="AM91" s="202"/>
      <c r="AN91" s="202"/>
      <c r="AO91" s="202"/>
      <c r="AP91" s="202"/>
      <c r="AQ91" s="202"/>
      <c r="AR91" s="202"/>
      <c r="AS91" s="202"/>
      <c r="AT91" s="202"/>
      <c r="AU91" s="202"/>
      <c r="AV91" s="202"/>
      <c r="AW91" s="202"/>
    </row>
    <row r="92" spans="1:49" s="235" customFormat="1">
      <c r="A92" s="234"/>
      <c r="D92" s="236"/>
      <c r="E92" s="237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2"/>
      <c r="AH92" s="202"/>
      <c r="AI92" s="202"/>
      <c r="AJ92" s="202"/>
      <c r="AK92" s="202"/>
      <c r="AL92" s="202"/>
      <c r="AM92" s="202"/>
      <c r="AN92" s="202"/>
      <c r="AO92" s="202"/>
      <c r="AP92" s="202"/>
      <c r="AQ92" s="202"/>
      <c r="AR92" s="202"/>
      <c r="AS92" s="202"/>
      <c r="AT92" s="202"/>
      <c r="AU92" s="202"/>
      <c r="AV92" s="202"/>
      <c r="AW92" s="202"/>
    </row>
    <row r="93" spans="1:49" s="235" customFormat="1">
      <c r="A93" s="238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202"/>
      <c r="P93" s="202"/>
      <c r="Q93" s="202"/>
      <c r="R93" s="202"/>
      <c r="S93" s="202"/>
      <c r="T93" s="202"/>
      <c r="U93" s="202"/>
      <c r="V93" s="202"/>
      <c r="W93" s="202"/>
      <c r="X93" s="202"/>
      <c r="Y93" s="202"/>
      <c r="Z93" s="202"/>
      <c r="AA93" s="202"/>
      <c r="AB93" s="202"/>
      <c r="AC93" s="202"/>
      <c r="AD93" s="202"/>
      <c r="AE93" s="202"/>
      <c r="AF93" s="202"/>
      <c r="AG93" s="202"/>
      <c r="AH93" s="202"/>
      <c r="AI93" s="202"/>
      <c r="AJ93" s="202"/>
      <c r="AK93" s="202"/>
      <c r="AL93" s="202"/>
      <c r="AM93" s="202"/>
      <c r="AN93" s="202"/>
      <c r="AO93" s="202"/>
      <c r="AP93" s="202"/>
      <c r="AQ93" s="202"/>
      <c r="AR93" s="202"/>
      <c r="AS93" s="202"/>
      <c r="AT93" s="202"/>
      <c r="AU93" s="202"/>
      <c r="AV93" s="202"/>
      <c r="AW93" s="202"/>
    </row>
    <row r="94" spans="1:49" s="235" customFormat="1">
      <c r="A94" s="238"/>
      <c r="D94" s="236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2"/>
      <c r="Q94" s="202"/>
      <c r="R94" s="202"/>
      <c r="S94" s="202"/>
      <c r="T94" s="202"/>
      <c r="U94" s="202"/>
      <c r="V94" s="202"/>
      <c r="W94" s="202"/>
      <c r="X94" s="202"/>
      <c r="Y94" s="202"/>
      <c r="Z94" s="202"/>
      <c r="AA94" s="202"/>
      <c r="AB94" s="202"/>
      <c r="AC94" s="202"/>
      <c r="AD94" s="202"/>
      <c r="AE94" s="202"/>
      <c r="AF94" s="202"/>
      <c r="AG94" s="202"/>
      <c r="AH94" s="202"/>
      <c r="AI94" s="202"/>
      <c r="AJ94" s="202"/>
      <c r="AK94" s="202"/>
      <c r="AL94" s="202"/>
      <c r="AM94" s="202"/>
      <c r="AN94" s="202"/>
      <c r="AO94" s="202"/>
      <c r="AP94" s="202"/>
      <c r="AQ94" s="202"/>
      <c r="AR94" s="202"/>
      <c r="AS94" s="202"/>
      <c r="AT94" s="202"/>
      <c r="AU94" s="202"/>
      <c r="AV94" s="202"/>
      <c r="AW94" s="202"/>
    </row>
    <row r="95" spans="1:49" s="235" customFormat="1">
      <c r="A95" s="238"/>
      <c r="D95" s="236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2"/>
      <c r="AH95" s="202"/>
      <c r="AI95" s="202"/>
      <c r="AJ95" s="202"/>
      <c r="AK95" s="202"/>
      <c r="AL95" s="202"/>
      <c r="AM95" s="202"/>
      <c r="AN95" s="202"/>
      <c r="AO95" s="202"/>
      <c r="AP95" s="202"/>
      <c r="AQ95" s="202"/>
      <c r="AR95" s="202"/>
      <c r="AS95" s="202"/>
      <c r="AT95" s="202"/>
      <c r="AU95" s="202"/>
      <c r="AV95" s="202"/>
      <c r="AW95" s="202"/>
    </row>
    <row r="96" spans="1:49" s="235" customFormat="1">
      <c r="A96" s="238"/>
      <c r="D96" s="239"/>
      <c r="E96" s="202"/>
      <c r="F96" s="202"/>
      <c r="G96" s="202"/>
      <c r="H96" s="202"/>
      <c r="I96" s="202"/>
      <c r="J96" s="202"/>
      <c r="K96" s="202"/>
      <c r="L96" s="202"/>
      <c r="M96" s="202"/>
      <c r="N96" s="202"/>
      <c r="O96" s="202"/>
      <c r="P96" s="202"/>
      <c r="Q96" s="202"/>
      <c r="R96" s="202"/>
      <c r="S96" s="202"/>
      <c r="T96" s="202"/>
      <c r="U96" s="202"/>
      <c r="V96" s="202"/>
      <c r="W96" s="202"/>
      <c r="X96" s="202"/>
      <c r="Y96" s="202"/>
      <c r="Z96" s="202"/>
      <c r="AA96" s="202"/>
      <c r="AB96" s="202"/>
      <c r="AC96" s="202"/>
      <c r="AD96" s="202"/>
      <c r="AE96" s="202"/>
      <c r="AF96" s="202"/>
      <c r="AG96" s="202"/>
      <c r="AH96" s="202"/>
      <c r="AI96" s="202"/>
      <c r="AJ96" s="202"/>
      <c r="AK96" s="202"/>
      <c r="AL96" s="202"/>
      <c r="AM96" s="202"/>
      <c r="AN96" s="202"/>
      <c r="AO96" s="202"/>
      <c r="AP96" s="202"/>
      <c r="AQ96" s="202"/>
      <c r="AR96" s="202"/>
      <c r="AS96" s="202"/>
      <c r="AT96" s="202"/>
      <c r="AU96" s="202"/>
      <c r="AV96" s="202"/>
      <c r="AW96" s="202"/>
    </row>
    <row r="97" spans="1:49" s="235" customFormat="1">
      <c r="A97" s="238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  <c r="Z97" s="201"/>
      <c r="AA97" s="201"/>
      <c r="AB97" s="201"/>
      <c r="AC97" s="201"/>
      <c r="AD97" s="201"/>
      <c r="AE97" s="201"/>
      <c r="AF97" s="201"/>
      <c r="AG97" s="201"/>
      <c r="AH97" s="201"/>
      <c r="AI97" s="201"/>
      <c r="AJ97" s="201"/>
      <c r="AK97" s="201"/>
      <c r="AL97" s="201"/>
      <c r="AM97" s="201"/>
      <c r="AN97" s="201"/>
      <c r="AO97" s="201"/>
      <c r="AP97" s="201"/>
      <c r="AQ97" s="201"/>
      <c r="AR97" s="201"/>
      <c r="AS97" s="201"/>
      <c r="AT97" s="201"/>
      <c r="AU97" s="201"/>
      <c r="AV97" s="201"/>
      <c r="AW97" s="201"/>
    </row>
    <row r="98" spans="1:49" s="235" customFormat="1">
      <c r="A98" s="238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  <c r="Z98" s="201"/>
      <c r="AA98" s="201"/>
      <c r="AB98" s="201"/>
      <c r="AC98" s="201"/>
      <c r="AD98" s="201"/>
      <c r="AE98" s="201"/>
      <c r="AF98" s="201"/>
      <c r="AG98" s="201"/>
      <c r="AH98" s="201"/>
      <c r="AI98" s="201"/>
      <c r="AJ98" s="201"/>
      <c r="AK98" s="201"/>
      <c r="AL98" s="201"/>
      <c r="AM98" s="201"/>
      <c r="AN98" s="201"/>
      <c r="AO98" s="201"/>
      <c r="AP98" s="201"/>
      <c r="AQ98" s="201"/>
      <c r="AR98" s="201"/>
      <c r="AS98" s="201"/>
      <c r="AT98" s="201"/>
      <c r="AU98" s="201"/>
      <c r="AV98" s="201"/>
      <c r="AW98" s="201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44" manualBreakCount="44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30" max="1048575" man="1"/>
    <brk id="29" max="1048575" man="1"/>
    <brk id="31" max="1048575" man="1"/>
    <brk id="32" max="1048575" man="1"/>
    <brk id="33" max="1048575" man="1"/>
    <brk id="34" max="1048575" man="1"/>
    <brk id="35" max="1048575" man="1"/>
    <brk id="36" max="1048575" man="1"/>
    <brk id="37" max="1048575" man="1"/>
    <brk id="38" max="1048575" man="1"/>
    <brk id="39" max="1048575" man="1"/>
    <brk id="40" max="1048575" man="1"/>
    <brk id="41" max="1048575" man="1"/>
    <brk id="42" max="1048575" man="1"/>
    <brk id="43" max="1048575" man="1"/>
    <brk id="44" max="1048575" man="1"/>
    <brk id="45" max="1048575" man="1"/>
    <brk id="46" max="1048575" man="1"/>
    <brk id="47" max="1048575" man="1"/>
    <brk id="4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62"/>
  <sheetViews>
    <sheetView zoomScaleNormal="100" workbookViewId="0">
      <selection sqref="A1:H1"/>
    </sheetView>
  </sheetViews>
  <sheetFormatPr defaultColWidth="10.7109375" defaultRowHeight="12.75"/>
  <cols>
    <col min="1" max="1" width="8.28515625" style="265" customWidth="1"/>
    <col min="2" max="2" width="18.7109375" style="266" customWidth="1"/>
    <col min="3" max="4" width="10.7109375" style="259" customWidth="1"/>
    <col min="5" max="5" width="10.140625" style="259" customWidth="1"/>
    <col min="6" max="6" width="14.7109375" style="267" customWidth="1"/>
    <col min="7" max="7" width="11.140625" style="259" bestFit="1" customWidth="1"/>
    <col min="8" max="8" width="2.140625" style="259" customWidth="1"/>
    <col min="9" max="9" width="14.140625" style="259" customWidth="1"/>
    <col min="10" max="10" width="19.140625" style="259" customWidth="1"/>
    <col min="11" max="16384" width="10.7109375" style="259"/>
  </cols>
  <sheetData>
    <row r="1" spans="1:9">
      <c r="A1" s="843" t="s">
        <v>115</v>
      </c>
      <c r="B1" s="843"/>
      <c r="C1" s="843"/>
      <c r="D1" s="843"/>
      <c r="E1" s="843"/>
      <c r="F1" s="843"/>
      <c r="G1" s="843"/>
      <c r="H1" s="843"/>
    </row>
    <row r="2" spans="1:9">
      <c r="A2" s="844" t="s">
        <v>130</v>
      </c>
      <c r="B2" s="844"/>
      <c r="C2" s="844"/>
      <c r="D2" s="844"/>
      <c r="E2" s="844"/>
      <c r="F2" s="844"/>
      <c r="G2" s="844"/>
      <c r="H2" s="844"/>
    </row>
    <row r="3" spans="1:9">
      <c r="A3" s="844" t="s">
        <v>260</v>
      </c>
      <c r="B3" s="844"/>
      <c r="C3" s="844"/>
      <c r="D3" s="844"/>
      <c r="E3" s="844"/>
      <c r="F3" s="844"/>
      <c r="G3" s="844"/>
      <c r="H3" s="844"/>
    </row>
    <row r="4" spans="1:9">
      <c r="A4" s="845" t="str">
        <f>'ROO INPUT'!A5:C5</f>
        <v>Twelve Months Ended September 31, 2015</v>
      </c>
      <c r="B4" s="845"/>
      <c r="C4" s="845"/>
      <c r="D4" s="845"/>
      <c r="E4" s="845"/>
      <c r="F4" s="845"/>
      <c r="G4" s="845"/>
      <c r="H4" s="845"/>
    </row>
    <row r="5" spans="1:9">
      <c r="A5" s="846" t="s">
        <v>118</v>
      </c>
      <c r="B5" s="846"/>
      <c r="C5" s="846"/>
      <c r="D5" s="846"/>
      <c r="E5" s="846"/>
      <c r="F5" s="846"/>
      <c r="G5" s="846"/>
      <c r="H5" s="846"/>
    </row>
    <row r="6" spans="1:9" ht="13.5" thickBot="1">
      <c r="A6" s="260"/>
      <c r="B6" s="261"/>
      <c r="C6" s="262"/>
      <c r="D6" s="263"/>
      <c r="E6" s="263"/>
      <c r="F6" s="263"/>
      <c r="I6" s="264" t="s">
        <v>231</v>
      </c>
    </row>
    <row r="7" spans="1:9" ht="13.5" thickBot="1">
      <c r="C7" s="267"/>
      <c r="D7" s="267"/>
      <c r="E7" s="840" t="s">
        <v>130</v>
      </c>
      <c r="F7" s="841"/>
      <c r="G7" s="842"/>
      <c r="I7" s="264" t="s">
        <v>232</v>
      </c>
    </row>
    <row r="8" spans="1:9">
      <c r="C8" s="267"/>
      <c r="D8" s="267"/>
      <c r="E8" s="265">
        <f>'Exh. No. BGM-6 -3'!U11</f>
        <v>2.1299999999999972</v>
      </c>
      <c r="F8" s="373"/>
      <c r="G8" s="373"/>
      <c r="I8" s="264"/>
    </row>
    <row r="9" spans="1:9">
      <c r="C9" s="267"/>
      <c r="D9" s="267"/>
      <c r="E9" s="268" t="s">
        <v>21</v>
      </c>
      <c r="F9" s="264" t="s">
        <v>451</v>
      </c>
      <c r="G9" s="264" t="s">
        <v>452</v>
      </c>
      <c r="I9" s="264" t="s">
        <v>233</v>
      </c>
    </row>
    <row r="10" spans="1:9">
      <c r="B10" s="269" t="s">
        <v>119</v>
      </c>
      <c r="C10" s="267"/>
      <c r="D10" s="267"/>
      <c r="E10" s="270" t="s">
        <v>234</v>
      </c>
      <c r="F10" s="271" t="s">
        <v>120</v>
      </c>
      <c r="G10" s="271" t="s">
        <v>235</v>
      </c>
      <c r="I10" s="271" t="str">
        <f>F10</f>
        <v>Adjustments</v>
      </c>
    </row>
    <row r="11" spans="1:9">
      <c r="A11" s="265">
        <f>'ADJ SUMMARY'!A8</f>
        <v>1</v>
      </c>
      <c r="B11" s="266" t="str">
        <f>'ADJ SUMMARY'!C8</f>
        <v>Per Results Report</v>
      </c>
      <c r="C11" s="267"/>
      <c r="D11" s="267"/>
      <c r="E11" s="272">
        <f>'ADJ SUMMARY'!E8</f>
        <v>259389</v>
      </c>
      <c r="F11" s="272"/>
      <c r="G11" s="316">
        <f>SUM(E11:F11)</f>
        <v>259389</v>
      </c>
      <c r="H11" s="316"/>
      <c r="I11" s="316">
        <f>ROUND(E11*$E$54*-$E$61,0)-(E58*-E61)</f>
        <v>-86</v>
      </c>
    </row>
    <row r="12" spans="1:9">
      <c r="A12" s="265">
        <f>'ADJ SUMMARY'!A9</f>
        <v>1.01</v>
      </c>
      <c r="B12" s="266" t="str">
        <f>'ADJ SUMMARY'!C9</f>
        <v>Deferred FIT Rate Base</v>
      </c>
      <c r="C12" s="267"/>
      <c r="D12" s="267"/>
      <c r="E12" s="316"/>
      <c r="F12" s="272">
        <f>'ADJ SUMMARY'!E9</f>
        <v>50</v>
      </c>
      <c r="G12" s="316">
        <f>SUM(E12:F12)</f>
        <v>50</v>
      </c>
      <c r="H12" s="316"/>
      <c r="I12" s="316">
        <f t="shared" ref="I12:I48" si="0">ROUND(F12*$E$54*-$E$61,0)</f>
        <v>0</v>
      </c>
    </row>
    <row r="13" spans="1:9">
      <c r="A13" s="265">
        <f>'ADJ SUMMARY'!A10</f>
        <v>1.02</v>
      </c>
      <c r="B13" s="266" t="str">
        <f>'ADJ SUMMARY'!C10</f>
        <v>Deferred Debits and Credits</v>
      </c>
      <c r="C13" s="267"/>
      <c r="D13" s="267"/>
      <c r="E13" s="316"/>
      <c r="F13" s="272">
        <f>'ADJ SUMMARY'!E10</f>
        <v>0</v>
      </c>
      <c r="G13" s="316">
        <f t="shared" ref="G13:G37" si="1">SUM(E13:F13)</f>
        <v>0</v>
      </c>
      <c r="H13" s="316"/>
      <c r="I13" s="316">
        <f t="shared" si="0"/>
        <v>0</v>
      </c>
    </row>
    <row r="14" spans="1:9">
      <c r="A14" s="265">
        <f>'ADJ SUMMARY'!A11</f>
        <v>1.03</v>
      </c>
      <c r="B14" s="266" t="str">
        <f>'ADJ SUMMARY'!C11</f>
        <v>Working Capital</v>
      </c>
      <c r="C14" s="267"/>
      <c r="D14" s="267"/>
      <c r="E14" s="316"/>
      <c r="F14" s="272">
        <f>'ADJ SUMMARY'!E11</f>
        <v>2828</v>
      </c>
      <c r="G14" s="316">
        <f t="shared" si="1"/>
        <v>2828</v>
      </c>
      <c r="H14" s="316"/>
      <c r="I14" s="316">
        <f t="shared" si="0"/>
        <v>-28</v>
      </c>
    </row>
    <row r="15" spans="1:9">
      <c r="A15" s="265">
        <f>'ADJ SUMMARY'!A12</f>
        <v>2.0099999999999998</v>
      </c>
      <c r="B15" s="266" t="str">
        <f>'ADJ SUMMARY'!C12</f>
        <v>Eliminate B &amp; O Taxes</v>
      </c>
      <c r="C15" s="267"/>
      <c r="D15" s="267"/>
      <c r="E15" s="316"/>
      <c r="F15" s="272">
        <f>'ADJ SUMMARY'!E12</f>
        <v>0</v>
      </c>
      <c r="G15" s="316">
        <f t="shared" si="1"/>
        <v>0</v>
      </c>
      <c r="H15" s="316"/>
      <c r="I15" s="316">
        <f t="shared" si="0"/>
        <v>0</v>
      </c>
    </row>
    <row r="16" spans="1:9">
      <c r="A16" s="265">
        <f>'ADJ SUMMARY'!A13</f>
        <v>2.0199999999999996</v>
      </c>
      <c r="B16" s="266" t="str">
        <f>'ADJ SUMMARY'!C13</f>
        <v>Restate Property Tax</v>
      </c>
      <c r="C16" s="267"/>
      <c r="D16" s="267"/>
      <c r="E16" s="316"/>
      <c r="F16" s="272">
        <f>'ADJ SUMMARY'!E13</f>
        <v>0</v>
      </c>
      <c r="G16" s="316">
        <f t="shared" si="1"/>
        <v>0</v>
      </c>
      <c r="H16" s="316"/>
      <c r="I16" s="316">
        <f t="shared" si="0"/>
        <v>0</v>
      </c>
    </row>
    <row r="17" spans="1:9">
      <c r="A17" s="265">
        <f>'ADJ SUMMARY'!A14</f>
        <v>2.0299999999999994</v>
      </c>
      <c r="B17" s="266" t="str">
        <f>'ADJ SUMMARY'!C14</f>
        <v>Uncollectible Expense</v>
      </c>
      <c r="C17" s="267"/>
      <c r="D17" s="267"/>
      <c r="E17" s="316"/>
      <c r="F17" s="272">
        <f>'ADJ SUMMARY'!E14</f>
        <v>0</v>
      </c>
      <c r="G17" s="316">
        <f t="shared" si="1"/>
        <v>0</v>
      </c>
      <c r="H17" s="316"/>
      <c r="I17" s="316">
        <f t="shared" si="0"/>
        <v>0</v>
      </c>
    </row>
    <row r="18" spans="1:9">
      <c r="A18" s="265">
        <f>'ADJ SUMMARY'!A15</f>
        <v>2.0399999999999991</v>
      </c>
      <c r="B18" s="266" t="str">
        <f>'ADJ SUMMARY'!C15</f>
        <v>Regulatory Expense</v>
      </c>
      <c r="C18" s="267"/>
      <c r="D18" s="267"/>
      <c r="E18" s="316"/>
      <c r="F18" s="272">
        <f>'ADJ SUMMARY'!E15</f>
        <v>0</v>
      </c>
      <c r="G18" s="316">
        <f t="shared" si="1"/>
        <v>0</v>
      </c>
      <c r="H18" s="316"/>
      <c r="I18" s="316">
        <f t="shared" si="0"/>
        <v>0</v>
      </c>
    </row>
    <row r="19" spans="1:9">
      <c r="A19" s="265">
        <f>'ADJ SUMMARY'!A16</f>
        <v>2.0499999999999989</v>
      </c>
      <c r="B19" s="266" t="str">
        <f>'ADJ SUMMARY'!C16</f>
        <v>Injuries and Damages</v>
      </c>
      <c r="C19" s="267"/>
      <c r="D19" s="267"/>
      <c r="E19" s="316"/>
      <c r="F19" s="272">
        <f>'ADJ SUMMARY'!E16</f>
        <v>0</v>
      </c>
      <c r="G19" s="316">
        <f t="shared" si="1"/>
        <v>0</v>
      </c>
      <c r="H19" s="316"/>
      <c r="I19" s="316">
        <f t="shared" si="0"/>
        <v>0</v>
      </c>
    </row>
    <row r="20" spans="1:9">
      <c r="A20" s="265">
        <f>'ADJ SUMMARY'!A17</f>
        <v>2.0599999999999987</v>
      </c>
      <c r="B20" s="266" t="str">
        <f>'ADJ SUMMARY'!C17</f>
        <v>FIT / DFIT Expense</v>
      </c>
      <c r="C20" s="267"/>
      <c r="D20" s="267"/>
      <c r="E20" s="316"/>
      <c r="F20" s="272">
        <f>'ADJ SUMMARY'!E17</f>
        <v>0</v>
      </c>
      <c r="G20" s="316">
        <f t="shared" si="1"/>
        <v>0</v>
      </c>
      <c r="H20" s="316"/>
      <c r="I20" s="316">
        <f t="shared" si="0"/>
        <v>0</v>
      </c>
    </row>
    <row r="21" spans="1:9">
      <c r="A21" s="265">
        <f>'ADJ SUMMARY'!A18</f>
        <v>2.0699999999999985</v>
      </c>
      <c r="B21" s="266" t="str">
        <f>'ADJ SUMMARY'!C18</f>
        <v>Office Space Charges to Subs</v>
      </c>
      <c r="C21" s="267"/>
      <c r="D21" s="267"/>
      <c r="E21" s="316"/>
      <c r="F21" s="272">
        <f>'ADJ SUMMARY'!E18</f>
        <v>0</v>
      </c>
      <c r="G21" s="316">
        <f t="shared" si="1"/>
        <v>0</v>
      </c>
      <c r="H21" s="316"/>
      <c r="I21" s="316">
        <f t="shared" si="0"/>
        <v>0</v>
      </c>
    </row>
    <row r="22" spans="1:9">
      <c r="A22" s="265">
        <f>'ADJ SUMMARY'!A19</f>
        <v>2.0799999999999983</v>
      </c>
      <c r="B22" s="266" t="str">
        <f>'ADJ SUMMARY'!C19</f>
        <v>Restate Excise Taxes</v>
      </c>
      <c r="C22" s="267"/>
      <c r="D22" s="267"/>
      <c r="E22" s="316"/>
      <c r="F22" s="272">
        <f>'ADJ SUMMARY'!E19</f>
        <v>0</v>
      </c>
      <c r="G22" s="316">
        <f t="shared" si="1"/>
        <v>0</v>
      </c>
      <c r="H22" s="316"/>
      <c r="I22" s="316">
        <f t="shared" si="0"/>
        <v>0</v>
      </c>
    </row>
    <row r="23" spans="1:9">
      <c r="A23" s="265">
        <f>'ADJ SUMMARY'!A20</f>
        <v>2.0899999999999981</v>
      </c>
      <c r="B23" s="266" t="str">
        <f>'ADJ SUMMARY'!C20</f>
        <v>Net Gains/Losses</v>
      </c>
      <c r="C23" s="267"/>
      <c r="D23" s="267"/>
      <c r="E23" s="316"/>
      <c r="F23" s="272">
        <f>'ADJ SUMMARY'!E20</f>
        <v>0</v>
      </c>
      <c r="G23" s="316">
        <f t="shared" si="1"/>
        <v>0</v>
      </c>
      <c r="H23" s="316"/>
      <c r="I23" s="316">
        <f t="shared" si="0"/>
        <v>0</v>
      </c>
    </row>
    <row r="24" spans="1:9">
      <c r="A24" s="265">
        <f>'ADJ SUMMARY'!A21</f>
        <v>2.0999999999999979</v>
      </c>
      <c r="B24" s="266" t="str">
        <f>'ADJ SUMMARY'!C21</f>
        <v>Weather Normalization / Gas Cost Adjust</v>
      </c>
      <c r="C24" s="267"/>
      <c r="D24" s="267"/>
      <c r="E24" s="316"/>
      <c r="F24" s="272">
        <f>'ADJ SUMMARY'!E21</f>
        <v>0</v>
      </c>
      <c r="G24" s="316">
        <f t="shared" si="1"/>
        <v>0</v>
      </c>
      <c r="H24" s="316"/>
      <c r="I24" s="316">
        <f t="shared" si="0"/>
        <v>0</v>
      </c>
    </row>
    <row r="25" spans="1:9">
      <c r="A25" s="265">
        <f>'ADJ SUMMARY'!A22</f>
        <v>2.1099999999999977</v>
      </c>
      <c r="B25" s="266" t="str">
        <f>'ADJ SUMMARY'!C22</f>
        <v>Eliminate Adder Schedules</v>
      </c>
      <c r="C25" s="267"/>
      <c r="D25" s="267"/>
      <c r="E25" s="316"/>
      <c r="F25" s="272">
        <f>'ADJ SUMMARY'!E22</f>
        <v>0</v>
      </c>
      <c r="G25" s="316">
        <f t="shared" si="1"/>
        <v>0</v>
      </c>
      <c r="H25" s="316"/>
      <c r="I25" s="316">
        <f t="shared" si="0"/>
        <v>0</v>
      </c>
    </row>
    <row r="26" spans="1:9">
      <c r="A26" s="265">
        <f>'ADJ SUMMARY'!A23</f>
        <v>2.1199999999999974</v>
      </c>
      <c r="B26" s="266" t="str">
        <f>'ADJ SUMMARY'!C23</f>
        <v>Misc Restating Adjustments</v>
      </c>
      <c r="C26" s="267"/>
      <c r="D26" s="267"/>
      <c r="E26" s="316"/>
      <c r="F26" s="272">
        <f>'ADJ SUMMARY'!E23</f>
        <v>0</v>
      </c>
      <c r="G26" s="316">
        <f t="shared" si="1"/>
        <v>0</v>
      </c>
      <c r="H26" s="316"/>
      <c r="I26" s="316">
        <f t="shared" si="0"/>
        <v>0</v>
      </c>
    </row>
    <row r="27" spans="1:9">
      <c r="A27" s="265">
        <f>'ADJ SUMMARY'!A24</f>
        <v>2.1299999999999972</v>
      </c>
      <c r="B27" s="266" t="str">
        <f>'ADJ SUMMARY'!C24</f>
        <v>Restate Debt Interest</v>
      </c>
      <c r="C27" s="267"/>
      <c r="D27" s="267"/>
      <c r="E27" s="316"/>
      <c r="F27" s="272">
        <f>'ADJ SUMMARY'!E24</f>
        <v>0</v>
      </c>
      <c r="G27" s="316">
        <f>SUM(E27:F27)</f>
        <v>0</v>
      </c>
      <c r="H27" s="316"/>
      <c r="I27" s="316">
        <f t="shared" si="0"/>
        <v>0</v>
      </c>
    </row>
    <row r="28" spans="1:9">
      <c r="A28" s="265">
        <f>'ADJ SUMMARY'!A25</f>
        <v>2.139999999999997</v>
      </c>
      <c r="B28" s="266" t="str">
        <f>'ADJ SUMMARY'!C25</f>
        <v>Restating Incentive Adjustment</v>
      </c>
      <c r="C28" s="267"/>
      <c r="D28" s="267"/>
      <c r="E28" s="316"/>
      <c r="F28" s="272">
        <f>'ADJ SUMMARY'!E25</f>
        <v>0</v>
      </c>
      <c r="G28" s="316">
        <f t="shared" si="1"/>
        <v>0</v>
      </c>
      <c r="H28" s="316"/>
      <c r="I28" s="316">
        <f t="shared" si="0"/>
        <v>0</v>
      </c>
    </row>
    <row r="29" spans="1:9">
      <c r="A29" s="265">
        <f>'ADJ SUMMARY'!A26</f>
        <v>2.1499999999999968</v>
      </c>
      <c r="B29" s="266" t="str">
        <f>'ADJ SUMMARY'!C26</f>
        <v>Project Compass Deferral</v>
      </c>
      <c r="C29" s="267"/>
      <c r="D29" s="267"/>
      <c r="E29" s="316"/>
      <c r="F29" s="272">
        <f>'ADJ SUMMARY'!E26</f>
        <v>0</v>
      </c>
      <c r="G29" s="316">
        <f t="shared" si="1"/>
        <v>0</v>
      </c>
      <c r="H29" s="316"/>
      <c r="I29" s="316">
        <f t="shared" si="0"/>
        <v>0</v>
      </c>
    </row>
    <row r="30" spans="1:9">
      <c r="A30" s="265">
        <f>'ADJ SUMMARY'!A30</f>
        <v>3</v>
      </c>
      <c r="B30" s="266" t="str">
        <f>'ADJ SUMMARY'!C30</f>
        <v>Pro Forma Labor Non-Exec</v>
      </c>
      <c r="C30" s="267"/>
      <c r="D30" s="267"/>
      <c r="E30" s="316"/>
      <c r="F30" s="272">
        <f>'ADJ SUMMARY'!E30</f>
        <v>0</v>
      </c>
      <c r="G30" s="316">
        <f t="shared" si="1"/>
        <v>0</v>
      </c>
      <c r="H30" s="316"/>
      <c r="I30" s="316">
        <f t="shared" si="0"/>
        <v>0</v>
      </c>
    </row>
    <row r="31" spans="1:9">
      <c r="A31" s="265">
        <f>'ADJ SUMMARY'!A31</f>
        <v>3.01</v>
      </c>
      <c r="B31" s="266" t="str">
        <f>'ADJ SUMMARY'!C31</f>
        <v>Pro Forma Labor Exec</v>
      </c>
      <c r="C31" s="267"/>
      <c r="D31" s="267"/>
      <c r="E31" s="316"/>
      <c r="F31" s="272">
        <f>'ADJ SUMMARY'!E31</f>
        <v>0</v>
      </c>
      <c r="G31" s="316">
        <f t="shared" si="1"/>
        <v>0</v>
      </c>
      <c r="H31" s="316"/>
      <c r="I31" s="316">
        <f t="shared" si="0"/>
        <v>0</v>
      </c>
    </row>
    <row r="32" spans="1:9">
      <c r="A32" s="265">
        <f>'ADJ SUMMARY'!A32</f>
        <v>3.0199999999999996</v>
      </c>
      <c r="B32" s="266" t="str">
        <f>'ADJ SUMMARY'!C32</f>
        <v>Pro Forma Employee Benefits</v>
      </c>
      <c r="C32" s="267"/>
      <c r="D32" s="267"/>
      <c r="E32" s="316"/>
      <c r="F32" s="272">
        <f>'ADJ SUMMARY'!E32</f>
        <v>0</v>
      </c>
      <c r="G32" s="316">
        <f t="shared" si="1"/>
        <v>0</v>
      </c>
      <c r="H32" s="316"/>
      <c r="I32" s="316">
        <f t="shared" si="0"/>
        <v>0</v>
      </c>
    </row>
    <row r="33" spans="1:9">
      <c r="A33" s="265">
        <f>'ADJ SUMMARY'!A33</f>
        <v>3.0299999999999994</v>
      </c>
      <c r="B33" s="266" t="str">
        <f>'ADJ SUMMARY'!C33</f>
        <v>Pro Forma Pipeline Safety Labor</v>
      </c>
      <c r="C33" s="267"/>
      <c r="D33" s="267"/>
      <c r="E33" s="316"/>
      <c r="F33" s="272">
        <f>'ADJ SUMMARY'!E33</f>
        <v>0</v>
      </c>
      <c r="G33" s="316">
        <f>SUM(E33:F33)</f>
        <v>0</v>
      </c>
      <c r="H33" s="316"/>
      <c r="I33" s="316">
        <f t="shared" si="0"/>
        <v>0</v>
      </c>
    </row>
    <row r="34" spans="1:9">
      <c r="A34" s="265">
        <f>'ADJ SUMMARY'!A34</f>
        <v>3.0399999999999991</v>
      </c>
      <c r="B34" s="266" t="str">
        <f>'ADJ SUMMARY'!C34</f>
        <v>Pro Forma Property Tax</v>
      </c>
      <c r="C34" s="267"/>
      <c r="D34" s="267"/>
      <c r="E34" s="316"/>
      <c r="F34" s="272">
        <f>'ADJ SUMMARY'!E34</f>
        <v>0</v>
      </c>
      <c r="G34" s="316">
        <f t="shared" si="1"/>
        <v>0</v>
      </c>
      <c r="H34" s="316"/>
      <c r="I34" s="316">
        <f t="shared" si="0"/>
        <v>0</v>
      </c>
    </row>
    <row r="35" spans="1:9">
      <c r="A35" s="265">
        <f>'ADJ SUMMARY'!A35</f>
        <v>3.0499999999999989</v>
      </c>
      <c r="B35" s="266" t="str">
        <f>'ADJ SUMMARY'!C35</f>
        <v>Pro Forma Revenue Normalization</v>
      </c>
      <c r="C35" s="267"/>
      <c r="D35" s="267"/>
      <c r="E35" s="316"/>
      <c r="F35" s="272">
        <f>'ADJ SUMMARY'!E35</f>
        <v>0</v>
      </c>
      <c r="G35" s="316">
        <f t="shared" si="1"/>
        <v>0</v>
      </c>
      <c r="H35" s="316"/>
      <c r="I35" s="316">
        <f t="shared" si="0"/>
        <v>0</v>
      </c>
    </row>
    <row r="36" spans="1:9">
      <c r="A36" s="265">
        <f>'ADJ SUMMARY'!A36</f>
        <v>3.0599999999999987</v>
      </c>
      <c r="B36" s="266" t="str">
        <f>'ADJ SUMMARY'!C36</f>
        <v>Pro Forma Atmospheric Testing</v>
      </c>
      <c r="C36" s="267"/>
      <c r="D36" s="267"/>
      <c r="E36" s="316"/>
      <c r="F36" s="272">
        <f>'ADJ SUMMARY'!E36</f>
        <v>0</v>
      </c>
      <c r="G36" s="316">
        <f>SUM(E36:F36)</f>
        <v>0</v>
      </c>
      <c r="H36" s="316"/>
      <c r="I36" s="316">
        <f t="shared" si="0"/>
        <v>0</v>
      </c>
    </row>
    <row r="37" spans="1:9">
      <c r="A37" s="265">
        <f>'ADJ SUMMARY'!A37</f>
        <v>3.0699999999999985</v>
      </c>
      <c r="B37" s="266" t="str">
        <f>'ADJ SUMMARY'!C37</f>
        <v>Pro Forma Regulatory Amortization</v>
      </c>
      <c r="C37" s="267"/>
      <c r="D37" s="267"/>
      <c r="E37" s="316"/>
      <c r="F37" s="272">
        <f>'ADJ SUMMARY'!E37</f>
        <v>0</v>
      </c>
      <c r="G37" s="316">
        <f t="shared" si="1"/>
        <v>0</v>
      </c>
      <c r="H37" s="316"/>
      <c r="I37" s="316">
        <f t="shared" si="0"/>
        <v>0</v>
      </c>
    </row>
    <row r="38" spans="1:9">
      <c r="A38" s="265">
        <f>'ADJ SUMMARY'!A38</f>
        <v>3.0799999999999983</v>
      </c>
      <c r="B38" s="266" t="str">
        <f>'ADJ SUMMARY'!C38</f>
        <v>Pro Forma Capital Add Dec 2015 AMA</v>
      </c>
      <c r="C38" s="267"/>
      <c r="D38" s="267"/>
      <c r="E38" s="316"/>
      <c r="F38" s="272">
        <f>'ADJ SUMMARY'!E38</f>
        <v>6106</v>
      </c>
      <c r="G38" s="316">
        <f t="shared" ref="G38:G48" si="2">SUM(E38:F38)</f>
        <v>6106</v>
      </c>
      <c r="H38" s="316"/>
      <c r="I38" s="316">
        <f t="shared" si="0"/>
        <v>-61</v>
      </c>
    </row>
    <row r="39" spans="1:9">
      <c r="A39" s="265">
        <f>'ADJ SUMMARY'!A39</f>
        <v>3.0899999999999981</v>
      </c>
      <c r="B39" s="266" t="str">
        <f>'ADJ SUMMARY'!C39</f>
        <v>Pro Forma 2016 Limited Capital Adds</v>
      </c>
      <c r="C39" s="267"/>
      <c r="D39" s="267"/>
      <c r="E39" s="316"/>
      <c r="F39" s="272">
        <f>'ADJ SUMMARY'!E39</f>
        <v>6128.5587201509297</v>
      </c>
      <c r="G39" s="316">
        <f t="shared" si="2"/>
        <v>6128.5587201509297</v>
      </c>
      <c r="H39" s="316"/>
      <c r="I39" s="316">
        <f t="shared" si="0"/>
        <v>-61</v>
      </c>
    </row>
    <row r="40" spans="1:9">
      <c r="A40" s="265">
        <f>'ADJ SUMMARY'!A40</f>
        <v>3.0999999999999979</v>
      </c>
      <c r="B40" s="266" t="str">
        <f>'ADJ SUMMARY'!C40</f>
        <v>Pro Forma O&amp;M Offsets</v>
      </c>
      <c r="C40" s="267"/>
      <c r="D40" s="267"/>
      <c r="E40" s="316"/>
      <c r="F40" s="272">
        <f>'ADJ SUMMARY'!E40</f>
        <v>0</v>
      </c>
      <c r="G40" s="316">
        <f t="shared" si="2"/>
        <v>0</v>
      </c>
      <c r="H40" s="316"/>
      <c r="I40" s="316">
        <f t="shared" si="0"/>
        <v>0</v>
      </c>
    </row>
    <row r="41" spans="1:9">
      <c r="A41" s="265">
        <f>'ADJ SUMMARY'!A43</f>
        <v>4</v>
      </c>
      <c r="B41" s="266" t="str">
        <f>'ADJ SUMMARY'!C43</f>
        <v>Cross Check Labor Non-Exec</v>
      </c>
      <c r="C41" s="267"/>
      <c r="D41" s="267"/>
      <c r="E41" s="316"/>
      <c r="F41" s="272">
        <f>'ADJ SUMMARY'!E43</f>
        <v>0</v>
      </c>
      <c r="G41" s="316">
        <f t="shared" si="2"/>
        <v>0</v>
      </c>
      <c r="H41" s="316"/>
      <c r="I41" s="316">
        <f t="shared" si="0"/>
        <v>0</v>
      </c>
    </row>
    <row r="42" spans="1:9">
      <c r="A42" s="265">
        <f>'ADJ SUMMARY'!A44</f>
        <v>4.01</v>
      </c>
      <c r="B42" s="266" t="str">
        <f>'ADJ SUMMARY'!C44</f>
        <v>Cross Check Capital Add 2016 AMA</v>
      </c>
      <c r="C42" s="267"/>
      <c r="D42" s="267"/>
      <c r="E42" s="316"/>
      <c r="F42" s="272">
        <f>'ADJ SUMMARY'!E44</f>
        <v>0</v>
      </c>
      <c r="G42" s="316">
        <f t="shared" ref="G42" si="3">SUM(E42:F42)</f>
        <v>0</v>
      </c>
      <c r="H42" s="316"/>
      <c r="I42" s="316">
        <f t="shared" si="0"/>
        <v>0</v>
      </c>
    </row>
    <row r="43" spans="1:9">
      <c r="A43" s="265">
        <f>'ADJ SUMMARY'!A45</f>
        <v>4.0199999999999996</v>
      </c>
      <c r="B43" s="266" t="str">
        <f>'ADJ SUMMARY'!C45</f>
        <v>Cross Check Capital Add 2017 AMA</v>
      </c>
      <c r="C43" s="267"/>
      <c r="D43" s="267"/>
      <c r="E43" s="316"/>
      <c r="F43" s="272">
        <f>'ADJ SUMMARY'!E45</f>
        <v>0</v>
      </c>
      <c r="G43" s="316">
        <f t="shared" si="2"/>
        <v>0</v>
      </c>
      <c r="H43" s="316"/>
      <c r="I43" s="316">
        <f t="shared" si="0"/>
        <v>0</v>
      </c>
    </row>
    <row r="44" spans="1:9">
      <c r="A44" s="265">
        <f>'ADJ SUMMARY'!A46</f>
        <v>4.0299999999999994</v>
      </c>
      <c r="B44" s="266" t="str">
        <f>'ADJ SUMMARY'!C46</f>
        <v>Cross Check 2017 AMI Capital &amp; Expense</v>
      </c>
      <c r="C44" s="267"/>
      <c r="D44" s="267"/>
      <c r="E44" s="316"/>
      <c r="F44" s="272">
        <f>'ADJ SUMMARY'!E46</f>
        <v>0</v>
      </c>
      <c r="G44" s="316">
        <f t="shared" si="2"/>
        <v>0</v>
      </c>
      <c r="H44" s="316"/>
      <c r="I44" s="316">
        <f t="shared" si="0"/>
        <v>0</v>
      </c>
    </row>
    <row r="45" spans="1:9">
      <c r="A45" s="265">
        <f>'ADJ SUMMARY'!A47</f>
        <v>4.0399999999999991</v>
      </c>
      <c r="B45" s="266" t="str">
        <f>'ADJ SUMMARY'!C47</f>
        <v>Cross Check Information Tech/Serv Exp</v>
      </c>
      <c r="C45" s="267"/>
      <c r="D45" s="267"/>
      <c r="E45" s="316"/>
      <c r="F45" s="272">
        <f>'ADJ SUMMARY'!E47</f>
        <v>0</v>
      </c>
      <c r="G45" s="316">
        <f t="shared" ref="G45" si="4">SUM(E45:F45)</f>
        <v>0</v>
      </c>
      <c r="H45" s="316"/>
      <c r="I45" s="316">
        <f t="shared" si="0"/>
        <v>0</v>
      </c>
    </row>
    <row r="46" spans="1:9">
      <c r="A46" s="265">
        <f>'ADJ SUMMARY'!A48</f>
        <v>4.0499999999999989</v>
      </c>
      <c r="B46" s="266" t="str">
        <f>'ADJ SUMMARY'!C48</f>
        <v>Cross Check Insurance Expense</v>
      </c>
      <c r="C46" s="267"/>
      <c r="D46" s="267"/>
      <c r="E46" s="316"/>
      <c r="F46" s="272">
        <f>'ADJ SUMMARY'!E48</f>
        <v>0</v>
      </c>
      <c r="G46" s="316">
        <f t="shared" si="2"/>
        <v>0</v>
      </c>
      <c r="H46" s="316"/>
      <c r="I46" s="316">
        <f t="shared" si="0"/>
        <v>0</v>
      </c>
    </row>
    <row r="47" spans="1:9">
      <c r="A47" s="265">
        <f>'ADJ SUMMARY'!A49</f>
        <v>4.0599999999999987</v>
      </c>
      <c r="B47" s="266" t="str">
        <f>'ADJ SUMMARY'!C49</f>
        <v>Cross Check Property Tax Exp</v>
      </c>
      <c r="C47" s="267"/>
      <c r="D47" s="267"/>
      <c r="E47" s="316"/>
      <c r="F47" s="272">
        <f>'ADJ SUMMARY'!E49</f>
        <v>0</v>
      </c>
      <c r="G47" s="316">
        <f t="shared" ref="G47" si="5">SUM(E47:F47)</f>
        <v>0</v>
      </c>
      <c r="H47" s="316"/>
      <c r="I47" s="316">
        <f t="shared" si="0"/>
        <v>0</v>
      </c>
    </row>
    <row r="48" spans="1:9">
      <c r="A48" s="265">
        <f>'ADJ SUMMARY'!A50</f>
        <v>4.0699999999999985</v>
      </c>
      <c r="B48" s="266" t="str">
        <f>'ADJ SUMMARY'!C50</f>
        <v>Reconcile 2017 Cross Check to Attrition</v>
      </c>
      <c r="C48" s="267"/>
      <c r="D48" s="267"/>
      <c r="E48" s="316"/>
      <c r="F48" s="272">
        <f>'ADJ SUMMARY'!E50</f>
        <v>0</v>
      </c>
      <c r="G48" s="316">
        <f t="shared" si="2"/>
        <v>0</v>
      </c>
      <c r="H48" s="316"/>
      <c r="I48" s="316">
        <f t="shared" si="0"/>
        <v>0</v>
      </c>
    </row>
    <row r="49" spans="2:10">
      <c r="B49" s="273"/>
      <c r="C49" s="267"/>
      <c r="D49" s="267"/>
      <c r="E49" s="387"/>
      <c r="F49" s="388"/>
      <c r="G49" s="389"/>
      <c r="H49" s="387"/>
      <c r="I49" s="387"/>
    </row>
    <row r="50" spans="2:10">
      <c r="B50" s="273"/>
      <c r="C50" s="267"/>
      <c r="D50" s="267"/>
      <c r="E50" s="317">
        <f>SUM(E11:E49)</f>
        <v>259389</v>
      </c>
      <c r="F50" s="317">
        <f>SUM(F11:F49)</f>
        <v>15112.55872015093</v>
      </c>
      <c r="G50" s="317">
        <f>SUM(G11:G49)</f>
        <v>274501.5587201509</v>
      </c>
      <c r="H50" s="317"/>
      <c r="I50" s="317"/>
    </row>
    <row r="51" spans="2:10">
      <c r="B51" s="273"/>
      <c r="C51" s="267"/>
      <c r="D51" s="267"/>
      <c r="E51" s="317"/>
      <c r="F51" s="318"/>
      <c r="G51" s="319"/>
      <c r="H51" s="316"/>
      <c r="I51" s="316"/>
    </row>
    <row r="52" spans="2:10">
      <c r="B52" s="273"/>
      <c r="C52" s="267"/>
      <c r="D52" s="267"/>
      <c r="E52" s="317"/>
      <c r="F52" s="318"/>
      <c r="G52" s="319"/>
      <c r="H52" s="316"/>
      <c r="I52" s="316"/>
    </row>
    <row r="53" spans="2:10" ht="5.25" customHeight="1">
      <c r="C53" s="267"/>
      <c r="D53" s="267"/>
      <c r="E53" s="317"/>
      <c r="F53" s="317"/>
      <c r="G53" s="317"/>
      <c r="H53" s="316"/>
      <c r="I53" s="316"/>
    </row>
    <row r="54" spans="2:10">
      <c r="B54" s="266" t="s">
        <v>128</v>
      </c>
      <c r="C54" s="267"/>
      <c r="D54" s="267"/>
      <c r="E54" s="326">
        <f>'Exh. No. BGM-6 -5'!P14</f>
        <v>2.8400000000000002E-2</v>
      </c>
      <c r="F54" s="326">
        <f>E54-I54</f>
        <v>2.8400000000000002E-2</v>
      </c>
      <c r="G54" s="326"/>
      <c r="H54" s="324"/>
      <c r="I54" s="326"/>
    </row>
    <row r="55" spans="2:10" ht="6" customHeight="1">
      <c r="C55" s="267"/>
      <c r="D55" s="267"/>
      <c r="E55" s="317"/>
      <c r="F55" s="317"/>
      <c r="G55" s="317"/>
      <c r="H55" s="316"/>
      <c r="I55" s="316"/>
    </row>
    <row r="56" spans="2:10">
      <c r="B56" s="266" t="s">
        <v>121</v>
      </c>
      <c r="C56" s="267"/>
      <c r="D56" s="267"/>
      <c r="E56" s="317">
        <f>E50*E54</f>
        <v>7366.6476000000002</v>
      </c>
      <c r="F56" s="317">
        <f>F50*F54</f>
        <v>429.19666765228641</v>
      </c>
      <c r="G56" s="317">
        <f>SUM(E56:F56)</f>
        <v>7795.8442676522864</v>
      </c>
      <c r="H56" s="316"/>
      <c r="I56" s="317">
        <f>SUM(I11:I49)</f>
        <v>-236</v>
      </c>
    </row>
    <row r="57" spans="2:10">
      <c r="C57" s="267"/>
      <c r="D57" s="267"/>
      <c r="E57" s="317"/>
      <c r="F57" s="317"/>
      <c r="G57" s="317"/>
      <c r="H57" s="316"/>
      <c r="I57" s="317"/>
    </row>
    <row r="58" spans="2:10">
      <c r="B58" s="266" t="s">
        <v>261</v>
      </c>
      <c r="C58" s="267"/>
      <c r="D58" s="267"/>
      <c r="E58" s="321">
        <v>7120</v>
      </c>
      <c r="F58" s="321"/>
      <c r="G58" s="320">
        <f>SUM(E58:F58)</f>
        <v>7120</v>
      </c>
      <c r="H58" s="316"/>
      <c r="I58" s="370"/>
    </row>
    <row r="59" spans="2:10" ht="5.25" customHeight="1">
      <c r="C59" s="267"/>
      <c r="D59" s="267"/>
      <c r="E59" s="317"/>
      <c r="F59" s="317"/>
      <c r="G59" s="317"/>
      <c r="H59" s="316"/>
      <c r="I59" s="371"/>
    </row>
    <row r="60" spans="2:10">
      <c r="B60" s="266" t="s">
        <v>122</v>
      </c>
      <c r="C60" s="267"/>
      <c r="D60" s="267"/>
      <c r="E60" s="317">
        <f>E56-E58</f>
        <v>246.64760000000024</v>
      </c>
      <c r="F60" s="317">
        <f>F56-F58</f>
        <v>429.19666765228641</v>
      </c>
      <c r="G60" s="317">
        <f>SUM(E60:F60)</f>
        <v>675.84426765228659</v>
      </c>
      <c r="H60" s="316"/>
      <c r="I60" s="371"/>
    </row>
    <row r="61" spans="2:10" ht="18" customHeight="1">
      <c r="B61" s="266" t="s">
        <v>123</v>
      </c>
      <c r="D61" s="267"/>
      <c r="E61" s="323">
        <v>0.35</v>
      </c>
      <c r="F61" s="323">
        <v>0.35</v>
      </c>
      <c r="G61" s="323"/>
      <c r="H61" s="324"/>
      <c r="I61" s="323"/>
    </row>
    <row r="62" spans="2:10" ht="5.25" customHeight="1" thickBot="1">
      <c r="D62" s="267"/>
      <c r="E62" s="317"/>
      <c r="F62" s="317"/>
      <c r="G62" s="317"/>
      <c r="H62" s="316"/>
      <c r="I62" s="317"/>
    </row>
    <row r="63" spans="2:10" ht="13.5" thickBot="1">
      <c r="B63" s="266" t="s">
        <v>124</v>
      </c>
      <c r="D63" s="267"/>
      <c r="E63" s="378">
        <f>ROUND(E60*-E61,0)</f>
        <v>-86</v>
      </c>
      <c r="F63" s="322">
        <f>ROUND(F60*-F61,0)</f>
        <v>-150</v>
      </c>
      <c r="G63" s="322">
        <f>SUM(E63:F63)</f>
        <v>-236</v>
      </c>
      <c r="H63" s="316"/>
      <c r="I63" s="322">
        <f>I56</f>
        <v>-236</v>
      </c>
      <c r="J63" s="372" t="s">
        <v>450</v>
      </c>
    </row>
    <row r="64" spans="2:10">
      <c r="F64" s="275"/>
      <c r="J64" s="259">
        <f>I63-'Exh. No. BGM-6 -3'!U54-'Exh. No. BGM-6 -3'!AU55</f>
        <v>238.61436024845554</v>
      </c>
    </row>
    <row r="65" spans="1:8" hidden="1">
      <c r="A65" s="276" t="s">
        <v>236</v>
      </c>
      <c r="B65" s="277" t="s">
        <v>237</v>
      </c>
    </row>
    <row r="66" spans="1:8" hidden="1">
      <c r="B66" s="269" t="s">
        <v>238</v>
      </c>
    </row>
    <row r="67" spans="1:8" hidden="1">
      <c r="B67" s="266" t="s">
        <v>239</v>
      </c>
      <c r="C67" s="278">
        <v>2430</v>
      </c>
      <c r="H67" s="259" t="s">
        <v>240</v>
      </c>
    </row>
    <row r="68" spans="1:8" hidden="1">
      <c r="B68" s="266" t="s">
        <v>241</v>
      </c>
      <c r="C68" s="279">
        <v>2935</v>
      </c>
      <c r="H68" s="259" t="s">
        <v>240</v>
      </c>
    </row>
    <row r="69" spans="1:8" hidden="1">
      <c r="B69" s="266" t="s">
        <v>242</v>
      </c>
      <c r="C69" s="280">
        <f>C67+C68</f>
        <v>5365</v>
      </c>
    </row>
    <row r="70" spans="1:8" hidden="1">
      <c r="C70" s="274"/>
    </row>
    <row r="71" spans="1:8" hidden="1">
      <c r="C71" s="281"/>
      <c r="D71" s="264"/>
      <c r="E71" s="264" t="s">
        <v>243</v>
      </c>
    </row>
    <row r="72" spans="1:8" hidden="1">
      <c r="C72" s="271" t="s">
        <v>244</v>
      </c>
      <c r="D72" s="271" t="s">
        <v>245</v>
      </c>
      <c r="E72" s="271" t="s">
        <v>25</v>
      </c>
    </row>
    <row r="73" spans="1:8" hidden="1">
      <c r="B73" s="266" t="s">
        <v>246</v>
      </c>
      <c r="C73" s="282" t="e">
        <f>#REF!</f>
        <v>#REF!</v>
      </c>
      <c r="D73" s="283" t="e">
        <f>ROUND(C73/$C$76,4)</f>
        <v>#REF!</v>
      </c>
      <c r="E73" s="282" t="e">
        <f>D73*E76</f>
        <v>#REF!</v>
      </c>
      <c r="F73" s="284"/>
    </row>
    <row r="74" spans="1:8" hidden="1">
      <c r="B74" s="266" t="s">
        <v>247</v>
      </c>
      <c r="C74" s="285" t="e">
        <f>#REF!</f>
        <v>#REF!</v>
      </c>
      <c r="D74" s="283" t="e">
        <f>ROUND(C74/$C$76,4)</f>
        <v>#REF!</v>
      </c>
      <c r="E74" s="285" t="e">
        <f>D74*E76</f>
        <v>#REF!</v>
      </c>
    </row>
    <row r="75" spans="1:8" hidden="1">
      <c r="B75" s="266" t="s">
        <v>248</v>
      </c>
      <c r="C75" s="285" t="e">
        <f>#REF!</f>
        <v>#REF!</v>
      </c>
      <c r="D75" s="283" t="e">
        <f>ROUND(C75/$C$76,4)-0.0001</f>
        <v>#REF!</v>
      </c>
      <c r="E75" s="285" t="e">
        <f>E76*D75</f>
        <v>#REF!</v>
      </c>
    </row>
    <row r="76" spans="1:8" hidden="1">
      <c r="B76" s="266" t="s">
        <v>249</v>
      </c>
      <c r="C76" s="286" t="e">
        <f>C73+C74+C75</f>
        <v>#REF!</v>
      </c>
      <c r="D76" s="287" t="e">
        <f>D73+D74+D75</f>
        <v>#REF!</v>
      </c>
      <c r="E76" s="286">
        <f>C69</f>
        <v>5365</v>
      </c>
    </row>
    <row r="77" spans="1:8" hidden="1">
      <c r="C77" s="288"/>
      <c r="D77" s="288"/>
      <c r="E77" s="288"/>
    </row>
    <row r="78" spans="1:8" hidden="1">
      <c r="B78" s="266" t="s">
        <v>250</v>
      </c>
      <c r="C78" s="282" t="e">
        <f>#REF!</f>
        <v>#REF!</v>
      </c>
      <c r="D78" s="283" t="e">
        <f>C78/C80</f>
        <v>#REF!</v>
      </c>
      <c r="E78" s="282" t="e">
        <f>D78*E80</f>
        <v>#REF!</v>
      </c>
    </row>
    <row r="79" spans="1:8" hidden="1">
      <c r="B79" s="266" t="s">
        <v>251</v>
      </c>
      <c r="C79" s="288" t="e">
        <f>#REF!</f>
        <v>#REF!</v>
      </c>
      <c r="D79" s="283" t="e">
        <f>C79/C80</f>
        <v>#REF!</v>
      </c>
      <c r="E79" s="288" t="e">
        <f>D79*E80</f>
        <v>#REF!</v>
      </c>
    </row>
    <row r="80" spans="1:8" hidden="1">
      <c r="B80" s="266" t="s">
        <v>249</v>
      </c>
      <c r="C80" s="286" t="e">
        <f>C78+C79</f>
        <v>#REF!</v>
      </c>
      <c r="D80" s="287" t="e">
        <f>D78+D79</f>
        <v>#REF!</v>
      </c>
      <c r="E80" s="286" t="e">
        <f>E73</f>
        <v>#REF!</v>
      </c>
    </row>
    <row r="81" spans="1:6" hidden="1">
      <c r="C81" s="288"/>
      <c r="D81" s="288"/>
      <c r="E81" s="288"/>
    </row>
    <row r="82" spans="1:6" hidden="1">
      <c r="B82" s="266" t="s">
        <v>252</v>
      </c>
      <c r="C82" s="282" t="e">
        <f>#REF!</f>
        <v>#REF!</v>
      </c>
      <c r="D82" s="289" t="e">
        <f>C82/C84</f>
        <v>#REF!</v>
      </c>
      <c r="E82" s="282" t="e">
        <f>E84*D82</f>
        <v>#REF!</v>
      </c>
    </row>
    <row r="83" spans="1:6" hidden="1">
      <c r="B83" s="266" t="s">
        <v>253</v>
      </c>
      <c r="C83" s="288" t="e">
        <f>#REF!</f>
        <v>#REF!</v>
      </c>
      <c r="D83" s="290" t="e">
        <f>C83/C84</f>
        <v>#REF!</v>
      </c>
      <c r="E83" s="288" t="e">
        <f>E84*D83</f>
        <v>#REF!</v>
      </c>
    </row>
    <row r="84" spans="1:6" hidden="1">
      <c r="B84" s="266" t="s">
        <v>249</v>
      </c>
      <c r="C84" s="286" t="e">
        <f>SUM(C82:C83)</f>
        <v>#REF!</v>
      </c>
      <c r="D84" s="291" t="e">
        <f>SUM(D82:D83)</f>
        <v>#REF!</v>
      </c>
      <c r="E84" s="286" t="e">
        <f>E74</f>
        <v>#REF!</v>
      </c>
    </row>
    <row r="85" spans="1:6" hidden="1">
      <c r="A85" s="292" t="str">
        <f>A1</f>
        <v>AVISTA UTILITIES</v>
      </c>
      <c r="C85" s="293"/>
      <c r="D85" s="294"/>
      <c r="E85" s="293"/>
      <c r="F85" s="294"/>
    </row>
    <row r="86" spans="1:6" hidden="1">
      <c r="A86" s="292" t="str">
        <f>A2</f>
        <v>Restate Debt Interest</v>
      </c>
      <c r="C86" s="293"/>
      <c r="D86" s="294"/>
      <c r="E86" s="293"/>
      <c r="F86" s="294"/>
    </row>
    <row r="87" spans="1:6" hidden="1">
      <c r="A87" s="292" t="s">
        <v>254</v>
      </c>
      <c r="C87" s="293"/>
      <c r="D87" s="294"/>
      <c r="E87" s="293"/>
      <c r="F87" s="294"/>
    </row>
    <row r="88" spans="1:6" hidden="1">
      <c r="A88" s="295" t="str">
        <f>A4</f>
        <v>Twelve Months Ended September 31, 2015</v>
      </c>
      <c r="C88" s="262"/>
      <c r="D88" s="294"/>
      <c r="E88" s="262"/>
      <c r="F88" s="294"/>
    </row>
    <row r="89" spans="1:6" hidden="1">
      <c r="A89" s="296" t="s">
        <v>118</v>
      </c>
      <c r="C89" s="293"/>
      <c r="D89" s="294"/>
      <c r="E89" s="294"/>
      <c r="F89" s="294"/>
    </row>
    <row r="90" spans="1:6" hidden="1">
      <c r="C90" s="267"/>
      <c r="D90" s="267"/>
      <c r="E90" s="268"/>
      <c r="F90" s="264" t="s">
        <v>20</v>
      </c>
    </row>
    <row r="91" spans="1:6" hidden="1">
      <c r="B91" s="269" t="s">
        <v>119</v>
      </c>
      <c r="C91" s="267"/>
      <c r="D91" s="267"/>
      <c r="E91" s="268"/>
      <c r="F91" s="271" t="s">
        <v>120</v>
      </c>
    </row>
    <row r="92" spans="1:6" hidden="1">
      <c r="A92" s="265" t="e">
        <f>'[4]ADJ SUMMARY'!#REF!</f>
        <v>#REF!</v>
      </c>
      <c r="B92" s="266" t="e">
        <f>'[4]ADJ SUMMARY'!#REF!</f>
        <v>#REF!</v>
      </c>
      <c r="C92" s="267"/>
      <c r="D92" s="267"/>
      <c r="E92" s="274"/>
      <c r="F92" s="297" t="e">
        <f>'[4]ADJ SUMMARY'!#REF!</f>
        <v>#REF!</v>
      </c>
    </row>
    <row r="93" spans="1:6" hidden="1">
      <c r="A93" s="265" t="e">
        <f>'[4]ADJ SUMMARY'!#REF!</f>
        <v>#REF!</v>
      </c>
      <c r="B93" s="266" t="e">
        <f>'[4]ADJ SUMMARY'!#REF!</f>
        <v>#REF!</v>
      </c>
      <c r="C93" s="267"/>
      <c r="D93" s="267"/>
      <c r="E93" s="274"/>
      <c r="F93" s="297" t="e">
        <f>'[4]ADJ SUMMARY'!#REF!</f>
        <v>#REF!</v>
      </c>
    </row>
    <row r="94" spans="1:6" hidden="1">
      <c r="A94" s="265" t="e">
        <f>'[4]ADJ SUMMARY'!#REF!</f>
        <v>#REF!</v>
      </c>
      <c r="B94" s="266" t="e">
        <f>'[4]ADJ SUMMARY'!#REF!</f>
        <v>#REF!</v>
      </c>
      <c r="C94" s="267"/>
      <c r="D94" s="267"/>
      <c r="E94" s="274"/>
      <c r="F94" s="297" t="e">
        <f>'[4]ADJ SUMMARY'!#REF!</f>
        <v>#REF!</v>
      </c>
    </row>
    <row r="95" spans="1:6" hidden="1">
      <c r="A95" s="265" t="e">
        <f>'[4]ADJ SUMMARY'!#REF!</f>
        <v>#REF!</v>
      </c>
      <c r="B95" s="266" t="e">
        <f>'[4]ADJ SUMMARY'!#REF!</f>
        <v>#REF!</v>
      </c>
      <c r="C95" s="267"/>
      <c r="D95" s="267"/>
      <c r="E95" s="274"/>
      <c r="F95" s="297" t="e">
        <f>'[4]ADJ SUMMARY'!#REF!</f>
        <v>#REF!</v>
      </c>
    </row>
    <row r="96" spans="1:6" hidden="1">
      <c r="A96" s="265" t="e">
        <f>'[4]ADJ SUMMARY'!#REF!</f>
        <v>#REF!</v>
      </c>
      <c r="B96" s="266" t="e">
        <f>'[4]ADJ SUMMARY'!#REF!</f>
        <v>#REF!</v>
      </c>
      <c r="C96" s="267"/>
      <c r="D96" s="267"/>
      <c r="E96" s="274"/>
      <c r="F96" s="297" t="e">
        <f>'[4]ADJ SUMMARY'!#REF!</f>
        <v>#REF!</v>
      </c>
    </row>
    <row r="97" spans="1:6" hidden="1">
      <c r="A97" s="265" t="e">
        <f>'[4]ADJ SUMMARY'!#REF!</f>
        <v>#REF!</v>
      </c>
      <c r="B97" s="266" t="e">
        <f>'[4]ADJ SUMMARY'!#REF!</f>
        <v>#REF!</v>
      </c>
      <c r="C97" s="267"/>
      <c r="D97" s="267"/>
      <c r="E97" s="274"/>
      <c r="F97" s="297" t="e">
        <f>'[4]ADJ SUMMARY'!#REF!</f>
        <v>#REF!</v>
      </c>
    </row>
    <row r="98" spans="1:6" hidden="1">
      <c r="A98" s="265" t="e">
        <f>'[4]ADJ SUMMARY'!#REF!</f>
        <v>#REF!</v>
      </c>
      <c r="B98" s="266" t="e">
        <f>'[4]ADJ SUMMARY'!#REF!</f>
        <v>#REF!</v>
      </c>
      <c r="C98" s="267"/>
      <c r="D98" s="267"/>
      <c r="E98" s="274"/>
      <c r="F98" s="297" t="e">
        <f>'[4]ADJ SUMMARY'!#REF!</f>
        <v>#REF!</v>
      </c>
    </row>
    <row r="99" spans="1:6" hidden="1">
      <c r="A99" s="265" t="e">
        <f>'[4]ADJ SUMMARY'!#REF!</f>
        <v>#REF!</v>
      </c>
      <c r="B99" s="266" t="e">
        <f>'[4]ADJ SUMMARY'!#REF!</f>
        <v>#REF!</v>
      </c>
      <c r="C99" s="267"/>
      <c r="D99" s="267"/>
      <c r="E99" s="274"/>
      <c r="F99" s="297" t="e">
        <f>'[4]ADJ SUMMARY'!#REF!</f>
        <v>#REF!</v>
      </c>
    </row>
    <row r="100" spans="1:6" hidden="1">
      <c r="A100" s="265" t="e">
        <f>'[4]ADJ SUMMARY'!#REF!</f>
        <v>#REF!</v>
      </c>
      <c r="B100" s="266" t="e">
        <f>'[4]ADJ SUMMARY'!#REF!</f>
        <v>#REF!</v>
      </c>
      <c r="C100" s="267"/>
      <c r="D100" s="267"/>
      <c r="E100" s="274"/>
      <c r="F100" s="297" t="e">
        <f>'[4]ADJ SUMMARY'!#REF!</f>
        <v>#REF!</v>
      </c>
    </row>
    <row r="101" spans="1:6" hidden="1">
      <c r="A101" s="265" t="e">
        <f>'[4]ADJ SUMMARY'!#REF!</f>
        <v>#REF!</v>
      </c>
      <c r="B101" s="266" t="e">
        <f>'[4]ADJ SUMMARY'!#REF!</f>
        <v>#REF!</v>
      </c>
      <c r="C101" s="267"/>
      <c r="D101" s="267"/>
      <c r="E101" s="274"/>
      <c r="F101" s="297" t="e">
        <f>'[4]ADJ SUMMARY'!#REF!</f>
        <v>#REF!</v>
      </c>
    </row>
    <row r="102" spans="1:6" hidden="1">
      <c r="A102" s="265" t="e">
        <f>'[4]ADJ SUMMARY'!#REF!</f>
        <v>#REF!</v>
      </c>
      <c r="B102" s="266" t="e">
        <f>'[4]ADJ SUMMARY'!#REF!</f>
        <v>#REF!</v>
      </c>
      <c r="C102" s="267"/>
      <c r="D102" s="267"/>
      <c r="E102" s="274"/>
      <c r="F102" s="297" t="e">
        <f>'[4]ADJ SUMMARY'!#REF!</f>
        <v>#REF!</v>
      </c>
    </row>
    <row r="103" spans="1:6" hidden="1">
      <c r="A103" s="265" t="e">
        <f>'[4]ADJ SUMMARY'!#REF!</f>
        <v>#REF!</v>
      </c>
      <c r="B103" s="266" t="e">
        <f>'[4]ADJ SUMMARY'!#REF!</f>
        <v>#REF!</v>
      </c>
      <c r="C103" s="267"/>
      <c r="D103" s="267"/>
      <c r="E103" s="274"/>
      <c r="F103" s="297" t="e">
        <f>'[4]ADJ SUMMARY'!#REF!</f>
        <v>#REF!</v>
      </c>
    </row>
    <row r="104" spans="1:6" hidden="1">
      <c r="A104" s="265" t="e">
        <f>'[4]ADJ SUMMARY'!#REF!</f>
        <v>#REF!</v>
      </c>
      <c r="B104" s="266" t="e">
        <f>'[4]ADJ SUMMARY'!#REF!</f>
        <v>#REF!</v>
      </c>
      <c r="C104" s="267"/>
      <c r="D104" s="267"/>
      <c r="E104" s="274"/>
      <c r="F104" s="297" t="e">
        <f>'[4]ADJ SUMMARY'!#REF!</f>
        <v>#REF!</v>
      </c>
    </row>
    <row r="105" spans="1:6" hidden="1">
      <c r="A105" s="265" t="e">
        <f>'[4]ADJ SUMMARY'!#REF!</f>
        <v>#REF!</v>
      </c>
      <c r="B105" s="266" t="e">
        <f>'[4]ADJ SUMMARY'!#REF!</f>
        <v>#REF!</v>
      </c>
      <c r="C105" s="267"/>
      <c r="D105" s="267"/>
      <c r="E105" s="274"/>
      <c r="F105" s="297" t="e">
        <f>'[4]ADJ SUMMARY'!#REF!</f>
        <v>#REF!</v>
      </c>
    </row>
    <row r="106" spans="1:6" hidden="1">
      <c r="A106" s="265" t="e">
        <f>'[4]ADJ SUMMARY'!#REF!</f>
        <v>#REF!</v>
      </c>
      <c r="B106" s="266" t="e">
        <f>'[4]ADJ SUMMARY'!#REF!</f>
        <v>#REF!</v>
      </c>
      <c r="C106" s="267"/>
      <c r="D106" s="267"/>
      <c r="E106" s="274"/>
      <c r="F106" s="297" t="e">
        <f>'[4]ADJ SUMMARY'!#REF!</f>
        <v>#REF!</v>
      </c>
    </row>
    <row r="107" spans="1:6" hidden="1">
      <c r="A107" s="265" t="e">
        <f>'[4]ADJ SUMMARY'!#REF!</f>
        <v>#REF!</v>
      </c>
      <c r="B107" s="266" t="e">
        <f>'[4]ADJ SUMMARY'!#REF!</f>
        <v>#REF!</v>
      </c>
      <c r="C107" s="267"/>
      <c r="D107" s="267"/>
      <c r="E107" s="274"/>
      <c r="F107" s="297" t="e">
        <f>'[4]ADJ SUMMARY'!#REF!</f>
        <v>#REF!</v>
      </c>
    </row>
    <row r="108" spans="1:6" hidden="1">
      <c r="A108" s="265" t="e">
        <f>'[4]ADJ SUMMARY'!#REF!</f>
        <v>#REF!</v>
      </c>
      <c r="B108" s="266" t="e">
        <f>'[4]ADJ SUMMARY'!#REF!</f>
        <v>#REF!</v>
      </c>
      <c r="C108" s="267"/>
      <c r="D108" s="267"/>
      <c r="E108" s="274"/>
      <c r="F108" s="297" t="e">
        <f>'[4]ADJ SUMMARY'!#REF!</f>
        <v>#REF!</v>
      </c>
    </row>
    <row r="109" spans="1:6" hidden="1">
      <c r="A109" s="265" t="e">
        <f>'[4]ADJ SUMMARY'!#REF!</f>
        <v>#REF!</v>
      </c>
      <c r="B109" s="266" t="e">
        <f>'[4]ADJ SUMMARY'!#REF!</f>
        <v>#REF!</v>
      </c>
      <c r="C109" s="267"/>
      <c r="D109" s="267"/>
      <c r="E109" s="274"/>
      <c r="F109" s="297" t="e">
        <f>'[4]ADJ SUMMARY'!#REF!</f>
        <v>#REF!</v>
      </c>
    </row>
    <row r="110" spans="1:6" hidden="1">
      <c r="A110" s="265" t="e">
        <f>'[4]ADJ SUMMARY'!#REF!</f>
        <v>#REF!</v>
      </c>
      <c r="B110" s="266" t="e">
        <f>'[4]ADJ SUMMARY'!#REF!</f>
        <v>#REF!</v>
      </c>
      <c r="C110" s="267"/>
      <c r="D110" s="267"/>
      <c r="E110" s="274"/>
      <c r="F110" s="297" t="e">
        <f>'[4]ADJ SUMMARY'!#REF!</f>
        <v>#REF!</v>
      </c>
    </row>
    <row r="111" spans="1:6" hidden="1">
      <c r="A111" s="265" t="e">
        <f>'[4]ADJ SUMMARY'!#REF!</f>
        <v>#REF!</v>
      </c>
      <c r="B111" s="266" t="e">
        <f>'[4]ADJ SUMMARY'!#REF!</f>
        <v>#REF!</v>
      </c>
      <c r="C111" s="267"/>
      <c r="D111" s="267"/>
      <c r="E111" s="274"/>
      <c r="F111" s="297" t="e">
        <f>'[4]ADJ SUMMARY'!#REF!</f>
        <v>#REF!</v>
      </c>
    </row>
    <row r="112" spans="1:6" hidden="1">
      <c r="A112" s="265" t="e">
        <f>'[4]ADJ SUMMARY'!#REF!</f>
        <v>#REF!</v>
      </c>
      <c r="B112" s="266" t="e">
        <f>'[4]ADJ SUMMARY'!#REF!</f>
        <v>#REF!</v>
      </c>
      <c r="C112" s="267"/>
      <c r="D112" s="267"/>
      <c r="E112" s="274"/>
      <c r="F112" s="297" t="e">
        <f>'[4]ADJ SUMMARY'!#REF!</f>
        <v>#REF!</v>
      </c>
    </row>
    <row r="113" spans="1:6" ht="5.25" hidden="1" customHeight="1">
      <c r="C113" s="267"/>
      <c r="D113" s="267"/>
      <c r="E113" s="274"/>
      <c r="F113" s="297"/>
    </row>
    <row r="114" spans="1:6" ht="13.5" hidden="1" customHeight="1">
      <c r="A114" s="265" t="e">
        <f>'[4]ADJ SUMMARY'!#REF!</f>
        <v>#REF!</v>
      </c>
      <c r="B114" s="266" t="e">
        <f>'[4]ADJ SUMMARY'!#REF!</f>
        <v>#REF!</v>
      </c>
      <c r="C114" s="267"/>
      <c r="D114" s="267"/>
      <c r="E114" s="274"/>
      <c r="F114" s="297" t="e">
        <f>'[4]ADJ SUMMARY'!#REF!</f>
        <v>#REF!</v>
      </c>
    </row>
    <row r="115" spans="1:6" hidden="1">
      <c r="A115" s="265" t="e">
        <f>'[4]ADJ SUMMARY'!#REF!</f>
        <v>#REF!</v>
      </c>
      <c r="B115" s="266" t="e">
        <f>'[4]ADJ SUMMARY'!#REF!</f>
        <v>#REF!</v>
      </c>
      <c r="C115" s="267"/>
      <c r="D115" s="267"/>
      <c r="E115" s="274"/>
      <c r="F115" s="297" t="e">
        <f>'[4]ADJ SUMMARY'!#REF!</f>
        <v>#REF!</v>
      </c>
    </row>
    <row r="116" spans="1:6" hidden="1">
      <c r="A116" s="265" t="e">
        <f>'[4]ADJ SUMMARY'!#REF!</f>
        <v>#REF!</v>
      </c>
      <c r="B116" s="266" t="e">
        <f>'[4]ADJ SUMMARY'!#REF!</f>
        <v>#REF!</v>
      </c>
      <c r="C116" s="267"/>
      <c r="D116" s="267"/>
      <c r="E116" s="274"/>
      <c r="F116" s="297" t="e">
        <f>'[4]ADJ SUMMARY'!#REF!</f>
        <v>#REF!</v>
      </c>
    </row>
    <row r="117" spans="1:6" hidden="1">
      <c r="A117" s="265" t="e">
        <f>'[4]ADJ SUMMARY'!#REF!</f>
        <v>#REF!</v>
      </c>
      <c r="B117" s="266" t="e">
        <f>'[4]ADJ SUMMARY'!#REF!</f>
        <v>#REF!</v>
      </c>
      <c r="C117" s="267"/>
      <c r="D117" s="267"/>
      <c r="E117" s="274"/>
      <c r="F117" s="297" t="e">
        <f>'[4]ADJ SUMMARY'!#REF!</f>
        <v>#REF!</v>
      </c>
    </row>
    <row r="118" spans="1:6" hidden="1">
      <c r="A118" s="265" t="e">
        <f>'[4]ADJ SUMMARY'!#REF!</f>
        <v>#REF!</v>
      </c>
      <c r="B118" s="266" t="e">
        <f>'[4]ADJ SUMMARY'!#REF!</f>
        <v>#REF!</v>
      </c>
      <c r="C118" s="267"/>
      <c r="D118" s="267"/>
      <c r="E118" s="274"/>
      <c r="F118" s="297" t="e">
        <f>'[4]ADJ SUMMARY'!#REF!</f>
        <v>#REF!</v>
      </c>
    </row>
    <row r="119" spans="1:6" hidden="1">
      <c r="A119" s="265" t="e">
        <f>'[4]ADJ SUMMARY'!#REF!</f>
        <v>#REF!</v>
      </c>
      <c r="B119" s="266" t="e">
        <f>'[4]ADJ SUMMARY'!#REF!</f>
        <v>#REF!</v>
      </c>
      <c r="C119" s="267"/>
      <c r="D119" s="267"/>
      <c r="E119" s="274"/>
      <c r="F119" s="297" t="e">
        <f>'[4]ADJ SUMMARY'!#REF!</f>
        <v>#REF!</v>
      </c>
    </row>
    <row r="120" spans="1:6" hidden="1">
      <c r="A120" s="265" t="e">
        <f>'[4]ADJ SUMMARY'!#REF!</f>
        <v>#REF!</v>
      </c>
      <c r="B120" s="266" t="e">
        <f>'[4]ADJ SUMMARY'!#REF!</f>
        <v>#REF!</v>
      </c>
      <c r="C120" s="267"/>
      <c r="D120" s="267"/>
      <c r="E120" s="274"/>
      <c r="F120" s="297" t="e">
        <f>'[4]ADJ SUMMARY'!#REF!</f>
        <v>#REF!</v>
      </c>
    </row>
    <row r="121" spans="1:6" hidden="1">
      <c r="A121" s="265" t="e">
        <f>'[4]ADJ SUMMARY'!#REF!</f>
        <v>#REF!</v>
      </c>
      <c r="B121" s="266" t="e">
        <f>'[4]ADJ SUMMARY'!#REF!</f>
        <v>#REF!</v>
      </c>
      <c r="C121" s="267"/>
      <c r="D121" s="267"/>
      <c r="E121" s="274"/>
      <c r="F121" s="297" t="e">
        <f>'[4]ADJ SUMMARY'!#REF!</f>
        <v>#REF!</v>
      </c>
    </row>
    <row r="122" spans="1:6" hidden="1">
      <c r="A122" s="265" t="e">
        <f>'[4]ADJ SUMMARY'!#REF!</f>
        <v>#REF!</v>
      </c>
      <c r="B122" s="266" t="e">
        <f>'[4]ADJ SUMMARY'!#REF!</f>
        <v>#REF!</v>
      </c>
      <c r="C122" s="267"/>
      <c r="D122" s="267"/>
      <c r="E122" s="274"/>
      <c r="F122" s="297" t="e">
        <f>'[4]ADJ SUMMARY'!#REF!</f>
        <v>#REF!</v>
      </c>
    </row>
    <row r="123" spans="1:6" hidden="1">
      <c r="A123" s="265" t="e">
        <f>'[4]ADJ SUMMARY'!#REF!</f>
        <v>#REF!</v>
      </c>
      <c r="B123" s="266" t="e">
        <f>'[4]ADJ SUMMARY'!#REF!</f>
        <v>#REF!</v>
      </c>
      <c r="C123" s="267"/>
      <c r="D123" s="267"/>
      <c r="E123" s="274"/>
      <c r="F123" s="297" t="e">
        <f>'[4]ADJ SUMMARY'!#REF!</f>
        <v>#REF!</v>
      </c>
    </row>
    <row r="124" spans="1:6" hidden="1">
      <c r="A124" s="265" t="e">
        <f>'[4]ADJ SUMMARY'!#REF!</f>
        <v>#REF!</v>
      </c>
      <c r="B124" s="266" t="e">
        <f>'[4]ADJ SUMMARY'!#REF!</f>
        <v>#REF!</v>
      </c>
      <c r="C124" s="267"/>
      <c r="D124" s="267"/>
      <c r="E124" s="274"/>
      <c r="F124" s="297" t="e">
        <f>'[4]ADJ SUMMARY'!#REF!</f>
        <v>#REF!</v>
      </c>
    </row>
    <row r="125" spans="1:6" hidden="1">
      <c r="A125" s="265" t="e">
        <f>'[4]ADJ SUMMARY'!#REF!</f>
        <v>#REF!</v>
      </c>
      <c r="B125" s="266" t="e">
        <f>'[4]ADJ SUMMARY'!#REF!</f>
        <v>#REF!</v>
      </c>
      <c r="C125" s="267"/>
      <c r="D125" s="267"/>
      <c r="E125" s="274"/>
      <c r="F125" s="297" t="e">
        <f>'[4]ADJ SUMMARY'!#REF!</f>
        <v>#REF!</v>
      </c>
    </row>
    <row r="126" spans="1:6" hidden="1">
      <c r="A126" s="265" t="e">
        <f>'[4]ADJ SUMMARY'!#REF!</f>
        <v>#REF!</v>
      </c>
      <c r="B126" s="266" t="e">
        <f>'[4]ADJ SUMMARY'!#REF!</f>
        <v>#REF!</v>
      </c>
      <c r="C126" s="267"/>
      <c r="D126" s="267"/>
      <c r="E126" s="274"/>
      <c r="F126" s="297" t="e">
        <f>'[4]ADJ SUMMARY'!#REF!</f>
        <v>#REF!</v>
      </c>
    </row>
    <row r="127" spans="1:6" hidden="1">
      <c r="A127" s="265" t="e">
        <f>'[4]ADJ SUMMARY'!#REF!</f>
        <v>#REF!</v>
      </c>
      <c r="B127" s="266" t="e">
        <f>'[4]ADJ SUMMARY'!#REF!</f>
        <v>#REF!</v>
      </c>
      <c r="C127" s="267"/>
      <c r="D127" s="267"/>
      <c r="E127" s="274"/>
      <c r="F127" s="297" t="e">
        <f>'[4]ADJ SUMMARY'!#REF!</f>
        <v>#REF!</v>
      </c>
    </row>
    <row r="128" spans="1:6" ht="13.5" hidden="1" customHeight="1">
      <c r="A128" s="265" t="e">
        <f>'[4]ADJ SUMMARY'!#REF!</f>
        <v>#REF!</v>
      </c>
      <c r="B128" s="266" t="e">
        <f>'[4]ADJ SUMMARY'!#REF!</f>
        <v>#REF!</v>
      </c>
      <c r="C128" s="267"/>
      <c r="D128" s="267"/>
      <c r="E128" s="274"/>
      <c r="F128" s="297" t="e">
        <f>'[4]ADJ SUMMARY'!#REF!</f>
        <v>#REF!</v>
      </c>
    </row>
    <row r="129" spans="1:9" ht="0.75" hidden="1" customHeight="1">
      <c r="A129" s="265" t="e">
        <f>'[4]ADJ SUMMARY'!#REF!</f>
        <v>#REF!</v>
      </c>
      <c r="B129" s="266" t="e">
        <f>'[4]ADJ SUMMARY'!#REF!</f>
        <v>#REF!</v>
      </c>
      <c r="C129" s="267"/>
      <c r="D129" s="267"/>
      <c r="E129" s="274"/>
      <c r="F129" s="297" t="e">
        <f>'[4]ADJ SUMMARY'!#REF!</f>
        <v>#REF!</v>
      </c>
    </row>
    <row r="130" spans="1:9" ht="13.5" hidden="1" customHeight="1">
      <c r="B130" s="266" t="s">
        <v>255</v>
      </c>
      <c r="C130" s="267"/>
      <c r="D130" s="267"/>
      <c r="E130" s="274"/>
      <c r="F130" s="280" t="e">
        <f>SUM(F92:F129)</f>
        <v>#REF!</v>
      </c>
    </row>
    <row r="131" spans="1:9" hidden="1">
      <c r="C131" s="267"/>
      <c r="D131" s="267"/>
      <c r="E131" s="267"/>
      <c r="F131" s="259"/>
      <c r="G131" s="298"/>
    </row>
    <row r="132" spans="1:9" hidden="1">
      <c r="B132" s="266" t="str">
        <f>B54</f>
        <v>Weighted Average Cost of Debt</v>
      </c>
      <c r="C132" s="299"/>
      <c r="D132" s="299"/>
      <c r="E132" s="300"/>
      <c r="F132" s="301" t="e">
        <f>'[4]RR SUMMARY'!#REF!</f>
        <v>#REF!</v>
      </c>
      <c r="H132" s="302" t="s">
        <v>256</v>
      </c>
      <c r="I132" s="288"/>
    </row>
    <row r="133" spans="1:9" hidden="1">
      <c r="C133" s="267"/>
      <c r="D133" s="267"/>
      <c r="F133" s="259"/>
    </row>
    <row r="134" spans="1:9" hidden="1">
      <c r="B134" s="266" t="s">
        <v>121</v>
      </c>
      <c r="C134" s="267"/>
      <c r="D134" s="267"/>
      <c r="E134" s="274"/>
      <c r="F134" s="274" t="e">
        <f>F130*F132</f>
        <v>#REF!</v>
      </c>
    </row>
    <row r="135" spans="1:9" hidden="1">
      <c r="C135" s="267"/>
      <c r="D135" s="267"/>
      <c r="E135" s="267"/>
      <c r="F135" s="259"/>
    </row>
    <row r="136" spans="1:9" hidden="1">
      <c r="B136" s="266" t="s">
        <v>257</v>
      </c>
      <c r="C136" s="267"/>
      <c r="D136" s="267"/>
      <c r="F136" s="303">
        <v>21469</v>
      </c>
      <c r="H136" s="304" t="s">
        <v>258</v>
      </c>
    </row>
    <row r="137" spans="1:9" hidden="1">
      <c r="C137" s="267"/>
      <c r="D137" s="267"/>
      <c r="E137" s="267"/>
      <c r="F137" s="259"/>
    </row>
    <row r="138" spans="1:9" hidden="1">
      <c r="B138" s="266" t="s">
        <v>122</v>
      </c>
      <c r="C138" s="267"/>
      <c r="D138" s="267"/>
      <c r="E138" s="274"/>
      <c r="F138" s="274" t="e">
        <f>F134-F136</f>
        <v>#REF!</v>
      </c>
    </row>
    <row r="139" spans="1:9" hidden="1">
      <c r="B139" s="266" t="s">
        <v>123</v>
      </c>
      <c r="D139" s="267"/>
      <c r="E139" s="305"/>
      <c r="F139" s="306">
        <v>0.35</v>
      </c>
    </row>
    <row r="140" spans="1:9" hidden="1">
      <c r="D140" s="267"/>
      <c r="E140" s="267"/>
      <c r="F140" s="259"/>
    </row>
    <row r="141" spans="1:9" hidden="1">
      <c r="B141" s="266" t="s">
        <v>124</v>
      </c>
      <c r="D141" s="267"/>
      <c r="E141" s="274"/>
      <c r="F141" s="274" t="e">
        <f>F138*-F139</f>
        <v>#REF!</v>
      </c>
      <c r="G141" s="274"/>
    </row>
    <row r="142" spans="1:9" ht="13.5" hidden="1" thickTop="1">
      <c r="D142" s="267"/>
      <c r="E142" s="274"/>
      <c r="F142" s="307"/>
    </row>
    <row r="143" spans="1:9" hidden="1">
      <c r="A143" s="308"/>
      <c r="F143" s="259"/>
    </row>
    <row r="144" spans="1:9" hidden="1">
      <c r="A144" s="308"/>
      <c r="B144" s="269" t="s">
        <v>238</v>
      </c>
      <c r="F144" s="259"/>
    </row>
    <row r="145" spans="1:6" hidden="1">
      <c r="A145" s="308"/>
      <c r="B145" s="266" t="s">
        <v>239</v>
      </c>
      <c r="C145" s="274">
        <f>C67</f>
        <v>2430</v>
      </c>
      <c r="F145" s="259"/>
    </row>
    <row r="146" spans="1:6" hidden="1">
      <c r="A146" s="308"/>
      <c r="B146" s="266" t="s">
        <v>241</v>
      </c>
      <c r="C146" s="259">
        <f>C68</f>
        <v>2935</v>
      </c>
      <c r="F146" s="259"/>
    </row>
    <row r="147" spans="1:6" hidden="1">
      <c r="A147" s="308"/>
      <c r="B147" s="266" t="s">
        <v>242</v>
      </c>
      <c r="C147" s="280">
        <f>C145+C146</f>
        <v>5365</v>
      </c>
      <c r="F147" s="259"/>
    </row>
    <row r="148" spans="1:6" hidden="1">
      <c r="A148" s="308"/>
      <c r="C148" s="274"/>
      <c r="F148" s="259"/>
    </row>
    <row r="149" spans="1:6" hidden="1">
      <c r="A149" s="308"/>
      <c r="C149" s="281"/>
      <c r="D149" s="264"/>
      <c r="E149" s="264" t="s">
        <v>243</v>
      </c>
      <c r="F149" s="259"/>
    </row>
    <row r="150" spans="1:6" hidden="1">
      <c r="A150" s="308"/>
      <c r="C150" s="271" t="s">
        <v>244</v>
      </c>
      <c r="D150" s="271" t="s">
        <v>245</v>
      </c>
      <c r="E150" s="271" t="s">
        <v>25</v>
      </c>
      <c r="F150" s="259"/>
    </row>
    <row r="151" spans="1:6" hidden="1">
      <c r="A151" s="308"/>
      <c r="B151" s="266" t="s">
        <v>246</v>
      </c>
      <c r="C151" s="274" t="e">
        <f>$C$73</f>
        <v>#REF!</v>
      </c>
      <c r="D151" s="309" t="e">
        <f>C151/C154</f>
        <v>#REF!</v>
      </c>
      <c r="E151" s="274" t="e">
        <f>D151*E154</f>
        <v>#REF!</v>
      </c>
      <c r="F151" s="259"/>
    </row>
    <row r="152" spans="1:6" hidden="1">
      <c r="A152" s="308"/>
      <c r="B152" s="266" t="s">
        <v>247</v>
      </c>
      <c r="C152" s="259" t="e">
        <f>$C$74</f>
        <v>#REF!</v>
      </c>
      <c r="D152" s="310" t="e">
        <f>C152/C154</f>
        <v>#REF!</v>
      </c>
      <c r="E152" s="311" t="e">
        <f>D152*E154</f>
        <v>#REF!</v>
      </c>
      <c r="F152" s="259"/>
    </row>
    <row r="153" spans="1:6" hidden="1">
      <c r="A153" s="308"/>
      <c r="B153" s="266" t="s">
        <v>248</v>
      </c>
      <c r="C153" s="259" t="e">
        <f>$C$75</f>
        <v>#REF!</v>
      </c>
      <c r="D153" s="310" t="e">
        <f>C153/C154</f>
        <v>#REF!</v>
      </c>
      <c r="E153" s="311" t="e">
        <f>E154*D153</f>
        <v>#REF!</v>
      </c>
      <c r="F153" s="259"/>
    </row>
    <row r="154" spans="1:6" hidden="1">
      <c r="A154" s="308"/>
      <c r="B154" s="266" t="s">
        <v>249</v>
      </c>
      <c r="C154" s="280" t="e">
        <f>C151+C152+C153</f>
        <v>#REF!</v>
      </c>
      <c r="D154" s="312" t="e">
        <f>D151+D152+D153</f>
        <v>#REF!</v>
      </c>
      <c r="E154" s="280">
        <f>C147</f>
        <v>5365</v>
      </c>
      <c r="F154" s="259"/>
    </row>
    <row r="155" spans="1:6" hidden="1">
      <c r="A155" s="308"/>
      <c r="F155" s="259"/>
    </row>
    <row r="156" spans="1:6" hidden="1">
      <c r="A156" s="308"/>
      <c r="B156" s="266" t="s">
        <v>250</v>
      </c>
      <c r="C156" s="274" t="e">
        <f>$C$78</f>
        <v>#REF!</v>
      </c>
      <c r="D156" s="309" t="e">
        <f>C156/C158</f>
        <v>#REF!</v>
      </c>
      <c r="E156" s="274" t="e">
        <f>D156*E158</f>
        <v>#REF!</v>
      </c>
      <c r="F156" s="259"/>
    </row>
    <row r="157" spans="1:6" hidden="1">
      <c r="A157" s="308"/>
      <c r="B157" s="266" t="s">
        <v>251</v>
      </c>
      <c r="C157" s="259" t="e">
        <f>$C$79</f>
        <v>#REF!</v>
      </c>
      <c r="D157" s="309" t="e">
        <f>C157/C158</f>
        <v>#REF!</v>
      </c>
      <c r="E157" s="259" t="e">
        <f>D157*E158</f>
        <v>#REF!</v>
      </c>
      <c r="F157" s="259"/>
    </row>
    <row r="158" spans="1:6" hidden="1">
      <c r="A158" s="308"/>
      <c r="B158" s="266" t="s">
        <v>249</v>
      </c>
      <c r="C158" s="280" t="e">
        <f>C156+C157</f>
        <v>#REF!</v>
      </c>
      <c r="D158" s="312" t="e">
        <f>D156+D157</f>
        <v>#REF!</v>
      </c>
      <c r="E158" s="280" t="e">
        <f>E151</f>
        <v>#REF!</v>
      </c>
      <c r="F158" s="259"/>
    </row>
    <row r="159" spans="1:6" hidden="1">
      <c r="A159" s="308"/>
      <c r="F159" s="259"/>
    </row>
    <row r="160" spans="1:6" hidden="1">
      <c r="A160" s="308"/>
      <c r="B160" s="266" t="s">
        <v>252</v>
      </c>
      <c r="C160" s="274" t="e">
        <f>$C$82</f>
        <v>#REF!</v>
      </c>
      <c r="D160" s="313" t="e">
        <f>C160/C162</f>
        <v>#REF!</v>
      </c>
      <c r="E160" s="274" t="e">
        <f>E162*D160</f>
        <v>#REF!</v>
      </c>
      <c r="F160" s="259"/>
    </row>
    <row r="161" spans="1:6" hidden="1">
      <c r="A161" s="308"/>
      <c r="B161" s="266" t="s">
        <v>253</v>
      </c>
      <c r="C161" s="259" t="e">
        <f>C$83</f>
        <v>#REF!</v>
      </c>
      <c r="D161" s="314" t="e">
        <f>C161/C162</f>
        <v>#REF!</v>
      </c>
      <c r="E161" s="259" t="e">
        <f>E162*D161</f>
        <v>#REF!</v>
      </c>
      <c r="F161" s="259"/>
    </row>
    <row r="162" spans="1:6" hidden="1">
      <c r="A162" s="308"/>
      <c r="B162" s="266" t="s">
        <v>249</v>
      </c>
      <c r="C162" s="280" t="e">
        <f>SUM(C160:C161)</f>
        <v>#REF!</v>
      </c>
      <c r="D162" s="315" t="e">
        <f>SUM(D160:D161)</f>
        <v>#REF!</v>
      </c>
      <c r="E162" s="280" t="e">
        <f>E152</f>
        <v>#REF!</v>
      </c>
      <c r="F162" s="259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>
    <oddFooter>&amp;Lfile:  &amp;f&amp;Rkm &amp;d</oddFooter>
  </headerFooter>
  <rowBreaks count="1" manualBreakCount="1">
    <brk id="84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zoomScaleNormal="100" zoomScaleSheetLayoutView="115" workbookViewId="0">
      <selection sqref="A1:F1"/>
    </sheetView>
  </sheetViews>
  <sheetFormatPr defaultColWidth="11.42578125" defaultRowHeight="12.75"/>
  <cols>
    <col min="1" max="1" width="6.42578125" style="688" customWidth="1"/>
    <col min="2" max="2" width="10.28515625" style="739" customWidth="1"/>
    <col min="3" max="3" width="41.85546875" style="688" customWidth="1"/>
    <col min="4" max="5" width="11.42578125" style="688" customWidth="1"/>
    <col min="6" max="6" width="7.7109375" style="692" customWidth="1"/>
    <col min="7" max="7" width="7.28515625" style="691" hidden="1" customWidth="1"/>
    <col min="8" max="8" width="10.5703125" style="692" hidden="1" customWidth="1"/>
    <col min="9" max="9" width="7.28515625" style="732" bestFit="1" customWidth="1"/>
    <col min="10" max="10" width="8.42578125" style="729" bestFit="1" customWidth="1"/>
    <col min="11" max="11" width="9" style="688" customWidth="1"/>
    <col min="12" max="12" width="11.42578125" style="688" customWidth="1"/>
    <col min="13" max="16384" width="11.42578125" style="688"/>
  </cols>
  <sheetData>
    <row r="1" spans="1:15">
      <c r="A1" s="847" t="str">
        <f>'Exh. No. BGM-6 -3'!A2</f>
        <v>Traditional Revenue Requirement Calculations for Avista Corporation</v>
      </c>
      <c r="B1" s="847"/>
      <c r="C1" s="847"/>
      <c r="D1" s="847"/>
      <c r="E1" s="847"/>
      <c r="F1" s="847"/>
      <c r="G1" s="687"/>
      <c r="H1" s="688"/>
      <c r="I1" s="728"/>
      <c r="K1" s="161"/>
      <c r="L1" s="730"/>
    </row>
    <row r="2" spans="1:15">
      <c r="A2" s="848" t="s">
        <v>72</v>
      </c>
      <c r="B2" s="848"/>
      <c r="C2" s="848"/>
      <c r="D2" s="848"/>
      <c r="E2" s="848"/>
      <c r="F2" s="848"/>
      <c r="G2" s="687"/>
      <c r="H2" s="688"/>
      <c r="K2" s="161"/>
      <c r="L2" s="733"/>
    </row>
    <row r="3" spans="1:15" s="733" customFormat="1">
      <c r="A3" s="849" t="s">
        <v>155</v>
      </c>
      <c r="B3" s="849"/>
      <c r="C3" s="849"/>
      <c r="D3" s="849"/>
      <c r="E3" s="849"/>
      <c r="F3" s="849"/>
      <c r="G3" s="691"/>
      <c r="H3" s="692"/>
      <c r="I3" s="735"/>
      <c r="J3" s="736"/>
      <c r="K3" s="737"/>
      <c r="L3" s="738"/>
    </row>
    <row r="4" spans="1:15" s="733" customFormat="1">
      <c r="A4" s="849" t="str">
        <f>+'Exh. No. BGM-6 -2'!A4</f>
        <v>Twelve Months Ended September 31, 2015</v>
      </c>
      <c r="B4" s="849"/>
      <c r="C4" s="849"/>
      <c r="D4" s="849"/>
      <c r="E4" s="849"/>
      <c r="F4" s="849"/>
      <c r="G4" s="691"/>
      <c r="H4" s="692"/>
      <c r="I4" s="735"/>
      <c r="J4" s="736"/>
      <c r="K4" s="737"/>
      <c r="L4" s="738"/>
    </row>
    <row r="5" spans="1:15" s="733" customFormat="1">
      <c r="A5" s="688"/>
      <c r="B5" s="739"/>
      <c r="C5" s="688"/>
      <c r="D5" s="697"/>
      <c r="E5" s="697" t="s">
        <v>72</v>
      </c>
      <c r="F5" s="692"/>
      <c r="G5" s="691"/>
      <c r="H5" s="692"/>
      <c r="I5" s="735"/>
      <c r="J5" s="736"/>
      <c r="K5" s="737"/>
      <c r="L5" s="56"/>
    </row>
    <row r="6" spans="1:15">
      <c r="A6" s="697" t="s">
        <v>73</v>
      </c>
      <c r="B6" s="697" t="s">
        <v>259</v>
      </c>
      <c r="C6" s="697" t="s">
        <v>74</v>
      </c>
      <c r="D6" s="697" t="s">
        <v>75</v>
      </c>
      <c r="E6" s="697" t="s">
        <v>20</v>
      </c>
      <c r="F6" s="740" t="s">
        <v>76</v>
      </c>
      <c r="G6" s="696" t="s">
        <v>125</v>
      </c>
      <c r="H6" s="697" t="s">
        <v>126</v>
      </c>
      <c r="I6" s="741" t="s">
        <v>202</v>
      </c>
      <c r="J6" s="742" t="s">
        <v>203</v>
      </c>
      <c r="K6" s="743" t="s">
        <v>449</v>
      </c>
      <c r="L6" s="698"/>
    </row>
    <row r="7" spans="1:15">
      <c r="A7" s="744" t="s">
        <v>527</v>
      </c>
      <c r="B7" s="698"/>
      <c r="C7" s="698"/>
      <c r="D7" s="698"/>
      <c r="E7" s="698"/>
      <c r="F7" s="698"/>
      <c r="G7" s="717"/>
      <c r="H7" s="698"/>
      <c r="I7" s="735"/>
      <c r="J7" s="736"/>
      <c r="K7" s="733"/>
      <c r="L7" s="698"/>
    </row>
    <row r="8" spans="1:15">
      <c r="A8" s="745">
        <f>'Exh. No. BGM-6 -3'!E$11</f>
        <v>1</v>
      </c>
      <c r="B8" s="746" t="str">
        <f>'Exh. No. BGM-6 -3'!E$12</f>
        <v>G-ROO</v>
      </c>
      <c r="C8" s="747" t="str">
        <f>TRIM(CONCATENATE('Exh. No. BGM-6 -3'!E$8," ",'Exh. No. BGM-6 -3'!E$9," ",'Exh. No. BGM-6 -3'!E$10))</f>
        <v>Per Results Report</v>
      </c>
      <c r="D8" s="774">
        <f>'Exh. No. BGM-6 -3'!E$59</f>
        <v>14549</v>
      </c>
      <c r="E8" s="774">
        <f>'Exh. No. BGM-6 -3'!E$82</f>
        <v>259389</v>
      </c>
      <c r="G8" s="691" t="s">
        <v>191</v>
      </c>
      <c r="I8" s="732" t="s">
        <v>135</v>
      </c>
      <c r="K8" s="688" t="s">
        <v>127</v>
      </c>
      <c r="L8" s="748"/>
      <c r="M8" s="749"/>
      <c r="N8" s="749"/>
      <c r="O8" s="749"/>
    </row>
    <row r="9" spans="1:15">
      <c r="A9" s="745">
        <f>'Exh. No. BGM-6 -3'!F$11</f>
        <v>1.01</v>
      </c>
      <c r="B9" s="746" t="str">
        <f>'Exh. No. BGM-6 -3'!F$12</f>
        <v>G-DFIT</v>
      </c>
      <c r="C9" s="747" t="str">
        <f>TRIM(CONCATENATE('Exh. No. BGM-6 -3'!F$8," ",'Exh. No. BGM-6 -3'!F$9," ",'Exh. No. BGM-6 -3'!F$10))</f>
        <v>Deferred FIT Rate Base</v>
      </c>
      <c r="D9" s="750">
        <f>'Exh. No. BGM-6 -3'!F$59</f>
        <v>0.497</v>
      </c>
      <c r="E9" s="750">
        <f>'Exh. No. BGM-6 -3'!F$82</f>
        <v>50</v>
      </c>
      <c r="G9" s="691" t="s">
        <v>131</v>
      </c>
      <c r="H9" s="688"/>
      <c r="I9" s="732" t="s">
        <v>135</v>
      </c>
      <c r="K9" s="688" t="s">
        <v>127</v>
      </c>
      <c r="L9" s="748"/>
      <c r="M9" s="749"/>
      <c r="N9" s="749"/>
      <c r="O9" s="749"/>
    </row>
    <row r="10" spans="1:15">
      <c r="A10" s="745">
        <f>'Exh. No. BGM-6 -3'!G$11</f>
        <v>1.02</v>
      </c>
      <c r="B10" s="746" t="str">
        <f>'Exh. No. BGM-6 -3'!G$12</f>
        <v>G-DDC</v>
      </c>
      <c r="C10" s="747" t="str">
        <f>TRIM(CONCATENATE('Exh. No. BGM-6 -3'!G$8," ",'Exh. No. BGM-6 -3'!G$9," ",'Exh. No. BGM-6 -3'!G$10))</f>
        <v>Deferred Debits and Credits</v>
      </c>
      <c r="D10" s="750">
        <f>'Exh. No. BGM-6 -3'!G$59</f>
        <v>-0.65</v>
      </c>
      <c r="E10" s="750">
        <f>'Exh. No. BGM-6 -3'!G$82</f>
        <v>0</v>
      </c>
      <c r="G10" s="691" t="s">
        <v>191</v>
      </c>
      <c r="I10" s="732" t="s">
        <v>471</v>
      </c>
      <c r="K10" s="688" t="s">
        <v>127</v>
      </c>
      <c r="L10" s="748"/>
      <c r="M10" s="749"/>
      <c r="N10" s="749"/>
      <c r="O10" s="749"/>
    </row>
    <row r="11" spans="1:15">
      <c r="A11" s="745">
        <f>'Exh. No. BGM-6 -3'!H$11</f>
        <v>1.03</v>
      </c>
      <c r="B11" s="746" t="str">
        <f>'Exh. No. BGM-6 -3'!H$12</f>
        <v>G-WC</v>
      </c>
      <c r="C11" s="747" t="str">
        <f>TRIM(CONCATENATE('Exh. No. BGM-6 -3'!H$8," ",'Exh. No. BGM-6 -3'!H$9," ",'Exh. No. BGM-6 -3'!H$10))</f>
        <v>Working Capital</v>
      </c>
      <c r="D11" s="750">
        <f>'Exh. No. BGM-6 -3'!H$59</f>
        <v>28.110319999999998</v>
      </c>
      <c r="E11" s="750">
        <f>'Exh. No. BGM-6 -3'!H$82</f>
        <v>2828</v>
      </c>
      <c r="G11" s="691" t="s">
        <v>191</v>
      </c>
      <c r="I11" s="732" t="s">
        <v>135</v>
      </c>
      <c r="K11" s="688" t="s">
        <v>127</v>
      </c>
      <c r="L11" s="738"/>
    </row>
    <row r="12" spans="1:15">
      <c r="A12" s="745">
        <f>'Exh. No. BGM-6 -3'!I$11</f>
        <v>2.0099999999999998</v>
      </c>
      <c r="B12" s="746" t="str">
        <f>'Exh. No. BGM-6 -3'!I$12</f>
        <v>G-EBO</v>
      </c>
      <c r="C12" s="747" t="str">
        <f>TRIM(CONCATENATE('Exh. No. BGM-6 -3'!I$8," ",'Exh. No. BGM-6 -3'!I$9," ",'Exh. No. BGM-6 -3'!I$10))</f>
        <v>Eliminate B &amp; O Taxes</v>
      </c>
      <c r="D12" s="750">
        <f>'Exh. No. BGM-6 -3'!I$59</f>
        <v>-9.1000000000000014</v>
      </c>
      <c r="E12" s="750">
        <f>'Exh. No. BGM-6 -3'!I$82</f>
        <v>0</v>
      </c>
      <c r="G12" s="691" t="s">
        <v>191</v>
      </c>
      <c r="I12" s="732" t="s">
        <v>471</v>
      </c>
      <c r="K12" s="688" t="s">
        <v>127</v>
      </c>
      <c r="L12" s="738"/>
    </row>
    <row r="13" spans="1:15">
      <c r="A13" s="745">
        <f>'Exh. No. BGM-6 -3'!J$11</f>
        <v>2.0199999999999996</v>
      </c>
      <c r="B13" s="746" t="str">
        <f>'Exh. No. BGM-6 -3'!J$12</f>
        <v>G-RPT</v>
      </c>
      <c r="C13" s="747" t="str">
        <f>TRIM(CONCATENATE('Exh. No. BGM-6 -3'!J$8," ",'Exh. No. BGM-6 -3'!J$9," ",'Exh. No. BGM-6 -3'!J$10))</f>
        <v>Restate Property Tax</v>
      </c>
      <c r="D13" s="750">
        <f>'Exh. No. BGM-6 -3'!J$59</f>
        <v>122.2</v>
      </c>
      <c r="E13" s="750">
        <f>'Exh. No. BGM-6 -3'!J$82</f>
        <v>0</v>
      </c>
      <c r="G13" s="691" t="s">
        <v>191</v>
      </c>
      <c r="I13" s="732" t="s">
        <v>471</v>
      </c>
      <c r="K13" s="688" t="s">
        <v>127</v>
      </c>
      <c r="L13" s="738"/>
    </row>
    <row r="14" spans="1:15">
      <c r="A14" s="745">
        <f>'Exh. No. BGM-6 -3'!K$11</f>
        <v>2.0299999999999994</v>
      </c>
      <c r="B14" s="746" t="str">
        <f>'Exh. No. BGM-6 -3'!K$12</f>
        <v>G-UE</v>
      </c>
      <c r="C14" s="747" t="str">
        <f>TRIM(CONCATENATE('Exh. No. BGM-6 -3'!K$8," ",'Exh. No. BGM-6 -3'!K$9," ",'Exh. No. BGM-6 -3'!K$10))</f>
        <v>Uncollectible Expense</v>
      </c>
      <c r="D14" s="750">
        <f>'Exh. No. BGM-6 -3'!K$59</f>
        <v>203.45</v>
      </c>
      <c r="E14" s="750">
        <f>'Exh. No. BGM-6 -3'!K$82</f>
        <v>0</v>
      </c>
      <c r="G14" s="691" t="s">
        <v>191</v>
      </c>
      <c r="I14" s="732" t="s">
        <v>473</v>
      </c>
      <c r="K14" s="688" t="s">
        <v>127</v>
      </c>
      <c r="L14" s="738"/>
    </row>
    <row r="15" spans="1:15">
      <c r="A15" s="745">
        <f>'Exh. No. BGM-6 -3'!L$11</f>
        <v>2.0399999999999991</v>
      </c>
      <c r="B15" s="746" t="str">
        <f>'Exh. No. BGM-6 -3'!L$12</f>
        <v>G-RE</v>
      </c>
      <c r="C15" s="747" t="str">
        <f>TRIM(CONCATENATE('Exh. No. BGM-6 -3'!L$8," ",'Exh. No. BGM-6 -3'!L$9," ",'Exh. No. BGM-6 -3'!L$10))</f>
        <v>Regulatory Expense</v>
      </c>
      <c r="D15" s="750">
        <f>'Exh. No. BGM-6 -3'!L$59</f>
        <v>7.8000000000000007</v>
      </c>
      <c r="E15" s="750">
        <f>'Exh. No. BGM-6 -3'!L$82</f>
        <v>0</v>
      </c>
      <c r="G15" s="691" t="s">
        <v>173</v>
      </c>
      <c r="I15" s="732" t="s">
        <v>471</v>
      </c>
      <c r="K15" s="688" t="s">
        <v>127</v>
      </c>
      <c r="L15" s="738"/>
    </row>
    <row r="16" spans="1:15">
      <c r="A16" s="745">
        <f>'Exh. No. BGM-6 -3'!M$11</f>
        <v>2.0499999999999989</v>
      </c>
      <c r="B16" s="746" t="str">
        <f>'Exh. No. BGM-6 -3'!M$12</f>
        <v>G-ID</v>
      </c>
      <c r="C16" s="747" t="str">
        <f>TRIM(CONCATENATE('Exh. No. BGM-6 -3'!M$8," ",'Exh. No. BGM-6 -3'!M$9," ",'Exh. No. BGM-6 -3'!M$10))</f>
        <v>Injuries and Damages</v>
      </c>
      <c r="D16" s="750">
        <f>'Exh. No. BGM-6 -3'!M$59</f>
        <v>-150.15</v>
      </c>
      <c r="E16" s="750">
        <f>'Exh. No. BGM-6 -3'!M$82</f>
        <v>0</v>
      </c>
      <c r="G16" s="691" t="s">
        <v>173</v>
      </c>
      <c r="I16" s="732" t="s">
        <v>471</v>
      </c>
      <c r="K16" s="688" t="s">
        <v>127</v>
      </c>
      <c r="L16" s="738"/>
    </row>
    <row r="17" spans="1:12">
      <c r="A17" s="745">
        <f>'Exh. No. BGM-6 -3'!N$11</f>
        <v>2.0599999999999987</v>
      </c>
      <c r="B17" s="746" t="str">
        <f>'Exh. No. BGM-6 -3'!N$12</f>
        <v>G-FIT</v>
      </c>
      <c r="C17" s="747" t="str">
        <f>TRIM(CONCATENATE('Exh. No. BGM-6 -3'!N$8," ",'Exh. No. BGM-6 -3'!N$9," ",'Exh. No. BGM-6 -3'!N$10))</f>
        <v>FIT / DFIT Expense</v>
      </c>
      <c r="D17" s="751">
        <f>'Exh. No. BGM-6 -3'!N$59</f>
        <v>223</v>
      </c>
      <c r="E17" s="750">
        <f>'Exh. No. BGM-6 -3'!N$82</f>
        <v>0</v>
      </c>
      <c r="G17" s="691" t="s">
        <v>131</v>
      </c>
      <c r="H17" s="688"/>
      <c r="I17" s="732" t="s">
        <v>135</v>
      </c>
      <c r="K17" s="688" t="s">
        <v>127</v>
      </c>
      <c r="L17" s="738"/>
    </row>
    <row r="18" spans="1:12">
      <c r="A18" s="745">
        <f>'Exh. No. BGM-6 -3'!O$11</f>
        <v>2.0699999999999985</v>
      </c>
      <c r="B18" s="746" t="str">
        <f>'Exh. No. BGM-6 -3'!O$12</f>
        <v>G-OSC</v>
      </c>
      <c r="C18" s="747" t="str">
        <f>TRIM(CONCATENATE('Exh. No. BGM-6 -3'!O$8," ",'Exh. No. BGM-6 -3'!O$9," ",'Exh. No. BGM-6 -3'!O$10))</f>
        <v>Office Space Charges to Subs</v>
      </c>
      <c r="D18" s="750">
        <f>'Exh. No. BGM-6 -3'!O$59</f>
        <v>5.85</v>
      </c>
      <c r="E18" s="750">
        <f>'Exh. No. BGM-6 -3'!O$82</f>
        <v>0</v>
      </c>
      <c r="G18" s="691" t="s">
        <v>191</v>
      </c>
      <c r="H18" s="688"/>
      <c r="I18" s="732" t="s">
        <v>473</v>
      </c>
      <c r="K18" s="688" t="s">
        <v>127</v>
      </c>
      <c r="L18" s="738"/>
    </row>
    <row r="19" spans="1:12">
      <c r="A19" s="745">
        <f>'Exh. No. BGM-6 -3'!P$11</f>
        <v>2.0799999999999983</v>
      </c>
      <c r="B19" s="746" t="str">
        <f>'Exh. No. BGM-6 -3'!P$12</f>
        <v>G-RET</v>
      </c>
      <c r="C19" s="747" t="str">
        <f>TRIM(CONCATENATE('Exh. No. BGM-6 -3'!P$8," ",'Exh. No. BGM-6 -3'!P$9," ",'Exh. No. BGM-6 -3'!P$10))</f>
        <v>Restate Excise Taxes</v>
      </c>
      <c r="D19" s="750">
        <f>'Exh. No. BGM-6 -3'!P$59</f>
        <v>3.25</v>
      </c>
      <c r="E19" s="750">
        <f>'Exh. No. BGM-6 -3'!P$82</f>
        <v>0</v>
      </c>
      <c r="G19" s="691" t="s">
        <v>191</v>
      </c>
      <c r="H19" s="688"/>
      <c r="I19" s="732" t="s">
        <v>471</v>
      </c>
      <c r="K19" s="688" t="s">
        <v>127</v>
      </c>
      <c r="L19" s="738"/>
    </row>
    <row r="20" spans="1:12">
      <c r="A20" s="745">
        <f>'Exh. No. BGM-6 -3'!Q$11</f>
        <v>2.0899999999999981</v>
      </c>
      <c r="B20" s="746" t="str">
        <f>'Exh. No. BGM-6 -3'!Q$12</f>
        <v>G-NGL</v>
      </c>
      <c r="C20" s="747" t="str">
        <f>TRIM(CONCATENATE('Exh. No. BGM-6 -3'!Q$8," ",'Exh. No. BGM-6 -3'!Q$9," ",'Exh. No. BGM-6 -3'!Q$10))</f>
        <v>Net Gains/Losses</v>
      </c>
      <c r="D20" s="750">
        <f>'Exh. No. BGM-6 -3'!Q$59</f>
        <v>3.9000000000000004</v>
      </c>
      <c r="E20" s="750">
        <f>'Exh. No. BGM-6 -3'!Q$82</f>
        <v>0</v>
      </c>
      <c r="G20" s="691" t="s">
        <v>173</v>
      </c>
      <c r="I20" s="732" t="s">
        <v>471</v>
      </c>
      <c r="K20" s="688" t="s">
        <v>127</v>
      </c>
      <c r="L20" s="738"/>
    </row>
    <row r="21" spans="1:12">
      <c r="A21" s="745">
        <f>'Exh. No. BGM-6 -3'!R$11</f>
        <v>2.0999999999999979</v>
      </c>
      <c r="B21" s="746" t="str">
        <f>'Exh. No. BGM-6 -3'!R$12</f>
        <v>G-WNGC</v>
      </c>
      <c r="C21" s="747" t="str">
        <f>TRIM(CONCATENATE('Exh. No. BGM-6 -3'!R$8," ",'Exh. No. BGM-6 -3'!R$9," ",'Exh. No. BGM-6 -3'!R$10))</f>
        <v>Weather Normalization / Gas Cost Adjust</v>
      </c>
      <c r="D21" s="750">
        <f>'Exh. No. BGM-6 -3'!R$59</f>
        <v>1154.4000000000001</v>
      </c>
      <c r="E21" s="750">
        <f>'Exh. No. BGM-6 -3'!R$82</f>
        <v>0</v>
      </c>
      <c r="G21" s="691" t="s">
        <v>194</v>
      </c>
      <c r="H21" s="688"/>
      <c r="I21" s="732" t="s">
        <v>502</v>
      </c>
      <c r="K21" s="688" t="s">
        <v>127</v>
      </c>
      <c r="L21" s="738"/>
    </row>
    <row r="22" spans="1:12">
      <c r="A22" s="745">
        <f>'Exh. No. BGM-6 -3'!S$11</f>
        <v>2.1099999999999977</v>
      </c>
      <c r="B22" s="746" t="str">
        <f>'Exh. No. BGM-6 -3'!S$12</f>
        <v>G-EAS</v>
      </c>
      <c r="C22" s="747" t="str">
        <f>TRIM(CONCATENATE('Exh. No. BGM-6 -3'!S$8," ",'Exh. No. BGM-6 -3'!S$9," ",'Exh. No. BGM-6 -3'!S$10))</f>
        <v>Eliminate Adder Schedules</v>
      </c>
      <c r="D22" s="750">
        <f>'Exh. No. BGM-6 -3'!S$59</f>
        <v>0</v>
      </c>
      <c r="E22" s="750">
        <f>'Exh. No. BGM-6 -3'!S$82</f>
        <v>0</v>
      </c>
      <c r="G22" s="691" t="s">
        <v>194</v>
      </c>
      <c r="H22" s="688"/>
      <c r="I22" s="732" t="s">
        <v>502</v>
      </c>
      <c r="K22" s="688" t="s">
        <v>127</v>
      </c>
      <c r="L22" s="738"/>
    </row>
    <row r="23" spans="1:12" s="749" customFormat="1">
      <c r="A23" s="745">
        <f>'Exh. No. BGM-6 -3'!T$11</f>
        <v>2.1199999999999974</v>
      </c>
      <c r="B23" s="746" t="str">
        <f>'Exh. No. BGM-6 -3'!T$12</f>
        <v>G-MR</v>
      </c>
      <c r="C23" s="752" t="str">
        <f>TRIM(CONCATENATE('Exh. No. BGM-6 -3'!T$8," ",'Exh. No. BGM-6 -3'!T$9," ",'Exh. No. BGM-6 -3'!T$10))</f>
        <v>Misc Restating Adjustments</v>
      </c>
      <c r="D23" s="751">
        <f>'Exh. No. BGM-6 -3'!T$59</f>
        <v>206.54010000000002</v>
      </c>
      <c r="E23" s="751">
        <f>'Exh. No. BGM-6 -3'!T$82</f>
        <v>0</v>
      </c>
      <c r="F23" s="753"/>
      <c r="G23" s="691" t="s">
        <v>193</v>
      </c>
      <c r="H23" s="692"/>
      <c r="I23" s="732" t="s">
        <v>471</v>
      </c>
      <c r="J23" s="729"/>
      <c r="K23" s="688" t="s">
        <v>127</v>
      </c>
      <c r="L23" s="748"/>
    </row>
    <row r="24" spans="1:12" s="749" customFormat="1" ht="13.5" customHeight="1">
      <c r="A24" s="745">
        <f>'Exh. No. BGM-6 -3'!U$11</f>
        <v>2.1299999999999972</v>
      </c>
      <c r="B24" s="746" t="str">
        <f>'Exh. No. BGM-6 -3'!U$12</f>
        <v>G-DI</v>
      </c>
      <c r="C24" s="752" t="str">
        <f>TRIM(CONCATENATE('Exh. No. BGM-6 -3'!U$8," ",'Exh. No. BGM-6 -3'!U$9," ",'Exh. No. BGM-6 -3'!U$10))</f>
        <v>Restate Debt Interest</v>
      </c>
      <c r="D24" s="751">
        <f>'Exh. No. BGM-6 -3'!U$59</f>
        <v>205.20060024845552</v>
      </c>
      <c r="E24" s="751">
        <f>'Exh. No. BGM-6 -3'!U$82</f>
        <v>0</v>
      </c>
      <c r="F24" s="753"/>
      <c r="G24" s="754"/>
      <c r="H24" s="753" t="s">
        <v>127</v>
      </c>
      <c r="I24" s="692" t="s">
        <v>127</v>
      </c>
      <c r="J24" s="729"/>
      <c r="K24" s="688" t="s">
        <v>127</v>
      </c>
    </row>
    <row r="25" spans="1:12" s="749" customFormat="1" ht="14.25" customHeight="1">
      <c r="A25" s="745">
        <f>'Exh. No. BGM-6 -3'!V$11</f>
        <v>2.139999999999997</v>
      </c>
      <c r="B25" s="746" t="str">
        <f>'Exh. No. BGM-6 -3'!V$12</f>
        <v>G-RI</v>
      </c>
      <c r="C25" s="752" t="str">
        <f>TRIM(CONCATENATE('Exh. No. BGM-6 -3'!V$8," ",'Exh. No. BGM-6 -3'!V$9," ",'Exh. No. BGM-6 -3'!V$10))</f>
        <v>Restating Incentive Adjustment</v>
      </c>
      <c r="D25" s="751">
        <f>'Exh. No. BGM-6 -3'!V$59</f>
        <v>317.85000000000002</v>
      </c>
      <c r="E25" s="751">
        <f>'Exh. No. BGM-6 -3'!V$82</f>
        <v>0</v>
      </c>
      <c r="F25" s="753"/>
      <c r="G25" s="754"/>
      <c r="H25" s="753"/>
      <c r="I25" s="732" t="s">
        <v>262</v>
      </c>
      <c r="J25" s="729"/>
      <c r="K25" s="688" t="s">
        <v>127</v>
      </c>
      <c r="L25" s="748"/>
    </row>
    <row r="26" spans="1:12" ht="13.5" customHeight="1">
      <c r="A26" s="745">
        <f>'Exh. No. BGM-6 -3'!W$11</f>
        <v>2.1499999999999968</v>
      </c>
      <c r="B26" s="746" t="str">
        <f>'Exh. No. BGM-6 -3'!W$12</f>
        <v>G-CD</v>
      </c>
      <c r="C26" s="747" t="str">
        <f>TRIM(CONCATENATE('Exh. No. BGM-6 -3'!W$8," ",'Exh. No. BGM-6 -3'!W$9," ",'Exh. No. BGM-6 -3'!W$10))</f>
        <v>Project Compass Deferral</v>
      </c>
      <c r="D26" s="750">
        <f>'Exh. No. BGM-6 -3'!W$59</f>
        <v>978.25</v>
      </c>
      <c r="E26" s="750">
        <f>'Exh. No. BGM-6 -3'!W$82</f>
        <v>0</v>
      </c>
      <c r="G26" s="691" t="s">
        <v>191</v>
      </c>
      <c r="H26" s="688"/>
      <c r="I26" s="732" t="s">
        <v>502</v>
      </c>
      <c r="K26" s="688" t="s">
        <v>127</v>
      </c>
      <c r="L26" s="738"/>
    </row>
    <row r="27" spans="1:12" ht="13.5" customHeight="1">
      <c r="A27" s="745"/>
      <c r="B27" s="746"/>
      <c r="C27" s="747"/>
      <c r="D27" s="750"/>
      <c r="E27" s="750"/>
      <c r="K27" s="733"/>
      <c r="L27" s="738"/>
    </row>
    <row r="28" spans="1:12" ht="13.5" thickBot="1">
      <c r="A28" s="755"/>
      <c r="B28" s="756"/>
      <c r="C28" s="688" t="s">
        <v>78</v>
      </c>
      <c r="D28" s="757">
        <f>SUM(D8:D27)</f>
        <v>17849.398020248453</v>
      </c>
      <c r="E28" s="757">
        <f>SUM(E8:E27)</f>
        <v>262267</v>
      </c>
      <c r="F28" s="758"/>
      <c r="H28" s="759">
        <f>'Exh. No. BGM-6 -3'!X83</f>
        <v>0</v>
      </c>
      <c r="J28" s="736"/>
      <c r="K28" s="733"/>
      <c r="L28" s="738"/>
    </row>
    <row r="29" spans="1:12" ht="13.5" customHeight="1" thickTop="1">
      <c r="A29" s="760" t="s">
        <v>465</v>
      </c>
      <c r="B29" s="746"/>
      <c r="D29" s="747"/>
      <c r="H29" s="688"/>
      <c r="J29" s="736"/>
      <c r="K29" s="733"/>
      <c r="L29" s="738"/>
    </row>
    <row r="30" spans="1:12">
      <c r="A30" s="745">
        <f>'Exh. No. BGM-6 -3'!Y$11</f>
        <v>3</v>
      </c>
      <c r="B30" s="746" t="str">
        <f>'Exh. No. BGM-6 -3'!Y$12</f>
        <v>G-PLN</v>
      </c>
      <c r="C30" s="747" t="str">
        <f>TRIM(CONCATENATE('Exh. No. BGM-6 -3'!Y$8," ",'Exh. No. BGM-6 -3'!Y$9," ",'Exh. No. BGM-6 -3'!Y$10))</f>
        <v>Pro Forma Labor Non-Exec</v>
      </c>
      <c r="D30" s="750">
        <f>'Exh. No. BGM-6 -3'!Y$59</f>
        <v>-256.1792987</v>
      </c>
      <c r="E30" s="750">
        <f>'Exh. No. BGM-6 -3'!Y$82</f>
        <v>0</v>
      </c>
      <c r="G30" s="691" t="s">
        <v>173</v>
      </c>
      <c r="I30" s="732" t="s">
        <v>262</v>
      </c>
      <c r="K30" s="688" t="s">
        <v>127</v>
      </c>
      <c r="L30" s="738"/>
    </row>
    <row r="31" spans="1:12" ht="13.5" customHeight="1">
      <c r="A31" s="745">
        <f>'Exh. No. BGM-6 -3'!Z$11</f>
        <v>3.01</v>
      </c>
      <c r="B31" s="746" t="str">
        <f>'Exh. No. BGM-6 -3'!Z$12</f>
        <v>G-PLE</v>
      </c>
      <c r="C31" s="747" t="str">
        <f>TRIM(CONCATENATE('Exh. No. BGM-6 -3'!Z$8," ",'Exh. No. BGM-6 -3'!Z$9," ",'Exh. No. BGM-6 -3'!Z$10))</f>
        <v>Pro Forma Labor Exec</v>
      </c>
      <c r="D31" s="750">
        <f>'Exh. No. BGM-6 -3'!Z$59</f>
        <v>8.4499999999999993</v>
      </c>
      <c r="E31" s="750">
        <f>'Exh. No. BGM-6 -3'!Z$82</f>
        <v>0</v>
      </c>
      <c r="G31" s="691" t="s">
        <v>173</v>
      </c>
      <c r="I31" s="732" t="s">
        <v>262</v>
      </c>
      <c r="K31" s="688" t="s">
        <v>127</v>
      </c>
      <c r="L31" s="738"/>
    </row>
    <row r="32" spans="1:12">
      <c r="A32" s="745">
        <f>'Exh. No. BGM-6 -3'!AA$11</f>
        <v>3.0199999999999996</v>
      </c>
      <c r="B32" s="746" t="str">
        <f>'Exh. No. BGM-6 -3'!AA$12</f>
        <v>G-PEB</v>
      </c>
      <c r="C32" s="747" t="str">
        <f>TRIM(CONCATENATE('Exh. No. BGM-6 -3'!AA$8," ",'Exh. No. BGM-6 -3'!AA$9," ",'Exh. No. BGM-6 -3'!AA$10))</f>
        <v>Pro Forma Employee Benefits</v>
      </c>
      <c r="D32" s="750">
        <f>'Exh. No. BGM-6 -3'!AA$59</f>
        <v>-224.11545000000001</v>
      </c>
      <c r="E32" s="750">
        <f>'Exh. No. BGM-6 -3'!AA$82</f>
        <v>0</v>
      </c>
      <c r="G32" s="691" t="s">
        <v>173</v>
      </c>
      <c r="I32" s="732" t="s">
        <v>262</v>
      </c>
      <c r="K32" s="688" t="s">
        <v>127</v>
      </c>
      <c r="L32" s="738"/>
    </row>
    <row r="33" spans="1:13">
      <c r="A33" s="745">
        <f>'Exh. No. BGM-6 -3'!AB$11</f>
        <v>3.0299999999999994</v>
      </c>
      <c r="B33" s="746" t="str">
        <f>'Exh. No. BGM-6 -3'!AB$12</f>
        <v>G-PPS</v>
      </c>
      <c r="C33" s="752" t="str">
        <f>TRIM(CONCATENATE('Exh. No. BGM-6 -3'!AB$8," ",'Exh. No. BGM-6 -3'!AB$9," ",'Exh. No. BGM-6 -3'!AB$10))</f>
        <v>Pro Forma Pipeline Safety Labor</v>
      </c>
      <c r="D33" s="750">
        <f>'Exh. No. BGM-6 -3'!AB$59</f>
        <v>-67.599999999999994</v>
      </c>
      <c r="E33" s="750">
        <f>'Exh. No. BGM-6 -3'!AB$82</f>
        <v>0</v>
      </c>
      <c r="G33" s="691" t="s">
        <v>173</v>
      </c>
      <c r="I33" s="692" t="s">
        <v>127</v>
      </c>
      <c r="K33" s="688" t="s">
        <v>127</v>
      </c>
      <c r="L33" s="748"/>
      <c r="M33" s="749"/>
    </row>
    <row r="34" spans="1:13">
      <c r="A34" s="745">
        <f>'Exh. No. BGM-6 -3'!AC$11</f>
        <v>3.0399999999999991</v>
      </c>
      <c r="B34" s="746" t="str">
        <f>'Exh. No. BGM-6 -3'!AC$12</f>
        <v>G-PPT</v>
      </c>
      <c r="C34" s="747" t="str">
        <f>TRIM(CONCATENATE('Exh. No. BGM-6 -3'!AC$8," ",'Exh. No. BGM-6 -3'!AC$9," ",'Exh. No. BGM-6 -3'!AC$10))</f>
        <v>Pro Forma Property Tax</v>
      </c>
      <c r="D34" s="750">
        <f>'Exh. No. BGM-6 -3'!AC$59</f>
        <v>-127.4</v>
      </c>
      <c r="E34" s="750">
        <f>'Exh. No. BGM-6 -3'!AC$82</f>
        <v>0</v>
      </c>
      <c r="G34" s="691" t="s">
        <v>135</v>
      </c>
      <c r="I34" s="732" t="s">
        <v>471</v>
      </c>
      <c r="K34" s="688" t="s">
        <v>127</v>
      </c>
      <c r="L34" s="748"/>
      <c r="M34" s="749"/>
    </row>
    <row r="35" spans="1:13">
      <c r="A35" s="745">
        <f>'Exh. No. BGM-6 -3'!AD$11</f>
        <v>3.0499999999999989</v>
      </c>
      <c r="B35" s="746" t="str">
        <f>'Exh. No. BGM-6 -3'!AD$12</f>
        <v>G-PREV</v>
      </c>
      <c r="C35" s="752" t="str">
        <f>TRIM(CONCATENATE('Exh. No. BGM-6 -3'!AD$8," ",'Exh. No. BGM-6 -3'!AD$9," ",'Exh. No. BGM-6 -3'!AD$10))</f>
        <v>Pro Forma Revenue Normalization</v>
      </c>
      <c r="D35" s="750">
        <f>'Exh. No. BGM-6 -3'!AD$59</f>
        <v>8002.1500000000005</v>
      </c>
      <c r="E35" s="750">
        <f>'Exh. No. BGM-6 -3'!AD$82</f>
        <v>0</v>
      </c>
      <c r="G35" s="691" t="s">
        <v>173</v>
      </c>
      <c r="I35" s="732" t="s">
        <v>194</v>
      </c>
      <c r="K35" s="688" t="s">
        <v>127</v>
      </c>
      <c r="M35" s="749"/>
    </row>
    <row r="36" spans="1:13">
      <c r="A36" s="745">
        <f>'Exh. No. BGM-6 -3'!AE$11</f>
        <v>3.0599999999999987</v>
      </c>
      <c r="B36" s="746" t="str">
        <f>'Exh. No. BGM-6 -3'!AE$12</f>
        <v>G-PAT</v>
      </c>
      <c r="C36" s="752" t="str">
        <f>TRIM(CONCATENATE('Exh. No. BGM-6 -3'!AE$8," ",'Exh. No. BGM-6 -3'!AE$9," ",'Exh. No. BGM-6 -3'!AE$10))</f>
        <v>Pro Forma Atmospheric Testing</v>
      </c>
      <c r="D36" s="750">
        <f>'Exh. No. BGM-6 -3'!AE$59</f>
        <v>-153.4</v>
      </c>
      <c r="E36" s="750">
        <f>'Exh. No. BGM-6 -3'!AE$82</f>
        <v>0</v>
      </c>
      <c r="G36" s="691" t="s">
        <v>190</v>
      </c>
      <c r="I36" s="732" t="s">
        <v>471</v>
      </c>
      <c r="K36" s="688" t="s">
        <v>127</v>
      </c>
      <c r="L36" s="748"/>
      <c r="M36" s="749"/>
    </row>
    <row r="37" spans="1:13">
      <c r="A37" s="745">
        <f>'Exh. No. BGM-6 -3'!AF$11</f>
        <v>3.0699999999999985</v>
      </c>
      <c r="B37" s="746" t="str">
        <f>'Exh. No. BGM-6 -3'!AF$12</f>
        <v>G-PRA</v>
      </c>
      <c r="C37" s="752" t="str">
        <f>TRIM(CONCATENATE('Exh. No. BGM-6 -3'!AF$8," ",'Exh. No. BGM-6 -3'!AF$9," ",'Exh. No. BGM-6 -3'!AF$10))</f>
        <v>Pro Forma Regulatory Amortization</v>
      </c>
      <c r="D37" s="750">
        <f>'Exh. No. BGM-6 -3'!AF$59</f>
        <v>-1679.6</v>
      </c>
      <c r="E37" s="750">
        <f>'Exh. No. BGM-6 -3'!AF$82</f>
        <v>0</v>
      </c>
      <c r="G37" s="691" t="s">
        <v>190</v>
      </c>
      <c r="I37" s="732" t="s">
        <v>471</v>
      </c>
      <c r="K37" s="688" t="s">
        <v>127</v>
      </c>
      <c r="M37" s="749"/>
    </row>
    <row r="38" spans="1:13">
      <c r="A38" s="745">
        <f>'Exh. No. BGM-6 -3'!AG$11</f>
        <v>3.0799999999999983</v>
      </c>
      <c r="B38" s="746" t="str">
        <f>'Exh. No. BGM-6 -3'!AG$12</f>
        <v>G-PCAP15</v>
      </c>
      <c r="C38" s="752" t="str">
        <f>TRIM(CONCATENATE('Exh. No. BGM-6 -3'!AG$8," ",'Exh. No. BGM-6 -3'!AG$9," ",'Exh. No. BGM-6 -3'!AG$10))</f>
        <v>Pro Forma Capital Add Dec 2015 AMA</v>
      </c>
      <c r="D38" s="750">
        <f>'Exh. No. BGM-6 -3'!AG$59</f>
        <v>-313.70636000000002</v>
      </c>
      <c r="E38" s="750">
        <f>'Exh. No. BGM-6 -3'!AG$82</f>
        <v>6106</v>
      </c>
      <c r="G38" s="691" t="s">
        <v>190</v>
      </c>
      <c r="I38" s="732" t="s">
        <v>472</v>
      </c>
      <c r="K38" s="688" t="s">
        <v>127</v>
      </c>
      <c r="L38" s="748"/>
      <c r="M38" s="749"/>
    </row>
    <row r="39" spans="1:13">
      <c r="A39" s="745">
        <f>'Exh. No. BGM-6 -3'!AH$11</f>
        <v>3.0899999999999981</v>
      </c>
      <c r="B39" s="746" t="str">
        <f>'Exh. No. BGM-6 -3'!AH$12</f>
        <v>G-PCAP16</v>
      </c>
      <c r="C39" s="752" t="str">
        <f>TRIM(CONCATENATE('Exh. No. BGM-6 -3'!AH$8," ",'Exh. No. BGM-6 -3'!AH$9," ",'Exh. No. BGM-6 -3'!AH$10))</f>
        <v>Pro Forma 2016 Limited Capital Adds</v>
      </c>
      <c r="D39" s="750">
        <f>'Exh. No. BGM-6 -3'!AH$59</f>
        <v>76.698735192778429</v>
      </c>
      <c r="E39" s="750">
        <f>'Exh. No. BGM-6 -3'!AH$82</f>
        <v>6128.5587201509297</v>
      </c>
      <c r="G39" s="691" t="s">
        <v>190</v>
      </c>
      <c r="I39" s="732" t="s">
        <v>472</v>
      </c>
      <c r="J39" s="688"/>
      <c r="K39" s="688" t="s">
        <v>127</v>
      </c>
      <c r="L39" s="748"/>
      <c r="M39" s="749"/>
    </row>
    <row r="40" spans="1:13">
      <c r="A40" s="745">
        <f>'Exh. No. BGM-6 -3'!AI$11</f>
        <v>3.0999999999999979</v>
      </c>
      <c r="B40" s="746" t="str">
        <f>'Exh. No. BGM-6 -3'!AI$12</f>
        <v>G-POFF</v>
      </c>
      <c r="C40" s="752" t="str">
        <f>TRIM(CONCATENATE('Exh. No. BGM-6 -3'!AI$8," ",'Exh. No. BGM-6 -3'!AI$9," ",'Exh. No. BGM-6 -3'!AI$10))</f>
        <v>Pro Forma O&amp;M Offsets</v>
      </c>
      <c r="D40" s="750">
        <f>'Exh. No. BGM-6 -3'!AI$59</f>
        <v>36.400000000000006</v>
      </c>
      <c r="E40" s="750">
        <f>'Exh. No. BGM-6 -3'!AI$82</f>
        <v>0</v>
      </c>
      <c r="G40" s="691" t="s">
        <v>190</v>
      </c>
      <c r="I40" s="732" t="s">
        <v>471</v>
      </c>
      <c r="K40" s="688" t="s">
        <v>127</v>
      </c>
      <c r="L40" s="748"/>
      <c r="M40" s="749"/>
    </row>
    <row r="41" spans="1:13">
      <c r="A41" s="745"/>
      <c r="B41" s="746"/>
      <c r="C41" s="752"/>
      <c r="D41" s="750"/>
      <c r="E41" s="750"/>
      <c r="L41" s="748"/>
      <c r="M41" s="749"/>
    </row>
    <row r="42" spans="1:13">
      <c r="A42" s="760" t="s">
        <v>555</v>
      </c>
      <c r="B42" s="746"/>
      <c r="C42" s="752"/>
      <c r="D42" s="750"/>
      <c r="E42" s="750"/>
      <c r="L42" s="748"/>
      <c r="M42" s="749"/>
    </row>
    <row r="43" spans="1:13">
      <c r="A43" s="745">
        <f>'Exh. No. BGM-6 -3'!AK$11</f>
        <v>4</v>
      </c>
      <c r="B43" s="746" t="str">
        <f>'Exh. No. BGM-6 -3'!AK$12</f>
        <v>G-CLN</v>
      </c>
      <c r="C43" s="752" t="str">
        <f>TRIM(CONCATENATE('Exh. No. BGM-6 -3'!AK$8," ",'Exh. No. BGM-6 -3'!AK$9," ",'Exh. No. BGM-6 -3'!AK$10))</f>
        <v>Cross Check Labor Non-Exec</v>
      </c>
      <c r="D43" s="750">
        <f>'Exh. No. BGM-6 -3'!AK$59</f>
        <v>0</v>
      </c>
      <c r="E43" s="750">
        <f>'Exh. No. BGM-6 -3'!AK$82</f>
        <v>0</v>
      </c>
      <c r="G43" s="691" t="s">
        <v>190</v>
      </c>
      <c r="I43" s="732" t="s">
        <v>262</v>
      </c>
      <c r="J43" s="761"/>
      <c r="K43" s="688" t="s">
        <v>127</v>
      </c>
      <c r="L43" s="748"/>
      <c r="M43" s="749"/>
    </row>
    <row r="44" spans="1:13">
      <c r="A44" s="745">
        <f>'Exh. No. BGM-6 -3'!AL$11</f>
        <v>4.01</v>
      </c>
      <c r="B44" s="746" t="str">
        <f>'Exh. No. BGM-6 -3'!AL$12</f>
        <v>G-CCAP16</v>
      </c>
      <c r="C44" s="752" t="str">
        <f>TRIM(CONCATENATE('Exh. No. BGM-6 -3'!AL$8," ",'Exh. No. BGM-6 -3'!AL$9," ",'Exh. No. BGM-6 -3'!AL$10))</f>
        <v>Cross Check Capital Add 2016 AMA</v>
      </c>
      <c r="D44" s="750">
        <f>'Exh. No. BGM-6 -3'!AL$59</f>
        <v>0</v>
      </c>
      <c r="E44" s="750">
        <f>'Exh. No. BGM-6 -3'!AL$82</f>
        <v>0</v>
      </c>
      <c r="G44" s="691" t="s">
        <v>190</v>
      </c>
      <c r="I44" s="732" t="s">
        <v>472</v>
      </c>
      <c r="K44" s="688" t="s">
        <v>127</v>
      </c>
      <c r="L44" s="748"/>
      <c r="M44" s="749"/>
    </row>
    <row r="45" spans="1:13">
      <c r="A45" s="745">
        <f>'Exh. No. BGM-6 -3'!AM$11</f>
        <v>4.0199999999999996</v>
      </c>
      <c r="B45" s="746" t="str">
        <f>'Exh. No. BGM-6 -3'!AM$12</f>
        <v>G-CCAP17</v>
      </c>
      <c r="C45" s="752" t="str">
        <f>TRIM(CONCATENATE('Exh. No. BGM-6 -3'!AM$8," ",'Exh. No. BGM-6 -3'!AM$9," ",'Exh. No. BGM-6 -3'!AM$10))</f>
        <v>Cross Check Capital Add 2017 AMA</v>
      </c>
      <c r="D45" s="750">
        <f>'Exh. No. BGM-6 -3'!AM$59</f>
        <v>0</v>
      </c>
      <c r="E45" s="750">
        <f>'Exh. No. BGM-6 -3'!AM$82</f>
        <v>0</v>
      </c>
      <c r="G45" s="691" t="s">
        <v>190</v>
      </c>
      <c r="I45" s="732" t="s">
        <v>472</v>
      </c>
      <c r="K45" s="688" t="s">
        <v>127</v>
      </c>
      <c r="L45" s="748"/>
      <c r="M45" s="749"/>
    </row>
    <row r="46" spans="1:13">
      <c r="A46" s="745">
        <f>'Exh. No. BGM-6 -3'!AN$11</f>
        <v>4.0299999999999994</v>
      </c>
      <c r="B46" s="746" t="str">
        <f>'Exh. No. BGM-6 -3'!AN$12</f>
        <v>G-CAMI</v>
      </c>
      <c r="C46" s="752" t="str">
        <f>TRIM(CONCATENATE('Exh. No. BGM-6 -3'!AN$8," ",'Exh. No. BGM-6 -3'!AN$9," ",'Exh. No. BGM-6 -3'!AN$10))</f>
        <v>Cross Check 2017 AMI Capital &amp; Expense</v>
      </c>
      <c r="D46" s="750">
        <f>'Exh. No. BGM-6 -3'!AN$59</f>
        <v>0</v>
      </c>
      <c r="E46" s="750">
        <f>'Exh. No. BGM-6 -3'!AN$82</f>
        <v>0</v>
      </c>
      <c r="G46" s="691" t="s">
        <v>190</v>
      </c>
      <c r="I46" s="732" t="s">
        <v>472</v>
      </c>
      <c r="J46" s="688"/>
      <c r="K46" s="688" t="s">
        <v>127</v>
      </c>
      <c r="L46" s="748"/>
      <c r="M46" s="749"/>
    </row>
    <row r="47" spans="1:13" s="749" customFormat="1">
      <c r="A47" s="755">
        <f>'Exh. No. BGM-6 -3'!AO$11</f>
        <v>4.0399999999999991</v>
      </c>
      <c r="B47" s="756" t="str">
        <f>'Exh. No. BGM-6 -3'!AO$12</f>
        <v>G-CIS</v>
      </c>
      <c r="C47" s="752" t="str">
        <f>TRIM(CONCATENATE('Exh. No. BGM-6 -3'!AO$8," ",'Exh. No. BGM-6 -3'!AO$9," ",'Exh. No. BGM-6 -3'!AO$10))</f>
        <v>Cross Check Information Tech/Serv Exp</v>
      </c>
      <c r="D47" s="751">
        <f>'Exh. No. BGM-6 -3'!AO$59</f>
        <v>0</v>
      </c>
      <c r="E47" s="751">
        <f>'Exh. No. BGM-6 -3'!AO$82</f>
        <v>0</v>
      </c>
      <c r="F47" s="753"/>
      <c r="G47" s="754" t="s">
        <v>190</v>
      </c>
      <c r="H47" s="753"/>
      <c r="I47" s="762" t="s">
        <v>191</v>
      </c>
      <c r="J47" s="763"/>
      <c r="K47" s="688" t="s">
        <v>127</v>
      </c>
      <c r="L47" s="748"/>
    </row>
    <row r="48" spans="1:13">
      <c r="A48" s="745">
        <f>'Exh. No. BGM-6 -3'!AP$11</f>
        <v>4.0499999999999989</v>
      </c>
      <c r="B48" s="746" t="str">
        <f>'Exh. No. BGM-6 -3'!AP$12</f>
        <v>G-CI</v>
      </c>
      <c r="C48" s="752" t="str">
        <f>TRIM(CONCATENATE('Exh. No. BGM-6 -3'!AP$8," ",'Exh. No. BGM-6 -3'!AP$9," ",'Exh. No. BGM-6 -3'!AP$10))</f>
        <v>Cross Check Insurance Expense</v>
      </c>
      <c r="D48" s="750">
        <f>'Exh. No. BGM-6 -3'!AP$59</f>
        <v>0</v>
      </c>
      <c r="E48" s="750">
        <f>'Exh. No. BGM-6 -3'!AP$82</f>
        <v>0</v>
      </c>
      <c r="G48" s="691" t="s">
        <v>190</v>
      </c>
      <c r="I48" s="732" t="s">
        <v>262</v>
      </c>
      <c r="J48" s="761"/>
      <c r="K48" s="688" t="s">
        <v>127</v>
      </c>
      <c r="L48" s="748"/>
      <c r="M48" s="749"/>
    </row>
    <row r="49" spans="1:13">
      <c r="A49" s="745">
        <f>'Exh. No. BGM-6 -3'!AQ$11</f>
        <v>4.0599999999999987</v>
      </c>
      <c r="B49" s="746" t="str">
        <f>'Exh. No. BGM-6 -3'!AQ$12</f>
        <v>G-CPT</v>
      </c>
      <c r="C49" s="752" t="str">
        <f>TRIM(CONCATENATE('Exh. No. BGM-6 -3'!AQ$8," ",'Exh. No. BGM-6 -3'!AQ$9," ",'Exh. No. BGM-6 -3'!AQ$10))</f>
        <v>Cross Check Property Tax Exp</v>
      </c>
      <c r="D49" s="750">
        <f>'Exh. No. BGM-6 -3'!AQ$59</f>
        <v>0</v>
      </c>
      <c r="E49" s="750">
        <f>'Exh. No. BGM-6 -3'!AQ$82</f>
        <v>0</v>
      </c>
      <c r="G49" s="691" t="s">
        <v>190</v>
      </c>
      <c r="I49" s="732" t="s">
        <v>471</v>
      </c>
      <c r="K49" s="688" t="s">
        <v>127</v>
      </c>
      <c r="L49" s="748"/>
      <c r="M49" s="749"/>
    </row>
    <row r="50" spans="1:13">
      <c r="A50" s="745">
        <f>'Exh. No. BGM-6 -3'!AS$11</f>
        <v>4.0699999999999985</v>
      </c>
      <c r="B50" s="746" t="str">
        <f>'Exh. No. BGM-6 -3'!AS$12</f>
        <v>G-CREC</v>
      </c>
      <c r="C50" s="752" t="str">
        <f>TRIM(CONCATENATE('Exh. No. BGM-6 -3'!AS$8," ",'Exh. No. BGM-6 -3'!AS$9," ",'Exh. No. BGM-6 -3'!AS$10))</f>
        <v>Reconcile 2017 Cross Check to Attrition</v>
      </c>
      <c r="D50" s="750">
        <f>'Exh. No. BGM-6 -3'!AS$59</f>
        <v>0</v>
      </c>
      <c r="E50" s="750">
        <f>'Exh. No. BGM-6 -3'!AS$82</f>
        <v>0</v>
      </c>
      <c r="G50" s="691" t="s">
        <v>190</v>
      </c>
      <c r="I50" s="692" t="s">
        <v>127</v>
      </c>
      <c r="K50" s="688" t="s">
        <v>127</v>
      </c>
      <c r="L50" s="748"/>
      <c r="M50" s="749"/>
    </row>
    <row r="51" spans="1:13" s="749" customFormat="1" ht="3" customHeight="1">
      <c r="A51" s="764"/>
      <c r="B51" s="765"/>
      <c r="C51" s="752"/>
      <c r="D51" s="751"/>
      <c r="E51" s="751"/>
      <c r="F51" s="753"/>
      <c r="G51" s="760"/>
      <c r="H51" s="753"/>
      <c r="I51" s="766"/>
      <c r="J51" s="767"/>
      <c r="K51" s="768"/>
      <c r="L51" s="748"/>
    </row>
    <row r="52" spans="1:13" ht="14.25" thickBot="1">
      <c r="A52" s="692"/>
      <c r="C52" s="688" t="s">
        <v>557</v>
      </c>
      <c r="D52" s="757">
        <f>SUM(D28:D51)</f>
        <v>23151.095646741232</v>
      </c>
      <c r="E52" s="757">
        <f>SUM(E28:E51)</f>
        <v>274501.5587201509</v>
      </c>
      <c r="F52" s="769">
        <f>D52/E52</f>
        <v>8.4338667345577198E-2</v>
      </c>
      <c r="G52" s="770"/>
      <c r="H52" s="771">
        <f>'Exh. No. BGM-6 -3'!AJ83</f>
        <v>0</v>
      </c>
      <c r="K52" s="733"/>
      <c r="L52" s="738"/>
    </row>
    <row r="53" spans="1:13" ht="12.75" customHeight="1" thickTop="1">
      <c r="A53" s="692"/>
      <c r="D53" s="747"/>
      <c r="K53" s="733"/>
      <c r="L53" s="738"/>
    </row>
    <row r="54" spans="1:13">
      <c r="A54" s="760" t="s">
        <v>556</v>
      </c>
      <c r="B54" s="746"/>
      <c r="C54" s="752"/>
      <c r="D54" s="750"/>
      <c r="E54" s="750"/>
      <c r="L54" s="748"/>
      <c r="M54" s="749"/>
    </row>
    <row r="55" spans="1:13">
      <c r="A55" s="745">
        <f>'Exh. No. BGM-6 -3'!BA$11</f>
        <v>18.010000000000002</v>
      </c>
      <c r="B55" s="746" t="str">
        <f>'Exh. No. BGM-6 -3'!BA$12</f>
        <v>G-CLN18</v>
      </c>
      <c r="C55" s="752" t="str">
        <f>TRIM(CONCATENATE('Exh. No. BGM-6 -3'!BA$8," ",'Exh. No. BGM-6 -3'!BA$9," ",'Exh. No. BGM-6 -3'!BA$10))</f>
        <v>Cross Check Labor Non-Exec</v>
      </c>
      <c r="D55" s="750">
        <f>'Exh. No. BGM-6 -3'!BA$59</f>
        <v>0</v>
      </c>
      <c r="E55" s="750">
        <f>'Exh. No. BGM-6 -3'!BA$82</f>
        <v>0</v>
      </c>
      <c r="G55" s="691" t="s">
        <v>190</v>
      </c>
      <c r="I55" s="732" t="s">
        <v>262</v>
      </c>
      <c r="J55" s="761"/>
      <c r="K55" s="688" t="s">
        <v>127</v>
      </c>
      <c r="L55" s="748"/>
      <c r="M55" s="749"/>
    </row>
    <row r="56" spans="1:13">
      <c r="A56" s="745">
        <f>'Exh. No. BGM-6 -3'!BB$11</f>
        <v>18.020000000000003</v>
      </c>
      <c r="B56" s="746" t="str">
        <f>'Exh. No. BGM-6 -3'!BB$12</f>
        <v>G-CRA18</v>
      </c>
      <c r="C56" s="752" t="str">
        <f>TRIM(CONCATENATE('Exh. No. BGM-6 -3'!BB$8," ",'Exh. No. BGM-6 -3'!BB$9," ",'Exh. No. BGM-6 -3'!BB$10))</f>
        <v>Cross Check Regulatory Amortizations</v>
      </c>
      <c r="D56" s="750">
        <f>'Exh. No. BGM-6 -3'!BB$59</f>
        <v>0</v>
      </c>
      <c r="E56" s="750">
        <f>'Exh. No. BGM-6 -3'!BB$82</f>
        <v>0</v>
      </c>
      <c r="G56" s="691" t="s">
        <v>190</v>
      </c>
      <c r="I56" s="732" t="s">
        <v>471</v>
      </c>
      <c r="K56" s="688" t="s">
        <v>127</v>
      </c>
      <c r="L56" s="748"/>
      <c r="M56" s="749"/>
    </row>
    <row r="57" spans="1:13">
      <c r="A57" s="745">
        <f>'Exh. No. BGM-6 -3'!BC$11</f>
        <v>18.030000000000005</v>
      </c>
      <c r="B57" s="746" t="str">
        <f>'Exh. No. BGM-6 -3'!BC$12</f>
        <v>G-CI18</v>
      </c>
      <c r="C57" s="752" t="str">
        <f>TRIM(CONCATENATE('Exh. No. BGM-6 -3'!BC$8," ",'Exh. No. BGM-6 -3'!BC$9," ",'Exh. No. BGM-6 -3'!BC$10))</f>
        <v>Cross Check Insurance Expense</v>
      </c>
      <c r="D57" s="750">
        <f>'Exh. No. BGM-6 -3'!BC$59</f>
        <v>0</v>
      </c>
      <c r="E57" s="750">
        <f>'Exh. No. BGM-6 -3'!BC$82</f>
        <v>0</v>
      </c>
      <c r="G57" s="691" t="s">
        <v>190</v>
      </c>
      <c r="I57" s="732" t="s">
        <v>262</v>
      </c>
      <c r="K57" s="688" t="s">
        <v>127</v>
      </c>
      <c r="L57" s="748"/>
      <c r="M57" s="749"/>
    </row>
    <row r="58" spans="1:13">
      <c r="A58" s="745">
        <f>'Exh. No. BGM-6 -3'!BD$11</f>
        <v>18.040000000000006</v>
      </c>
      <c r="B58" s="746" t="str">
        <f>'Exh. No. BGM-6 -3'!BD$12</f>
        <v>G-CIS18</v>
      </c>
      <c r="C58" s="752" t="str">
        <f>TRIM(CONCATENATE('Exh. No. BGM-6 -3'!BD$8," ",'Exh. No. BGM-6 -3'!BD$9," ",'Exh. No. BGM-6 -3'!BD$10))</f>
        <v>Cross Check Information Tech/Serv Exp</v>
      </c>
      <c r="D58" s="750">
        <f>'Exh. No. BGM-6 -3'!BD$59</f>
        <v>0</v>
      </c>
      <c r="E58" s="750">
        <f>'Exh. No. BGM-6 -3'!BD$82</f>
        <v>0</v>
      </c>
      <c r="G58" s="691" t="s">
        <v>190</v>
      </c>
      <c r="I58" s="732" t="s">
        <v>191</v>
      </c>
      <c r="J58" s="761"/>
      <c r="K58" s="688" t="s">
        <v>127</v>
      </c>
      <c r="L58" s="748"/>
      <c r="M58" s="749"/>
    </row>
    <row r="59" spans="1:13">
      <c r="A59" s="745">
        <f>'Exh. No. BGM-6 -3'!BE$11</f>
        <v>18.050000000000008</v>
      </c>
      <c r="B59" s="746" t="str">
        <f>'Exh. No. BGM-6 -3'!BE$12</f>
        <v>G-CCAP18</v>
      </c>
      <c r="C59" s="752" t="str">
        <f>TRIM(CONCATENATE('Exh. No. BGM-6 -3'!BE$8," ",'Exh. No. BGM-6 -3'!BE$9," ",'Exh. No. BGM-6 -3'!BE$10))</f>
        <v>Cross Check Planned Capital Add 2018 AMA</v>
      </c>
      <c r="D59" s="750">
        <f>'Exh. No. BGM-6 -3'!BE$59</f>
        <v>0</v>
      </c>
      <c r="E59" s="750">
        <f>'Exh. No. BGM-6 -3'!BE$82</f>
        <v>0</v>
      </c>
      <c r="G59" s="691" t="s">
        <v>190</v>
      </c>
      <c r="I59" s="732" t="s">
        <v>191</v>
      </c>
      <c r="J59" s="761"/>
      <c r="K59" s="688" t="s">
        <v>127</v>
      </c>
      <c r="L59" s="748"/>
      <c r="M59" s="749"/>
    </row>
    <row r="60" spans="1:13">
      <c r="A60" s="745">
        <f>'Exh. No. BGM-6 -3'!BF$11</f>
        <v>18.060000000000009</v>
      </c>
      <c r="B60" s="746" t="str">
        <f>'Exh. No. BGM-6 -3'!BF$12</f>
        <v>G-CAMI18</v>
      </c>
      <c r="C60" s="752" t="str">
        <f>TRIM(CONCATENATE('Exh. No. BGM-6 -3'!BF$8," ",'Exh. No. BGM-6 -3'!BF$9," ",'Exh. No. BGM-6 -3'!BF$10))</f>
        <v>Cross Check 2018 AMI Capital &amp; Expense</v>
      </c>
      <c r="D60" s="750">
        <f>'Exh. No. BGM-6 -3'!BF$59</f>
        <v>0</v>
      </c>
      <c r="E60" s="750">
        <f>'Exh. No. BGM-6 -3'!BF$82</f>
        <v>0</v>
      </c>
      <c r="G60" s="691" t="s">
        <v>190</v>
      </c>
      <c r="I60" s="732" t="s">
        <v>472</v>
      </c>
      <c r="J60" s="688"/>
      <c r="K60" s="688" t="s">
        <v>127</v>
      </c>
      <c r="L60" s="748"/>
      <c r="M60" s="749"/>
    </row>
    <row r="61" spans="1:13">
      <c r="A61" s="745">
        <f>'Exh. No. BGM-6 -3'!BH$11</f>
        <v>18.070000000000011</v>
      </c>
      <c r="B61" s="746" t="str">
        <f>'Exh. No. BGM-6 -3'!BH$12</f>
        <v>G-CREC18</v>
      </c>
      <c r="C61" s="752" t="str">
        <f>TRIM(CONCATENATE('Exh. No. BGM-6 -3'!BH$8," ",'Exh. No. BGM-6 -3'!BH$9," ",'Exh. No. BGM-6 -3'!BH$10))</f>
        <v>Reconcile 2018 Cross Check to Attrition</v>
      </c>
      <c r="D61" s="750">
        <f>'Exh. No. BGM-6 -3'!BH$59</f>
        <v>0</v>
      </c>
      <c r="E61" s="750">
        <f>'Exh. No. BGM-6 -3'!BH$82</f>
        <v>0</v>
      </c>
      <c r="G61" s="691" t="s">
        <v>190</v>
      </c>
      <c r="I61" s="692" t="s">
        <v>127</v>
      </c>
      <c r="K61" s="688" t="s">
        <v>127</v>
      </c>
      <c r="L61" s="748"/>
      <c r="M61" s="749"/>
    </row>
    <row r="62" spans="1:13" s="749" customFormat="1" ht="10.5" customHeight="1">
      <c r="A62" s="764"/>
      <c r="B62" s="765"/>
      <c r="C62" s="752"/>
      <c r="D62" s="751"/>
      <c r="E62" s="751"/>
      <c r="F62" s="753"/>
      <c r="G62" s="760"/>
      <c r="H62" s="753"/>
      <c r="I62" s="766"/>
      <c r="J62" s="767"/>
      <c r="K62" s="768"/>
      <c r="L62" s="748"/>
    </row>
    <row r="63" spans="1:13" ht="14.25" thickBot="1">
      <c r="A63" s="692"/>
      <c r="C63" s="688" t="s">
        <v>558</v>
      </c>
      <c r="D63" s="757">
        <f>SUM(D52:D62)</f>
        <v>23151.095646741232</v>
      </c>
      <c r="E63" s="757">
        <f>SUM(E52:E62)</f>
        <v>274501.5587201509</v>
      </c>
      <c r="F63" s="769">
        <f>D63/E63</f>
        <v>8.4338667345577198E-2</v>
      </c>
      <c r="G63" s="770"/>
      <c r="H63" s="771">
        <f>'Exh. No. BGM-6 -3'!AJ94</f>
        <v>0</v>
      </c>
      <c r="K63" s="733"/>
      <c r="L63" s="738"/>
    </row>
    <row r="64" spans="1:13" ht="12.75" customHeight="1" thickTop="1">
      <c r="A64" s="692"/>
      <c r="D64" s="747"/>
      <c r="K64" s="733"/>
      <c r="L64" s="738"/>
    </row>
    <row r="65" spans="1:12" ht="12.75" customHeight="1">
      <c r="A65" s="692"/>
      <c r="C65" s="688" t="s">
        <v>148</v>
      </c>
      <c r="D65" s="747"/>
      <c r="H65" s="771"/>
      <c r="I65" s="732" t="s">
        <v>473</v>
      </c>
      <c r="K65" s="688" t="s">
        <v>127</v>
      </c>
      <c r="L65" s="738"/>
    </row>
    <row r="66" spans="1:12" ht="12.75" customHeight="1">
      <c r="A66" s="772"/>
      <c r="B66" s="773"/>
      <c r="C66" s="747"/>
      <c r="D66" s="747"/>
      <c r="J66" s="736"/>
      <c r="K66" s="733"/>
      <c r="L66" s="738"/>
    </row>
    <row r="67" spans="1:12" ht="12.75" customHeight="1">
      <c r="A67" s="772"/>
      <c r="B67" s="773"/>
      <c r="C67" s="747"/>
      <c r="D67" s="747"/>
      <c r="J67" s="736"/>
      <c r="K67" s="733"/>
      <c r="L67" s="738"/>
    </row>
    <row r="68" spans="1:12" ht="12.75" customHeight="1">
      <c r="A68" s="772"/>
      <c r="B68" s="773"/>
      <c r="C68" s="747"/>
      <c r="D68" s="747"/>
      <c r="J68" s="736"/>
      <c r="K68" s="733"/>
      <c r="L68" s="738"/>
    </row>
    <row r="69" spans="1:12" ht="12.75" customHeight="1">
      <c r="A69" s="772"/>
      <c r="B69" s="773"/>
      <c r="C69" s="747"/>
      <c r="D69" s="747"/>
      <c r="J69" s="736"/>
      <c r="K69" s="733"/>
      <c r="L69" s="738"/>
    </row>
    <row r="70" spans="1:12" ht="12.75" customHeight="1">
      <c r="A70" s="772"/>
      <c r="B70" s="773"/>
      <c r="C70" s="747"/>
      <c r="D70" s="747"/>
      <c r="J70" s="736"/>
      <c r="K70" s="733"/>
      <c r="L70" s="738"/>
    </row>
    <row r="71" spans="1:12" ht="12.75" customHeight="1">
      <c r="A71" s="772"/>
      <c r="B71" s="773"/>
      <c r="C71" s="747"/>
      <c r="D71" s="747"/>
      <c r="J71" s="736"/>
      <c r="K71" s="733"/>
      <c r="L71" s="738"/>
    </row>
    <row r="72" spans="1:12" ht="12.75" customHeight="1">
      <c r="A72" s="772"/>
      <c r="B72" s="773"/>
      <c r="C72" s="747"/>
      <c r="D72" s="747"/>
      <c r="I72" s="735"/>
      <c r="J72" s="736"/>
      <c r="K72" s="733"/>
      <c r="L72" s="738"/>
    </row>
    <row r="73" spans="1:12" ht="12.75" customHeight="1">
      <c r="A73" s="772"/>
      <c r="B73" s="773"/>
      <c r="H73" s="772"/>
      <c r="I73" s="735"/>
      <c r="J73" s="736"/>
      <c r="K73" s="733"/>
      <c r="L73" s="738"/>
    </row>
    <row r="74" spans="1:12" ht="12.75" customHeight="1">
      <c r="C74" s="733"/>
      <c r="F74" s="688"/>
      <c r="I74" s="735"/>
      <c r="J74" s="736"/>
      <c r="K74" s="737"/>
      <c r="L74" s="737"/>
    </row>
    <row r="75" spans="1:12" ht="12.75" customHeight="1">
      <c r="F75" s="688"/>
      <c r="I75" s="735"/>
      <c r="J75" s="736"/>
      <c r="K75" s="737"/>
      <c r="L75" s="737"/>
    </row>
    <row r="76" spans="1:12" ht="12.75" customHeight="1">
      <c r="C76" s="733"/>
      <c r="F76" s="688"/>
      <c r="I76" s="735"/>
      <c r="J76" s="736"/>
      <c r="K76" s="737"/>
      <c r="L76" s="737"/>
    </row>
    <row r="77" spans="1:12" ht="12.75" customHeight="1">
      <c r="C77" s="733"/>
      <c r="F77" s="688"/>
      <c r="I77" s="735"/>
      <c r="J77" s="736"/>
      <c r="K77" s="737"/>
      <c r="L77" s="737"/>
    </row>
    <row r="78" spans="1:12" ht="12.75" customHeight="1"/>
    <row r="79" spans="1:12" ht="12.75" customHeight="1"/>
    <row r="80" spans="1:12" ht="12.75" customHeight="1"/>
    <row r="81" ht="12.75" customHeight="1"/>
  </sheetData>
  <mergeCells count="4">
    <mergeCell ref="A1:F1"/>
    <mergeCell ref="A2:F2"/>
    <mergeCell ref="A3:F3"/>
    <mergeCell ref="A4:F4"/>
  </mergeCells>
  <pageMargins left="0.75" right="0.5" top="1" bottom="1" header="0.5" footer="0.5"/>
  <pageSetup scale="80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01"/>
  <sheetViews>
    <sheetView zoomScaleNormal="100" zoomScaleSheetLayoutView="100" workbookViewId="0">
      <pane xSplit="1" ySplit="9" topLeftCell="B10" activePane="bottomRight" state="frozen"/>
      <selection activeCell="U26" sqref="U26"/>
      <selection pane="topRight" activeCell="U26" sqref="U26"/>
      <selection pane="bottomLeft" activeCell="U26" sqref="U26"/>
      <selection pane="bottomRight" activeCell="B10" sqref="B10"/>
    </sheetView>
  </sheetViews>
  <sheetFormatPr defaultColWidth="9.140625" defaultRowHeight="11.1" customHeight="1"/>
  <cols>
    <col min="1" max="1" width="8.28515625" style="9" customWidth="1"/>
    <col min="2" max="2" width="26.140625" style="9" customWidth="1"/>
    <col min="3" max="3" width="12.42578125" style="9" customWidth="1"/>
    <col min="4" max="4" width="6.7109375" style="9" customWidth="1"/>
    <col min="5" max="5" width="12.42578125" style="29" customWidth="1"/>
    <col min="6" max="6" width="12.42578125" style="30" customWidth="1"/>
    <col min="7" max="7" width="12.42578125" style="29" customWidth="1"/>
    <col min="8" max="8" width="12.85546875" style="9" bestFit="1" customWidth="1"/>
    <col min="9" max="9" width="12.140625" style="9" bestFit="1" customWidth="1"/>
    <col min="10" max="16384" width="9.140625" style="9"/>
  </cols>
  <sheetData>
    <row r="1" spans="1:8" ht="16.5" customHeight="1">
      <c r="F1" s="406"/>
    </row>
    <row r="2" spans="1:8" ht="4.5" customHeight="1"/>
    <row r="3" spans="1:8" ht="12">
      <c r="A3" s="850" t="s">
        <v>633</v>
      </c>
      <c r="B3" s="850"/>
      <c r="C3" s="850"/>
      <c r="E3" s="10"/>
      <c r="F3" s="11"/>
      <c r="G3" s="10"/>
    </row>
    <row r="4" spans="1:8" ht="12">
      <c r="A4" s="8" t="s">
        <v>640</v>
      </c>
      <c r="B4" s="8"/>
      <c r="C4" s="8"/>
      <c r="E4" s="12" t="s">
        <v>80</v>
      </c>
      <c r="F4" s="12"/>
      <c r="G4" s="12"/>
    </row>
    <row r="5" spans="1:8" ht="12">
      <c r="A5" s="851" t="s">
        <v>634</v>
      </c>
      <c r="B5" s="850"/>
      <c r="C5" s="850"/>
      <c r="E5" s="12" t="s">
        <v>81</v>
      </c>
      <c r="F5" s="12"/>
      <c r="G5" s="12"/>
    </row>
    <row r="6" spans="1:8" ht="12">
      <c r="A6" s="780" t="s">
        <v>635</v>
      </c>
      <c r="B6" s="8"/>
      <c r="C6" s="8"/>
      <c r="E6" s="13"/>
      <c r="F6" s="14" t="s">
        <v>82</v>
      </c>
      <c r="G6" s="13"/>
    </row>
    <row r="7" spans="1:8" ht="12">
      <c r="A7" s="15" t="s">
        <v>7</v>
      </c>
      <c r="E7" s="10"/>
      <c r="F7" s="16"/>
      <c r="G7" s="10"/>
    </row>
    <row r="8" spans="1:8" ht="12">
      <c r="A8" s="17" t="s">
        <v>17</v>
      </c>
      <c r="B8" s="18" t="s">
        <v>74</v>
      </c>
      <c r="C8" s="18"/>
      <c r="E8" s="19" t="s">
        <v>83</v>
      </c>
      <c r="F8" s="20" t="s">
        <v>84</v>
      </c>
      <c r="G8" s="19" t="s">
        <v>85</v>
      </c>
      <c r="H8" s="21" t="s">
        <v>86</v>
      </c>
    </row>
    <row r="9" spans="1:8" ht="12">
      <c r="A9" s="15"/>
      <c r="B9" s="9" t="s">
        <v>34</v>
      </c>
      <c r="E9" s="22"/>
      <c r="F9" s="16"/>
      <c r="G9" s="22"/>
    </row>
    <row r="10" spans="1:8" ht="12">
      <c r="A10" s="15"/>
      <c r="B10" s="184"/>
      <c r="E10" s="183"/>
      <c r="F10" s="182"/>
      <c r="G10" s="182"/>
    </row>
    <row r="11" spans="1:8" ht="12">
      <c r="A11" s="15"/>
      <c r="B11" s="184"/>
      <c r="E11" s="183"/>
      <c r="F11" s="182"/>
      <c r="G11" s="182"/>
    </row>
    <row r="12" spans="1:8" ht="12">
      <c r="A12" s="15"/>
      <c r="E12" s="22"/>
      <c r="F12" s="16"/>
      <c r="G12" s="16"/>
    </row>
    <row r="13" spans="1:8" ht="5.25" customHeight="1">
      <c r="A13" s="250"/>
      <c r="E13" s="22"/>
      <c r="F13" s="16"/>
      <c r="G13" s="16"/>
    </row>
    <row r="14" spans="1:8" ht="12">
      <c r="A14" s="250"/>
      <c r="E14" s="22"/>
      <c r="F14" s="16"/>
      <c r="G14" s="16"/>
    </row>
    <row r="15" spans="1:8" ht="12">
      <c r="A15" s="15">
        <v>1</v>
      </c>
      <c r="B15" s="9" t="s">
        <v>87</v>
      </c>
      <c r="E15" s="23">
        <f>F15+G15</f>
        <v>152492</v>
      </c>
      <c r="F15" s="178">
        <f>F94</f>
        <v>152492</v>
      </c>
      <c r="G15" s="178">
        <f>G94</f>
        <v>0</v>
      </c>
      <c r="H15" s="24" t="str">
        <f>IF(E15=F15+G15," ","ERROR")</f>
        <v xml:space="preserve"> </v>
      </c>
    </row>
    <row r="16" spans="1:8" ht="12">
      <c r="A16" s="15">
        <v>2</v>
      </c>
      <c r="B16" s="9" t="s">
        <v>88</v>
      </c>
      <c r="E16" s="25">
        <f>F16+G16</f>
        <v>4114</v>
      </c>
      <c r="F16" s="179">
        <f>F99</f>
        <v>4114</v>
      </c>
      <c r="G16" s="179">
        <f>G99</f>
        <v>0</v>
      </c>
      <c r="H16" s="24" t="str">
        <f>IF(E16=F16+G16," ","ERROR")</f>
        <v xml:space="preserve"> </v>
      </c>
    </row>
    <row r="17" spans="1:8" ht="12">
      <c r="A17" s="15">
        <v>3</v>
      </c>
      <c r="B17" s="9" t="s">
        <v>37</v>
      </c>
      <c r="E17" s="26">
        <f>F17+G17</f>
        <v>105088</v>
      </c>
      <c r="F17" s="180">
        <f>F103-F99</f>
        <v>105088</v>
      </c>
      <c r="G17" s="180">
        <f>G103-G99</f>
        <v>0</v>
      </c>
      <c r="H17" s="24" t="str">
        <f>IF(E17=F17+G17," ","ERROR")</f>
        <v xml:space="preserve"> </v>
      </c>
    </row>
    <row r="18" spans="1:8" ht="12">
      <c r="A18" s="15">
        <v>4</v>
      </c>
      <c r="B18" s="9" t="s">
        <v>89</v>
      </c>
      <c r="E18" s="25">
        <f>SUM(E15:E17)</f>
        <v>261694</v>
      </c>
      <c r="F18" s="25">
        <f>SUM(F15:F17)</f>
        <v>261694</v>
      </c>
      <c r="G18" s="25">
        <f>SUM(G15:G17)</f>
        <v>0</v>
      </c>
      <c r="H18" s="24" t="str">
        <f>IF(E18=F18+G18," ","ERROR")</f>
        <v xml:space="preserve"> </v>
      </c>
    </row>
    <row r="19" spans="1:8" ht="12">
      <c r="A19" s="15"/>
      <c r="E19" s="25"/>
      <c r="F19" s="25"/>
      <c r="G19" s="25"/>
      <c r="H19" s="24"/>
    </row>
    <row r="20" spans="1:8" ht="12">
      <c r="A20" s="15"/>
      <c r="B20" s="9" t="s">
        <v>39</v>
      </c>
      <c r="E20" s="25"/>
      <c r="F20" s="25"/>
      <c r="G20" s="25"/>
      <c r="H20" s="24"/>
    </row>
    <row r="21" spans="1:8" ht="12">
      <c r="A21" s="15"/>
      <c r="B21" s="9" t="s">
        <v>227</v>
      </c>
      <c r="E21" s="25"/>
      <c r="F21" s="179"/>
      <c r="G21" s="179"/>
      <c r="H21" s="181" t="str">
        <f>IF(E21=F21+G21," ","ERROR")</f>
        <v xml:space="preserve"> </v>
      </c>
    </row>
    <row r="22" spans="1:8" ht="12">
      <c r="A22" s="15">
        <v>5</v>
      </c>
      <c r="B22" s="9" t="s">
        <v>90</v>
      </c>
      <c r="E22" s="25">
        <f>F22+G22</f>
        <v>164944</v>
      </c>
      <c r="F22" s="179">
        <f>F107</f>
        <v>164944</v>
      </c>
      <c r="G22" s="179">
        <f>G107</f>
        <v>0</v>
      </c>
      <c r="H22" s="24" t="str">
        <f>IF(E22=F22+G22," ","ERROR")</f>
        <v xml:space="preserve"> </v>
      </c>
    </row>
    <row r="23" spans="1:8" ht="12">
      <c r="A23" s="15">
        <v>6</v>
      </c>
      <c r="B23" s="9" t="s">
        <v>91</v>
      </c>
      <c r="E23" s="25">
        <f>F23+G23</f>
        <v>810</v>
      </c>
      <c r="F23" s="179">
        <f>F110+F111</f>
        <v>810</v>
      </c>
      <c r="G23" s="179">
        <f>G109+G110+G111</f>
        <v>0</v>
      </c>
      <c r="H23" s="24" t="str">
        <f>IF(E23=F23+G23," ","ERROR")</f>
        <v xml:space="preserve"> </v>
      </c>
    </row>
    <row r="24" spans="1:8" ht="12">
      <c r="A24" s="15">
        <v>7</v>
      </c>
      <c r="B24" s="9" t="s">
        <v>92</v>
      </c>
      <c r="E24" s="26">
        <f>F24+G24</f>
        <v>8665</v>
      </c>
      <c r="F24" s="180">
        <f>F108+F109-1</f>
        <v>8665</v>
      </c>
      <c r="G24" s="180">
        <f>G108</f>
        <v>0</v>
      </c>
      <c r="H24" s="24" t="str">
        <f>IF(E24=F24+G24," ","ERROR")</f>
        <v xml:space="preserve"> </v>
      </c>
    </row>
    <row r="25" spans="1:8" ht="12">
      <c r="A25" s="15">
        <v>8</v>
      </c>
      <c r="B25" s="9" t="s">
        <v>93</v>
      </c>
      <c r="E25" s="25">
        <f>SUM(E22:E24)</f>
        <v>174419</v>
      </c>
      <c r="F25" s="25">
        <f>SUM(F22:F24)</f>
        <v>174419</v>
      </c>
      <c r="G25" s="25">
        <f>SUM(G22:G24)</f>
        <v>0</v>
      </c>
      <c r="H25" s="24" t="str">
        <f>IF(E25=F25+G25," ","ERROR")</f>
        <v xml:space="preserve"> </v>
      </c>
    </row>
    <row r="26" spans="1:8" ht="12">
      <c r="A26" s="250"/>
      <c r="E26" s="25"/>
      <c r="F26" s="25"/>
      <c r="G26" s="25"/>
      <c r="H26" s="24"/>
    </row>
    <row r="27" spans="1:8" ht="12">
      <c r="A27" s="15"/>
      <c r="B27" s="9" t="s">
        <v>44</v>
      </c>
      <c r="E27" s="25"/>
      <c r="F27" s="25"/>
      <c r="G27" s="25"/>
      <c r="H27" s="24"/>
    </row>
    <row r="28" spans="1:8" ht="12">
      <c r="A28" s="15">
        <v>9</v>
      </c>
      <c r="B28" s="9" t="s">
        <v>94</v>
      </c>
      <c r="E28" s="25">
        <f>F28+G28</f>
        <v>833</v>
      </c>
      <c r="F28" s="179">
        <f>F118</f>
        <v>833</v>
      </c>
      <c r="G28" s="179">
        <f>G118</f>
        <v>0</v>
      </c>
      <c r="H28" s="24" t="str">
        <f>IF(E28=F28+G28," ","ERROR")</f>
        <v xml:space="preserve"> </v>
      </c>
    </row>
    <row r="29" spans="1:8" ht="12">
      <c r="A29" s="15">
        <v>10</v>
      </c>
      <c r="B29" s="9" t="s">
        <v>95</v>
      </c>
      <c r="E29" s="25">
        <f>F29+G29</f>
        <v>429</v>
      </c>
      <c r="F29" s="179">
        <f>F120+F121</f>
        <v>429</v>
      </c>
      <c r="G29" s="179">
        <f>G120+G121</f>
        <v>0</v>
      </c>
      <c r="H29" s="24" t="str">
        <f>IF(E29=F29+G29," ","ERROR")</f>
        <v xml:space="preserve"> </v>
      </c>
    </row>
    <row r="30" spans="1:8" ht="12">
      <c r="A30" s="15">
        <v>11</v>
      </c>
      <c r="B30" s="9" t="s">
        <v>96</v>
      </c>
      <c r="E30" s="26">
        <f>F30+G30</f>
        <v>292</v>
      </c>
      <c r="F30" s="180">
        <f>F122</f>
        <v>292</v>
      </c>
      <c r="G30" s="180">
        <f>G122</f>
        <v>0</v>
      </c>
      <c r="H30" s="24" t="str">
        <f>IF(E30=F30+G30," ","ERROR")</f>
        <v xml:space="preserve"> </v>
      </c>
    </row>
    <row r="31" spans="1:8" ht="12">
      <c r="A31" s="365">
        <v>12</v>
      </c>
      <c r="B31" s="9" t="s">
        <v>97</v>
      </c>
      <c r="E31" s="25">
        <f>SUM(E28:E30)</f>
        <v>1554</v>
      </c>
      <c r="F31" s="179">
        <f>SUM(F28:F30)</f>
        <v>1554</v>
      </c>
      <c r="G31" s="179">
        <f>SUM(G28:G30)</f>
        <v>0</v>
      </c>
      <c r="H31" s="24" t="str">
        <f>IF(E31=F31+G31," ","ERROR")</f>
        <v xml:space="preserve"> </v>
      </c>
    </row>
    <row r="32" spans="1:8" ht="12">
      <c r="A32" s="250"/>
      <c r="E32" s="25"/>
      <c r="F32" s="179"/>
      <c r="G32" s="179"/>
      <c r="H32" s="24"/>
    </row>
    <row r="33" spans="1:10" ht="12">
      <c r="A33" s="15"/>
      <c r="B33" s="9" t="s">
        <v>48</v>
      </c>
      <c r="E33" s="25"/>
      <c r="F33" s="179"/>
      <c r="G33" s="179"/>
      <c r="H33" s="24"/>
    </row>
    <row r="34" spans="1:10" ht="12">
      <c r="A34" s="15">
        <v>13</v>
      </c>
      <c r="B34" s="9" t="s">
        <v>94</v>
      </c>
      <c r="E34" s="25">
        <f>F34+G34</f>
        <v>11531</v>
      </c>
      <c r="F34" s="179">
        <f>F149</f>
        <v>11531</v>
      </c>
      <c r="G34" s="179">
        <f>G149</f>
        <v>0</v>
      </c>
      <c r="H34" s="24" t="str">
        <f t="shared" ref="H34:H41" si="0">IF(E34=F34+G34," ","ERROR")</f>
        <v xml:space="preserve"> </v>
      </c>
    </row>
    <row r="35" spans="1:10" ht="12">
      <c r="A35" s="15">
        <v>14</v>
      </c>
      <c r="B35" s="9" t="s">
        <v>95</v>
      </c>
      <c r="E35" s="25">
        <f>F35+G35</f>
        <v>8931</v>
      </c>
      <c r="F35" s="179">
        <f>F151</f>
        <v>8931</v>
      </c>
      <c r="G35" s="179">
        <f>G151</f>
        <v>0</v>
      </c>
      <c r="H35" s="24" t="str">
        <f t="shared" si="0"/>
        <v xml:space="preserve"> </v>
      </c>
    </row>
    <row r="36" spans="1:10" ht="12">
      <c r="A36" s="15">
        <v>15</v>
      </c>
      <c r="B36" s="9" t="s">
        <v>96</v>
      </c>
      <c r="E36" s="26">
        <f>F36+G36</f>
        <v>14014</v>
      </c>
      <c r="F36" s="180">
        <f>F152</f>
        <v>14014</v>
      </c>
      <c r="G36" s="180">
        <f>G152</f>
        <v>0</v>
      </c>
      <c r="H36" s="24" t="str">
        <f t="shared" si="0"/>
        <v xml:space="preserve"> </v>
      </c>
    </row>
    <row r="37" spans="1:10" ht="12" customHeight="1">
      <c r="A37" s="15">
        <v>16</v>
      </c>
      <c r="B37" s="9" t="s">
        <v>98</v>
      </c>
      <c r="E37" s="25">
        <f>SUM(E34:E36)</f>
        <v>34476</v>
      </c>
      <c r="F37" s="25">
        <f>SUM(F34:F36)</f>
        <v>34476</v>
      </c>
      <c r="G37" s="25">
        <f>SUM(G34:G36)</f>
        <v>0</v>
      </c>
      <c r="H37" s="24" t="str">
        <f t="shared" si="0"/>
        <v xml:space="preserve"> </v>
      </c>
    </row>
    <row r="38" spans="1:10" ht="12" customHeight="1">
      <c r="A38" s="15"/>
      <c r="E38" s="25"/>
      <c r="F38" s="25"/>
      <c r="G38" s="25"/>
      <c r="H38" s="24"/>
    </row>
    <row r="39" spans="1:10" ht="12" customHeight="1">
      <c r="A39" s="15">
        <v>17</v>
      </c>
      <c r="B39" s="9" t="s">
        <v>50</v>
      </c>
      <c r="E39" s="25">
        <f>F39+G39</f>
        <v>6595</v>
      </c>
      <c r="F39" s="179">
        <f>F163</f>
        <v>6595</v>
      </c>
      <c r="G39" s="179">
        <f>G163</f>
        <v>0</v>
      </c>
      <c r="H39" s="24" t="str">
        <f t="shared" si="0"/>
        <v xml:space="preserve"> </v>
      </c>
    </row>
    <row r="40" spans="1:10" ht="12">
      <c r="A40" s="15">
        <v>18</v>
      </c>
      <c r="B40" s="9" t="s">
        <v>51</v>
      </c>
      <c r="E40" s="25">
        <f>F40+G40</f>
        <v>5790</v>
      </c>
      <c r="F40" s="179">
        <f>F169-1</f>
        <v>5790</v>
      </c>
      <c r="G40" s="179">
        <f>G169</f>
        <v>0</v>
      </c>
      <c r="H40" s="24" t="str">
        <f t="shared" si="0"/>
        <v xml:space="preserve"> </v>
      </c>
    </row>
    <row r="41" spans="1:10" ht="12">
      <c r="A41" s="15">
        <v>19</v>
      </c>
      <c r="B41" s="9" t="s">
        <v>99</v>
      </c>
      <c r="E41" s="25">
        <f>F41+G41</f>
        <v>0</v>
      </c>
      <c r="F41" s="179">
        <f>F175</f>
        <v>0</v>
      </c>
      <c r="G41" s="179">
        <f>G175</f>
        <v>0</v>
      </c>
      <c r="H41" s="24" t="str">
        <f t="shared" si="0"/>
        <v xml:space="preserve"> </v>
      </c>
    </row>
    <row r="42" spans="1:10" ht="12">
      <c r="A42" s="250"/>
      <c r="E42" s="25"/>
      <c r="F42" s="179"/>
      <c r="G42" s="179"/>
      <c r="H42" s="24"/>
    </row>
    <row r="43" spans="1:10" ht="12">
      <c r="A43" s="15"/>
      <c r="B43" s="9" t="s">
        <v>100</v>
      </c>
      <c r="E43" s="25"/>
      <c r="F43" s="179"/>
      <c r="G43" s="179"/>
      <c r="H43" s="24"/>
    </row>
    <row r="44" spans="1:10" ht="12">
      <c r="A44" s="15">
        <v>20</v>
      </c>
      <c r="B44" s="9" t="s">
        <v>94</v>
      </c>
      <c r="E44" s="25">
        <f>F44+G44</f>
        <v>13388</v>
      </c>
      <c r="F44" s="179">
        <f>F189</f>
        <v>13388</v>
      </c>
      <c r="G44" s="179">
        <f>G189</f>
        <v>0</v>
      </c>
      <c r="H44" s="24" t="str">
        <f>IF(E44=F44+G44," ","ERROR")</f>
        <v xml:space="preserve"> </v>
      </c>
    </row>
    <row r="45" spans="1:10" ht="12">
      <c r="A45" s="15">
        <v>21</v>
      </c>
      <c r="B45" s="9" t="s">
        <v>442</v>
      </c>
      <c r="E45" s="25">
        <f>F45+G45</f>
        <v>5206</v>
      </c>
      <c r="F45" s="179">
        <f>F191+F192+F193+F194</f>
        <v>5206</v>
      </c>
      <c r="G45" s="179">
        <f>G191+G192+G193+G194</f>
        <v>0</v>
      </c>
      <c r="H45" s="24" t="str">
        <f>IF(E45=F45+G45," ","ERROR")</f>
        <v xml:space="preserve"> </v>
      </c>
      <c r="J45" s="25"/>
    </row>
    <row r="46" spans="1:10" ht="12">
      <c r="A46" s="325">
        <v>22</v>
      </c>
      <c r="B46" s="9" t="s">
        <v>440</v>
      </c>
      <c r="E46" s="25">
        <f>F46+G46</f>
        <v>0</v>
      </c>
      <c r="F46" s="179">
        <f>F195+F198+F199+F200+F201+F196</f>
        <v>0</v>
      </c>
      <c r="G46" s="179">
        <f>G195+G198+G199+G200+G201</f>
        <v>0</v>
      </c>
      <c r="H46" s="24"/>
      <c r="J46" s="25"/>
    </row>
    <row r="47" spans="1:10" ht="12">
      <c r="A47" s="15">
        <v>23</v>
      </c>
      <c r="B47" s="9" t="s">
        <v>96</v>
      </c>
      <c r="E47" s="26">
        <f>F47+G47</f>
        <v>0</v>
      </c>
      <c r="F47" s="180">
        <v>0</v>
      </c>
      <c r="G47" s="180">
        <v>0</v>
      </c>
      <c r="H47" s="24" t="str">
        <f>IF(E47=F47+G47," ","ERROR")</f>
        <v xml:space="preserve"> </v>
      </c>
    </row>
    <row r="48" spans="1:10" ht="12">
      <c r="A48" s="15">
        <v>24</v>
      </c>
      <c r="B48" s="9" t="s">
        <v>101</v>
      </c>
      <c r="E48" s="26">
        <f>SUM(E44:E47)</f>
        <v>18594</v>
      </c>
      <c r="F48" s="26">
        <f>SUM(F44:F47)</f>
        <v>18594</v>
      </c>
      <c r="G48" s="26">
        <f>SUM(G44:G47)</f>
        <v>0</v>
      </c>
      <c r="H48" s="24" t="str">
        <f>IF(E48=F48+G48," ","ERROR")</f>
        <v xml:space="preserve"> </v>
      </c>
    </row>
    <row r="49" spans="1:8" ht="12">
      <c r="A49" s="15">
        <v>25</v>
      </c>
      <c r="B49" s="9" t="s">
        <v>55</v>
      </c>
      <c r="E49" s="26">
        <f>E25+E31+E37+E39+E40+E41+E48+E21</f>
        <v>241428</v>
      </c>
      <c r="F49" s="26">
        <f>F25+F31+F37+F39+F40+F41+F48+F21</f>
        <v>241428</v>
      </c>
      <c r="G49" s="26">
        <f>G25+G31+G37+G39+G40+G41+G48+G21</f>
        <v>0</v>
      </c>
      <c r="H49" s="24" t="str">
        <f>IF(E49=F49+G49," ","ERROR")</f>
        <v xml:space="preserve"> </v>
      </c>
    </row>
    <row r="50" spans="1:8" ht="12">
      <c r="A50" s="15"/>
      <c r="E50" s="25"/>
      <c r="F50" s="25"/>
      <c r="G50" s="25"/>
      <c r="H50" s="24"/>
    </row>
    <row r="51" spans="1:8" ht="12">
      <c r="A51" s="15">
        <v>26</v>
      </c>
      <c r="B51" s="9" t="s">
        <v>102</v>
      </c>
      <c r="E51" s="34">
        <f>E18-E49</f>
        <v>20266</v>
      </c>
      <c r="F51" s="34">
        <f>F18-F49</f>
        <v>20266</v>
      </c>
      <c r="G51" s="34">
        <f>G18-G49</f>
        <v>0</v>
      </c>
      <c r="H51" s="24" t="str">
        <f>IF(E51=F51+G51," ","ERROR")</f>
        <v xml:space="preserve"> </v>
      </c>
    </row>
    <row r="52" spans="1:8" ht="12" customHeight="1">
      <c r="A52" s="15"/>
      <c r="E52" s="34"/>
      <c r="F52" s="34"/>
      <c r="G52" s="34"/>
      <c r="H52" s="24"/>
    </row>
    <row r="53" spans="1:8" ht="12" customHeight="1">
      <c r="A53" s="15"/>
      <c r="B53" s="9" t="s">
        <v>103</v>
      </c>
      <c r="E53" s="25"/>
      <c r="F53" s="25"/>
      <c r="G53" s="25"/>
      <c r="H53" s="24"/>
    </row>
    <row r="54" spans="1:8" ht="12">
      <c r="A54" s="15">
        <v>27</v>
      </c>
      <c r="B54" s="27" t="s">
        <v>104</v>
      </c>
      <c r="D54" s="28">
        <v>0.35</v>
      </c>
      <c r="E54" s="25">
        <f>F54+G54</f>
        <v>-6651</v>
      </c>
      <c r="F54" s="179">
        <f>F210</f>
        <v>-6651</v>
      </c>
      <c r="G54" s="179">
        <f>G210</f>
        <v>0</v>
      </c>
      <c r="H54" s="24" t="str">
        <f>IF(E54=F54+G54," ","ERROR")</f>
        <v xml:space="preserve"> </v>
      </c>
    </row>
    <row r="55" spans="1:8" ht="12">
      <c r="A55" s="250">
        <v>28</v>
      </c>
      <c r="B55" s="27" t="s">
        <v>266</v>
      </c>
      <c r="D55" s="28"/>
      <c r="E55" s="25"/>
      <c r="F55" s="179"/>
      <c r="G55" s="179"/>
      <c r="H55" s="24"/>
    </row>
    <row r="56" spans="1:8" ht="12">
      <c r="A56" s="15">
        <v>29</v>
      </c>
      <c r="B56" s="9" t="s">
        <v>105</v>
      </c>
      <c r="E56" s="25">
        <f>F56+G56</f>
        <v>12388</v>
      </c>
      <c r="F56" s="179">
        <f>F211</f>
        <v>12388</v>
      </c>
      <c r="G56" s="179">
        <f>G211</f>
        <v>0</v>
      </c>
      <c r="H56" s="24" t="str">
        <f>IF(E56=F56+G56," ","ERROR")</f>
        <v xml:space="preserve"> </v>
      </c>
    </row>
    <row r="57" spans="1:8" ht="12">
      <c r="A57" s="15">
        <v>30</v>
      </c>
      <c r="B57" s="9" t="s">
        <v>106</v>
      </c>
      <c r="E57" s="26">
        <f>F57+G57</f>
        <v>-20</v>
      </c>
      <c r="F57" s="180">
        <f>F212</f>
        <v>-20</v>
      </c>
      <c r="G57" s="180">
        <f>G212</f>
        <v>0</v>
      </c>
      <c r="H57" s="24" t="str">
        <f>IF(E57=F57+G57," ","ERROR")</f>
        <v xml:space="preserve"> </v>
      </c>
    </row>
    <row r="58" spans="1:8" ht="12">
      <c r="A58" s="15"/>
      <c r="G58" s="30"/>
      <c r="H58" s="24"/>
    </row>
    <row r="59" spans="1:8" ht="12.75" thickBot="1">
      <c r="A59" s="15">
        <v>31</v>
      </c>
      <c r="B59" s="31" t="s">
        <v>61</v>
      </c>
      <c r="E59" s="35">
        <f>E51-(+E54+E56+E57)</f>
        <v>14549</v>
      </c>
      <c r="F59" s="35">
        <f>F51-(F54+F56+F57)</f>
        <v>14549</v>
      </c>
      <c r="G59" s="35">
        <f>G51-(G54+G56+G57)</f>
        <v>0</v>
      </c>
      <c r="H59" s="24" t="str">
        <f>IF(E59=F59+G59," ","ERROR")</f>
        <v xml:space="preserve"> </v>
      </c>
    </row>
    <row r="60" spans="1:8" ht="12.75" thickTop="1">
      <c r="A60" s="15"/>
      <c r="E60" s="16"/>
      <c r="F60" s="16"/>
      <c r="G60" s="16"/>
      <c r="H60" s="24"/>
    </row>
    <row r="61" spans="1:8" ht="12">
      <c r="A61" s="15"/>
      <c r="B61" s="27" t="s">
        <v>107</v>
      </c>
      <c r="G61" s="30"/>
      <c r="H61" s="24"/>
    </row>
    <row r="62" spans="1:8" ht="12">
      <c r="A62" s="15"/>
      <c r="B62" s="27" t="s">
        <v>108</v>
      </c>
      <c r="G62" s="30"/>
      <c r="H62" s="24"/>
    </row>
    <row r="63" spans="1:8" ht="12">
      <c r="A63" s="15">
        <v>32</v>
      </c>
      <c r="B63" s="9" t="s">
        <v>109</v>
      </c>
      <c r="E63" s="23">
        <f>F63+G63</f>
        <v>25622</v>
      </c>
      <c r="F63" s="178">
        <f>F230</f>
        <v>25622</v>
      </c>
      <c r="G63" s="178">
        <f>G230</f>
        <v>0</v>
      </c>
      <c r="H63" s="24" t="str">
        <f t="shared" ref="H63:H76" si="1">IF(E63=F63+G63," ","ERROR")</f>
        <v xml:space="preserve"> </v>
      </c>
    </row>
    <row r="64" spans="1:8" ht="12">
      <c r="A64" s="15">
        <v>33</v>
      </c>
      <c r="B64" s="9" t="s">
        <v>110</v>
      </c>
      <c r="E64" s="25">
        <f>F64+G64</f>
        <v>354360</v>
      </c>
      <c r="F64" s="179">
        <f>F246</f>
        <v>354360</v>
      </c>
      <c r="G64" s="179">
        <f>G246</f>
        <v>0</v>
      </c>
      <c r="H64" s="24" t="str">
        <f t="shared" si="1"/>
        <v xml:space="preserve"> </v>
      </c>
    </row>
    <row r="65" spans="1:8" ht="12">
      <c r="A65" s="15">
        <v>34</v>
      </c>
      <c r="B65" s="9" t="s">
        <v>111</v>
      </c>
      <c r="E65" s="26">
        <f>F65+G65</f>
        <v>69725</v>
      </c>
      <c r="F65" s="180">
        <f>F259+F219</f>
        <v>69725</v>
      </c>
      <c r="G65" s="180">
        <f>G259+G219</f>
        <v>0</v>
      </c>
      <c r="H65" s="24" t="str">
        <f t="shared" si="1"/>
        <v xml:space="preserve"> </v>
      </c>
    </row>
    <row r="66" spans="1:8" ht="12">
      <c r="A66" s="15">
        <v>35</v>
      </c>
      <c r="B66" s="9" t="s">
        <v>112</v>
      </c>
      <c r="E66" s="25">
        <f>SUM(E63:E65)</f>
        <v>449707</v>
      </c>
      <c r="F66" s="179">
        <f>SUM(F63:F65)</f>
        <v>449707</v>
      </c>
      <c r="G66" s="179">
        <f>SUM(G63:G65)</f>
        <v>0</v>
      </c>
      <c r="H66" s="24" t="str">
        <f t="shared" si="1"/>
        <v xml:space="preserve"> </v>
      </c>
    </row>
    <row r="67" spans="1:8" ht="12">
      <c r="A67" s="250"/>
      <c r="E67" s="25"/>
      <c r="F67" s="179"/>
      <c r="G67" s="179"/>
      <c r="H67" s="24"/>
    </row>
    <row r="68" spans="1:8" ht="12">
      <c r="A68" s="15"/>
      <c r="B68" s="9" t="s">
        <v>443</v>
      </c>
      <c r="E68" s="25"/>
      <c r="F68" s="179"/>
      <c r="G68" s="179"/>
      <c r="H68" s="24" t="str">
        <f t="shared" si="1"/>
        <v xml:space="preserve"> </v>
      </c>
    </row>
    <row r="69" spans="1:8" ht="12">
      <c r="A69" s="15">
        <v>36</v>
      </c>
      <c r="B69" s="9" t="s">
        <v>109</v>
      </c>
      <c r="E69" s="25">
        <f>F69+G69</f>
        <v>-9824</v>
      </c>
      <c r="F69" s="179">
        <f>F265+F273</f>
        <v>-9824</v>
      </c>
      <c r="G69" s="179">
        <f>G265+G273</f>
        <v>0</v>
      </c>
      <c r="H69" s="24" t="str">
        <f t="shared" si="1"/>
        <v xml:space="preserve"> </v>
      </c>
    </row>
    <row r="70" spans="1:8" ht="12">
      <c r="A70" s="15">
        <v>37</v>
      </c>
      <c r="B70" s="9" t="s">
        <v>110</v>
      </c>
      <c r="E70" s="25">
        <f>F70+G70</f>
        <v>-119790</v>
      </c>
      <c r="F70" s="179">
        <f>F266</f>
        <v>-119790</v>
      </c>
      <c r="G70" s="179">
        <f>G266</f>
        <v>0</v>
      </c>
      <c r="H70" s="24" t="str">
        <f t="shared" si="1"/>
        <v xml:space="preserve"> </v>
      </c>
    </row>
    <row r="71" spans="1:8" ht="12">
      <c r="A71" s="15">
        <v>38</v>
      </c>
      <c r="B71" s="9" t="s">
        <v>111</v>
      </c>
      <c r="E71" s="26">
        <f>F71+G71</f>
        <v>-19460</v>
      </c>
      <c r="F71" s="180">
        <f>F267+F271+F272+F274</f>
        <v>-19460</v>
      </c>
      <c r="G71" s="180">
        <f>G267+G271+G272+G274</f>
        <v>0</v>
      </c>
      <c r="H71" s="24" t="str">
        <f t="shared" si="1"/>
        <v xml:space="preserve"> </v>
      </c>
    </row>
    <row r="72" spans="1:8" ht="12">
      <c r="A72" s="15">
        <v>39</v>
      </c>
      <c r="B72" s="9" t="s">
        <v>444</v>
      </c>
      <c r="E72" s="329">
        <f>SUM(E69:E71)</f>
        <v>-149074</v>
      </c>
      <c r="F72" s="329">
        <f>SUM(F69:F71)</f>
        <v>-149074</v>
      </c>
      <c r="G72" s="329">
        <f>SUM(G69:G71)</f>
        <v>0</v>
      </c>
      <c r="H72" s="24" t="str">
        <f t="shared" si="1"/>
        <v xml:space="preserve"> </v>
      </c>
    </row>
    <row r="73" spans="1:8" ht="12">
      <c r="A73" s="250">
        <v>40</v>
      </c>
      <c r="B73" s="9" t="s">
        <v>192</v>
      </c>
      <c r="E73" s="25">
        <f>E66+E72</f>
        <v>300633</v>
      </c>
      <c r="F73" s="25">
        <f>F66+F72</f>
        <v>300633</v>
      </c>
      <c r="G73" s="25">
        <f>G66+G72</f>
        <v>0</v>
      </c>
      <c r="H73" s="24"/>
    </row>
    <row r="74" spans="1:8" ht="12">
      <c r="A74" s="15">
        <v>41</v>
      </c>
      <c r="B74" s="27" t="s">
        <v>113</v>
      </c>
      <c r="E74" s="330">
        <f>F74+G74</f>
        <v>-65675</v>
      </c>
      <c r="F74" s="330">
        <f>F286</f>
        <v>-65675</v>
      </c>
      <c r="G74" s="330">
        <f>G286</f>
        <v>0</v>
      </c>
      <c r="H74" s="24" t="str">
        <f t="shared" si="1"/>
        <v xml:space="preserve"> </v>
      </c>
    </row>
    <row r="75" spans="1:8" ht="12">
      <c r="A75" s="250">
        <v>42</v>
      </c>
      <c r="B75" s="232" t="s">
        <v>226</v>
      </c>
      <c r="E75" s="25">
        <f>E73+E74</f>
        <v>234958</v>
      </c>
      <c r="F75" s="25">
        <f>F73+F74</f>
        <v>234958</v>
      </c>
      <c r="G75" s="25">
        <f>G73+G74</f>
        <v>0</v>
      </c>
      <c r="H75" s="24"/>
    </row>
    <row r="76" spans="1:8" ht="12">
      <c r="A76" s="15">
        <v>43</v>
      </c>
      <c r="B76" s="9" t="s">
        <v>68</v>
      </c>
      <c r="E76" s="25">
        <f t="shared" ref="E76:E79" si="2">F76+G76</f>
        <v>15143</v>
      </c>
      <c r="F76" s="25">
        <f>F293+F294</f>
        <v>15143</v>
      </c>
      <c r="G76" s="25">
        <f>G293+G294</f>
        <v>0</v>
      </c>
      <c r="H76" s="24" t="str">
        <f t="shared" si="1"/>
        <v xml:space="preserve"> </v>
      </c>
    </row>
    <row r="77" spans="1:8" ht="12">
      <c r="A77" s="15">
        <v>44</v>
      </c>
      <c r="B77" s="27" t="s">
        <v>69</v>
      </c>
      <c r="E77" s="25">
        <f t="shared" si="2"/>
        <v>0</v>
      </c>
      <c r="F77" s="30">
        <f>F291+F292</f>
        <v>0</v>
      </c>
      <c r="G77" s="30">
        <f>G291+G292</f>
        <v>0</v>
      </c>
      <c r="H77" s="24" t="str">
        <f>IF(E79=F79+G79," ","ERROR")</f>
        <v xml:space="preserve"> </v>
      </c>
    </row>
    <row r="78" spans="1:8" ht="12">
      <c r="A78" s="325">
        <v>45</v>
      </c>
      <c r="B78" s="27" t="s">
        <v>448</v>
      </c>
      <c r="E78" s="25">
        <f t="shared" si="2"/>
        <v>-509</v>
      </c>
      <c r="F78" s="30">
        <f>F295+F296</f>
        <v>-509</v>
      </c>
      <c r="G78" s="30">
        <f>G295+G296</f>
        <v>0</v>
      </c>
      <c r="H78" s="24"/>
    </row>
    <row r="79" spans="1:8" ht="12">
      <c r="A79" s="15">
        <v>46</v>
      </c>
      <c r="B79" s="40" t="s">
        <v>196</v>
      </c>
      <c r="E79" s="26">
        <f t="shared" si="2"/>
        <v>9797</v>
      </c>
      <c r="F79" s="26">
        <f>F297</f>
        <v>9797</v>
      </c>
      <c r="G79" s="26">
        <f>G297</f>
        <v>0</v>
      </c>
      <c r="H79" s="24"/>
    </row>
    <row r="80" spans="1:8" ht="11.1" customHeight="1">
      <c r="G80" s="30"/>
    </row>
    <row r="81" spans="1:10" ht="9" customHeight="1">
      <c r="A81" s="15"/>
      <c r="B81" s="9" t="s">
        <v>114</v>
      </c>
      <c r="G81" s="30"/>
      <c r="H81" s="24"/>
    </row>
    <row r="82" spans="1:10" ht="12.75" thickBot="1">
      <c r="A82" s="15">
        <v>47</v>
      </c>
      <c r="B82" s="31" t="s">
        <v>70</v>
      </c>
      <c r="E82" s="32">
        <f>E75+E76+E79+E77+E78</f>
        <v>259389</v>
      </c>
      <c r="F82" s="32">
        <f>F75+F76+F79+F77+F78</f>
        <v>259389</v>
      </c>
      <c r="G82" s="32">
        <f>G75+G76+G79+G77+G78</f>
        <v>0</v>
      </c>
      <c r="H82" s="24" t="str">
        <f>IF(E82=F82+G82," ","ERROR")</f>
        <v xml:space="preserve"> </v>
      </c>
    </row>
    <row r="83" spans="1:10" ht="11.1" customHeight="1" thickTop="1">
      <c r="E83" s="16"/>
      <c r="F83" s="16"/>
      <c r="G83" s="16"/>
    </row>
    <row r="84" spans="1:10" ht="11.1" customHeight="1">
      <c r="E84" s="33">
        <f>E59/E82</f>
        <v>5.6089502638893708E-2</v>
      </c>
      <c r="F84" s="33">
        <f>F59/F82</f>
        <v>5.6089502638893708E-2</v>
      </c>
      <c r="G84" s="33"/>
    </row>
    <row r="86" spans="1:10" ht="11.1" customHeight="1">
      <c r="A86" s="338"/>
      <c r="B86" s="339" t="s">
        <v>34</v>
      </c>
      <c r="J86" s="527" t="s">
        <v>34</v>
      </c>
    </row>
    <row r="87" spans="1:10" ht="11.1" customHeight="1">
      <c r="A87" s="338"/>
      <c r="B87" s="340" t="s">
        <v>267</v>
      </c>
      <c r="J87" s="528" t="s">
        <v>267</v>
      </c>
    </row>
    <row r="88" spans="1:10" ht="11.1" customHeight="1">
      <c r="A88" s="341">
        <v>480000</v>
      </c>
      <c r="B88" s="340" t="s">
        <v>268</v>
      </c>
      <c r="F88" s="30">
        <f>ROUND(H88/1000,0)</f>
        <v>98959</v>
      </c>
      <c r="H88" s="183">
        <v>98959005</v>
      </c>
      <c r="I88" s="183">
        <v>98959005</v>
      </c>
      <c r="J88" s="528" t="s">
        <v>268</v>
      </c>
    </row>
    <row r="89" spans="1:10" ht="11.1" customHeight="1">
      <c r="A89" s="341" t="s">
        <v>269</v>
      </c>
      <c r="B89" s="340" t="s">
        <v>270</v>
      </c>
      <c r="F89" s="30">
        <f t="shared" ref="F89:F153" si="3">ROUND(H89/1000,0)</f>
        <v>51196</v>
      </c>
      <c r="H89" s="183">
        <v>51195842</v>
      </c>
      <c r="I89" s="183">
        <v>51195842</v>
      </c>
      <c r="J89" s="528" t="s">
        <v>270</v>
      </c>
    </row>
    <row r="90" spans="1:10" ht="11.1" customHeight="1">
      <c r="A90" s="341" t="s">
        <v>271</v>
      </c>
      <c r="B90" s="340" t="s">
        <v>272</v>
      </c>
      <c r="F90" s="30">
        <f t="shared" si="3"/>
        <v>2008</v>
      </c>
      <c r="H90" s="183">
        <v>2007521</v>
      </c>
      <c r="I90" s="183">
        <v>2007521</v>
      </c>
      <c r="J90" s="528" t="s">
        <v>272</v>
      </c>
    </row>
    <row r="91" spans="1:10" ht="11.1" customHeight="1">
      <c r="A91" s="341">
        <v>481400</v>
      </c>
      <c r="B91" s="340" t="s">
        <v>273</v>
      </c>
      <c r="F91" s="30">
        <f t="shared" si="3"/>
        <v>0</v>
      </c>
      <c r="H91" s="183">
        <v>0</v>
      </c>
      <c r="I91" s="183">
        <v>0</v>
      </c>
      <c r="J91" s="528" t="s">
        <v>273</v>
      </c>
    </row>
    <row r="92" spans="1:10" ht="11.1" customHeight="1">
      <c r="A92" s="341">
        <v>484000</v>
      </c>
      <c r="B92" s="340" t="s">
        <v>276</v>
      </c>
      <c r="F92" s="30">
        <f t="shared" si="3"/>
        <v>242</v>
      </c>
      <c r="H92" s="183">
        <v>241580</v>
      </c>
      <c r="I92" s="183">
        <v>241580</v>
      </c>
      <c r="J92" s="528" t="s">
        <v>276</v>
      </c>
    </row>
    <row r="93" spans="1:10" ht="11.1" customHeight="1">
      <c r="A93" s="338" t="s">
        <v>274</v>
      </c>
      <c r="B93" s="340" t="s">
        <v>275</v>
      </c>
      <c r="F93" s="30">
        <f t="shared" si="3"/>
        <v>88</v>
      </c>
      <c r="H93" s="183">
        <v>88066</v>
      </c>
      <c r="I93" s="183">
        <v>88066</v>
      </c>
      <c r="J93" s="528" t="s">
        <v>275</v>
      </c>
    </row>
    <row r="94" spans="1:10" ht="11.1" customHeight="1">
      <c r="A94" s="338"/>
      <c r="B94" s="340" t="s">
        <v>277</v>
      </c>
      <c r="F94" s="30">
        <f t="shared" si="3"/>
        <v>152492</v>
      </c>
      <c r="H94" s="183">
        <v>152492014</v>
      </c>
      <c r="I94" s="183">
        <v>152492014</v>
      </c>
      <c r="J94" s="528" t="s">
        <v>277</v>
      </c>
    </row>
    <row r="95" spans="1:10" ht="11.1" customHeight="1">
      <c r="A95" s="338"/>
      <c r="B95" s="340"/>
      <c r="F95" s="30">
        <f t="shared" si="3"/>
        <v>0</v>
      </c>
      <c r="H95" s="183"/>
      <c r="I95" s="183"/>
      <c r="J95" s="528"/>
    </row>
    <row r="96" spans="1:10" ht="11.1" customHeight="1">
      <c r="A96" s="338"/>
      <c r="B96" s="340" t="s">
        <v>278</v>
      </c>
      <c r="F96" s="30">
        <f t="shared" si="3"/>
        <v>0</v>
      </c>
      <c r="H96" s="183"/>
      <c r="I96" s="183"/>
      <c r="J96" s="528" t="s">
        <v>278</v>
      </c>
    </row>
    <row r="97" spans="1:10" ht="11.1" customHeight="1">
      <c r="A97" s="342">
        <v>483000</v>
      </c>
      <c r="B97" s="343" t="s">
        <v>279</v>
      </c>
      <c r="F97" s="30">
        <f t="shared" si="3"/>
        <v>96364</v>
      </c>
      <c r="H97" s="183">
        <v>96364261</v>
      </c>
      <c r="I97" s="183">
        <v>96364261</v>
      </c>
      <c r="J97" s="529" t="s">
        <v>279</v>
      </c>
    </row>
    <row r="98" spans="1:10" ht="11.1" customHeight="1">
      <c r="A98" s="341">
        <v>488000</v>
      </c>
      <c r="B98" s="340" t="s">
        <v>280</v>
      </c>
      <c r="F98" s="30">
        <f t="shared" si="3"/>
        <v>8</v>
      </c>
      <c r="H98" s="183">
        <v>7633</v>
      </c>
      <c r="I98" s="183">
        <v>7633</v>
      </c>
      <c r="J98" s="528" t="s">
        <v>280</v>
      </c>
    </row>
    <row r="99" spans="1:10" ht="11.1" customHeight="1">
      <c r="A99" s="341">
        <v>489300</v>
      </c>
      <c r="B99" s="340" t="s">
        <v>281</v>
      </c>
      <c r="F99" s="30">
        <f t="shared" si="3"/>
        <v>4114</v>
      </c>
      <c r="H99" s="183">
        <v>4114038</v>
      </c>
      <c r="I99" s="183">
        <v>4114038</v>
      </c>
      <c r="J99" s="528" t="s">
        <v>507</v>
      </c>
    </row>
    <row r="100" spans="1:10" ht="11.1" customHeight="1">
      <c r="A100" s="341">
        <v>493000</v>
      </c>
      <c r="B100" s="340" t="s">
        <v>282</v>
      </c>
      <c r="F100" s="30">
        <f t="shared" si="3"/>
        <v>2</v>
      </c>
      <c r="H100" s="183">
        <v>2428</v>
      </c>
      <c r="I100" s="183">
        <v>2428</v>
      </c>
      <c r="J100" s="528" t="s">
        <v>282</v>
      </c>
    </row>
    <row r="101" spans="1:10" ht="11.1" customHeight="1">
      <c r="A101" s="341">
        <v>495000</v>
      </c>
      <c r="B101" s="340" t="s">
        <v>283</v>
      </c>
      <c r="F101" s="30">
        <f t="shared" si="3"/>
        <v>8714</v>
      </c>
      <c r="H101" s="183">
        <v>8713935</v>
      </c>
      <c r="I101" s="183">
        <v>8713935</v>
      </c>
      <c r="J101" s="528" t="s">
        <v>283</v>
      </c>
    </row>
    <row r="102" spans="1:10" ht="11.1" customHeight="1">
      <c r="A102" s="341">
        <v>496100</v>
      </c>
      <c r="B102" s="340" t="s">
        <v>503</v>
      </c>
      <c r="F102" s="30">
        <f t="shared" si="3"/>
        <v>0</v>
      </c>
      <c r="H102" s="183">
        <v>0</v>
      </c>
      <c r="I102" s="183">
        <v>0</v>
      </c>
      <c r="J102" s="528" t="s">
        <v>503</v>
      </c>
    </row>
    <row r="103" spans="1:10" ht="11.1" customHeight="1">
      <c r="A103" s="338"/>
      <c r="B103" s="340" t="s">
        <v>284</v>
      </c>
      <c r="F103" s="30">
        <f t="shared" si="3"/>
        <v>109202</v>
      </c>
      <c r="H103" s="183">
        <v>109202295</v>
      </c>
      <c r="I103" s="183">
        <v>109202295</v>
      </c>
      <c r="J103" s="528" t="s">
        <v>284</v>
      </c>
    </row>
    <row r="104" spans="1:10" ht="11.1" customHeight="1">
      <c r="A104" s="338"/>
      <c r="B104" s="340" t="s">
        <v>285</v>
      </c>
      <c r="F104" s="30">
        <f t="shared" si="3"/>
        <v>261694</v>
      </c>
      <c r="H104" s="183">
        <v>261694309</v>
      </c>
      <c r="I104" s="183">
        <v>261694309</v>
      </c>
      <c r="J104" s="528" t="s">
        <v>285</v>
      </c>
    </row>
    <row r="105" spans="1:10" ht="11.1" customHeight="1">
      <c r="A105" s="338"/>
      <c r="B105" s="340"/>
      <c r="F105" s="30">
        <f t="shared" si="3"/>
        <v>0</v>
      </c>
      <c r="H105" s="183"/>
      <c r="I105" s="183"/>
      <c r="J105" s="528"/>
    </row>
    <row r="106" spans="1:10" ht="11.1" customHeight="1">
      <c r="A106" s="338"/>
      <c r="B106" s="340" t="s">
        <v>286</v>
      </c>
      <c r="F106" s="30">
        <f t="shared" si="3"/>
        <v>0</v>
      </c>
      <c r="H106" s="183"/>
      <c r="I106" s="183"/>
      <c r="J106" s="528" t="s">
        <v>286</v>
      </c>
    </row>
    <row r="107" spans="1:10" ht="11.1" customHeight="1">
      <c r="A107" s="344" t="s">
        <v>287</v>
      </c>
      <c r="B107" s="340" t="s">
        <v>40</v>
      </c>
      <c r="F107" s="30">
        <f t="shared" si="3"/>
        <v>164944</v>
      </c>
      <c r="H107" s="183">
        <v>164943759</v>
      </c>
      <c r="I107" s="183">
        <v>164943759</v>
      </c>
      <c r="J107" s="528" t="s">
        <v>40</v>
      </c>
    </row>
    <row r="108" spans="1:10" ht="11.1" customHeight="1">
      <c r="A108" s="341" t="s">
        <v>288</v>
      </c>
      <c r="B108" s="340" t="s">
        <v>289</v>
      </c>
      <c r="F108" s="30">
        <f t="shared" si="3"/>
        <v>9012</v>
      </c>
      <c r="H108" s="183">
        <v>9011541</v>
      </c>
      <c r="I108" s="183">
        <v>9011541</v>
      </c>
      <c r="J108" s="528" t="s">
        <v>289</v>
      </c>
    </row>
    <row r="109" spans="1:10" ht="11.1" customHeight="1">
      <c r="A109" s="342">
        <v>811000</v>
      </c>
      <c r="B109" s="343" t="s">
        <v>290</v>
      </c>
      <c r="F109" s="30">
        <f t="shared" si="3"/>
        <v>-346</v>
      </c>
      <c r="H109" s="183">
        <v>-346260</v>
      </c>
      <c r="I109" s="183">
        <v>-346260</v>
      </c>
      <c r="J109" s="529" t="s">
        <v>290</v>
      </c>
    </row>
    <row r="110" spans="1:10" ht="11.1" customHeight="1">
      <c r="A110" s="341">
        <v>813000</v>
      </c>
      <c r="B110" s="340" t="s">
        <v>291</v>
      </c>
      <c r="F110" s="30">
        <f t="shared" si="3"/>
        <v>743</v>
      </c>
      <c r="H110" s="183">
        <v>742891</v>
      </c>
      <c r="I110" s="183">
        <v>742891</v>
      </c>
      <c r="J110" s="528" t="s">
        <v>291</v>
      </c>
    </row>
    <row r="111" spans="1:10" ht="11.1" customHeight="1">
      <c r="A111" s="341">
        <v>813010</v>
      </c>
      <c r="B111" s="340" t="s">
        <v>292</v>
      </c>
      <c r="F111" s="30">
        <f t="shared" si="3"/>
        <v>67</v>
      </c>
      <c r="H111" s="183">
        <v>66588</v>
      </c>
      <c r="I111" s="183">
        <v>66588</v>
      </c>
      <c r="J111" s="528" t="s">
        <v>292</v>
      </c>
    </row>
    <row r="112" spans="1:10" ht="11.1" customHeight="1">
      <c r="A112" s="338"/>
      <c r="B112" s="340" t="s">
        <v>293</v>
      </c>
      <c r="F112" s="30">
        <f t="shared" si="3"/>
        <v>174419</v>
      </c>
      <c r="H112" s="183">
        <v>174418519</v>
      </c>
      <c r="I112" s="183">
        <v>174418519</v>
      </c>
      <c r="J112" s="528" t="s">
        <v>293</v>
      </c>
    </row>
    <row r="113" spans="1:10" ht="11.1" customHeight="1">
      <c r="A113" s="338"/>
      <c r="B113" s="340"/>
      <c r="F113" s="30">
        <f t="shared" si="3"/>
        <v>0</v>
      </c>
      <c r="H113" s="183"/>
      <c r="I113" s="183"/>
      <c r="J113" s="528"/>
    </row>
    <row r="114" spans="1:10" ht="11.1" customHeight="1">
      <c r="A114" s="338"/>
      <c r="B114" s="340" t="s">
        <v>294</v>
      </c>
      <c r="F114" s="30">
        <f t="shared" si="3"/>
        <v>0</v>
      </c>
      <c r="H114" s="183"/>
      <c r="I114" s="183"/>
      <c r="J114" s="528" t="s">
        <v>294</v>
      </c>
    </row>
    <row r="115" spans="1:10" ht="11.1" customHeight="1">
      <c r="A115" s="341">
        <v>814000</v>
      </c>
      <c r="B115" s="340" t="s">
        <v>295</v>
      </c>
      <c r="F115" s="30">
        <f t="shared" si="3"/>
        <v>8</v>
      </c>
      <c r="H115" s="183">
        <v>7600</v>
      </c>
      <c r="I115" s="183">
        <v>7600</v>
      </c>
      <c r="J115" s="528" t="s">
        <v>295</v>
      </c>
    </row>
    <row r="116" spans="1:10" ht="11.1" customHeight="1">
      <c r="A116" s="341">
        <v>824000</v>
      </c>
      <c r="B116" s="340" t="s">
        <v>296</v>
      </c>
      <c r="F116" s="30">
        <f t="shared" si="3"/>
        <v>429</v>
      </c>
      <c r="H116" s="183">
        <v>428517</v>
      </c>
      <c r="I116" s="183">
        <v>428517</v>
      </c>
      <c r="J116" s="528" t="s">
        <v>296</v>
      </c>
    </row>
    <row r="117" spans="1:10" ht="11.1" customHeight="1">
      <c r="A117" s="341">
        <v>837000</v>
      </c>
      <c r="B117" s="340" t="s">
        <v>297</v>
      </c>
      <c r="F117" s="30">
        <f t="shared" si="3"/>
        <v>397</v>
      </c>
      <c r="H117" s="183">
        <v>396850</v>
      </c>
      <c r="I117" s="183">
        <v>396850</v>
      </c>
      <c r="J117" s="528" t="s">
        <v>297</v>
      </c>
    </row>
    <row r="118" spans="1:10" ht="11.1" customHeight="1">
      <c r="A118" s="338"/>
      <c r="B118" s="340" t="s">
        <v>298</v>
      </c>
      <c r="F118" s="30">
        <f t="shared" si="3"/>
        <v>833</v>
      </c>
      <c r="H118" s="183">
        <v>832967</v>
      </c>
      <c r="I118" s="183">
        <v>832967</v>
      </c>
      <c r="J118" s="528" t="s">
        <v>298</v>
      </c>
    </row>
    <row r="119" spans="1:10" ht="11.1" customHeight="1">
      <c r="A119" s="338"/>
      <c r="B119" s="340"/>
      <c r="F119" s="30">
        <f t="shared" si="3"/>
        <v>0</v>
      </c>
      <c r="H119" s="183"/>
      <c r="I119" s="183"/>
      <c r="J119" s="528"/>
    </row>
    <row r="120" spans="1:10" ht="11.1" customHeight="1">
      <c r="A120" s="339"/>
      <c r="B120" s="340" t="s">
        <v>299</v>
      </c>
      <c r="F120" s="30">
        <f t="shared" si="3"/>
        <v>429</v>
      </c>
      <c r="H120" s="183">
        <v>429051</v>
      </c>
      <c r="I120" s="183">
        <v>429051</v>
      </c>
      <c r="J120" s="528" t="s">
        <v>299</v>
      </c>
    </row>
    <row r="121" spans="1:10" ht="11.1" customHeight="1">
      <c r="A121" s="339"/>
      <c r="B121" s="340" t="s">
        <v>300</v>
      </c>
      <c r="F121" s="30">
        <f t="shared" si="3"/>
        <v>0</v>
      </c>
      <c r="H121" s="183">
        <v>161</v>
      </c>
      <c r="I121" s="183">
        <v>161</v>
      </c>
      <c r="J121" s="528" t="s">
        <v>300</v>
      </c>
    </row>
    <row r="122" spans="1:10" ht="11.1" customHeight="1">
      <c r="A122" s="338"/>
      <c r="B122" s="340" t="s">
        <v>301</v>
      </c>
      <c r="F122" s="30">
        <f t="shared" si="3"/>
        <v>292</v>
      </c>
      <c r="H122" s="183">
        <v>291829</v>
      </c>
      <c r="I122" s="183">
        <v>291829</v>
      </c>
      <c r="J122" s="528" t="s">
        <v>301</v>
      </c>
    </row>
    <row r="123" spans="1:10" ht="11.1" customHeight="1">
      <c r="A123" s="338"/>
      <c r="B123" s="340" t="s">
        <v>302</v>
      </c>
      <c r="F123" s="30">
        <f t="shared" si="3"/>
        <v>721</v>
      </c>
      <c r="H123" s="183">
        <v>721041</v>
      </c>
      <c r="I123" s="183">
        <v>721041</v>
      </c>
      <c r="J123" s="528" t="s">
        <v>302</v>
      </c>
    </row>
    <row r="124" spans="1:10" ht="11.1" customHeight="1">
      <c r="A124" s="338"/>
      <c r="B124" s="340"/>
      <c r="F124" s="30">
        <f t="shared" si="3"/>
        <v>0</v>
      </c>
      <c r="H124" s="183"/>
      <c r="I124" s="183"/>
      <c r="J124" s="528"/>
    </row>
    <row r="125" spans="1:10" ht="11.1" customHeight="1">
      <c r="A125" s="338"/>
      <c r="B125" s="340" t="s">
        <v>303</v>
      </c>
      <c r="F125" s="30">
        <f t="shared" si="3"/>
        <v>1554</v>
      </c>
      <c r="H125" s="183">
        <v>1554008</v>
      </c>
      <c r="I125" s="183">
        <v>1554008</v>
      </c>
      <c r="J125" s="528" t="s">
        <v>303</v>
      </c>
    </row>
    <row r="126" spans="1:10" ht="11.1" customHeight="1">
      <c r="A126" s="338"/>
      <c r="B126" s="340"/>
      <c r="F126" s="30">
        <f t="shared" si="3"/>
        <v>0</v>
      </c>
      <c r="H126" s="183"/>
      <c r="I126" s="183"/>
      <c r="J126" s="528"/>
    </row>
    <row r="127" spans="1:10" ht="11.1" customHeight="1">
      <c r="A127" s="338"/>
      <c r="B127" s="340" t="s">
        <v>304</v>
      </c>
      <c r="F127" s="30">
        <f t="shared" si="3"/>
        <v>0</v>
      </c>
      <c r="H127" s="183"/>
      <c r="I127" s="183"/>
      <c r="J127" s="528" t="s">
        <v>304</v>
      </c>
    </row>
    <row r="128" spans="1:10" ht="11.1" customHeight="1">
      <c r="A128" s="338"/>
      <c r="B128" s="340" t="s">
        <v>305</v>
      </c>
      <c r="F128" s="30">
        <f t="shared" si="3"/>
        <v>0</v>
      </c>
      <c r="H128" s="183"/>
      <c r="I128" s="183"/>
      <c r="J128" s="528" t="s">
        <v>305</v>
      </c>
    </row>
    <row r="129" spans="1:15" ht="11.1" customHeight="1">
      <c r="A129" s="341">
        <v>870000</v>
      </c>
      <c r="B129" s="340" t="s">
        <v>295</v>
      </c>
      <c r="F129" s="30">
        <f t="shared" si="3"/>
        <v>1150</v>
      </c>
      <c r="H129" s="183">
        <v>1150398</v>
      </c>
      <c r="I129" s="183">
        <v>1150398</v>
      </c>
      <c r="J129" s="528" t="s">
        <v>295</v>
      </c>
    </row>
    <row r="130" spans="1:15" ht="11.1" customHeight="1">
      <c r="A130" s="341">
        <v>871000</v>
      </c>
      <c r="B130" s="340" t="s">
        <v>306</v>
      </c>
      <c r="F130" s="30">
        <f t="shared" si="3"/>
        <v>0</v>
      </c>
      <c r="H130" s="183">
        <v>0</v>
      </c>
      <c r="I130" s="183">
        <v>0</v>
      </c>
      <c r="J130" s="528" t="s">
        <v>306</v>
      </c>
    </row>
    <row r="131" spans="1:15" ht="11.1" customHeight="1">
      <c r="A131" s="341">
        <v>874000</v>
      </c>
      <c r="B131" s="340" t="s">
        <v>307</v>
      </c>
      <c r="F131" s="30">
        <f t="shared" si="3"/>
        <v>3044</v>
      </c>
      <c r="H131" s="183">
        <v>3044465</v>
      </c>
      <c r="I131" s="183">
        <v>3044465</v>
      </c>
      <c r="J131" s="528" t="s">
        <v>307</v>
      </c>
      <c r="N131" s="174"/>
    </row>
    <row r="132" spans="1:15" ht="11.1" customHeight="1" thickBot="1">
      <c r="A132" s="341">
        <v>875000</v>
      </c>
      <c r="B132" s="340" t="s">
        <v>308</v>
      </c>
      <c r="F132" s="30">
        <f t="shared" si="3"/>
        <v>69</v>
      </c>
      <c r="H132" s="183">
        <v>68695</v>
      </c>
      <c r="I132" s="183">
        <v>68695</v>
      </c>
      <c r="J132" s="528" t="s">
        <v>308</v>
      </c>
      <c r="N132" s="175"/>
      <c r="O132" s="176"/>
    </row>
    <row r="133" spans="1:15" ht="11.1" customHeight="1" thickTop="1">
      <c r="A133" s="341">
        <v>876000</v>
      </c>
      <c r="B133" s="340" t="s">
        <v>309</v>
      </c>
      <c r="F133" s="30">
        <f t="shared" si="3"/>
        <v>2</v>
      </c>
      <c r="H133" s="183">
        <v>1861</v>
      </c>
      <c r="I133" s="183">
        <v>1861</v>
      </c>
      <c r="J133" s="528" t="s">
        <v>309</v>
      </c>
    </row>
    <row r="134" spans="1:15" ht="11.1" customHeight="1">
      <c r="A134" s="341">
        <v>877000</v>
      </c>
      <c r="B134" s="340" t="s">
        <v>310</v>
      </c>
      <c r="F134" s="30">
        <f t="shared" si="3"/>
        <v>63</v>
      </c>
      <c r="H134" s="183">
        <v>62870</v>
      </c>
      <c r="I134" s="183">
        <v>62870</v>
      </c>
      <c r="J134" s="528" t="s">
        <v>310</v>
      </c>
    </row>
    <row r="135" spans="1:15" ht="11.1" customHeight="1">
      <c r="A135" s="341">
        <v>878000</v>
      </c>
      <c r="B135" s="340" t="s">
        <v>311</v>
      </c>
      <c r="F135" s="30">
        <f t="shared" si="3"/>
        <v>624</v>
      </c>
      <c r="H135" s="183">
        <v>623782</v>
      </c>
      <c r="I135" s="183">
        <v>623782</v>
      </c>
      <c r="J135" s="528" t="s">
        <v>311</v>
      </c>
    </row>
    <row r="136" spans="1:15" ht="11.1" customHeight="1">
      <c r="A136" s="341">
        <v>879000</v>
      </c>
      <c r="B136" s="340" t="s">
        <v>312</v>
      </c>
      <c r="F136" s="30">
        <f t="shared" si="3"/>
        <v>1223</v>
      </c>
      <c r="H136" s="183">
        <v>1223301</v>
      </c>
      <c r="I136" s="183">
        <v>1223301</v>
      </c>
      <c r="J136" s="528" t="s">
        <v>312</v>
      </c>
    </row>
    <row r="137" spans="1:15" ht="11.1" customHeight="1">
      <c r="A137" s="341">
        <v>880000</v>
      </c>
      <c r="B137" s="340" t="s">
        <v>296</v>
      </c>
      <c r="F137" s="30">
        <f t="shared" si="3"/>
        <v>1432</v>
      </c>
      <c r="H137" s="183">
        <v>1431741</v>
      </c>
      <c r="I137" s="183">
        <v>1431741</v>
      </c>
      <c r="J137" s="528" t="s">
        <v>296</v>
      </c>
    </row>
    <row r="138" spans="1:15" ht="11.1" customHeight="1">
      <c r="A138" s="341">
        <v>881000</v>
      </c>
      <c r="B138" s="340" t="s">
        <v>313</v>
      </c>
      <c r="F138" s="30">
        <f t="shared" si="3"/>
        <v>29</v>
      </c>
      <c r="H138" s="183">
        <v>29444</v>
      </c>
      <c r="I138" s="183">
        <v>29444</v>
      </c>
      <c r="J138" s="528" t="s">
        <v>313</v>
      </c>
    </row>
    <row r="139" spans="1:15" ht="11.1" customHeight="1">
      <c r="A139" s="338"/>
      <c r="B139" s="340"/>
      <c r="F139" s="30">
        <f t="shared" si="3"/>
        <v>0</v>
      </c>
      <c r="H139" s="183"/>
      <c r="I139" s="183"/>
      <c r="J139" s="528"/>
    </row>
    <row r="140" spans="1:15" ht="11.1" customHeight="1">
      <c r="A140" s="338"/>
      <c r="B140" s="340" t="s">
        <v>314</v>
      </c>
      <c r="F140" s="30">
        <f t="shared" si="3"/>
        <v>0</v>
      </c>
      <c r="H140" s="183"/>
      <c r="I140" s="183"/>
      <c r="J140" s="528" t="s">
        <v>314</v>
      </c>
    </row>
    <row r="141" spans="1:15" ht="11.1" customHeight="1">
      <c r="A141" s="341">
        <v>885000</v>
      </c>
      <c r="B141" s="340" t="s">
        <v>295</v>
      </c>
      <c r="F141" s="30">
        <f t="shared" si="3"/>
        <v>42</v>
      </c>
      <c r="H141" s="183">
        <v>42372</v>
      </c>
      <c r="I141" s="183">
        <v>42372</v>
      </c>
      <c r="J141" s="528" t="s">
        <v>295</v>
      </c>
    </row>
    <row r="142" spans="1:15" ht="11.1" customHeight="1">
      <c r="A142" s="341">
        <v>887000</v>
      </c>
      <c r="B142" s="340" t="s">
        <v>315</v>
      </c>
      <c r="F142" s="30">
        <f t="shared" si="3"/>
        <v>1106</v>
      </c>
      <c r="H142" s="183">
        <v>1105683</v>
      </c>
      <c r="I142" s="183">
        <v>1105683</v>
      </c>
      <c r="J142" s="528" t="s">
        <v>315</v>
      </c>
    </row>
    <row r="143" spans="1:15" ht="11.1" customHeight="1">
      <c r="A143" s="341">
        <v>889000</v>
      </c>
      <c r="B143" s="340" t="s">
        <v>308</v>
      </c>
      <c r="F143" s="30">
        <f t="shared" si="3"/>
        <v>210</v>
      </c>
      <c r="H143" s="183">
        <v>209918</v>
      </c>
      <c r="I143" s="183">
        <v>209918</v>
      </c>
      <c r="J143" s="528" t="s">
        <v>308</v>
      </c>
    </row>
    <row r="144" spans="1:15" ht="11.1" customHeight="1">
      <c r="A144" s="341">
        <v>890000</v>
      </c>
      <c r="B144" s="340" t="s">
        <v>309</v>
      </c>
      <c r="F144" s="30">
        <f t="shared" si="3"/>
        <v>81</v>
      </c>
      <c r="H144" s="183">
        <v>81358</v>
      </c>
      <c r="I144" s="183">
        <v>81358</v>
      </c>
      <c r="J144" s="528" t="s">
        <v>309</v>
      </c>
    </row>
    <row r="145" spans="1:10" ht="11.1" customHeight="1">
      <c r="A145" s="341">
        <v>891000</v>
      </c>
      <c r="B145" s="340" t="s">
        <v>310</v>
      </c>
      <c r="F145" s="30">
        <f t="shared" si="3"/>
        <v>37</v>
      </c>
      <c r="H145" s="183">
        <v>37464</v>
      </c>
      <c r="I145" s="183">
        <v>37464</v>
      </c>
      <c r="J145" s="528" t="s">
        <v>310</v>
      </c>
    </row>
    <row r="146" spans="1:10" ht="11.1" customHeight="1">
      <c r="A146" s="341">
        <v>892000</v>
      </c>
      <c r="B146" s="340" t="s">
        <v>316</v>
      </c>
      <c r="F146" s="30">
        <f t="shared" si="3"/>
        <v>964</v>
      </c>
      <c r="H146" s="183">
        <v>964294</v>
      </c>
      <c r="I146" s="183">
        <v>964294</v>
      </c>
      <c r="J146" s="528" t="s">
        <v>316</v>
      </c>
    </row>
    <row r="147" spans="1:10" ht="11.1" customHeight="1">
      <c r="A147" s="341">
        <v>893000</v>
      </c>
      <c r="B147" s="340" t="s">
        <v>317</v>
      </c>
      <c r="F147" s="30">
        <f t="shared" si="3"/>
        <v>1329</v>
      </c>
      <c r="H147" s="183">
        <v>1328834</v>
      </c>
      <c r="I147" s="183">
        <v>1328834</v>
      </c>
      <c r="J147" s="528" t="s">
        <v>317</v>
      </c>
    </row>
    <row r="148" spans="1:10" ht="11.1" customHeight="1">
      <c r="A148" s="341">
        <v>894000</v>
      </c>
      <c r="B148" s="340" t="s">
        <v>297</v>
      </c>
      <c r="F148" s="30">
        <f t="shared" si="3"/>
        <v>124</v>
      </c>
      <c r="H148" s="183">
        <v>124368</v>
      </c>
      <c r="I148" s="183">
        <v>124368</v>
      </c>
      <c r="J148" s="528" t="s">
        <v>297</v>
      </c>
    </row>
    <row r="149" spans="1:10" ht="11.1" customHeight="1">
      <c r="A149" s="338"/>
      <c r="B149" s="340" t="s">
        <v>318</v>
      </c>
      <c r="F149" s="30">
        <f t="shared" si="3"/>
        <v>11531</v>
      </c>
      <c r="H149" s="183">
        <v>11530848</v>
      </c>
      <c r="I149" s="183">
        <v>11530848</v>
      </c>
      <c r="J149" s="528" t="s">
        <v>318</v>
      </c>
    </row>
    <row r="150" spans="1:10" ht="11.1" customHeight="1">
      <c r="A150" s="338"/>
      <c r="B150" s="340"/>
      <c r="F150" s="30">
        <f t="shared" si="3"/>
        <v>0</v>
      </c>
      <c r="H150" s="183"/>
      <c r="I150" s="183"/>
      <c r="J150" s="528"/>
    </row>
    <row r="151" spans="1:10" ht="11.1" customHeight="1">
      <c r="A151" s="338"/>
      <c r="B151" s="340" t="s">
        <v>319</v>
      </c>
      <c r="F151" s="30">
        <f t="shared" si="3"/>
        <v>8931</v>
      </c>
      <c r="H151" s="183">
        <v>8931242</v>
      </c>
      <c r="I151" s="183">
        <v>8931242</v>
      </c>
      <c r="J151" s="528" t="s">
        <v>319</v>
      </c>
    </row>
    <row r="152" spans="1:10" ht="11.1" customHeight="1">
      <c r="A152" s="338"/>
      <c r="B152" s="340" t="s">
        <v>301</v>
      </c>
      <c r="F152" s="30">
        <f t="shared" si="3"/>
        <v>14014</v>
      </c>
      <c r="H152" s="183">
        <v>14013959</v>
      </c>
      <c r="I152" s="183">
        <v>14013959</v>
      </c>
      <c r="J152" s="528" t="s">
        <v>301</v>
      </c>
    </row>
    <row r="153" spans="1:10" ht="11.1" customHeight="1">
      <c r="A153" s="338"/>
      <c r="B153" s="340" t="s">
        <v>320</v>
      </c>
      <c r="F153" s="30">
        <f t="shared" si="3"/>
        <v>22945</v>
      </c>
      <c r="H153" s="183">
        <v>22945201</v>
      </c>
      <c r="I153" s="183">
        <v>22945201</v>
      </c>
      <c r="J153" s="528" t="s">
        <v>320</v>
      </c>
    </row>
    <row r="154" spans="1:10" ht="11.1" customHeight="1">
      <c r="A154" s="338"/>
      <c r="B154" s="340"/>
      <c r="F154" s="30">
        <f t="shared" ref="F154:F219" si="4">ROUND(H154/1000,0)</f>
        <v>0</v>
      </c>
      <c r="H154" s="183"/>
      <c r="I154" s="183"/>
      <c r="J154" s="528"/>
    </row>
    <row r="155" spans="1:10" ht="11.1" customHeight="1">
      <c r="A155" s="338"/>
      <c r="B155" s="340" t="s">
        <v>321</v>
      </c>
      <c r="F155" s="30">
        <f t="shared" si="4"/>
        <v>34476</v>
      </c>
      <c r="H155" s="183">
        <v>34476049</v>
      </c>
      <c r="I155" s="183">
        <v>34476049</v>
      </c>
      <c r="J155" s="528" t="s">
        <v>321</v>
      </c>
    </row>
    <row r="156" spans="1:10" ht="11.1" customHeight="1">
      <c r="A156" s="338"/>
      <c r="B156" s="340"/>
      <c r="F156" s="30">
        <f t="shared" si="4"/>
        <v>0</v>
      </c>
      <c r="H156" s="183"/>
      <c r="I156" s="183"/>
      <c r="J156" s="528"/>
    </row>
    <row r="157" spans="1:10" ht="11.1" customHeight="1">
      <c r="A157" s="338"/>
      <c r="B157" s="340" t="s">
        <v>322</v>
      </c>
      <c r="F157" s="30">
        <f t="shared" si="4"/>
        <v>0</v>
      </c>
      <c r="H157" s="183"/>
      <c r="I157" s="183"/>
      <c r="J157" s="528" t="s">
        <v>322</v>
      </c>
    </row>
    <row r="158" spans="1:10" ht="11.1" customHeight="1">
      <c r="A158" s="341">
        <v>901000</v>
      </c>
      <c r="B158" s="340" t="s">
        <v>323</v>
      </c>
      <c r="F158" s="30">
        <f t="shared" si="4"/>
        <v>144</v>
      </c>
      <c r="H158" s="183">
        <v>143794</v>
      </c>
      <c r="I158" s="183">
        <v>143794</v>
      </c>
      <c r="J158" s="528" t="s">
        <v>323</v>
      </c>
    </row>
    <row r="159" spans="1:10" ht="11.1" customHeight="1">
      <c r="A159" s="341">
        <v>902000</v>
      </c>
      <c r="B159" s="340" t="s">
        <v>324</v>
      </c>
      <c r="F159" s="30">
        <f t="shared" si="4"/>
        <v>1657</v>
      </c>
      <c r="H159" s="183">
        <v>1657008</v>
      </c>
      <c r="I159" s="183">
        <v>1657008</v>
      </c>
      <c r="J159" s="528" t="s">
        <v>324</v>
      </c>
    </row>
    <row r="160" spans="1:10" ht="11.1" customHeight="1">
      <c r="A160" s="341" t="s">
        <v>325</v>
      </c>
      <c r="B160" s="340" t="s">
        <v>326</v>
      </c>
      <c r="F160" s="30">
        <f t="shared" si="4"/>
        <v>3469</v>
      </c>
      <c r="H160" s="183">
        <v>3468744</v>
      </c>
      <c r="I160" s="183">
        <v>3468744</v>
      </c>
      <c r="J160" s="528" t="s">
        <v>326</v>
      </c>
    </row>
    <row r="161" spans="1:10" ht="11.1" customHeight="1">
      <c r="A161" s="341">
        <v>904000</v>
      </c>
      <c r="B161" s="340" t="s">
        <v>327</v>
      </c>
      <c r="F161" s="30">
        <f t="shared" si="4"/>
        <v>1230</v>
      </c>
      <c r="H161" s="183">
        <v>1230366</v>
      </c>
      <c r="I161" s="183">
        <v>1230366</v>
      </c>
      <c r="J161" s="528" t="s">
        <v>327</v>
      </c>
    </row>
    <row r="162" spans="1:10" ht="11.1" customHeight="1">
      <c r="A162" s="341">
        <v>905000</v>
      </c>
      <c r="B162" s="340" t="s">
        <v>328</v>
      </c>
      <c r="F162" s="30">
        <f t="shared" si="4"/>
        <v>95</v>
      </c>
      <c r="H162" s="183">
        <v>95308</v>
      </c>
      <c r="I162" s="183">
        <v>95308</v>
      </c>
      <c r="J162" s="528" t="s">
        <v>328</v>
      </c>
    </row>
    <row r="163" spans="1:10" ht="11.1" customHeight="1">
      <c r="A163" s="338"/>
      <c r="B163" s="340" t="s">
        <v>329</v>
      </c>
      <c r="F163" s="30">
        <f t="shared" si="4"/>
        <v>6595</v>
      </c>
      <c r="H163" s="183">
        <v>6595220</v>
      </c>
      <c r="I163" s="183">
        <v>6595220</v>
      </c>
      <c r="J163" s="528" t="s">
        <v>329</v>
      </c>
    </row>
    <row r="164" spans="1:10" ht="11.1" customHeight="1">
      <c r="A164" s="338"/>
      <c r="B164" s="340"/>
      <c r="F164" s="30">
        <f t="shared" si="4"/>
        <v>0</v>
      </c>
      <c r="H164" s="183"/>
      <c r="I164" s="183"/>
      <c r="J164" s="528"/>
    </row>
    <row r="165" spans="1:10" ht="11.1" customHeight="1">
      <c r="A165" s="338"/>
      <c r="B165" s="340" t="s">
        <v>330</v>
      </c>
      <c r="F165" s="30">
        <f t="shared" si="4"/>
        <v>0</v>
      </c>
      <c r="H165" s="183"/>
      <c r="I165" s="183"/>
      <c r="J165" s="528" t="s">
        <v>330</v>
      </c>
    </row>
    <row r="166" spans="1:10" ht="11.1" customHeight="1">
      <c r="A166" s="341" t="s">
        <v>331</v>
      </c>
      <c r="B166" s="340" t="s">
        <v>332</v>
      </c>
      <c r="F166" s="30">
        <f t="shared" si="4"/>
        <v>5388</v>
      </c>
      <c r="H166" s="183">
        <v>5388210</v>
      </c>
      <c r="I166" s="183">
        <v>5388210</v>
      </c>
      <c r="J166" s="528" t="s">
        <v>332</v>
      </c>
    </row>
    <row r="167" spans="1:10" ht="11.1" customHeight="1">
      <c r="A167" s="341">
        <v>909000</v>
      </c>
      <c r="B167" s="340" t="s">
        <v>333</v>
      </c>
      <c r="F167" s="30">
        <f t="shared" si="4"/>
        <v>352</v>
      </c>
      <c r="H167" s="183">
        <v>352149</v>
      </c>
      <c r="I167" s="183">
        <v>352149</v>
      </c>
      <c r="J167" s="528" t="s">
        <v>333</v>
      </c>
    </row>
    <row r="168" spans="1:10" ht="11.1" customHeight="1">
      <c r="A168" s="341">
        <v>910000</v>
      </c>
      <c r="B168" s="340" t="s">
        <v>334</v>
      </c>
      <c r="F168" s="30">
        <f t="shared" si="4"/>
        <v>50</v>
      </c>
      <c r="H168" s="183">
        <v>50161</v>
      </c>
      <c r="I168" s="183">
        <v>50161</v>
      </c>
      <c r="J168" s="528" t="s">
        <v>334</v>
      </c>
    </row>
    <row r="169" spans="1:10" ht="11.1" customHeight="1">
      <c r="A169" s="338"/>
      <c r="B169" s="340" t="s">
        <v>335</v>
      </c>
      <c r="F169" s="30">
        <f t="shared" si="4"/>
        <v>5791</v>
      </c>
      <c r="H169" s="183">
        <v>5790520</v>
      </c>
      <c r="I169" s="183">
        <v>5790520</v>
      </c>
      <c r="J169" s="528" t="s">
        <v>335</v>
      </c>
    </row>
    <row r="170" spans="1:10" ht="11.1" customHeight="1">
      <c r="A170" s="338"/>
      <c r="B170" s="340"/>
      <c r="F170" s="30">
        <f t="shared" si="4"/>
        <v>0</v>
      </c>
      <c r="H170" s="183"/>
      <c r="I170" s="183"/>
      <c r="J170" s="528"/>
    </row>
    <row r="171" spans="1:10" ht="11.1" customHeight="1">
      <c r="A171" s="338"/>
      <c r="B171" s="340" t="s">
        <v>336</v>
      </c>
      <c r="F171" s="30">
        <f t="shared" si="4"/>
        <v>0</v>
      </c>
      <c r="H171" s="183"/>
      <c r="I171" s="183"/>
      <c r="J171" s="528" t="s">
        <v>336</v>
      </c>
    </row>
    <row r="172" spans="1:10" ht="11.1" customHeight="1">
      <c r="A172" s="341">
        <v>912000</v>
      </c>
      <c r="B172" s="340" t="s">
        <v>337</v>
      </c>
      <c r="F172" s="30">
        <f t="shared" si="4"/>
        <v>0</v>
      </c>
      <c r="H172" s="183">
        <v>0</v>
      </c>
      <c r="I172" s="183">
        <v>0</v>
      </c>
      <c r="J172" s="528" t="s">
        <v>337</v>
      </c>
    </row>
    <row r="173" spans="1:10" ht="11.1" customHeight="1">
      <c r="A173" s="341">
        <v>913000</v>
      </c>
      <c r="B173" s="340" t="s">
        <v>333</v>
      </c>
      <c r="F173" s="30">
        <f t="shared" si="4"/>
        <v>0</v>
      </c>
      <c r="H173" s="183">
        <v>0</v>
      </c>
      <c r="I173" s="183">
        <v>0</v>
      </c>
      <c r="J173" s="528" t="s">
        <v>333</v>
      </c>
    </row>
    <row r="174" spans="1:10" ht="11.1" customHeight="1">
      <c r="A174" s="341">
        <v>916000</v>
      </c>
      <c r="B174" s="340" t="s">
        <v>338</v>
      </c>
      <c r="F174" s="30">
        <f t="shared" si="4"/>
        <v>0</v>
      </c>
      <c r="H174" s="183">
        <v>0</v>
      </c>
      <c r="I174" s="183">
        <v>0</v>
      </c>
      <c r="J174" s="528" t="s">
        <v>338</v>
      </c>
    </row>
    <row r="175" spans="1:10" ht="11.1" customHeight="1">
      <c r="A175" s="338"/>
      <c r="B175" s="340" t="s">
        <v>339</v>
      </c>
      <c r="F175" s="30">
        <f t="shared" si="4"/>
        <v>0</v>
      </c>
      <c r="H175" s="183">
        <v>0</v>
      </c>
      <c r="I175" s="183">
        <v>0</v>
      </c>
      <c r="J175" s="528" t="s">
        <v>339</v>
      </c>
    </row>
    <row r="176" spans="1:10" ht="11.1" customHeight="1">
      <c r="A176" s="338"/>
      <c r="B176" s="340"/>
      <c r="F176" s="30">
        <f t="shared" si="4"/>
        <v>0</v>
      </c>
      <c r="H176" s="183"/>
      <c r="I176" s="183"/>
      <c r="J176" s="528"/>
    </row>
    <row r="177" spans="1:10" ht="11.1" customHeight="1">
      <c r="A177" s="338"/>
      <c r="B177" s="340" t="s">
        <v>340</v>
      </c>
      <c r="F177" s="30">
        <f t="shared" si="4"/>
        <v>0</v>
      </c>
      <c r="H177" s="183"/>
      <c r="I177" s="183"/>
      <c r="J177" s="528" t="s">
        <v>340</v>
      </c>
    </row>
    <row r="178" spans="1:10" ht="11.1" customHeight="1">
      <c r="A178" s="341">
        <v>920000</v>
      </c>
      <c r="B178" s="340" t="s">
        <v>341</v>
      </c>
      <c r="F178" s="30">
        <f t="shared" si="4"/>
        <v>5390</v>
      </c>
      <c r="H178" s="183">
        <v>5390088</v>
      </c>
      <c r="I178" s="183">
        <v>5390088</v>
      </c>
      <c r="J178" s="528" t="s">
        <v>341</v>
      </c>
    </row>
    <row r="179" spans="1:10" ht="11.1" customHeight="1">
      <c r="A179" s="341">
        <v>921000</v>
      </c>
      <c r="B179" s="340" t="s">
        <v>342</v>
      </c>
      <c r="F179" s="30">
        <f t="shared" si="4"/>
        <v>814</v>
      </c>
      <c r="H179" s="183">
        <v>813945</v>
      </c>
      <c r="I179" s="183">
        <v>813945</v>
      </c>
      <c r="J179" s="528" t="s">
        <v>342</v>
      </c>
    </row>
    <row r="180" spans="1:10" ht="11.1" customHeight="1">
      <c r="A180" s="341">
        <v>922000</v>
      </c>
      <c r="B180" s="340" t="s">
        <v>343</v>
      </c>
      <c r="F180" s="30">
        <f t="shared" si="4"/>
        <v>-14</v>
      </c>
      <c r="H180" s="183">
        <v>-13645</v>
      </c>
      <c r="I180" s="183">
        <v>-13645</v>
      </c>
      <c r="J180" s="528" t="s">
        <v>343</v>
      </c>
    </row>
    <row r="181" spans="1:10" ht="11.1" customHeight="1">
      <c r="A181" s="341">
        <v>923000</v>
      </c>
      <c r="B181" s="340" t="s">
        <v>344</v>
      </c>
      <c r="F181" s="30">
        <f t="shared" si="4"/>
        <v>2106</v>
      </c>
      <c r="H181" s="183">
        <v>2105817</v>
      </c>
      <c r="I181" s="183">
        <v>2105817</v>
      </c>
      <c r="J181" s="528" t="s">
        <v>344</v>
      </c>
    </row>
    <row r="182" spans="1:10" ht="11.1" customHeight="1">
      <c r="A182" s="341">
        <v>924000</v>
      </c>
      <c r="B182" s="340" t="s">
        <v>345</v>
      </c>
      <c r="F182" s="30">
        <f t="shared" si="4"/>
        <v>232</v>
      </c>
      <c r="H182" s="183">
        <v>231734</v>
      </c>
      <c r="I182" s="183">
        <v>231734</v>
      </c>
      <c r="J182" s="528" t="s">
        <v>345</v>
      </c>
    </row>
    <row r="183" spans="1:10" ht="11.1" customHeight="1">
      <c r="A183" s="338" t="s">
        <v>346</v>
      </c>
      <c r="B183" s="340" t="s">
        <v>347</v>
      </c>
      <c r="F183" s="30">
        <f t="shared" si="4"/>
        <v>653</v>
      </c>
      <c r="H183" s="183">
        <v>653242</v>
      </c>
      <c r="I183" s="183">
        <v>653242</v>
      </c>
      <c r="J183" s="528" t="s">
        <v>347</v>
      </c>
    </row>
    <row r="184" spans="1:10" ht="11.1" customHeight="1">
      <c r="A184" s="338" t="s">
        <v>348</v>
      </c>
      <c r="B184" s="340" t="s">
        <v>349</v>
      </c>
      <c r="F184" s="30">
        <f t="shared" si="4"/>
        <v>447</v>
      </c>
      <c r="H184" s="183">
        <v>447093</v>
      </c>
      <c r="I184" s="183">
        <v>447093</v>
      </c>
      <c r="J184" s="528" t="s">
        <v>349</v>
      </c>
    </row>
    <row r="185" spans="1:10" ht="11.1" customHeight="1">
      <c r="A185" s="341">
        <v>928000</v>
      </c>
      <c r="B185" s="340" t="s">
        <v>350</v>
      </c>
      <c r="F185" s="30">
        <f t="shared" si="4"/>
        <v>762</v>
      </c>
      <c r="H185" s="183">
        <v>761939</v>
      </c>
      <c r="I185" s="183">
        <v>761939</v>
      </c>
      <c r="J185" s="528" t="s">
        <v>350</v>
      </c>
    </row>
    <row r="186" spans="1:10" ht="11.1" customHeight="1">
      <c r="A186" s="341">
        <v>930000</v>
      </c>
      <c r="B186" s="340" t="s">
        <v>351</v>
      </c>
      <c r="F186" s="30">
        <f t="shared" si="4"/>
        <v>807</v>
      </c>
      <c r="H186" s="183">
        <v>806641</v>
      </c>
      <c r="I186" s="183">
        <v>806641</v>
      </c>
      <c r="J186" s="528" t="s">
        <v>351</v>
      </c>
    </row>
    <row r="187" spans="1:10" ht="11.1" customHeight="1">
      <c r="A187" s="341">
        <v>931000</v>
      </c>
      <c r="B187" s="340" t="s">
        <v>313</v>
      </c>
      <c r="F187" s="30">
        <f t="shared" si="4"/>
        <v>195</v>
      </c>
      <c r="H187" s="183">
        <v>194720</v>
      </c>
      <c r="I187" s="183">
        <v>194720</v>
      </c>
      <c r="J187" s="528" t="s">
        <v>313</v>
      </c>
    </row>
    <row r="188" spans="1:10" ht="11.1" customHeight="1">
      <c r="A188" s="341">
        <v>935000</v>
      </c>
      <c r="B188" s="340" t="s">
        <v>352</v>
      </c>
      <c r="F188" s="30">
        <f t="shared" si="4"/>
        <v>1997</v>
      </c>
      <c r="H188" s="183">
        <v>1996802</v>
      </c>
      <c r="I188" s="183">
        <v>1996802</v>
      </c>
      <c r="J188" s="528" t="s">
        <v>352</v>
      </c>
    </row>
    <row r="189" spans="1:10" ht="11.1" customHeight="1">
      <c r="A189" s="338"/>
      <c r="B189" s="340" t="s">
        <v>353</v>
      </c>
      <c r="F189" s="30">
        <f t="shared" si="4"/>
        <v>13388</v>
      </c>
      <c r="H189" s="183">
        <v>13388376</v>
      </c>
      <c r="I189" s="183">
        <v>13388376</v>
      </c>
      <c r="J189" s="528" t="s">
        <v>353</v>
      </c>
    </row>
    <row r="190" spans="1:10" ht="11.1" customHeight="1">
      <c r="A190" s="338"/>
      <c r="B190" s="340"/>
      <c r="F190" s="30">
        <f t="shared" si="4"/>
        <v>0</v>
      </c>
      <c r="H190" s="183"/>
      <c r="I190" s="183"/>
      <c r="J190" s="528"/>
    </row>
    <row r="191" spans="1:10" ht="11.1" customHeight="1">
      <c r="A191" s="338"/>
      <c r="B191" s="340" t="s">
        <v>354</v>
      </c>
      <c r="F191" s="30">
        <f t="shared" si="4"/>
        <v>2650</v>
      </c>
      <c r="H191" s="183">
        <v>2650443</v>
      </c>
      <c r="I191" s="183">
        <v>2650443</v>
      </c>
      <c r="J191" s="528" t="s">
        <v>354</v>
      </c>
    </row>
    <row r="192" spans="1:10" ht="11.1" customHeight="1">
      <c r="A192" s="338"/>
      <c r="B192" s="340" t="s">
        <v>355</v>
      </c>
      <c r="F192" s="30">
        <f t="shared" si="4"/>
        <v>108</v>
      </c>
      <c r="H192" s="183">
        <v>108076</v>
      </c>
      <c r="I192" s="183">
        <v>108076</v>
      </c>
      <c r="J192" s="528" t="s">
        <v>355</v>
      </c>
    </row>
    <row r="193" spans="1:10" ht="11.1" customHeight="1">
      <c r="A193" s="338"/>
      <c r="B193" s="340" t="s">
        <v>356</v>
      </c>
      <c r="F193" s="30">
        <f t="shared" si="4"/>
        <v>2444</v>
      </c>
      <c r="H193" s="183">
        <v>2443909</v>
      </c>
      <c r="I193" s="183">
        <v>2443909</v>
      </c>
      <c r="J193" s="528" t="s">
        <v>356</v>
      </c>
    </row>
    <row r="194" spans="1:10" ht="11.1" customHeight="1">
      <c r="A194" s="339"/>
      <c r="B194" s="340" t="s">
        <v>357</v>
      </c>
      <c r="F194" s="30">
        <f t="shared" si="4"/>
        <v>4</v>
      </c>
      <c r="H194" s="183">
        <v>3878</v>
      </c>
      <c r="I194" s="183">
        <v>3878</v>
      </c>
      <c r="J194" s="528" t="s">
        <v>357</v>
      </c>
    </row>
    <row r="195" spans="1:10" ht="11.1" customHeight="1">
      <c r="A195" s="345">
        <v>407025</v>
      </c>
      <c r="B195" s="340" t="s">
        <v>358</v>
      </c>
      <c r="F195" s="30">
        <f t="shared" si="4"/>
        <v>0</v>
      </c>
      <c r="H195" s="183">
        <v>0</v>
      </c>
      <c r="I195" s="183">
        <v>0</v>
      </c>
      <c r="J195" s="528" t="s">
        <v>358</v>
      </c>
    </row>
    <row r="196" spans="1:10" ht="11.1" customHeight="1">
      <c r="A196" s="341" t="s">
        <v>359</v>
      </c>
      <c r="B196" s="340" t="s">
        <v>360</v>
      </c>
      <c r="F196" s="30">
        <f t="shared" ref="F196:F197" si="5">ROUND(H196/1000,0)</f>
        <v>0</v>
      </c>
      <c r="H196" s="183"/>
      <c r="I196" s="183"/>
      <c r="J196" s="528"/>
    </row>
    <row r="197" spans="1:10" ht="11.1" customHeight="1">
      <c r="A197" s="341">
        <v>407229</v>
      </c>
      <c r="B197" s="340" t="s">
        <v>504</v>
      </c>
      <c r="F197" s="30">
        <f t="shared" si="5"/>
        <v>0</v>
      </c>
      <c r="H197" s="183">
        <v>0</v>
      </c>
      <c r="I197" s="183">
        <v>0</v>
      </c>
      <c r="J197" s="528" t="s">
        <v>504</v>
      </c>
    </row>
    <row r="198" spans="1:10" ht="11.1" customHeight="1">
      <c r="A198" s="341">
        <v>407329</v>
      </c>
      <c r="B198" s="340" t="s">
        <v>361</v>
      </c>
      <c r="F198" s="30">
        <f t="shared" si="4"/>
        <v>0</v>
      </c>
      <c r="H198" s="183"/>
      <c r="I198" s="183"/>
      <c r="J198" s="528"/>
    </row>
    <row r="199" spans="1:10" ht="11.1" customHeight="1">
      <c r="A199" s="342">
        <v>407335</v>
      </c>
      <c r="B199" s="508" t="s">
        <v>362</v>
      </c>
      <c r="F199" s="30">
        <f t="shared" si="4"/>
        <v>0</v>
      </c>
      <c r="H199" s="183">
        <v>0</v>
      </c>
      <c r="I199" s="183">
        <v>0</v>
      </c>
      <c r="J199" s="529" t="s">
        <v>362</v>
      </c>
    </row>
    <row r="200" spans="1:10" ht="11.1" customHeight="1">
      <c r="A200" s="345" t="s">
        <v>363</v>
      </c>
      <c r="B200" s="340" t="s">
        <v>364</v>
      </c>
      <c r="F200" s="30">
        <f t="shared" si="4"/>
        <v>0</v>
      </c>
      <c r="H200" s="183">
        <v>0</v>
      </c>
      <c r="I200" s="183">
        <v>0</v>
      </c>
      <c r="J200" s="528" t="s">
        <v>364</v>
      </c>
    </row>
    <row r="201" spans="1:10" ht="11.1" customHeight="1">
      <c r="A201" s="530" t="s">
        <v>511</v>
      </c>
      <c r="B201" s="528" t="s">
        <v>508</v>
      </c>
      <c r="F201" s="30">
        <f t="shared" si="4"/>
        <v>0</v>
      </c>
      <c r="H201" s="183">
        <v>0</v>
      </c>
      <c r="I201" s="183">
        <v>0</v>
      </c>
      <c r="J201" s="528" t="s">
        <v>508</v>
      </c>
    </row>
    <row r="202" spans="1:10" ht="11.1" customHeight="1">
      <c r="A202" s="338"/>
      <c r="B202" s="340" t="s">
        <v>365</v>
      </c>
      <c r="F202" s="30">
        <f t="shared" si="4"/>
        <v>5206</v>
      </c>
      <c r="H202" s="183">
        <v>5206306</v>
      </c>
      <c r="I202" s="183">
        <v>5206306</v>
      </c>
      <c r="J202" s="528" t="s">
        <v>365</v>
      </c>
    </row>
    <row r="203" spans="1:10" ht="11.1" customHeight="1">
      <c r="A203" s="338"/>
      <c r="B203" s="340"/>
      <c r="F203" s="30">
        <f t="shared" si="4"/>
        <v>0</v>
      </c>
      <c r="H203" s="183"/>
      <c r="I203" s="183"/>
      <c r="J203" s="528"/>
    </row>
    <row r="204" spans="1:10" ht="11.1" customHeight="1">
      <c r="A204" s="341"/>
      <c r="B204" s="340" t="s">
        <v>366</v>
      </c>
      <c r="F204" s="30">
        <f t="shared" si="4"/>
        <v>18595</v>
      </c>
      <c r="H204" s="183">
        <v>18594682</v>
      </c>
      <c r="I204" s="183">
        <v>18594682</v>
      </c>
      <c r="J204" s="528" t="s">
        <v>366</v>
      </c>
    </row>
    <row r="205" spans="1:10" ht="11.1" customHeight="1">
      <c r="A205" s="341"/>
      <c r="B205" s="340"/>
      <c r="F205" s="30">
        <f t="shared" si="4"/>
        <v>0</v>
      </c>
      <c r="H205" s="183"/>
      <c r="I205" s="183"/>
      <c r="J205" s="528"/>
    </row>
    <row r="206" spans="1:10" ht="11.1" customHeight="1">
      <c r="A206" s="341"/>
      <c r="B206" s="340" t="s">
        <v>367</v>
      </c>
      <c r="F206" s="30">
        <f t="shared" si="4"/>
        <v>241429</v>
      </c>
      <c r="H206" s="183">
        <v>241428998</v>
      </c>
      <c r="I206" s="183">
        <v>241428998</v>
      </c>
      <c r="J206" s="528" t="s">
        <v>367</v>
      </c>
    </row>
    <row r="207" spans="1:10" ht="11.1" customHeight="1">
      <c r="A207" s="341"/>
      <c r="B207" s="340"/>
      <c r="F207" s="30">
        <f t="shared" si="4"/>
        <v>0</v>
      </c>
      <c r="H207" s="183"/>
      <c r="I207" s="183"/>
      <c r="J207" s="528"/>
    </row>
    <row r="208" spans="1:10" ht="11.1" customHeight="1">
      <c r="A208" s="341"/>
      <c r="B208" s="340" t="s">
        <v>368</v>
      </c>
      <c r="F208" s="30">
        <f t="shared" si="4"/>
        <v>20265</v>
      </c>
      <c r="H208" s="183">
        <v>20265311</v>
      </c>
      <c r="I208" s="183">
        <v>20265311</v>
      </c>
      <c r="J208" s="528" t="s">
        <v>509</v>
      </c>
    </row>
    <row r="209" spans="1:10" ht="11.1" customHeight="1">
      <c r="A209" s="341"/>
      <c r="B209" s="340"/>
      <c r="F209" s="30">
        <f t="shared" si="4"/>
        <v>0</v>
      </c>
      <c r="H209" s="183"/>
      <c r="I209" s="183"/>
      <c r="J209" s="528"/>
    </row>
    <row r="210" spans="1:10" ht="11.1" customHeight="1">
      <c r="A210" s="341"/>
      <c r="B210" s="340" t="s">
        <v>57</v>
      </c>
      <c r="F210" s="30">
        <f t="shared" si="4"/>
        <v>-6651</v>
      </c>
      <c r="H210" s="183">
        <v>-6650729</v>
      </c>
      <c r="I210" s="183">
        <v>-6650729</v>
      </c>
      <c r="J210" s="528" t="s">
        <v>57</v>
      </c>
    </row>
    <row r="211" spans="1:10" ht="11.1" customHeight="1">
      <c r="A211" s="341"/>
      <c r="B211" s="340" t="s">
        <v>369</v>
      </c>
      <c r="F211" s="30">
        <f t="shared" si="4"/>
        <v>12388</v>
      </c>
      <c r="H211" s="183">
        <v>12387770</v>
      </c>
      <c r="I211" s="183">
        <v>12387770</v>
      </c>
      <c r="J211" s="528" t="s">
        <v>369</v>
      </c>
    </row>
    <row r="212" spans="1:10" ht="11.1" customHeight="1">
      <c r="A212" s="341"/>
      <c r="B212" s="340" t="s">
        <v>370</v>
      </c>
      <c r="F212" s="30">
        <f t="shared" si="4"/>
        <v>-20</v>
      </c>
      <c r="H212" s="183">
        <v>-20244</v>
      </c>
      <c r="I212" s="183">
        <v>-20244</v>
      </c>
      <c r="J212" s="528" t="s">
        <v>370</v>
      </c>
    </row>
    <row r="213" spans="1:10" ht="11.1" customHeight="1">
      <c r="A213" s="338"/>
      <c r="B213" s="340" t="s">
        <v>371</v>
      </c>
      <c r="F213" s="30">
        <f t="shared" si="4"/>
        <v>14549</v>
      </c>
      <c r="H213" s="183">
        <v>14548514</v>
      </c>
      <c r="I213" s="183">
        <v>14548514</v>
      </c>
      <c r="J213" s="528" t="s">
        <v>510</v>
      </c>
    </row>
    <row r="214" spans="1:10" ht="11.1" customHeight="1">
      <c r="F214" s="30">
        <f t="shared" si="4"/>
        <v>0</v>
      </c>
    </row>
    <row r="215" spans="1:10" ht="11.1" customHeight="1">
      <c r="A215" s="346"/>
      <c r="B215" s="347" t="s">
        <v>108</v>
      </c>
      <c r="F215" s="30">
        <f t="shared" si="4"/>
        <v>0</v>
      </c>
      <c r="J215" s="531" t="s">
        <v>108</v>
      </c>
    </row>
    <row r="216" spans="1:10" ht="11.1" customHeight="1">
      <c r="A216" s="346"/>
      <c r="B216" s="347" t="s">
        <v>372</v>
      </c>
      <c r="F216" s="30">
        <f t="shared" si="4"/>
        <v>0</v>
      </c>
      <c r="J216" s="531" t="s">
        <v>372</v>
      </c>
    </row>
    <row r="217" spans="1:10" ht="11.1" customHeight="1">
      <c r="A217" s="348">
        <v>303000</v>
      </c>
      <c r="B217" s="349" t="s">
        <v>373</v>
      </c>
      <c r="F217" s="30">
        <f t="shared" si="4"/>
        <v>2278</v>
      </c>
      <c r="H217" s="183">
        <v>2278048</v>
      </c>
      <c r="I217" s="183">
        <v>2278048</v>
      </c>
      <c r="J217" s="532" t="s">
        <v>373</v>
      </c>
    </row>
    <row r="218" spans="1:10" ht="11.1" customHeight="1">
      <c r="A218" s="350" t="s">
        <v>374</v>
      </c>
      <c r="B218" s="347" t="s">
        <v>375</v>
      </c>
      <c r="F218" s="30">
        <f t="shared" si="4"/>
        <v>17474</v>
      </c>
      <c r="H218" s="183">
        <v>17473838</v>
      </c>
      <c r="I218" s="183">
        <v>17473838</v>
      </c>
      <c r="J218" s="531" t="s">
        <v>375</v>
      </c>
    </row>
    <row r="219" spans="1:10" ht="11.1" customHeight="1">
      <c r="A219" s="351"/>
      <c r="B219" s="347" t="s">
        <v>376</v>
      </c>
      <c r="F219" s="30">
        <f t="shared" si="4"/>
        <v>19752</v>
      </c>
      <c r="H219" s="183">
        <v>19751886</v>
      </c>
      <c r="I219" s="183">
        <v>19751886</v>
      </c>
      <c r="J219" s="531" t="s">
        <v>376</v>
      </c>
    </row>
    <row r="220" spans="1:10" ht="11.1" customHeight="1">
      <c r="A220" s="351"/>
      <c r="B220" s="347"/>
      <c r="F220" s="30">
        <f t="shared" ref="F220:F284" si="6">ROUND(H220/1000,0)</f>
        <v>0</v>
      </c>
      <c r="H220" s="183"/>
      <c r="I220" s="183"/>
      <c r="J220" s="531"/>
    </row>
    <row r="221" spans="1:10" ht="11.1" customHeight="1">
      <c r="A221" s="351"/>
      <c r="B221" s="347" t="s">
        <v>377</v>
      </c>
      <c r="F221" s="30">
        <f t="shared" si="6"/>
        <v>0</v>
      </c>
      <c r="H221" s="183"/>
      <c r="I221" s="183"/>
      <c r="J221" s="531" t="s">
        <v>377</v>
      </c>
    </row>
    <row r="222" spans="1:10" ht="11.1" customHeight="1">
      <c r="A222" s="352" t="s">
        <v>378</v>
      </c>
      <c r="B222" s="347" t="s">
        <v>379</v>
      </c>
      <c r="F222" s="30">
        <f t="shared" si="6"/>
        <v>331</v>
      </c>
      <c r="H222" s="183">
        <v>330685</v>
      </c>
      <c r="I222" s="183">
        <v>330685</v>
      </c>
      <c r="J222" s="531" t="s">
        <v>379</v>
      </c>
    </row>
    <row r="223" spans="1:10" ht="11.1" customHeight="1">
      <c r="A223" s="352" t="s">
        <v>380</v>
      </c>
      <c r="B223" s="347" t="s">
        <v>381</v>
      </c>
      <c r="F223" s="30">
        <f t="shared" si="6"/>
        <v>1174</v>
      </c>
      <c r="H223" s="183">
        <v>1174351</v>
      </c>
      <c r="I223" s="183">
        <v>1174351</v>
      </c>
      <c r="J223" s="531" t="s">
        <v>381</v>
      </c>
    </row>
    <row r="224" spans="1:10" ht="11.1" customHeight="1">
      <c r="A224" s="352" t="s">
        <v>382</v>
      </c>
      <c r="B224" s="347" t="s">
        <v>383</v>
      </c>
      <c r="F224" s="30">
        <f t="shared" si="6"/>
        <v>13175</v>
      </c>
      <c r="H224" s="183">
        <v>13174772</v>
      </c>
      <c r="I224" s="183">
        <v>13174772</v>
      </c>
      <c r="J224" s="531" t="s">
        <v>383</v>
      </c>
    </row>
    <row r="225" spans="1:10" ht="11.1" customHeight="1">
      <c r="A225" s="352">
        <v>353000</v>
      </c>
      <c r="B225" s="347" t="s">
        <v>384</v>
      </c>
      <c r="F225" s="30">
        <f t="shared" si="6"/>
        <v>740</v>
      </c>
      <c r="H225" s="183">
        <v>739908</v>
      </c>
      <c r="I225" s="183">
        <v>739908</v>
      </c>
      <c r="J225" s="531" t="s">
        <v>384</v>
      </c>
    </row>
    <row r="226" spans="1:10" ht="11.1" customHeight="1">
      <c r="A226" s="352">
        <v>354000</v>
      </c>
      <c r="B226" s="347" t="s">
        <v>385</v>
      </c>
      <c r="F226" s="30">
        <f t="shared" si="6"/>
        <v>8347</v>
      </c>
      <c r="H226" s="183">
        <v>8346530</v>
      </c>
      <c r="I226" s="183">
        <v>8346530</v>
      </c>
      <c r="J226" s="531" t="s">
        <v>385</v>
      </c>
    </row>
    <row r="227" spans="1:10" ht="11.1" customHeight="1">
      <c r="A227" s="352">
        <v>355000</v>
      </c>
      <c r="B227" s="347" t="s">
        <v>386</v>
      </c>
      <c r="F227" s="30">
        <f t="shared" si="6"/>
        <v>320</v>
      </c>
      <c r="H227" s="183">
        <v>320211</v>
      </c>
      <c r="I227" s="183">
        <v>320211</v>
      </c>
      <c r="J227" s="531" t="s">
        <v>386</v>
      </c>
    </row>
    <row r="228" spans="1:10" ht="11.1" customHeight="1">
      <c r="A228" s="352">
        <v>356000</v>
      </c>
      <c r="B228" s="347" t="s">
        <v>387</v>
      </c>
      <c r="F228" s="30">
        <f t="shared" si="6"/>
        <v>286</v>
      </c>
      <c r="H228" s="183">
        <v>285990</v>
      </c>
      <c r="I228" s="183">
        <v>285990</v>
      </c>
      <c r="J228" s="531" t="s">
        <v>387</v>
      </c>
    </row>
    <row r="229" spans="1:10" ht="11.1" customHeight="1">
      <c r="A229" s="352">
        <v>357000</v>
      </c>
      <c r="B229" s="347" t="s">
        <v>297</v>
      </c>
      <c r="F229" s="30">
        <f t="shared" si="6"/>
        <v>1250</v>
      </c>
      <c r="H229" s="183">
        <v>1249708</v>
      </c>
      <c r="I229" s="183">
        <v>1249708</v>
      </c>
      <c r="J229" s="531" t="s">
        <v>297</v>
      </c>
    </row>
    <row r="230" spans="1:10" ht="11.1" customHeight="1">
      <c r="A230" s="352"/>
      <c r="B230" s="347" t="s">
        <v>388</v>
      </c>
      <c r="F230" s="30">
        <f t="shared" si="6"/>
        <v>25622</v>
      </c>
      <c r="H230" s="183">
        <v>25622155</v>
      </c>
      <c r="I230" s="183">
        <v>25622155</v>
      </c>
      <c r="J230" s="531" t="s">
        <v>388</v>
      </c>
    </row>
    <row r="231" spans="1:10" ht="11.1" customHeight="1">
      <c r="A231" s="352"/>
      <c r="B231" s="347"/>
      <c r="F231" s="30">
        <f t="shared" si="6"/>
        <v>0</v>
      </c>
      <c r="H231" s="183"/>
      <c r="I231" s="183"/>
      <c r="J231" s="531"/>
    </row>
    <row r="232" spans="1:10" ht="11.1" customHeight="1">
      <c r="A232" s="352"/>
      <c r="B232" s="347" t="s">
        <v>389</v>
      </c>
      <c r="F232" s="30">
        <f t="shared" si="6"/>
        <v>0</v>
      </c>
      <c r="H232" s="183"/>
      <c r="I232" s="183"/>
      <c r="J232" s="531" t="s">
        <v>389</v>
      </c>
    </row>
    <row r="233" spans="1:10" ht="11.1" customHeight="1">
      <c r="A233" s="352">
        <v>374200</v>
      </c>
      <c r="B233" s="347" t="s">
        <v>379</v>
      </c>
      <c r="F233" s="30">
        <f t="shared" si="6"/>
        <v>64</v>
      </c>
      <c r="H233" s="183">
        <v>63925</v>
      </c>
      <c r="I233" s="183">
        <v>63925</v>
      </c>
      <c r="J233" s="531" t="s">
        <v>379</v>
      </c>
    </row>
    <row r="234" spans="1:10" ht="11.1" customHeight="1">
      <c r="A234" s="352">
        <v>374400</v>
      </c>
      <c r="B234" s="347" t="s">
        <v>379</v>
      </c>
      <c r="F234" s="30">
        <f t="shared" si="6"/>
        <v>113</v>
      </c>
      <c r="H234" s="183">
        <v>113373</v>
      </c>
      <c r="I234" s="183">
        <v>113373</v>
      </c>
      <c r="J234" s="531" t="s">
        <v>379</v>
      </c>
    </row>
    <row r="235" spans="1:10" ht="11.1" customHeight="1">
      <c r="A235" s="352">
        <v>375000</v>
      </c>
      <c r="B235" s="347" t="s">
        <v>381</v>
      </c>
      <c r="F235" s="30">
        <f t="shared" si="6"/>
        <v>541</v>
      </c>
      <c r="H235" s="183">
        <v>541369</v>
      </c>
      <c r="I235" s="183">
        <v>541369</v>
      </c>
      <c r="J235" s="531" t="s">
        <v>381</v>
      </c>
    </row>
    <row r="236" spans="1:10" ht="11.1" customHeight="1">
      <c r="A236" s="352">
        <v>376000</v>
      </c>
      <c r="B236" s="353" t="s">
        <v>315</v>
      </c>
      <c r="F236" s="30">
        <f t="shared" si="6"/>
        <v>175201</v>
      </c>
      <c r="H236" s="183">
        <v>175200796</v>
      </c>
      <c r="I236" s="183">
        <v>175200796</v>
      </c>
      <c r="J236" s="533" t="s">
        <v>315</v>
      </c>
    </row>
    <row r="237" spans="1:10" ht="11.1" customHeight="1">
      <c r="A237" s="352">
        <v>378000</v>
      </c>
      <c r="B237" s="347" t="s">
        <v>390</v>
      </c>
      <c r="F237" s="30">
        <f t="shared" si="6"/>
        <v>3328</v>
      </c>
      <c r="H237" s="183">
        <v>3328057</v>
      </c>
      <c r="I237" s="183">
        <v>3328057</v>
      </c>
      <c r="J237" s="531" t="s">
        <v>390</v>
      </c>
    </row>
    <row r="238" spans="1:10" ht="11.1" customHeight="1">
      <c r="A238" s="352">
        <v>379000</v>
      </c>
      <c r="B238" s="347" t="s">
        <v>391</v>
      </c>
      <c r="F238" s="30">
        <f t="shared" si="6"/>
        <v>1909</v>
      </c>
      <c r="H238" s="183">
        <v>1909114</v>
      </c>
      <c r="I238" s="183">
        <v>1909114</v>
      </c>
      <c r="J238" s="531" t="s">
        <v>391</v>
      </c>
    </row>
    <row r="239" spans="1:10" ht="11.1" customHeight="1">
      <c r="A239" s="352">
        <v>380000</v>
      </c>
      <c r="B239" s="347" t="s">
        <v>316</v>
      </c>
      <c r="F239" s="30">
        <f t="shared" si="6"/>
        <v>124289</v>
      </c>
      <c r="H239" s="183">
        <v>124288576</v>
      </c>
      <c r="I239" s="183">
        <v>124288576</v>
      </c>
      <c r="J239" s="531" t="s">
        <v>316</v>
      </c>
    </row>
    <row r="240" spans="1:10" ht="11.1" customHeight="1">
      <c r="A240" s="352">
        <v>381000</v>
      </c>
      <c r="B240" s="347" t="s">
        <v>392</v>
      </c>
      <c r="F240" s="30">
        <f t="shared" si="6"/>
        <v>46351</v>
      </c>
      <c r="H240" s="183">
        <v>46351205</v>
      </c>
      <c r="I240" s="183">
        <v>46351205</v>
      </c>
      <c r="J240" s="531" t="s">
        <v>392</v>
      </c>
    </row>
    <row r="241" spans="1:10" ht="11.1" customHeight="1">
      <c r="A241" s="352">
        <v>382000</v>
      </c>
      <c r="B241" s="347" t="s">
        <v>393</v>
      </c>
      <c r="F241" s="30">
        <f t="shared" si="6"/>
        <v>0</v>
      </c>
      <c r="H241" s="183">
        <v>0</v>
      </c>
      <c r="I241" s="183">
        <v>0</v>
      </c>
      <c r="J241" s="531" t="s">
        <v>393</v>
      </c>
    </row>
    <row r="242" spans="1:10" ht="11.1" customHeight="1">
      <c r="A242" s="352">
        <v>383000</v>
      </c>
      <c r="B242" s="347" t="s">
        <v>394</v>
      </c>
      <c r="F242" s="30">
        <f t="shared" si="6"/>
        <v>0</v>
      </c>
      <c r="H242" s="183">
        <v>0</v>
      </c>
      <c r="I242" s="183">
        <v>0</v>
      </c>
      <c r="J242" s="531" t="s">
        <v>394</v>
      </c>
    </row>
    <row r="243" spans="1:10" ht="11.1" customHeight="1">
      <c r="A243" s="352">
        <v>384000</v>
      </c>
      <c r="B243" s="347" t="s">
        <v>395</v>
      </c>
      <c r="F243" s="30">
        <f t="shared" si="6"/>
        <v>0</v>
      </c>
      <c r="H243" s="183">
        <v>0</v>
      </c>
      <c r="I243" s="183">
        <v>0</v>
      </c>
      <c r="J243" s="531" t="s">
        <v>395</v>
      </c>
    </row>
    <row r="244" spans="1:10" ht="11.1" customHeight="1">
      <c r="A244" s="352">
        <v>385000</v>
      </c>
      <c r="B244" s="347" t="s">
        <v>396</v>
      </c>
      <c r="F244" s="30">
        <f t="shared" si="6"/>
        <v>2563</v>
      </c>
      <c r="H244" s="183">
        <v>2563254</v>
      </c>
      <c r="I244" s="183">
        <v>2563254</v>
      </c>
      <c r="J244" s="531" t="s">
        <v>396</v>
      </c>
    </row>
    <row r="245" spans="1:10" ht="11.1" customHeight="1">
      <c r="A245" s="352">
        <v>387000</v>
      </c>
      <c r="B245" s="347" t="s">
        <v>297</v>
      </c>
      <c r="F245" s="30">
        <f t="shared" si="6"/>
        <v>0</v>
      </c>
      <c r="H245" s="183">
        <v>0</v>
      </c>
      <c r="I245" s="183">
        <v>0</v>
      </c>
      <c r="J245" s="531" t="s">
        <v>297</v>
      </c>
    </row>
    <row r="246" spans="1:10" ht="11.1" customHeight="1">
      <c r="A246" s="352"/>
      <c r="B246" s="347" t="s">
        <v>397</v>
      </c>
      <c r="F246" s="30">
        <f t="shared" si="6"/>
        <v>354360</v>
      </c>
      <c r="H246" s="183">
        <v>354359669</v>
      </c>
      <c r="I246" s="183">
        <v>354359669</v>
      </c>
      <c r="J246" s="531" t="s">
        <v>397</v>
      </c>
    </row>
    <row r="247" spans="1:10" ht="11.1" customHeight="1">
      <c r="A247" s="352"/>
      <c r="B247" s="347"/>
      <c r="F247" s="30">
        <f t="shared" si="6"/>
        <v>0</v>
      </c>
      <c r="H247" s="183"/>
      <c r="I247" s="183"/>
      <c r="J247" s="531"/>
    </row>
    <row r="248" spans="1:10" ht="11.1" customHeight="1">
      <c r="A248" s="352"/>
      <c r="B248" s="347" t="s">
        <v>398</v>
      </c>
      <c r="F248" s="30">
        <f t="shared" si="6"/>
        <v>0</v>
      </c>
      <c r="H248" s="183"/>
      <c r="I248" s="183"/>
      <c r="J248" s="531" t="s">
        <v>398</v>
      </c>
    </row>
    <row r="249" spans="1:10" ht="11.1" customHeight="1">
      <c r="A249" s="352" t="s">
        <v>399</v>
      </c>
      <c r="B249" s="347" t="s">
        <v>379</v>
      </c>
      <c r="F249" s="30">
        <f t="shared" si="6"/>
        <v>1337</v>
      </c>
      <c r="H249" s="183">
        <v>1336598</v>
      </c>
      <c r="I249" s="183">
        <v>1336598</v>
      </c>
      <c r="J249" s="531" t="s">
        <v>379</v>
      </c>
    </row>
    <row r="250" spans="1:10" ht="11.1" customHeight="1">
      <c r="A250" s="350" t="s">
        <v>400</v>
      </c>
      <c r="B250" s="347" t="s">
        <v>381</v>
      </c>
      <c r="F250" s="30">
        <f t="shared" si="6"/>
        <v>16211</v>
      </c>
      <c r="H250" s="183">
        <v>16210807</v>
      </c>
      <c r="I250" s="183">
        <v>16210807</v>
      </c>
      <c r="J250" s="531" t="s">
        <v>381</v>
      </c>
    </row>
    <row r="251" spans="1:10" ht="11.1" customHeight="1">
      <c r="A251" s="350" t="s">
        <v>401</v>
      </c>
      <c r="B251" s="347" t="s">
        <v>402</v>
      </c>
      <c r="F251" s="30">
        <f t="shared" si="6"/>
        <v>7994</v>
      </c>
      <c r="H251" s="183">
        <v>7993796</v>
      </c>
      <c r="I251" s="183">
        <v>7993796</v>
      </c>
      <c r="J251" s="531" t="s">
        <v>402</v>
      </c>
    </row>
    <row r="252" spans="1:10" ht="11.1" customHeight="1">
      <c r="A252" s="350" t="s">
        <v>403</v>
      </c>
      <c r="B252" s="347" t="s">
        <v>404</v>
      </c>
      <c r="F252" s="30">
        <f t="shared" si="6"/>
        <v>8246</v>
      </c>
      <c r="H252" s="183">
        <v>8245847</v>
      </c>
      <c r="I252" s="183">
        <v>8245847</v>
      </c>
      <c r="J252" s="531" t="s">
        <v>404</v>
      </c>
    </row>
    <row r="253" spans="1:10" ht="11.1" customHeight="1">
      <c r="A253" s="352">
        <v>393000</v>
      </c>
      <c r="B253" s="347" t="s">
        <v>405</v>
      </c>
      <c r="F253" s="30">
        <f t="shared" si="6"/>
        <v>523</v>
      </c>
      <c r="H253" s="183">
        <v>523127</v>
      </c>
      <c r="I253" s="183">
        <v>523127</v>
      </c>
      <c r="J253" s="531" t="s">
        <v>405</v>
      </c>
    </row>
    <row r="254" spans="1:10" ht="11.1" customHeight="1">
      <c r="A254" s="352">
        <v>394000</v>
      </c>
      <c r="B254" s="347" t="s">
        <v>406</v>
      </c>
      <c r="F254" s="30">
        <f t="shared" si="6"/>
        <v>4851</v>
      </c>
      <c r="H254" s="183">
        <v>4850767</v>
      </c>
      <c r="I254" s="183">
        <v>4850767</v>
      </c>
      <c r="J254" s="531" t="s">
        <v>406</v>
      </c>
    </row>
    <row r="255" spans="1:10" ht="11.1" customHeight="1">
      <c r="A255" s="352">
        <v>395000</v>
      </c>
      <c r="B255" s="347" t="s">
        <v>407</v>
      </c>
      <c r="F255" s="30">
        <f t="shared" si="6"/>
        <v>298</v>
      </c>
      <c r="H255" s="183">
        <v>297621</v>
      </c>
      <c r="I255" s="183">
        <v>297621</v>
      </c>
      <c r="J255" s="531" t="s">
        <v>407</v>
      </c>
    </row>
    <row r="256" spans="1:10" ht="11.1" customHeight="1">
      <c r="A256" s="352" t="s">
        <v>408</v>
      </c>
      <c r="B256" s="347" t="s">
        <v>409</v>
      </c>
      <c r="F256" s="30">
        <f t="shared" si="6"/>
        <v>3570</v>
      </c>
      <c r="H256" s="183">
        <v>3569694</v>
      </c>
      <c r="I256" s="183">
        <v>3569694</v>
      </c>
      <c r="J256" s="531" t="s">
        <v>409</v>
      </c>
    </row>
    <row r="257" spans="1:10" ht="11.1" customHeight="1">
      <c r="A257" s="352" t="s">
        <v>410</v>
      </c>
      <c r="B257" s="347" t="s">
        <v>411</v>
      </c>
      <c r="F257" s="30">
        <f t="shared" si="6"/>
        <v>6876</v>
      </c>
      <c r="H257" s="183">
        <v>6876153</v>
      </c>
      <c r="I257" s="183">
        <v>6876153</v>
      </c>
      <c r="J257" s="531" t="s">
        <v>411</v>
      </c>
    </row>
    <row r="258" spans="1:10" ht="11.1" customHeight="1">
      <c r="A258" s="352">
        <v>398000</v>
      </c>
      <c r="B258" s="347" t="s">
        <v>412</v>
      </c>
      <c r="F258" s="30">
        <f t="shared" si="6"/>
        <v>69</v>
      </c>
      <c r="H258" s="183">
        <v>68662</v>
      </c>
      <c r="I258" s="183">
        <v>68662</v>
      </c>
      <c r="J258" s="531" t="s">
        <v>412</v>
      </c>
    </row>
    <row r="259" spans="1:10" ht="11.1" customHeight="1">
      <c r="A259" s="352"/>
      <c r="B259" s="347" t="s">
        <v>413</v>
      </c>
      <c r="F259" s="30">
        <f t="shared" si="6"/>
        <v>49973</v>
      </c>
      <c r="H259" s="183">
        <v>49973072</v>
      </c>
      <c r="I259" s="183">
        <v>49973072</v>
      </c>
      <c r="J259" s="531" t="s">
        <v>413</v>
      </c>
    </row>
    <row r="260" spans="1:10" ht="11.1" customHeight="1">
      <c r="A260" s="352"/>
      <c r="B260" s="347"/>
      <c r="F260" s="30">
        <f t="shared" si="6"/>
        <v>0</v>
      </c>
      <c r="H260" s="183"/>
      <c r="I260" s="183"/>
      <c r="J260" s="531"/>
    </row>
    <row r="261" spans="1:10" ht="11.1" customHeight="1">
      <c r="A261" s="352"/>
      <c r="B261" s="347" t="s">
        <v>414</v>
      </c>
      <c r="F261" s="30">
        <f t="shared" si="6"/>
        <v>449707</v>
      </c>
      <c r="H261" s="183">
        <v>449706782</v>
      </c>
      <c r="I261" s="183">
        <v>449706782</v>
      </c>
      <c r="J261" s="531" t="s">
        <v>414</v>
      </c>
    </row>
    <row r="262" spans="1:10" ht="11.1" customHeight="1">
      <c r="A262" s="352"/>
      <c r="B262" s="347"/>
      <c r="F262" s="30">
        <f t="shared" si="6"/>
        <v>0</v>
      </c>
      <c r="H262" s="183"/>
      <c r="I262" s="183"/>
      <c r="J262" s="531"/>
    </row>
    <row r="263" spans="1:10" ht="11.1" customHeight="1">
      <c r="A263" s="352"/>
      <c r="B263" s="347"/>
      <c r="F263" s="30">
        <f t="shared" si="6"/>
        <v>0</v>
      </c>
      <c r="H263" s="183"/>
      <c r="I263" s="183"/>
      <c r="J263" s="531"/>
    </row>
    <row r="264" spans="1:10" ht="11.1" customHeight="1">
      <c r="A264" s="350"/>
      <c r="B264" s="347" t="s">
        <v>66</v>
      </c>
      <c r="F264" s="30">
        <f t="shared" si="6"/>
        <v>0</v>
      </c>
      <c r="H264" s="183"/>
      <c r="I264" s="183"/>
      <c r="J264" s="531" t="s">
        <v>66</v>
      </c>
    </row>
    <row r="265" spans="1:10" ht="11.1" customHeight="1">
      <c r="A265" s="350"/>
      <c r="B265" s="347" t="s">
        <v>44</v>
      </c>
      <c r="F265" s="30">
        <f t="shared" si="6"/>
        <v>-9654</v>
      </c>
      <c r="H265" s="183">
        <v>-9654325</v>
      </c>
      <c r="I265" s="183">
        <v>-9654325</v>
      </c>
      <c r="J265" s="531" t="s">
        <v>44</v>
      </c>
    </row>
    <row r="266" spans="1:10" ht="11.1" customHeight="1">
      <c r="A266" s="350"/>
      <c r="B266" s="347" t="s">
        <v>63</v>
      </c>
      <c r="F266" s="30">
        <f t="shared" si="6"/>
        <v>-119790</v>
      </c>
      <c r="H266" s="183">
        <v>-119789599</v>
      </c>
      <c r="I266" s="183">
        <v>-119789599</v>
      </c>
      <c r="J266" s="531" t="s">
        <v>63</v>
      </c>
    </row>
    <row r="267" spans="1:10" ht="11.1" customHeight="1">
      <c r="A267" s="350"/>
      <c r="B267" s="347" t="s">
        <v>64</v>
      </c>
      <c r="F267" s="30">
        <f t="shared" si="6"/>
        <v>-14239</v>
      </c>
      <c r="H267" s="183">
        <v>-14239141</v>
      </c>
      <c r="I267" s="183">
        <v>-14239141</v>
      </c>
      <c r="J267" s="531" t="s">
        <v>64</v>
      </c>
    </row>
    <row r="268" spans="1:10" ht="11.1" customHeight="1">
      <c r="A268" s="346"/>
      <c r="B268" s="347" t="s">
        <v>415</v>
      </c>
      <c r="F268" s="30">
        <f t="shared" si="6"/>
        <v>-143683</v>
      </c>
      <c r="H268" s="183">
        <v>-143683065</v>
      </c>
      <c r="I268" s="183">
        <v>-143683065</v>
      </c>
      <c r="J268" s="531" t="s">
        <v>415</v>
      </c>
    </row>
    <row r="269" spans="1:10" ht="11.1" customHeight="1">
      <c r="A269" s="346"/>
      <c r="B269" s="347"/>
      <c r="F269" s="30">
        <f t="shared" si="6"/>
        <v>0</v>
      </c>
      <c r="H269" s="183"/>
      <c r="I269" s="183"/>
      <c r="J269" s="531"/>
    </row>
    <row r="270" spans="1:10" ht="11.1" customHeight="1">
      <c r="A270" s="346"/>
      <c r="B270" s="347" t="s">
        <v>416</v>
      </c>
      <c r="F270" s="30">
        <f t="shared" si="6"/>
        <v>0</v>
      </c>
      <c r="H270" s="183"/>
      <c r="I270" s="183"/>
      <c r="J270" s="531" t="s">
        <v>416</v>
      </c>
    </row>
    <row r="271" spans="1:10" ht="11.1" customHeight="1">
      <c r="A271" s="350"/>
      <c r="B271" s="347" t="s">
        <v>417</v>
      </c>
      <c r="F271" s="30">
        <f t="shared" si="6"/>
        <v>-255</v>
      </c>
      <c r="H271" s="183">
        <v>-254718</v>
      </c>
      <c r="I271" s="183">
        <v>-254718</v>
      </c>
      <c r="J271" s="531" t="s">
        <v>417</v>
      </c>
    </row>
    <row r="272" spans="1:10" ht="11.1" customHeight="1">
      <c r="A272" s="350"/>
      <c r="B272" s="347" t="s">
        <v>418</v>
      </c>
      <c r="F272" s="30">
        <f t="shared" si="6"/>
        <v>-4931</v>
      </c>
      <c r="H272" s="183">
        <v>-4930766</v>
      </c>
      <c r="I272" s="183">
        <v>-4930766</v>
      </c>
      <c r="J272" s="531" t="s">
        <v>418</v>
      </c>
    </row>
    <row r="273" spans="1:10" ht="11.1" customHeight="1">
      <c r="A273" s="350"/>
      <c r="B273" s="347" t="s">
        <v>44</v>
      </c>
      <c r="F273" s="30">
        <f t="shared" si="6"/>
        <v>-170</v>
      </c>
      <c r="H273" s="183">
        <v>-169957</v>
      </c>
      <c r="I273" s="183">
        <v>-169957</v>
      </c>
      <c r="J273" s="531" t="s">
        <v>44</v>
      </c>
    </row>
    <row r="274" spans="1:10" ht="11.1" customHeight="1">
      <c r="A274" s="350"/>
      <c r="B274" s="347" t="s">
        <v>419</v>
      </c>
      <c r="F274" s="30">
        <f t="shared" si="6"/>
        <v>-35</v>
      </c>
      <c r="H274" s="183">
        <v>-34889</v>
      </c>
      <c r="I274" s="183">
        <v>-34889</v>
      </c>
      <c r="J274" s="531" t="s">
        <v>419</v>
      </c>
    </row>
    <row r="275" spans="1:10" ht="11.1" customHeight="1">
      <c r="A275" s="350"/>
      <c r="B275" s="347" t="s">
        <v>420</v>
      </c>
      <c r="F275" s="30">
        <f t="shared" si="6"/>
        <v>-5390</v>
      </c>
      <c r="H275" s="183">
        <v>-5390330</v>
      </c>
      <c r="I275" s="183">
        <v>-5390330</v>
      </c>
      <c r="J275" s="531" t="s">
        <v>420</v>
      </c>
    </row>
    <row r="276" spans="1:10" ht="11.1" customHeight="1">
      <c r="A276" s="350"/>
      <c r="B276" s="347"/>
      <c r="F276" s="30">
        <f t="shared" si="6"/>
        <v>0</v>
      </c>
      <c r="H276" s="183"/>
      <c r="I276" s="183"/>
      <c r="J276" s="531"/>
    </row>
    <row r="277" spans="1:10" ht="11.1" customHeight="1">
      <c r="A277" s="350"/>
      <c r="B277" s="347" t="s">
        <v>421</v>
      </c>
      <c r="F277" s="30">
        <f t="shared" si="6"/>
        <v>-149073</v>
      </c>
      <c r="H277" s="183">
        <v>-149073395</v>
      </c>
      <c r="I277" s="183">
        <v>-149073395</v>
      </c>
      <c r="J277" s="531" t="s">
        <v>421</v>
      </c>
    </row>
    <row r="278" spans="1:10" ht="11.1" customHeight="1">
      <c r="A278" s="350"/>
      <c r="B278" s="347"/>
      <c r="F278" s="30">
        <f t="shared" si="6"/>
        <v>0</v>
      </c>
      <c r="H278" s="183"/>
      <c r="I278" s="183"/>
      <c r="J278" s="531"/>
    </row>
    <row r="279" spans="1:10" ht="11.1" customHeight="1">
      <c r="A279" s="346"/>
      <c r="B279" s="347" t="s">
        <v>422</v>
      </c>
      <c r="F279" s="30">
        <f t="shared" si="6"/>
        <v>300633</v>
      </c>
      <c r="H279" s="183">
        <v>300633387</v>
      </c>
      <c r="I279" s="183">
        <v>300633387</v>
      </c>
      <c r="J279" s="531" t="s">
        <v>422</v>
      </c>
    </row>
    <row r="280" spans="1:10" ht="11.1" customHeight="1">
      <c r="A280" s="346"/>
      <c r="B280" s="347"/>
      <c r="F280" s="30">
        <f t="shared" si="6"/>
        <v>0</v>
      </c>
      <c r="H280" s="183"/>
      <c r="I280" s="183"/>
      <c r="J280" s="531"/>
    </row>
    <row r="281" spans="1:10" ht="11.1" customHeight="1">
      <c r="A281" s="354"/>
      <c r="B281" s="355" t="s">
        <v>423</v>
      </c>
      <c r="F281" s="30">
        <f t="shared" si="6"/>
        <v>0</v>
      </c>
      <c r="H281" s="183"/>
      <c r="I281" s="183"/>
      <c r="J281" s="534" t="s">
        <v>423</v>
      </c>
    </row>
    <row r="282" spans="1:10" ht="11.1" customHeight="1">
      <c r="A282" s="356">
        <v>282900</v>
      </c>
      <c r="B282" s="355" t="s">
        <v>424</v>
      </c>
      <c r="F282" s="30">
        <f t="shared" si="6"/>
        <v>-55194</v>
      </c>
      <c r="H282" s="183">
        <v>-55194164</v>
      </c>
      <c r="I282" s="183">
        <v>-55194164</v>
      </c>
      <c r="J282" s="534" t="s">
        <v>424</v>
      </c>
    </row>
    <row r="283" spans="1:10" ht="11.1" customHeight="1">
      <c r="A283" s="356">
        <v>282900</v>
      </c>
      <c r="B283" s="355" t="s">
        <v>425</v>
      </c>
      <c r="F283" s="30">
        <f t="shared" ref="F283" si="7">ROUND(H283/1000,0)</f>
        <v>-9742</v>
      </c>
      <c r="H283" s="183">
        <v>-9741730</v>
      </c>
      <c r="I283" s="183">
        <v>-9741730</v>
      </c>
      <c r="J283" s="534" t="s">
        <v>425</v>
      </c>
    </row>
    <row r="284" spans="1:10" ht="11.1" customHeight="1">
      <c r="A284" s="356">
        <v>283750</v>
      </c>
      <c r="B284" s="355" t="s">
        <v>474</v>
      </c>
      <c r="F284" s="30">
        <f t="shared" si="6"/>
        <v>-76</v>
      </c>
      <c r="H284" s="183">
        <v>-76361</v>
      </c>
      <c r="I284" s="183">
        <v>-76361</v>
      </c>
      <c r="J284" s="534" t="s">
        <v>474</v>
      </c>
    </row>
    <row r="285" spans="1:10" ht="11.1" customHeight="1">
      <c r="A285" s="356">
        <v>283850</v>
      </c>
      <c r="B285" s="355" t="s">
        <v>426</v>
      </c>
      <c r="F285" s="30">
        <f t="shared" ref="F285:F301" si="8">ROUND(H285/1000,0)</f>
        <v>-662</v>
      </c>
      <c r="H285" s="183">
        <v>-662345</v>
      </c>
      <c r="I285" s="183">
        <v>-662345</v>
      </c>
      <c r="J285" s="534" t="s">
        <v>426</v>
      </c>
    </row>
    <row r="286" spans="1:10" ht="11.1" customHeight="1">
      <c r="A286" s="350"/>
      <c r="B286" s="347" t="s">
        <v>427</v>
      </c>
      <c r="F286" s="30">
        <f t="shared" si="8"/>
        <v>-65675</v>
      </c>
      <c r="H286" s="183">
        <v>-65674600</v>
      </c>
      <c r="I286" s="183">
        <v>-65674600</v>
      </c>
      <c r="J286" s="531" t="s">
        <v>427</v>
      </c>
    </row>
    <row r="287" spans="1:10" ht="11.1" customHeight="1">
      <c r="A287" s="346"/>
      <c r="B287" s="347"/>
      <c r="F287" s="30">
        <f t="shared" si="8"/>
        <v>0</v>
      </c>
      <c r="H287" s="183"/>
      <c r="I287" s="183"/>
      <c r="J287" s="531"/>
    </row>
    <row r="288" spans="1:10" ht="11.1" customHeight="1">
      <c r="A288" s="346"/>
      <c r="B288" s="347" t="s">
        <v>428</v>
      </c>
      <c r="F288" s="30">
        <f t="shared" si="8"/>
        <v>234959</v>
      </c>
      <c r="H288" s="183">
        <v>234958787</v>
      </c>
      <c r="I288" s="183">
        <v>234958787</v>
      </c>
      <c r="J288" s="531" t="s">
        <v>428</v>
      </c>
    </row>
    <row r="290" spans="1:10" ht="11.1" customHeight="1">
      <c r="A290" s="357"/>
      <c r="B290" s="358" t="s">
        <v>429</v>
      </c>
      <c r="F290" s="30">
        <f t="shared" si="8"/>
        <v>0</v>
      </c>
      <c r="J290" s="531" t="s">
        <v>429</v>
      </c>
    </row>
    <row r="291" spans="1:10" ht="11.1" customHeight="1">
      <c r="A291" s="359">
        <v>253850</v>
      </c>
      <c r="B291" s="358" t="s">
        <v>430</v>
      </c>
      <c r="F291" s="30">
        <f t="shared" si="8"/>
        <v>0</v>
      </c>
      <c r="H291" s="183">
        <v>0</v>
      </c>
      <c r="I291" s="183">
        <v>0</v>
      </c>
      <c r="J291" s="531" t="s">
        <v>430</v>
      </c>
    </row>
    <row r="292" spans="1:10" ht="11.1" customHeight="1">
      <c r="A292" s="359">
        <v>190850</v>
      </c>
      <c r="B292" s="358" t="s">
        <v>431</v>
      </c>
      <c r="F292" s="30">
        <f t="shared" si="8"/>
        <v>0</v>
      </c>
      <c r="H292" s="183">
        <v>0</v>
      </c>
      <c r="I292" s="183">
        <v>0</v>
      </c>
      <c r="J292" s="531" t="s">
        <v>431</v>
      </c>
    </row>
    <row r="293" spans="1:10" ht="11.1" customHeight="1">
      <c r="A293" s="360">
        <v>117100</v>
      </c>
      <c r="B293" s="361" t="s">
        <v>432</v>
      </c>
      <c r="F293" s="30">
        <f t="shared" si="8"/>
        <v>4060</v>
      </c>
      <c r="H293" s="183">
        <v>4059886</v>
      </c>
      <c r="I293" s="183">
        <v>4059886</v>
      </c>
      <c r="J293" s="534" t="s">
        <v>432</v>
      </c>
    </row>
    <row r="294" spans="1:10" ht="11.1" customHeight="1">
      <c r="A294" s="360">
        <v>164100</v>
      </c>
      <c r="B294" s="361" t="s">
        <v>433</v>
      </c>
      <c r="F294" s="30">
        <f t="shared" si="8"/>
        <v>11083</v>
      </c>
      <c r="H294" s="183">
        <v>11082698</v>
      </c>
      <c r="I294" s="183">
        <v>11082698</v>
      </c>
      <c r="J294" s="534" t="s">
        <v>433</v>
      </c>
    </row>
    <row r="295" spans="1:10" ht="11.1" customHeight="1">
      <c r="A295" s="360">
        <v>252000</v>
      </c>
      <c r="B295" s="362" t="s">
        <v>434</v>
      </c>
      <c r="F295" s="30">
        <f t="shared" si="8"/>
        <v>-12</v>
      </c>
      <c r="H295" s="183">
        <v>-11831</v>
      </c>
      <c r="I295" s="183">
        <v>-11831</v>
      </c>
      <c r="J295" s="535" t="s">
        <v>434</v>
      </c>
    </row>
    <row r="296" spans="1:10" ht="11.1" customHeight="1">
      <c r="A296" s="360">
        <v>235199</v>
      </c>
      <c r="B296" s="362" t="s">
        <v>435</v>
      </c>
      <c r="F296" s="30">
        <f t="shared" si="8"/>
        <v>-497</v>
      </c>
      <c r="H296" s="183">
        <v>-497417</v>
      </c>
      <c r="I296" s="183">
        <v>-497417</v>
      </c>
      <c r="J296" s="535" t="s">
        <v>435</v>
      </c>
    </row>
    <row r="297" spans="1:10" ht="11.1" customHeight="1">
      <c r="A297" s="363"/>
      <c r="B297" s="364" t="s">
        <v>436</v>
      </c>
      <c r="F297" s="30">
        <f t="shared" si="8"/>
        <v>9797</v>
      </c>
      <c r="H297" s="183">
        <v>9796879</v>
      </c>
      <c r="I297" s="183">
        <v>9796879</v>
      </c>
      <c r="J297" s="535" t="s">
        <v>436</v>
      </c>
    </row>
    <row r="298" spans="1:10" ht="11.1" customHeight="1">
      <c r="A298" s="360">
        <v>186710</v>
      </c>
      <c r="B298" s="361" t="s">
        <v>437</v>
      </c>
      <c r="F298" s="30">
        <f t="shared" si="8"/>
        <v>0</v>
      </c>
      <c r="H298" s="183">
        <v>0</v>
      </c>
      <c r="I298" s="183">
        <v>0</v>
      </c>
      <c r="J298" s="534" t="s">
        <v>437</v>
      </c>
    </row>
    <row r="299" spans="1:10" ht="11.1" customHeight="1">
      <c r="A299" s="362"/>
      <c r="B299" s="358" t="s">
        <v>438</v>
      </c>
      <c r="F299" s="30">
        <f t="shared" si="8"/>
        <v>24430</v>
      </c>
      <c r="H299" s="183">
        <v>24430215</v>
      </c>
      <c r="I299" s="183">
        <v>24430215</v>
      </c>
      <c r="J299" s="531" t="s">
        <v>438</v>
      </c>
    </row>
    <row r="300" spans="1:10" ht="11.1" customHeight="1">
      <c r="A300" s="362"/>
      <c r="B300" s="358"/>
      <c r="F300" s="30">
        <f t="shared" si="8"/>
        <v>0</v>
      </c>
      <c r="H300" s="183"/>
      <c r="I300" s="183"/>
      <c r="J300" s="531"/>
    </row>
    <row r="301" spans="1:10" ht="11.1" customHeight="1">
      <c r="A301" s="362"/>
      <c r="B301" s="358" t="s">
        <v>439</v>
      </c>
      <c r="F301" s="30">
        <f t="shared" si="8"/>
        <v>259389</v>
      </c>
      <c r="H301" s="183">
        <v>259389002</v>
      </c>
      <c r="I301" s="183">
        <v>259389002</v>
      </c>
      <c r="J301" s="531" t="s">
        <v>439</v>
      </c>
    </row>
  </sheetData>
  <customSheetViews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7" orientation="portrait" horizontalDpi="300" verticalDpi="300" r:id="rId3"/>
  <headerFooter alignWithMargins="0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2016-09-22T07:00:00+00:00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82CAA99-B588-4311-8D87-ED78A3AFBE96}"/>
</file>

<file path=customXml/itemProps2.xml><?xml version="1.0" encoding="utf-8"?>
<ds:datastoreItem xmlns:ds="http://schemas.openxmlformats.org/officeDocument/2006/customXml" ds:itemID="{0BC7ABA6-E5B7-4502-82A1-AD4E49D08F10}"/>
</file>

<file path=customXml/itemProps3.xml><?xml version="1.0" encoding="utf-8"?>
<ds:datastoreItem xmlns:ds="http://schemas.openxmlformats.org/officeDocument/2006/customXml" ds:itemID="{5FA95FFE-EB47-4B8D-A39A-4FC063ECFC9E}"/>
</file>

<file path=customXml/itemProps4.xml><?xml version="1.0" encoding="utf-8"?>
<ds:datastoreItem xmlns:ds="http://schemas.openxmlformats.org/officeDocument/2006/customXml" ds:itemID="{8CCE892E-EF0F-4A0E-BB95-4518807D2B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17</vt:i4>
      </vt:variant>
    </vt:vector>
  </HeadingPairs>
  <TitlesOfParts>
    <vt:vector size="27" baseType="lpstr">
      <vt:lpstr>Exh. No. BGM-6</vt:lpstr>
      <vt:lpstr>Exh. No. BGM-6 -2</vt:lpstr>
      <vt:lpstr>Exh. No. BGM-6 -3</vt:lpstr>
      <vt:lpstr>Exh. No. BGM-6 -4</vt:lpstr>
      <vt:lpstr>Exh. No. BGM-6 -5</vt:lpstr>
      <vt:lpstr>LEAD SHEETS-DO NOT ENTER</vt:lpstr>
      <vt:lpstr>DEBT CALC</vt:lpstr>
      <vt:lpstr>ADJ SUMMARY</vt:lpstr>
      <vt:lpstr>ROO INPUT</vt:lpstr>
      <vt:lpstr>Recap Summary</vt:lpstr>
      <vt:lpstr>'DEBT CALC'!ID_Elec</vt:lpstr>
      <vt:lpstr>'ADJ SUMMARY'!Print_Area</vt:lpstr>
      <vt:lpstr>'DEBT CALC'!Print_Area</vt:lpstr>
      <vt:lpstr>'Exh. No. BGM-6'!Print_Area</vt:lpstr>
      <vt:lpstr>'Exh. No. BGM-6 -2'!Print_Area</vt:lpstr>
      <vt:lpstr>'Exh. No. BGM-6 -3'!Print_Area</vt:lpstr>
      <vt:lpstr>'Exh. No. BGM-6 -4'!Print_Area</vt:lpstr>
      <vt:lpstr>'Exh. No. BGM-6 -5'!Print_Area</vt:lpstr>
      <vt:lpstr>'LEAD SHEETS-DO NOT ENTER'!Print_Area</vt:lpstr>
      <vt:lpstr>'Recap Summary'!Print_Area</vt:lpstr>
      <vt:lpstr>'ROO INPUT'!Print_Area</vt:lpstr>
      <vt:lpstr>'Recap Summary'!Print_for_CBReport</vt:lpstr>
      <vt:lpstr>'Recap Summary'!Print_for_Checking</vt:lpstr>
      <vt:lpstr>'Exh. No. BGM-6'!Print_Titles</vt:lpstr>
      <vt:lpstr>'Exh. No. BGM-6 -3'!Print_Titles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BGM</cp:lastModifiedBy>
  <cp:lastPrinted>2016-09-20T15:07:47Z</cp:lastPrinted>
  <dcterms:created xsi:type="dcterms:W3CDTF">1997-05-15T21:41:44Z</dcterms:created>
  <dcterms:modified xsi:type="dcterms:W3CDTF">2016-09-20T16:58:43Z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