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7.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wrk\30_ava\3046-8 - UE-160228 2016 GRC\disc\BR1\reply\"/>
    </mc:Choice>
  </mc:AlternateContent>
  <bookViews>
    <workbookView xWindow="-330" yWindow="-105" windowWidth="19410" windowHeight="11010" tabRatio="848"/>
  </bookViews>
  <sheets>
    <sheet name="Exh. No. BGM-13R" sheetId="115" r:id="rId1"/>
    <sheet name="Exh. No. BGM-13R -2" sheetId="50" r:id="rId2"/>
    <sheet name="Exh. No. BGM-13R -3" sheetId="1" r:id="rId3"/>
    <sheet name="Exh. No. BGM-13R -4" sheetId="52" r:id="rId4"/>
    <sheet name="Exh. No. BGM-13R -5" sheetId="51" r:id="rId5"/>
    <sheet name="DEBT CALC" sheetId="48" r:id="rId6"/>
    <sheet name="LEAD SHEETS-DO NOT ENTER" sheetId="113" r:id="rId7"/>
    <sheet name="ADJ SUMMARY" sheetId="3" r:id="rId8"/>
    <sheet name="ROO INPUT" sheetId="111" r:id="rId9"/>
    <sheet name="COMPARISON" sheetId="99" r:id="rId10"/>
  </sheets>
  <externalReferences>
    <externalReference r:id="rId11"/>
    <externalReference r:id="rId12"/>
    <externalReference r:id="rId13"/>
    <externalReference r:id="rId14"/>
    <externalReference r:id="rId15"/>
    <externalReference r:id="rId16"/>
    <externalReference r:id="rId17"/>
  </externalReferences>
  <definedNames>
    <definedName name="ID_Elec" localSheetId="8">#REF!</definedName>
    <definedName name="ID_Elec">'DEBT CALC'!$A$89:$F$166</definedName>
    <definedName name="ID_Gas" localSheetId="6">'DEBT CALC'!#REF!</definedName>
    <definedName name="ID_Gas" localSheetId="8">#REF!</definedName>
    <definedName name="ID_Gas">'DEBT CALC'!#REF!</definedName>
    <definedName name="_xlnm.Print_Area" localSheetId="7">'ADJ SUMMARY'!$A$1:$G$75</definedName>
    <definedName name="_xlnm.Print_Area" localSheetId="9">COMPARISON!$A$1:$Q$124</definedName>
    <definedName name="_xlnm.Print_Area" localSheetId="5">'DEBT CALC'!$A$1:$I$68</definedName>
    <definedName name="_xlnm.Print_Area" localSheetId="0">'Exh. No. BGM-13R'!$A$1:$AF$49</definedName>
    <definedName name="_xlnm.Print_Area" localSheetId="1">'Exh. No. BGM-13R -2'!$A$1:$K$83</definedName>
    <definedName name="_xlnm.Print_Area" localSheetId="2">'Exh. No. BGM-13R -3'!$A$2:$AP$83</definedName>
    <definedName name="_xlnm.Print_Area" localSheetId="3">'Exh. No. BGM-13R -4'!$A$1:$E$28</definedName>
    <definedName name="_xlnm.Print_Area" localSheetId="4">'Exh. No. BGM-13R -5'!$L$1:$Q$18</definedName>
    <definedName name="_xlnm.Print_Area" localSheetId="6">'LEAD SHEETS-DO NOT ENTER'!$A$2:$BB$80</definedName>
    <definedName name="_xlnm.Print_Area" localSheetId="8">'ROO INPUT'!$A$1:$G$81</definedName>
    <definedName name="Print_for_CBReport" localSheetId="9">COMPARISON!$A$9:$H$121</definedName>
    <definedName name="Print_for_CBReport">'ADJ SUMMARY'!$A$1:$F$62</definedName>
    <definedName name="Print_for_Checking" localSheetId="9">COMPARISON!#REF!:COMPARISON!#REF!</definedName>
    <definedName name="Print_for_Checking" localSheetId="6">'ADJ SUMMARY'!#REF!:'ADJ SUMMARY'!#REF!</definedName>
    <definedName name="Print_for_Checking" localSheetId="8">[1]PFRstmtSheet!$A$1:[1]PFRstmtSheet!#REF!</definedName>
    <definedName name="Print_for_Checking">'ADJ SUMMARY'!#REF!:'ADJ SUMMARY'!#REF!</definedName>
    <definedName name="_xlnm.Print_Titles" localSheetId="0">'Exh. No. BGM-13R'!$A:$G</definedName>
    <definedName name="_xlnm.Print_Titles" localSheetId="2">'Exh. No. BGM-13R -3'!$A:$D,'Exh. No. BGM-13R -3'!$2:$11</definedName>
    <definedName name="_xlnm.Print_Titles" localSheetId="6">'LEAD SHEETS-DO NOT ENTER'!$A:$D,'LEAD SHEETS-DO NOT ENTER'!$2:$10</definedName>
    <definedName name="_xlnm.Print_Titles" localSheetId="8">'ROO INPUT'!$1:$10</definedName>
    <definedName name="RRC_Adjustment_Print">#REF!</definedName>
    <definedName name="RRC_Rate_Print">#REF!</definedName>
    <definedName name="Summary" localSheetId="6">#REF!</definedName>
    <definedName name="Summary" localSheetId="8">#REF!</definedName>
    <definedName name="Summary">#REF!</definedName>
    <definedName name="WA_Elec" localSheetId="8">#REF!</definedName>
    <definedName name="WA_Elec">'DEBT CALC'!$A$1:$F$88</definedName>
    <definedName name="WA_Gas" localSheetId="6">'DEBT CALC'!#REF!</definedName>
    <definedName name="WA_Gas" localSheetId="8">#REF!</definedName>
    <definedName name="WA_Gas">'DEBT CALC'!#REF!</definedName>
    <definedName name="Z_6E1B8C45_B07F_11D2_B0DC_0000832CDFF0_.wvu.Cols" localSheetId="2" hidden="1">'Exh. No. BGM-13R -3'!#REF!,'Exh. No. BGM-13R -3'!$AC:$AP</definedName>
    <definedName name="Z_6E1B8C45_B07F_11D2_B0DC_0000832CDFF0_.wvu.Cols" localSheetId="6" hidden="1">'LEAD SHEETS-DO NOT ENTER'!#REF!,'LEAD SHEETS-DO NOT ENTER'!$Z:$AF</definedName>
    <definedName name="Z_6E1B8C45_B07F_11D2_B0DC_0000832CDFF0_.wvu.PrintArea" localSheetId="7" hidden="1">'ADJ SUMMARY'!$A$1:$F$62</definedName>
    <definedName name="Z_6E1B8C45_B07F_11D2_B0DC_0000832CDFF0_.wvu.PrintArea" localSheetId="9" hidden="1">COMPARISON!$A$9:$H$102</definedName>
    <definedName name="Z_6E1B8C45_B07F_11D2_B0DC_0000832CDFF0_.wvu.PrintArea" localSheetId="2" hidden="1">'Exh. No. BGM-13R -3'!$E:$AB</definedName>
    <definedName name="Z_6E1B8C45_B07F_11D2_B0DC_0000832CDFF0_.wvu.PrintArea" localSheetId="6" hidden="1">'LEAD SHEETS-DO NOT ENTER'!$E:$Y</definedName>
    <definedName name="Z_6E1B8C45_B07F_11D2_B0DC_0000832CDFF0_.wvu.PrintArea" localSheetId="8" hidden="1">'ROO INPUT'!$A$1:$G$80</definedName>
    <definedName name="Z_6E1B8C45_B07F_11D2_B0DC_0000832CDFF0_.wvu.PrintTitles" localSheetId="2" hidden="1">'Exh. No. BGM-13R -3'!$A:$D,'Exh. No. BGM-13R -3'!$2:$11</definedName>
    <definedName name="Z_6E1B8C45_B07F_11D2_B0DC_0000832CDFF0_.wvu.PrintTitles" localSheetId="6" hidden="1">'LEAD SHEETS-DO NOT ENTER'!$A:$D,'LEAD SHEETS-DO NOT ENTER'!$2:$10</definedName>
    <definedName name="Z_6E1B8C45_B07F_11D2_B0DC_0000832CDFF0_.wvu.Rows" localSheetId="7" hidden="1">'ADJ SUMMARY'!#REF!,'ADJ SUMMARY'!$21:$58,'ADJ SUMMARY'!$33:$33,'ADJ SUMMARY'!$39:$62,'ADJ SUMMARY'!#REF!,'ADJ SUMMARY'!#REF!,'ADJ SUMMARY'!#REF!</definedName>
    <definedName name="Z_6E1B8C45_B07F_11D2_B0DC_0000832CDFF0_.wvu.Rows" localSheetId="9" hidden="1">COMPARISON!$13:$13,COMPARISON!$22:$43,COMPARISON!$32:$32,COMPARISON!$37:$63,COMPARISON!$94:$94,COMPARISON!$96:$96,COMPARISON!$103:$121</definedName>
    <definedName name="Z_A15D1962_B049_11D2_8670_0000832CEEE8_.wvu.Cols" localSheetId="2" hidden="1">'Exh. No. BGM-13R -3'!$AC:$BC</definedName>
    <definedName name="Z_A15D1962_B049_11D2_8670_0000832CEEE8_.wvu.Cols" localSheetId="6" hidden="1">'LEAD SHEETS-DO NOT ENTER'!$Z:$AF</definedName>
    <definedName name="Z_A15D1962_B049_11D2_8670_0000832CEEE8_.wvu.Rows" localSheetId="7" hidden="1">'ADJ SUMMARY'!$39:$59,'ADJ SUMMARY'!#REF!</definedName>
    <definedName name="Z_A15D1962_B049_11D2_8670_0000832CEEE8_.wvu.Rows" localSheetId="9" hidden="1">COMPARISON!$37:$58,COMPARISON!$102:$121</definedName>
  </definedNames>
  <calcPr calcId="162913"/>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W41" i="115" l="1"/>
  <c r="W25" i="115"/>
  <c r="W13" i="115"/>
  <c r="M11" i="115" l="1"/>
  <c r="M12" i="115"/>
  <c r="M13" i="115"/>
  <c r="M14" i="115"/>
  <c r="M15" i="115"/>
  <c r="M16" i="115"/>
  <c r="M17" i="115"/>
  <c r="M18" i="115"/>
  <c r="M19" i="115"/>
  <c r="M20" i="115"/>
  <c r="M21" i="115"/>
  <c r="M22" i="115"/>
  <c r="M23" i="115"/>
  <c r="M24" i="115"/>
  <c r="M25" i="115"/>
  <c r="M26" i="115"/>
  <c r="M27" i="115"/>
  <c r="M28" i="115"/>
  <c r="M29" i="115"/>
  <c r="M10" i="115"/>
  <c r="AH78" i="1" l="1"/>
  <c r="AH76" i="1"/>
  <c r="AH72" i="1"/>
  <c r="AH71" i="1"/>
  <c r="AH70" i="1"/>
  <c r="AH69" i="1"/>
  <c r="AH68" i="1"/>
  <c r="AH73" i="1" s="1"/>
  <c r="AH65" i="1"/>
  <c r="AH64" i="1"/>
  <c r="AH63" i="1"/>
  <c r="AH62" i="1"/>
  <c r="AH61" i="1"/>
  <c r="AH66" i="1" s="1"/>
  <c r="AH74" i="1" s="1"/>
  <c r="AH77" i="1" s="1"/>
  <c r="AH55" i="1"/>
  <c r="AH54" i="1"/>
  <c r="AH53" i="1"/>
  <c r="AH52" i="1"/>
  <c r="AH46" i="1"/>
  <c r="AH45" i="1"/>
  <c r="AH44" i="1"/>
  <c r="AH43" i="1"/>
  <c r="AH40" i="1"/>
  <c r="AH39" i="1"/>
  <c r="AH38" i="1"/>
  <c r="AH35" i="1"/>
  <c r="AH34" i="1"/>
  <c r="AH33" i="1"/>
  <c r="AH32" i="1"/>
  <c r="AH36" i="1" s="1"/>
  <c r="AH28" i="1"/>
  <c r="AH27" i="1"/>
  <c r="AH26" i="1"/>
  <c r="AH25" i="1"/>
  <c r="AH29" i="1" s="1"/>
  <c r="AH24" i="1"/>
  <c r="AH19" i="1"/>
  <c r="AH18" i="1"/>
  <c r="AH20" i="1" s="1"/>
  <c r="AH17" i="1"/>
  <c r="AH16" i="1"/>
  <c r="AH15" i="1"/>
  <c r="AI78" i="1"/>
  <c r="AI76" i="1"/>
  <c r="AI72" i="1"/>
  <c r="AI71" i="1"/>
  <c r="AI70" i="1"/>
  <c r="AI69" i="1"/>
  <c r="AI68" i="1"/>
  <c r="AI73" i="1" s="1"/>
  <c r="AI65" i="1"/>
  <c r="AI64" i="1"/>
  <c r="AI63" i="1"/>
  <c r="AI62" i="1"/>
  <c r="AI61" i="1"/>
  <c r="AI66" i="1" s="1"/>
  <c r="AI74" i="1" s="1"/>
  <c r="AI77" i="1" s="1"/>
  <c r="AI55" i="1"/>
  <c r="AI54" i="1"/>
  <c r="AI53" i="1"/>
  <c r="AI52" i="1"/>
  <c r="AI46" i="1"/>
  <c r="AI45" i="1"/>
  <c r="AI44" i="1"/>
  <c r="AI43" i="1"/>
  <c r="AI40" i="1"/>
  <c r="AI39" i="1"/>
  <c r="AI38" i="1"/>
  <c r="AI35" i="1"/>
  <c r="AI34" i="1"/>
  <c r="AI33" i="1"/>
  <c r="AI32" i="1"/>
  <c r="AI36" i="1" s="1"/>
  <c r="AI28" i="1"/>
  <c r="AI27" i="1"/>
  <c r="AI26" i="1"/>
  <c r="AI25" i="1"/>
  <c r="AI29" i="1" s="1"/>
  <c r="AI24" i="1"/>
  <c r="AI19" i="1"/>
  <c r="AI18" i="1"/>
  <c r="AI20" i="1" s="1"/>
  <c r="AI17" i="1"/>
  <c r="AI16" i="1"/>
  <c r="AI15" i="1"/>
  <c r="AN78" i="1"/>
  <c r="AM78" i="1"/>
  <c r="AL78" i="1"/>
  <c r="AN76" i="1"/>
  <c r="AM76" i="1"/>
  <c r="AL76" i="1"/>
  <c r="AN72" i="1"/>
  <c r="AM72" i="1"/>
  <c r="AL72" i="1"/>
  <c r="AN71" i="1"/>
  <c r="AM71" i="1"/>
  <c r="AL71" i="1"/>
  <c r="AN70" i="1"/>
  <c r="AM70" i="1"/>
  <c r="AL70" i="1"/>
  <c r="AN69" i="1"/>
  <c r="AM69" i="1"/>
  <c r="AL69" i="1"/>
  <c r="AL73" i="1" s="1"/>
  <c r="AN68" i="1"/>
  <c r="AN73" i="1" s="1"/>
  <c r="AM68" i="1"/>
  <c r="AM73" i="1" s="1"/>
  <c r="AL68" i="1"/>
  <c r="AN65" i="1"/>
  <c r="AM65" i="1"/>
  <c r="AL65" i="1"/>
  <c r="AN64" i="1"/>
  <c r="AM64" i="1"/>
  <c r="AL64" i="1"/>
  <c r="AN63" i="1"/>
  <c r="AM63" i="1"/>
  <c r="AL63" i="1"/>
  <c r="AN62" i="1"/>
  <c r="AN66" i="1" s="1"/>
  <c r="AN74" i="1" s="1"/>
  <c r="AN77" i="1" s="1"/>
  <c r="AM62" i="1"/>
  <c r="AM66" i="1" s="1"/>
  <c r="AM74" i="1" s="1"/>
  <c r="AM77" i="1" s="1"/>
  <c r="AL62" i="1"/>
  <c r="AN61" i="1"/>
  <c r="AM61" i="1"/>
  <c r="AL61" i="1"/>
  <c r="AL66" i="1" s="1"/>
  <c r="AL74" i="1" s="1"/>
  <c r="AL77" i="1" s="1"/>
  <c r="AN55" i="1"/>
  <c r="AM55" i="1"/>
  <c r="AL55" i="1"/>
  <c r="AN54" i="1"/>
  <c r="AM54" i="1"/>
  <c r="AL54" i="1"/>
  <c r="AN53" i="1"/>
  <c r="AM53" i="1"/>
  <c r="AL53" i="1"/>
  <c r="AN52" i="1"/>
  <c r="AM52" i="1"/>
  <c r="AL52" i="1"/>
  <c r="AL46" i="1"/>
  <c r="AN45" i="1"/>
  <c r="AM45" i="1"/>
  <c r="AL45" i="1"/>
  <c r="AN44" i="1"/>
  <c r="AM44" i="1"/>
  <c r="AL44" i="1"/>
  <c r="AN43" i="1"/>
  <c r="AN46" i="1" s="1"/>
  <c r="AN47" i="1" s="1"/>
  <c r="AM43" i="1"/>
  <c r="AM46" i="1" s="1"/>
  <c r="AL43" i="1"/>
  <c r="AN40" i="1"/>
  <c r="AM40" i="1"/>
  <c r="AL40" i="1"/>
  <c r="AN39" i="1"/>
  <c r="AM39" i="1"/>
  <c r="AL39" i="1"/>
  <c r="AN38" i="1"/>
  <c r="AM38" i="1"/>
  <c r="AL38" i="1"/>
  <c r="AN35" i="1"/>
  <c r="AM35" i="1"/>
  <c r="AL35" i="1"/>
  <c r="AN34" i="1"/>
  <c r="AM34" i="1"/>
  <c r="AL34" i="1"/>
  <c r="AN33" i="1"/>
  <c r="AM33" i="1"/>
  <c r="AL33" i="1"/>
  <c r="AN32" i="1"/>
  <c r="AN36" i="1" s="1"/>
  <c r="AM32" i="1"/>
  <c r="AM36" i="1" s="1"/>
  <c r="AL32" i="1"/>
  <c r="AL36" i="1" s="1"/>
  <c r="AN28" i="1"/>
  <c r="AM28" i="1"/>
  <c r="AL28" i="1"/>
  <c r="AN27" i="1"/>
  <c r="AM27" i="1"/>
  <c r="AL27" i="1"/>
  <c r="AN26" i="1"/>
  <c r="AM26" i="1"/>
  <c r="AL26" i="1"/>
  <c r="AN25" i="1"/>
  <c r="AN29" i="1" s="1"/>
  <c r="AM25" i="1"/>
  <c r="AM29" i="1" s="1"/>
  <c r="AL25" i="1"/>
  <c r="AL29" i="1" s="1"/>
  <c r="AN24" i="1"/>
  <c r="AM24" i="1"/>
  <c r="AL24" i="1"/>
  <c r="AN19" i="1"/>
  <c r="AM19" i="1"/>
  <c r="AL19" i="1"/>
  <c r="AL18" i="1"/>
  <c r="AL20" i="1" s="1"/>
  <c r="AN17" i="1"/>
  <c r="AM17" i="1"/>
  <c r="AL17" i="1"/>
  <c r="AN16" i="1"/>
  <c r="AM16" i="1"/>
  <c r="AL16" i="1"/>
  <c r="AN15" i="1"/>
  <c r="AN18" i="1" s="1"/>
  <c r="AN20" i="1" s="1"/>
  <c r="AM15" i="1"/>
  <c r="AM18" i="1" s="1"/>
  <c r="AM20" i="1" s="1"/>
  <c r="AL15" i="1"/>
  <c r="Y78" i="1"/>
  <c r="Y76" i="1"/>
  <c r="Y72" i="1"/>
  <c r="Y71" i="1"/>
  <c r="Y70" i="1"/>
  <c r="Y69" i="1"/>
  <c r="Y68" i="1"/>
  <c r="Y73" i="1" s="1"/>
  <c r="Y65" i="1"/>
  <c r="Y64" i="1"/>
  <c r="Y63" i="1"/>
  <c r="Y62" i="1"/>
  <c r="Y61" i="1"/>
  <c r="Y66" i="1" s="1"/>
  <c r="Y74" i="1" s="1"/>
  <c r="Y77" i="1" s="1"/>
  <c r="Y55" i="1"/>
  <c r="Y54" i="1"/>
  <c r="Y53" i="1"/>
  <c r="Y52" i="1"/>
  <c r="Y46" i="1"/>
  <c r="Y45" i="1"/>
  <c r="Y44" i="1"/>
  <c r="Y43" i="1"/>
  <c r="Y40" i="1"/>
  <c r="Y39" i="1"/>
  <c r="Y38" i="1"/>
  <c r="Y35" i="1"/>
  <c r="Y34" i="1"/>
  <c r="Y33" i="1"/>
  <c r="Y32" i="1"/>
  <c r="Y36" i="1" s="1"/>
  <c r="Y28" i="1"/>
  <c r="Y27" i="1"/>
  <c r="Y26" i="1"/>
  <c r="Y25" i="1"/>
  <c r="Y29" i="1" s="1"/>
  <c r="Y24" i="1"/>
  <c r="Y19" i="1"/>
  <c r="Y18" i="1"/>
  <c r="Y20" i="1" s="1"/>
  <c r="Y17" i="1"/>
  <c r="Y16" i="1"/>
  <c r="Y15" i="1"/>
  <c r="K78" i="1"/>
  <c r="K76" i="1"/>
  <c r="K72" i="1"/>
  <c r="K71" i="1"/>
  <c r="K70" i="1"/>
  <c r="K69" i="1"/>
  <c r="K73" i="1" s="1"/>
  <c r="K68" i="1"/>
  <c r="K65" i="1"/>
  <c r="K64" i="1"/>
  <c r="K63" i="1"/>
  <c r="K62" i="1"/>
  <c r="K61" i="1"/>
  <c r="K66" i="1" s="1"/>
  <c r="K74" i="1" s="1"/>
  <c r="K77" i="1" s="1"/>
  <c r="K55" i="1"/>
  <c r="K54" i="1"/>
  <c r="K53" i="1"/>
  <c r="K52" i="1"/>
  <c r="K45" i="1"/>
  <c r="K46" i="1" s="1"/>
  <c r="K47" i="1" s="1"/>
  <c r="K44" i="1"/>
  <c r="K43" i="1"/>
  <c r="K40" i="1"/>
  <c r="K39" i="1"/>
  <c r="K38" i="1"/>
  <c r="K35" i="1"/>
  <c r="K34" i="1"/>
  <c r="K33" i="1"/>
  <c r="K32" i="1"/>
  <c r="K36" i="1" s="1"/>
  <c r="K28" i="1"/>
  <c r="K27" i="1"/>
  <c r="K26" i="1"/>
  <c r="K25" i="1"/>
  <c r="K24" i="1"/>
  <c r="K29" i="1" s="1"/>
  <c r="K19" i="1"/>
  <c r="K17" i="1"/>
  <c r="K18" i="1" s="1"/>
  <c r="K20" i="1" s="1"/>
  <c r="K49" i="1" s="1"/>
  <c r="K57" i="1" s="1"/>
  <c r="K16" i="1"/>
  <c r="K15" i="1"/>
  <c r="G28" i="1"/>
  <c r="G78" i="1"/>
  <c r="G76" i="1"/>
  <c r="G72" i="1"/>
  <c r="G71" i="1"/>
  <c r="G70" i="1"/>
  <c r="G69" i="1"/>
  <c r="G68" i="1"/>
  <c r="G65" i="1"/>
  <c r="G64" i="1"/>
  <c r="G63" i="1"/>
  <c r="G62" i="1"/>
  <c r="G61" i="1"/>
  <c r="G55" i="1"/>
  <c r="G54" i="1"/>
  <c r="G53" i="1"/>
  <c r="G52" i="1"/>
  <c r="G45" i="1"/>
  <c r="G44" i="1"/>
  <c r="G43" i="1"/>
  <c r="G40" i="1"/>
  <c r="G39" i="1"/>
  <c r="G38" i="1"/>
  <c r="G35" i="1"/>
  <c r="G34" i="1"/>
  <c r="G33" i="1"/>
  <c r="G32" i="1"/>
  <c r="G19" i="1"/>
  <c r="G17" i="1"/>
  <c r="G16" i="1"/>
  <c r="G15" i="1"/>
  <c r="G26" i="1"/>
  <c r="G24" i="1"/>
  <c r="G25" i="1"/>
  <c r="G27" i="1"/>
  <c r="AH47" i="1" l="1"/>
  <c r="AH49" i="1" s="1"/>
  <c r="AH57" i="1" s="1"/>
  <c r="AI47" i="1"/>
  <c r="AI49" i="1" s="1"/>
  <c r="AI57" i="1" s="1"/>
  <c r="AN49" i="1"/>
  <c r="AN57" i="1" s="1"/>
  <c r="AM47" i="1"/>
  <c r="AM49" i="1" s="1"/>
  <c r="AM57" i="1" s="1"/>
  <c r="AL47" i="1"/>
  <c r="AL49" i="1" s="1"/>
  <c r="AL57" i="1" s="1"/>
  <c r="Y47" i="1"/>
  <c r="Y49" i="1" s="1"/>
  <c r="Y57" i="1" s="1"/>
  <c r="F13" i="51" l="1"/>
  <c r="E15" i="51"/>
  <c r="G15" i="51"/>
  <c r="F17" i="51"/>
  <c r="F21" i="51" s="1"/>
  <c r="F25" i="51" s="1"/>
  <c r="F19" i="51"/>
  <c r="E23" i="51"/>
  <c r="F23" i="51"/>
  <c r="G23" i="51"/>
  <c r="H23" i="51"/>
  <c r="F27" i="51"/>
  <c r="E51" i="51"/>
  <c r="R15" i="51"/>
  <c r="F29" i="51" l="1"/>
  <c r="F33" i="51"/>
  <c r="A6" i="1" l="1"/>
  <c r="A5" i="1"/>
  <c r="A6" i="51" s="1"/>
  <c r="A2" i="1"/>
  <c r="H79" i="50"/>
  <c r="F79" i="50"/>
  <c r="H78" i="50"/>
  <c r="F78" i="50"/>
  <c r="F76" i="50"/>
  <c r="F72" i="50"/>
  <c r="F71" i="50"/>
  <c r="F70" i="50"/>
  <c r="F69" i="50"/>
  <c r="F68" i="50"/>
  <c r="F65" i="50"/>
  <c r="F64" i="50"/>
  <c r="F63" i="50"/>
  <c r="F62" i="50"/>
  <c r="F61" i="50"/>
  <c r="H60" i="50"/>
  <c r="F60" i="50"/>
  <c r="G60" i="50" s="1"/>
  <c r="H55" i="50"/>
  <c r="F55" i="50"/>
  <c r="H54" i="50"/>
  <c r="F54" i="50"/>
  <c r="H45" i="50"/>
  <c r="F45" i="50"/>
  <c r="F44" i="50"/>
  <c r="H40" i="50"/>
  <c r="F40" i="50"/>
  <c r="F39" i="50"/>
  <c r="H34" i="50"/>
  <c r="F34" i="50"/>
  <c r="H33" i="50"/>
  <c r="F33" i="50"/>
  <c r="F32" i="50"/>
  <c r="H28" i="50"/>
  <c r="F28" i="50"/>
  <c r="H27" i="50"/>
  <c r="F27" i="50"/>
  <c r="F25" i="50"/>
  <c r="F24" i="50"/>
  <c r="F19" i="50"/>
  <c r="H17" i="50"/>
  <c r="F17" i="50"/>
  <c r="H16" i="50"/>
  <c r="F16" i="50"/>
  <c r="F15" i="50"/>
  <c r="H15" i="50"/>
  <c r="F73" i="50" l="1"/>
  <c r="I60" i="50"/>
  <c r="F66" i="50"/>
  <c r="F77" i="50"/>
  <c r="F81" i="50" s="1"/>
  <c r="H169" i="48" l="1"/>
  <c r="H71" i="50"/>
  <c r="H64" i="50"/>
  <c r="H63" i="50" l="1"/>
  <c r="H70" i="50" l="1"/>
  <c r="H65" i="50"/>
  <c r="H61" i="50"/>
  <c r="H44" i="50"/>
  <c r="H62" i="50" l="1"/>
  <c r="H66" i="50" s="1"/>
  <c r="H26" i="50"/>
  <c r="H68" i="50"/>
  <c r="H69" i="50" l="1"/>
  <c r="H72" i="50"/>
  <c r="H73" i="50" l="1"/>
  <c r="H76" i="50" l="1"/>
  <c r="H77" i="50" s="1"/>
  <c r="H81" i="50" s="1"/>
  <c r="AW49" i="1" l="1"/>
  <c r="AE43" i="1"/>
  <c r="AE39" i="1"/>
  <c r="H39" i="50" s="1"/>
  <c r="AE38" i="1"/>
  <c r="AE32" i="1"/>
  <c r="H32" i="50" s="1"/>
  <c r="AE24" i="1"/>
  <c r="AD19" i="1" l="1"/>
  <c r="H19" i="50" s="1"/>
  <c r="AC25" i="1"/>
  <c r="H25" i="50" s="1"/>
  <c r="AC24" i="1" l="1"/>
  <c r="H24" i="50" s="1"/>
  <c r="H29" i="50" s="1"/>
  <c r="AK14" i="115" l="1"/>
  <c r="R46" i="115" l="1"/>
  <c r="R42" i="115"/>
  <c r="R41" i="115"/>
  <c r="P41" i="115"/>
  <c r="R38" i="115"/>
  <c r="R37" i="115"/>
  <c r="R36" i="115"/>
  <c r="R35" i="115"/>
  <c r="R34" i="115"/>
  <c r="R12" i="115"/>
  <c r="P13" i="115"/>
  <c r="R13" i="115"/>
  <c r="R14" i="115"/>
  <c r="R16" i="115"/>
  <c r="R17" i="115"/>
  <c r="R18" i="115"/>
  <c r="R19" i="115"/>
  <c r="R20" i="115"/>
  <c r="R21" i="115"/>
  <c r="R22" i="115"/>
  <c r="R23" i="115"/>
  <c r="R24" i="115"/>
  <c r="R25" i="115"/>
  <c r="R26" i="115"/>
  <c r="R27" i="115"/>
  <c r="R28" i="115"/>
  <c r="R10" i="115"/>
  <c r="W35" i="115" l="1"/>
  <c r="W36" i="115" l="1"/>
  <c r="Y27" i="115" l="1"/>
  <c r="P27" i="115" s="1"/>
  <c r="Y26" i="115"/>
  <c r="P26" i="115" s="1"/>
  <c r="Y24" i="115"/>
  <c r="P24" i="115" s="1"/>
  <c r="Y23" i="115"/>
  <c r="P23" i="115" s="1"/>
  <c r="Y22" i="115"/>
  <c r="P22" i="115" s="1"/>
  <c r="Y21" i="115"/>
  <c r="P21" i="115" s="1"/>
  <c r="Y20" i="115"/>
  <c r="P20" i="115" s="1"/>
  <c r="Y19" i="115"/>
  <c r="P19" i="115" s="1"/>
  <c r="Y18" i="115"/>
  <c r="P18" i="115" s="1"/>
  <c r="Y17" i="115"/>
  <c r="P17" i="115" s="1"/>
  <c r="Y16" i="115"/>
  <c r="P16" i="115" s="1"/>
  <c r="Y14" i="115"/>
  <c r="P14" i="115" s="1"/>
  <c r="Y12" i="115"/>
  <c r="P12" i="115" s="1"/>
  <c r="Y10" i="115"/>
  <c r="P10" i="115" s="1"/>
  <c r="Y46" i="115"/>
  <c r="P46" i="115" s="1"/>
  <c r="Y42" i="115"/>
  <c r="P42" i="115" s="1"/>
  <c r="Y38" i="115"/>
  <c r="P38" i="115" s="1"/>
  <c r="Y37" i="115"/>
  <c r="P37" i="115" s="1"/>
  <c r="Y36" i="115"/>
  <c r="P36" i="115" s="1"/>
  <c r="Y35" i="115" l="1"/>
  <c r="P35" i="115" s="1"/>
  <c r="F14" i="115"/>
  <c r="D10" i="115"/>
  <c r="B10" i="115"/>
  <c r="AK11" i="115"/>
  <c r="AI10" i="115"/>
  <c r="AK10" i="115" s="1"/>
  <c r="AI4" i="115"/>
  <c r="AK12" i="115" l="1"/>
  <c r="M34" i="115" s="1"/>
  <c r="AC27" i="115"/>
  <c r="AC10" i="115"/>
  <c r="AC22" i="115"/>
  <c r="AI12" i="115"/>
  <c r="AC21" i="115"/>
  <c r="AC24" i="115"/>
  <c r="AC23" i="115"/>
  <c r="AC46" i="115"/>
  <c r="AC18" i="115"/>
  <c r="AC14" i="115"/>
  <c r="AC17" i="115"/>
  <c r="AC36" i="115"/>
  <c r="AC20" i="115"/>
  <c r="AC19" i="115"/>
  <c r="AC38" i="115"/>
  <c r="AC41" i="115"/>
  <c r="AC35" i="115"/>
  <c r="AC12" i="115"/>
  <c r="AC42" i="115"/>
  <c r="AC16" i="115"/>
  <c r="AC26" i="115"/>
  <c r="AC37" i="115"/>
  <c r="D11" i="115"/>
  <c r="AA11" i="115" s="1"/>
  <c r="F10" i="115"/>
  <c r="B11" i="115"/>
  <c r="Y11" i="115" l="1"/>
  <c r="W11" i="115" s="1"/>
  <c r="F11" i="115"/>
  <c r="D12" i="115"/>
  <c r="B12" i="115"/>
  <c r="P11" i="115" l="1"/>
  <c r="AC11" i="115"/>
  <c r="R11" i="115"/>
  <c r="F12" i="115"/>
  <c r="D13" i="115"/>
  <c r="B13" i="115"/>
  <c r="D15" i="115" l="1"/>
  <c r="F13" i="115"/>
  <c r="B14" i="115"/>
  <c r="B15" i="115" s="1"/>
  <c r="B16" i="115" s="1"/>
  <c r="AA15" i="115" l="1"/>
  <c r="Y15" i="115"/>
  <c r="W15" i="115" s="1"/>
  <c r="D16" i="115"/>
  <c r="F16" i="115" s="1"/>
  <c r="F15" i="115"/>
  <c r="B17" i="115"/>
  <c r="P15" i="115" l="1"/>
  <c r="AC15" i="115"/>
  <c r="D17" i="115"/>
  <c r="F17" i="115"/>
  <c r="B18" i="115"/>
  <c r="R15" i="115" l="1"/>
  <c r="D18" i="115"/>
  <c r="F18" i="115"/>
  <c r="B19" i="115"/>
  <c r="B20" i="115" s="1"/>
  <c r="B21" i="115" s="1"/>
  <c r="B22" i="115" s="1"/>
  <c r="B23" i="115" s="1"/>
  <c r="B24" i="115" s="1"/>
  <c r="B25" i="115" s="1"/>
  <c r="B26" i="115" s="1"/>
  <c r="B27" i="115" s="1"/>
  <c r="B28" i="115" s="1"/>
  <c r="B29" i="115" s="1"/>
  <c r="B31" i="115" s="1"/>
  <c r="B34" i="115" s="1"/>
  <c r="B35" i="115" s="1"/>
  <c r="D19" i="115" l="1"/>
  <c r="F19" i="115"/>
  <c r="B36" i="115"/>
  <c r="B37" i="115" s="1"/>
  <c r="B38" i="115" s="1"/>
  <c r="B39" i="115" s="1"/>
  <c r="B40" i="115" s="1"/>
  <c r="B41" i="115" s="1"/>
  <c r="B42" i="115" s="1"/>
  <c r="B43" i="115" s="1"/>
  <c r="B44" i="115" s="1"/>
  <c r="D20" i="115" l="1"/>
  <c r="F20" i="115"/>
  <c r="B45" i="115"/>
  <c r="B46" i="115" s="1"/>
  <c r="B48" i="115" s="1"/>
  <c r="D21" i="115" l="1"/>
  <c r="D22" i="115" s="1"/>
  <c r="F22" i="115" s="1"/>
  <c r="F21" i="115"/>
  <c r="D23" i="115" l="1"/>
  <c r="F23" i="115"/>
  <c r="D24" i="115" l="1"/>
  <c r="F24" i="115"/>
  <c r="D25" i="115" l="1"/>
  <c r="F25" i="115" s="1"/>
  <c r="D26" i="115" l="1"/>
  <c r="F26" i="115"/>
  <c r="D27" i="115" l="1"/>
  <c r="D28" i="115" s="1"/>
  <c r="F28" i="115" s="1"/>
  <c r="F27" i="115" l="1"/>
  <c r="D29" i="115"/>
  <c r="F29" i="115" s="1"/>
  <c r="F34" i="115"/>
  <c r="AA29" i="115" l="1"/>
  <c r="Y29" i="115"/>
  <c r="W29" i="115" s="1"/>
  <c r="D35" i="115"/>
  <c r="F35" i="115"/>
  <c r="P29" i="115" l="1"/>
  <c r="R29" i="115"/>
  <c r="AC29" i="115"/>
  <c r="AA31" i="115"/>
  <c r="M35" i="115"/>
  <c r="D36" i="115"/>
  <c r="F36" i="115"/>
  <c r="D37" i="115" l="1"/>
  <c r="D38" i="115" s="1"/>
  <c r="M36" i="115"/>
  <c r="T35" i="115"/>
  <c r="F37" i="115"/>
  <c r="F38" i="115" l="1"/>
  <c r="T37" i="115"/>
  <c r="T36" i="115"/>
  <c r="M37" i="115"/>
  <c r="D39" i="115"/>
  <c r="M38" i="115"/>
  <c r="AA39" i="115" l="1"/>
  <c r="Y39" i="115"/>
  <c r="W39" i="115" s="1"/>
  <c r="D40" i="115"/>
  <c r="T38" i="115"/>
  <c r="F40" i="115"/>
  <c r="F39" i="115"/>
  <c r="P39" i="115" l="1"/>
  <c r="AA40" i="115"/>
  <c r="Y40" i="115"/>
  <c r="W40" i="115" s="1"/>
  <c r="D41" i="115"/>
  <c r="D42" i="115" s="1"/>
  <c r="R39" i="115"/>
  <c r="AC39" i="115"/>
  <c r="F41" i="115"/>
  <c r="M39" i="115"/>
  <c r="M40" i="115"/>
  <c r="T39" i="115" l="1"/>
  <c r="P40" i="115"/>
  <c r="R40" i="115"/>
  <c r="T40" i="115" s="1"/>
  <c r="AC40" i="115"/>
  <c r="F42" i="115"/>
  <c r="D43" i="115"/>
  <c r="M41" i="115"/>
  <c r="M42" i="115"/>
  <c r="T41" i="115"/>
  <c r="AA43" i="115" l="1"/>
  <c r="Y43" i="115"/>
  <c r="W43" i="115" s="1"/>
  <c r="F43" i="115"/>
  <c r="D44" i="115"/>
  <c r="T42" i="115"/>
  <c r="M43" i="115"/>
  <c r="P43" i="115" l="1"/>
  <c r="AA44" i="115"/>
  <c r="Y44" i="115"/>
  <c r="W44" i="115" s="1"/>
  <c r="D45" i="115"/>
  <c r="D46" i="115" s="1"/>
  <c r="F46" i="115" s="1"/>
  <c r="R43" i="115"/>
  <c r="T43" i="115" s="1"/>
  <c r="AC43" i="115"/>
  <c r="F44" i="115"/>
  <c r="M44" i="115"/>
  <c r="P44" i="115" l="1"/>
  <c r="AA45" i="115"/>
  <c r="Y28" i="115" s="1"/>
  <c r="Y45" i="115"/>
  <c r="W45" i="115" s="1"/>
  <c r="R44" i="115"/>
  <c r="AC44" i="115"/>
  <c r="F45" i="115"/>
  <c r="M46" i="115"/>
  <c r="M45" i="115"/>
  <c r="T44" i="115" l="1"/>
  <c r="P45" i="115"/>
  <c r="P28" i="115"/>
  <c r="AC28" i="115"/>
  <c r="R45" i="115"/>
  <c r="AC45" i="115"/>
  <c r="AA48" i="115"/>
  <c r="T46" i="115"/>
  <c r="T45" i="115" l="1"/>
  <c r="AK19" i="1"/>
  <c r="B55" i="99" l="1"/>
  <c r="BR66" i="1" l="1"/>
  <c r="E34" i="50" l="1"/>
  <c r="G34" i="50" s="1"/>
  <c r="I34" i="50" s="1"/>
  <c r="F251" i="111"/>
  <c r="F33" i="111" s="1"/>
  <c r="G33" i="111"/>
  <c r="J33" i="111"/>
  <c r="I33" i="111" s="1"/>
  <c r="A33" i="113"/>
  <c r="C33" i="113"/>
  <c r="E33" i="113"/>
  <c r="F33" i="113"/>
  <c r="G33" i="113"/>
  <c r="H33" i="113"/>
  <c r="I33" i="113"/>
  <c r="J33" i="113"/>
  <c r="K33" i="113"/>
  <c r="L33" i="113"/>
  <c r="M33" i="113"/>
  <c r="N33" i="113"/>
  <c r="O33" i="113"/>
  <c r="P33" i="113"/>
  <c r="Q33" i="113"/>
  <c r="R33" i="113"/>
  <c r="S33" i="113"/>
  <c r="T33" i="113"/>
  <c r="U33" i="113"/>
  <c r="V33" i="113"/>
  <c r="W33" i="113"/>
  <c r="X33" i="113"/>
  <c r="Y33" i="113"/>
  <c r="Z33" i="113"/>
  <c r="AA33" i="113"/>
  <c r="AB33" i="113"/>
  <c r="AC33" i="113"/>
  <c r="AD33" i="113"/>
  <c r="AE33" i="113"/>
  <c r="AF33" i="113"/>
  <c r="AH33" i="113"/>
  <c r="AI33" i="113"/>
  <c r="AJ33" i="113"/>
  <c r="AK33" i="113"/>
  <c r="AL33" i="113"/>
  <c r="AM33" i="113"/>
  <c r="AN33" i="113"/>
  <c r="AO33" i="113"/>
  <c r="AP33" i="113"/>
  <c r="AQ33" i="113"/>
  <c r="AR33" i="113"/>
  <c r="AS33" i="113"/>
  <c r="AT33" i="113"/>
  <c r="AU33" i="113"/>
  <c r="AV33" i="113"/>
  <c r="AW33" i="113"/>
  <c r="AX33" i="113"/>
  <c r="AY33" i="113"/>
  <c r="AZ33" i="113"/>
  <c r="BA33" i="113"/>
  <c r="BB33" i="113"/>
  <c r="AG33" i="113"/>
  <c r="AB34" i="1"/>
  <c r="AP34" i="1" l="1"/>
  <c r="AX34" i="1" s="1"/>
  <c r="AZ34" i="1" s="1"/>
  <c r="BD34" i="1" l="1"/>
  <c r="BL34" i="1" s="1"/>
  <c r="BN34" i="1" s="1"/>
  <c r="BO34" i="1" l="1"/>
  <c r="K34" i="50"/>
  <c r="AV73" i="1" l="1"/>
  <c r="AV66" i="1"/>
  <c r="AV46" i="1"/>
  <c r="AV36" i="1"/>
  <c r="AV29" i="1"/>
  <c r="AV18" i="1"/>
  <c r="AV20" i="1" s="1"/>
  <c r="AV47" i="1" l="1"/>
  <c r="AV49" i="1" s="1"/>
  <c r="AV52" i="1" s="1"/>
  <c r="AV74" i="1"/>
  <c r="AV77" i="1" s="1"/>
  <c r="AV81" i="1" s="1"/>
  <c r="AS7" i="113" l="1"/>
  <c r="AS8" i="113"/>
  <c r="AS9" i="113"/>
  <c r="AS11" i="113"/>
  <c r="AS14" i="113"/>
  <c r="AS15" i="113"/>
  <c r="AS16" i="113"/>
  <c r="AS18" i="113"/>
  <c r="AS23" i="113"/>
  <c r="AS24" i="113"/>
  <c r="AS25" i="113"/>
  <c r="AS26" i="113"/>
  <c r="AS27" i="113"/>
  <c r="AS31" i="113"/>
  <c r="AS32" i="113"/>
  <c r="AS34" i="113"/>
  <c r="AS37" i="113"/>
  <c r="AS38" i="113"/>
  <c r="AS39" i="113"/>
  <c r="AS42" i="113"/>
  <c r="AS43" i="113"/>
  <c r="AS44" i="113"/>
  <c r="AS50" i="113"/>
  <c r="AS53" i="113"/>
  <c r="AS54" i="113"/>
  <c r="AS60" i="113"/>
  <c r="AS61" i="113"/>
  <c r="AS62" i="113"/>
  <c r="AS63" i="113"/>
  <c r="AS64" i="113"/>
  <c r="AS67" i="113"/>
  <c r="AS68" i="113"/>
  <c r="AS69" i="113"/>
  <c r="AS70" i="113"/>
  <c r="AS71" i="113"/>
  <c r="AS75" i="113"/>
  <c r="AS77" i="113"/>
  <c r="AS78" i="113"/>
  <c r="AS79" i="113"/>
  <c r="C57" i="3" l="1"/>
  <c r="B52" i="48" s="1"/>
  <c r="B57" i="3"/>
  <c r="AW73" i="1"/>
  <c r="AS72" i="113" s="1"/>
  <c r="AW66" i="1"/>
  <c r="AW46" i="1"/>
  <c r="AS45" i="113" s="1"/>
  <c r="AW36" i="1"/>
  <c r="AS35" i="113" s="1"/>
  <c r="AW29" i="1"/>
  <c r="AS28" i="113" s="1"/>
  <c r="AW18" i="1"/>
  <c r="AW20" i="1" l="1"/>
  <c r="AS19" i="113" s="1"/>
  <c r="AS17" i="113"/>
  <c r="AW74" i="1"/>
  <c r="AS65" i="113"/>
  <c r="AW47" i="1"/>
  <c r="Q297" i="111"/>
  <c r="AW77" i="1" l="1"/>
  <c r="AS73" i="113"/>
  <c r="AS48" i="113"/>
  <c r="AS46" i="113"/>
  <c r="AW52" i="1" l="1"/>
  <c r="AS51" i="113" s="1"/>
  <c r="AW81" i="1"/>
  <c r="H55" i="99" s="1"/>
  <c r="K55" i="99" s="1"/>
  <c r="AS76" i="113"/>
  <c r="B53" i="99"/>
  <c r="B51" i="99"/>
  <c r="C68" i="3"/>
  <c r="C67" i="3"/>
  <c r="B68" i="3"/>
  <c r="B67" i="3"/>
  <c r="BA7" i="113"/>
  <c r="BA8" i="113"/>
  <c r="BA9" i="113"/>
  <c r="BA11" i="113"/>
  <c r="BA14" i="113"/>
  <c r="BA15" i="113"/>
  <c r="BA16" i="113"/>
  <c r="BA18" i="113"/>
  <c r="BA23" i="113"/>
  <c r="BA24" i="113"/>
  <c r="BA25" i="113"/>
  <c r="BA26" i="113"/>
  <c r="BA27" i="113"/>
  <c r="BA31" i="113"/>
  <c r="BA32" i="113"/>
  <c r="BA34" i="113"/>
  <c r="BA37" i="113"/>
  <c r="BA38" i="113"/>
  <c r="BA39" i="113"/>
  <c r="BA42" i="113"/>
  <c r="BA43" i="113"/>
  <c r="BA44" i="113"/>
  <c r="BA50" i="113"/>
  <c r="BA53" i="113"/>
  <c r="BA54" i="113"/>
  <c r="BA60" i="113"/>
  <c r="BA61" i="113"/>
  <c r="BA62" i="113"/>
  <c r="BA63" i="113"/>
  <c r="BA64" i="113"/>
  <c r="BA67" i="113"/>
  <c r="BA68" i="113"/>
  <c r="BA69" i="113"/>
  <c r="BA70" i="113"/>
  <c r="BA71" i="113"/>
  <c r="BA75" i="113"/>
  <c r="BA77" i="113"/>
  <c r="BA78" i="113"/>
  <c r="BA79" i="113"/>
  <c r="BK73" i="1"/>
  <c r="BA72" i="113" s="1"/>
  <c r="BK66" i="1"/>
  <c r="BK46" i="1"/>
  <c r="BA45" i="113" s="1"/>
  <c r="BK36" i="1"/>
  <c r="BA35" i="113" s="1"/>
  <c r="BK29" i="1"/>
  <c r="BA28" i="113" s="1"/>
  <c r="BK18" i="1"/>
  <c r="BA17" i="113" s="1"/>
  <c r="AS80" i="113" l="1"/>
  <c r="E57" i="3"/>
  <c r="F52" i="48" s="1"/>
  <c r="BK74" i="1"/>
  <c r="BK20" i="1"/>
  <c r="BA19" i="113" s="1"/>
  <c r="BK47" i="1"/>
  <c r="BA65" i="113"/>
  <c r="C55" i="3"/>
  <c r="B50" i="48" s="1"/>
  <c r="B55" i="3"/>
  <c r="AF27" i="113"/>
  <c r="G52" i="48" l="1"/>
  <c r="BK77" i="1"/>
  <c r="BA73" i="113"/>
  <c r="BK49" i="1"/>
  <c r="BA46" i="113"/>
  <c r="AJ73" i="1"/>
  <c r="AJ66" i="1"/>
  <c r="AJ46" i="1"/>
  <c r="AJ36" i="1"/>
  <c r="AJ29" i="1"/>
  <c r="AJ18" i="1"/>
  <c r="AJ20" i="1" s="1"/>
  <c r="AZ7" i="113"/>
  <c r="AZ8" i="113"/>
  <c r="AZ9" i="113"/>
  <c r="AZ11" i="113"/>
  <c r="AZ14" i="113"/>
  <c r="AZ15" i="113"/>
  <c r="AZ16" i="113"/>
  <c r="AZ18" i="113"/>
  <c r="AZ23" i="113"/>
  <c r="AZ24" i="113"/>
  <c r="AZ25" i="113"/>
  <c r="AZ26" i="113"/>
  <c r="AZ27" i="113"/>
  <c r="AZ31" i="113"/>
  <c r="AZ32" i="113"/>
  <c r="AZ34" i="113"/>
  <c r="AZ37" i="113"/>
  <c r="AZ38" i="113"/>
  <c r="AZ39" i="113"/>
  <c r="AZ42" i="113"/>
  <c r="AZ43" i="113"/>
  <c r="AZ44" i="113"/>
  <c r="AZ50" i="113"/>
  <c r="AZ53" i="113"/>
  <c r="AZ54" i="113"/>
  <c r="AZ60" i="113"/>
  <c r="AZ61" i="113"/>
  <c r="AZ62" i="113"/>
  <c r="AZ63" i="113"/>
  <c r="AZ64" i="113"/>
  <c r="AZ67" i="113"/>
  <c r="AZ68" i="113"/>
  <c r="AZ69" i="113"/>
  <c r="AZ70" i="113"/>
  <c r="AZ71" i="113"/>
  <c r="AZ75" i="113"/>
  <c r="AZ77" i="113"/>
  <c r="AZ78" i="113"/>
  <c r="AZ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4" i="113"/>
  <c r="AR34" i="113"/>
  <c r="AQ37" i="113"/>
  <c r="AR37" i="113"/>
  <c r="AQ38" i="113"/>
  <c r="AR38" i="113"/>
  <c r="AQ39" i="113"/>
  <c r="AR39"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AU73" i="1"/>
  <c r="AQ72" i="113" s="1"/>
  <c r="AU66" i="1"/>
  <c r="AQ65" i="113" s="1"/>
  <c r="AU46" i="1"/>
  <c r="AU36" i="1"/>
  <c r="AQ35" i="113" s="1"/>
  <c r="AU29" i="1"/>
  <c r="AQ28" i="113" s="1"/>
  <c r="AU18" i="1"/>
  <c r="AU20" i="1" s="1"/>
  <c r="AQ19" i="113" s="1"/>
  <c r="BJ73" i="1"/>
  <c r="AZ72" i="113" s="1"/>
  <c r="BJ66" i="1"/>
  <c r="AZ65" i="113" s="1"/>
  <c r="BJ46" i="1"/>
  <c r="BJ36" i="1"/>
  <c r="AZ35" i="113" s="1"/>
  <c r="BJ29" i="1"/>
  <c r="AZ28" i="113" s="1"/>
  <c r="BJ18" i="1"/>
  <c r="BJ20" i="1" s="1"/>
  <c r="AZ19" i="113" s="1"/>
  <c r="BK81" i="1" l="1"/>
  <c r="BA76" i="113"/>
  <c r="BA48" i="113"/>
  <c r="BK52" i="1"/>
  <c r="BA51" i="113" s="1"/>
  <c r="AH81" i="1"/>
  <c r="AJ74" i="1"/>
  <c r="AJ77" i="1" s="1"/>
  <c r="AJ81" i="1" s="1"/>
  <c r="AJ53" i="1" s="1"/>
  <c r="AJ47" i="1"/>
  <c r="AJ49" i="1" s="1"/>
  <c r="BJ47" i="1"/>
  <c r="AZ46" i="113" s="1"/>
  <c r="AU47" i="1"/>
  <c r="AQ46" i="113" s="1"/>
  <c r="AU74" i="1"/>
  <c r="AU77" i="1" s="1"/>
  <c r="AU81" i="1" s="1"/>
  <c r="H53" i="99" s="1"/>
  <c r="K53" i="99" s="1"/>
  <c r="AQ17" i="113"/>
  <c r="AZ17" i="113"/>
  <c r="BJ74" i="1"/>
  <c r="AQ45" i="113"/>
  <c r="AZ45" i="113"/>
  <c r="E68" i="3" l="1"/>
  <c r="BA80" i="113"/>
  <c r="AQ80" i="113"/>
  <c r="E55" i="3"/>
  <c r="F50" i="48" s="1"/>
  <c r="AJ52" i="1"/>
  <c r="AQ73" i="113"/>
  <c r="AQ76" i="113"/>
  <c r="BJ49" i="1"/>
  <c r="AZ48" i="113" s="1"/>
  <c r="AU49" i="1"/>
  <c r="AQ48" i="113" s="1"/>
  <c r="BJ77" i="1"/>
  <c r="AZ73" i="113"/>
  <c r="G50" i="48" l="1"/>
  <c r="BJ52" i="1"/>
  <c r="AZ51" i="113" s="1"/>
  <c r="AU52" i="1"/>
  <c r="AQ51" i="113" s="1"/>
  <c r="BJ81" i="1"/>
  <c r="E67" i="3" s="1"/>
  <c r="AZ76" i="113"/>
  <c r="AZ80" i="113" l="1"/>
  <c r="AO7" i="113" l="1"/>
  <c r="AP7" i="113"/>
  <c r="AO8" i="113"/>
  <c r="AP8" i="113"/>
  <c r="AO9" i="113"/>
  <c r="AP9" i="113"/>
  <c r="AO11" i="113"/>
  <c r="AP11" i="113"/>
  <c r="AO14" i="113"/>
  <c r="AP14" i="113"/>
  <c r="AO15" i="113"/>
  <c r="AP15" i="113"/>
  <c r="AO16" i="113"/>
  <c r="AP16" i="113"/>
  <c r="AO18" i="113"/>
  <c r="AP18" i="113"/>
  <c r="AO23" i="113"/>
  <c r="AP23" i="113"/>
  <c r="AO24" i="113"/>
  <c r="AP24" i="113"/>
  <c r="AO25" i="113"/>
  <c r="AP25" i="113"/>
  <c r="AO26" i="113"/>
  <c r="AP26" i="113"/>
  <c r="AO27" i="113"/>
  <c r="AP27" i="113"/>
  <c r="AO31" i="113"/>
  <c r="AP31" i="113"/>
  <c r="AO32" i="113"/>
  <c r="AP32" i="113"/>
  <c r="AO34" i="113"/>
  <c r="AP34" i="113"/>
  <c r="AO37" i="113"/>
  <c r="AP37" i="113"/>
  <c r="AO38" i="113"/>
  <c r="AP38" i="113"/>
  <c r="AO39" i="113"/>
  <c r="AP39" i="113"/>
  <c r="AO42" i="113"/>
  <c r="AP42" i="113"/>
  <c r="AO43" i="113"/>
  <c r="AP43" i="113"/>
  <c r="AO44" i="113"/>
  <c r="AP44" i="113"/>
  <c r="AO50" i="113"/>
  <c r="AP50" i="113"/>
  <c r="AO53" i="113"/>
  <c r="AP53" i="113"/>
  <c r="AO54" i="113"/>
  <c r="AP54" i="113"/>
  <c r="AO60" i="113"/>
  <c r="AP60" i="113"/>
  <c r="AO61" i="113"/>
  <c r="AP61" i="113"/>
  <c r="AO62" i="113"/>
  <c r="AP62" i="113"/>
  <c r="AO63" i="113"/>
  <c r="AP63" i="113"/>
  <c r="AO64" i="113"/>
  <c r="AP64" i="113"/>
  <c r="AO67" i="113"/>
  <c r="AP67" i="113"/>
  <c r="AO68" i="113"/>
  <c r="AP68" i="113"/>
  <c r="AO69" i="113"/>
  <c r="AP69" i="113"/>
  <c r="AO70" i="113"/>
  <c r="AP70" i="113"/>
  <c r="AO71" i="113"/>
  <c r="AP71" i="113"/>
  <c r="AO75" i="113"/>
  <c r="AP75" i="113"/>
  <c r="AO77" i="113"/>
  <c r="AP77" i="113"/>
  <c r="AO78" i="113"/>
  <c r="AP78" i="113"/>
  <c r="AO79" i="113"/>
  <c r="AP79" i="113"/>
  <c r="AC19" i="1"/>
  <c r="C53" i="3"/>
  <c r="B48" i="48" s="1"/>
  <c r="B53" i="3"/>
  <c r="AS73" i="1"/>
  <c r="AO72" i="113" s="1"/>
  <c r="AS66" i="1"/>
  <c r="AS46" i="1"/>
  <c r="AO45" i="113" s="1"/>
  <c r="AS36" i="1"/>
  <c r="AO35" i="113" s="1"/>
  <c r="AS29" i="1"/>
  <c r="AO28" i="113" s="1"/>
  <c r="AS18" i="1"/>
  <c r="AS20" i="1" s="1"/>
  <c r="AO19" i="113" s="1"/>
  <c r="B13" i="99"/>
  <c r="AO65" i="113" l="1"/>
  <c r="AS74" i="1"/>
  <c r="AS77" i="1" s="1"/>
  <c r="AS81" i="1" s="1"/>
  <c r="AS47" i="1"/>
  <c r="AO46" i="113" s="1"/>
  <c r="AO17" i="113"/>
  <c r="O52" i="1"/>
  <c r="I7" i="113"/>
  <c r="I8" i="113"/>
  <c r="I9" i="113"/>
  <c r="I11" i="113"/>
  <c r="I14" i="113"/>
  <c r="I15" i="113"/>
  <c r="I16" i="113"/>
  <c r="I18" i="113"/>
  <c r="I23" i="113"/>
  <c r="I24" i="113"/>
  <c r="I25" i="113"/>
  <c r="I26" i="113"/>
  <c r="I27" i="113"/>
  <c r="I31" i="113"/>
  <c r="I32" i="113"/>
  <c r="I34" i="113"/>
  <c r="I37" i="113"/>
  <c r="I38" i="113"/>
  <c r="I39" i="113"/>
  <c r="I42" i="113"/>
  <c r="I43" i="113"/>
  <c r="I44" i="113"/>
  <c r="I50" i="113"/>
  <c r="I53" i="113"/>
  <c r="I54" i="113"/>
  <c r="I60" i="113"/>
  <c r="I61" i="113"/>
  <c r="I62" i="113"/>
  <c r="I64" i="113"/>
  <c r="I67" i="113"/>
  <c r="I68" i="113"/>
  <c r="I69" i="113"/>
  <c r="I70" i="113"/>
  <c r="I71" i="113"/>
  <c r="I75" i="113"/>
  <c r="I77" i="113"/>
  <c r="I78" i="113"/>
  <c r="I79" i="113"/>
  <c r="C14" i="3"/>
  <c r="B15" i="48" s="1"/>
  <c r="B14" i="3"/>
  <c r="AO80" i="113" l="1"/>
  <c r="H51" i="99"/>
  <c r="K51" i="99" s="1"/>
  <c r="AO73" i="113"/>
  <c r="E53" i="3"/>
  <c r="F48" i="48" s="1"/>
  <c r="AS49" i="1"/>
  <c r="AO48" i="113" s="1"/>
  <c r="AO76" i="113"/>
  <c r="V38" i="1"/>
  <c r="I73" i="1"/>
  <c r="I72" i="113" s="1"/>
  <c r="I46" i="1"/>
  <c r="I45" i="113" s="1"/>
  <c r="I36" i="1"/>
  <c r="I35" i="113" s="1"/>
  <c r="I29" i="1"/>
  <c r="I28" i="113" s="1"/>
  <c r="I18" i="1"/>
  <c r="I17" i="113" s="1"/>
  <c r="G48" i="48" l="1"/>
  <c r="AS52" i="1"/>
  <c r="AO51" i="113" s="1"/>
  <c r="I66" i="1"/>
  <c r="I63" i="113"/>
  <c r="I20" i="1"/>
  <c r="I47" i="1"/>
  <c r="I46" i="113" s="1"/>
  <c r="BF29" i="1"/>
  <c r="AV28" i="113" s="1"/>
  <c r="AV18" i="113"/>
  <c r="BF18" i="1"/>
  <c r="AV17" i="113" s="1"/>
  <c r="BF73" i="1"/>
  <c r="AV72" i="113" s="1"/>
  <c r="BF66" i="1"/>
  <c r="AV65" i="113" s="1"/>
  <c r="BF46" i="1"/>
  <c r="AV45" i="113" s="1"/>
  <c r="BF36" i="1"/>
  <c r="B54" i="99"/>
  <c r="B44" i="99"/>
  <c r="B45" i="99"/>
  <c r="C69" i="3"/>
  <c r="C65" i="3"/>
  <c r="C66" i="3"/>
  <c r="C64" i="3"/>
  <c r="C63" i="3"/>
  <c r="C62" i="3"/>
  <c r="B69" i="3"/>
  <c r="B65" i="3"/>
  <c r="B66" i="3"/>
  <c r="B64" i="3"/>
  <c r="B63" i="3"/>
  <c r="B62" i="3"/>
  <c r="AU7" i="113"/>
  <c r="AV7" i="113"/>
  <c r="AW7" i="113"/>
  <c r="AY7" i="113"/>
  <c r="AX7" i="113"/>
  <c r="BB7" i="113"/>
  <c r="AU8" i="113"/>
  <c r="AV8" i="113"/>
  <c r="AW8" i="113"/>
  <c r="AY8" i="113"/>
  <c r="AX8" i="113"/>
  <c r="BB8" i="113"/>
  <c r="AU9" i="113"/>
  <c r="AV9" i="113"/>
  <c r="AW9" i="113"/>
  <c r="AY9" i="113"/>
  <c r="AX9" i="113"/>
  <c r="BB9" i="113"/>
  <c r="AU10" i="113"/>
  <c r="AU11" i="113"/>
  <c r="AV11" i="113"/>
  <c r="AW11" i="113"/>
  <c r="AY11" i="113"/>
  <c r="AX11" i="113"/>
  <c r="BB11" i="113"/>
  <c r="AU14" i="113"/>
  <c r="AV14" i="113"/>
  <c r="AW14" i="113"/>
  <c r="AY14" i="113"/>
  <c r="AX14" i="113"/>
  <c r="BB14" i="113"/>
  <c r="AU15" i="113"/>
  <c r="AV15" i="113"/>
  <c r="AW15" i="113"/>
  <c r="AY15" i="113"/>
  <c r="AX15" i="113"/>
  <c r="BB15" i="113"/>
  <c r="AU16" i="113"/>
  <c r="AV16" i="113"/>
  <c r="AW16" i="113"/>
  <c r="AY16" i="113"/>
  <c r="AX16" i="113"/>
  <c r="BB16" i="113"/>
  <c r="AU18" i="113"/>
  <c r="AW18" i="113"/>
  <c r="AY18" i="113"/>
  <c r="AX18" i="113"/>
  <c r="BB18" i="113"/>
  <c r="AU23" i="113"/>
  <c r="AW23" i="113"/>
  <c r="AY23" i="113"/>
  <c r="AX23" i="113"/>
  <c r="BB23" i="113"/>
  <c r="AU24" i="113"/>
  <c r="AV24" i="113"/>
  <c r="AW24" i="113"/>
  <c r="AY24" i="113"/>
  <c r="AX24" i="113"/>
  <c r="BB24" i="113"/>
  <c r="AU25" i="113"/>
  <c r="AV25" i="113"/>
  <c r="AW25" i="113"/>
  <c r="AY25" i="113"/>
  <c r="AX25" i="113"/>
  <c r="BB25" i="113"/>
  <c r="AU26" i="113"/>
  <c r="AV26" i="113"/>
  <c r="AW26" i="113"/>
  <c r="AY26" i="113"/>
  <c r="AX26" i="113"/>
  <c r="BB26" i="113"/>
  <c r="AU27" i="113"/>
  <c r="AV27" i="113"/>
  <c r="AW27" i="113"/>
  <c r="AY27" i="113"/>
  <c r="AX27" i="113"/>
  <c r="BB27" i="113"/>
  <c r="AU31" i="113"/>
  <c r="AV31" i="113"/>
  <c r="AW31" i="113"/>
  <c r="AY31" i="113"/>
  <c r="AX31" i="113"/>
  <c r="BB31" i="113"/>
  <c r="AU32" i="113"/>
  <c r="AV32" i="113"/>
  <c r="AW32" i="113"/>
  <c r="AY32" i="113"/>
  <c r="AX32" i="113"/>
  <c r="BB32" i="113"/>
  <c r="AU34" i="113"/>
  <c r="AV34" i="113"/>
  <c r="AW34" i="113"/>
  <c r="AY34" i="113"/>
  <c r="AX34" i="113"/>
  <c r="BB34" i="113"/>
  <c r="AU37" i="113"/>
  <c r="AV37" i="113"/>
  <c r="AW37" i="113"/>
  <c r="AY37" i="113"/>
  <c r="AX37" i="113"/>
  <c r="BB37" i="113"/>
  <c r="AU38" i="113"/>
  <c r="AV38" i="113"/>
  <c r="AW38" i="113"/>
  <c r="AY38" i="113"/>
  <c r="AX38" i="113"/>
  <c r="BB38" i="113"/>
  <c r="AU39" i="113"/>
  <c r="AV39" i="113"/>
  <c r="AW39" i="113"/>
  <c r="AY39" i="113"/>
  <c r="AX39" i="113"/>
  <c r="BB39" i="113"/>
  <c r="AU42" i="113"/>
  <c r="AV42" i="113"/>
  <c r="AW42" i="113"/>
  <c r="AY42" i="113"/>
  <c r="AX42" i="113"/>
  <c r="BB42" i="113"/>
  <c r="AU43" i="113"/>
  <c r="AV43" i="113"/>
  <c r="AW43" i="113"/>
  <c r="AY43" i="113"/>
  <c r="AX43" i="113"/>
  <c r="BB43" i="113"/>
  <c r="AU44" i="113"/>
  <c r="AV44" i="113"/>
  <c r="AW44" i="113"/>
  <c r="AY44" i="113"/>
  <c r="AX44" i="113"/>
  <c r="BB44" i="113"/>
  <c r="AU50" i="113"/>
  <c r="AV50" i="113"/>
  <c r="AW50" i="113"/>
  <c r="AY50" i="113"/>
  <c r="AX50" i="113"/>
  <c r="BB50" i="113"/>
  <c r="AU53" i="113"/>
  <c r="AV53" i="113"/>
  <c r="AW53" i="113"/>
  <c r="AY53" i="113"/>
  <c r="AX53" i="113"/>
  <c r="BB53" i="113"/>
  <c r="AU54" i="113"/>
  <c r="AV54" i="113"/>
  <c r="AW54" i="113"/>
  <c r="AY54" i="113"/>
  <c r="AX54" i="113"/>
  <c r="BB54" i="113"/>
  <c r="AU60" i="113"/>
  <c r="AV60" i="113"/>
  <c r="AW60" i="113"/>
  <c r="AY60" i="113"/>
  <c r="AX60" i="113"/>
  <c r="BB60" i="113"/>
  <c r="AU61" i="113"/>
  <c r="AV61" i="113"/>
  <c r="AW61" i="113"/>
  <c r="AY61" i="113"/>
  <c r="AX61" i="113"/>
  <c r="BB61" i="113"/>
  <c r="AU62" i="113"/>
  <c r="AV62" i="113"/>
  <c r="AW62" i="113"/>
  <c r="AY62" i="113"/>
  <c r="AX62" i="113"/>
  <c r="BB62" i="113"/>
  <c r="AU63" i="113"/>
  <c r="AV63" i="113"/>
  <c r="AW63" i="113"/>
  <c r="AY63" i="113"/>
  <c r="AX63" i="113"/>
  <c r="BB63" i="113"/>
  <c r="AU64" i="113"/>
  <c r="AV64" i="113"/>
  <c r="AW64" i="113"/>
  <c r="AY64" i="113"/>
  <c r="AX64" i="113"/>
  <c r="BB64" i="113"/>
  <c r="AU67" i="113"/>
  <c r="AV67" i="113"/>
  <c r="AW67" i="113"/>
  <c r="AY67" i="113"/>
  <c r="AX67" i="113"/>
  <c r="BB67" i="113"/>
  <c r="AU68" i="113"/>
  <c r="AV68" i="113"/>
  <c r="AW68" i="113"/>
  <c r="AY68" i="113"/>
  <c r="AX68" i="113"/>
  <c r="BB68" i="113"/>
  <c r="AU69" i="113"/>
  <c r="AV69" i="113"/>
  <c r="AW69" i="113"/>
  <c r="AY69" i="113"/>
  <c r="AX69" i="113"/>
  <c r="BB69" i="113"/>
  <c r="AU70" i="113"/>
  <c r="AV70" i="113"/>
  <c r="AW70" i="113"/>
  <c r="AY70" i="113"/>
  <c r="AX70" i="113"/>
  <c r="BB70" i="113"/>
  <c r="AU71" i="113"/>
  <c r="AV71" i="113"/>
  <c r="AW71" i="113"/>
  <c r="AY71" i="113"/>
  <c r="AX71" i="113"/>
  <c r="BB71" i="113"/>
  <c r="AU75" i="113"/>
  <c r="AV75" i="113"/>
  <c r="AW75" i="113"/>
  <c r="AY75" i="113"/>
  <c r="AX75" i="113"/>
  <c r="BB75" i="113"/>
  <c r="AU77" i="113"/>
  <c r="AV77" i="113"/>
  <c r="AW77" i="113"/>
  <c r="AY77" i="113"/>
  <c r="AX77" i="113"/>
  <c r="BB77" i="113"/>
  <c r="AU78" i="113"/>
  <c r="AV78" i="113"/>
  <c r="AW78" i="113"/>
  <c r="AY78" i="113"/>
  <c r="AX78" i="113"/>
  <c r="BB78" i="113"/>
  <c r="AU79" i="113"/>
  <c r="AV79" i="113"/>
  <c r="AW79" i="113"/>
  <c r="AY79" i="113"/>
  <c r="AX79" i="113"/>
  <c r="BB79" i="113"/>
  <c r="BM73" i="1"/>
  <c r="BB72" i="113" s="1"/>
  <c r="BM66" i="1"/>
  <c r="BB65" i="113" s="1"/>
  <c r="BM46" i="1"/>
  <c r="BB45" i="113" s="1"/>
  <c r="BM36" i="1"/>
  <c r="BB35" i="113" s="1"/>
  <c r="BM29" i="1"/>
  <c r="BB28" i="113" s="1"/>
  <c r="BM18" i="1"/>
  <c r="BM20" i="1" s="1"/>
  <c r="BB19" i="113" s="1"/>
  <c r="BH73" i="1"/>
  <c r="AX72" i="113" s="1"/>
  <c r="BH66" i="1"/>
  <c r="AX65" i="113" s="1"/>
  <c r="BH46" i="1"/>
  <c r="AX45" i="113" s="1"/>
  <c r="BH36" i="1"/>
  <c r="AX35" i="113" s="1"/>
  <c r="BH29" i="1"/>
  <c r="AX28" i="113" s="1"/>
  <c r="BH18" i="1"/>
  <c r="BH20" i="1" s="1"/>
  <c r="AX19" i="113" s="1"/>
  <c r="BF11" i="1"/>
  <c r="BG11" i="1" s="1"/>
  <c r="BH11" i="1" s="1"/>
  <c r="BI11" i="1" s="1"/>
  <c r="BJ11" i="1" s="1"/>
  <c r="BE73" i="1"/>
  <c r="AU72" i="113" s="1"/>
  <c r="BE66" i="1"/>
  <c r="AU65" i="113" s="1"/>
  <c r="BE46" i="1"/>
  <c r="AU45" i="113" s="1"/>
  <c r="BE36" i="1"/>
  <c r="AU35" i="113" s="1"/>
  <c r="BE29" i="1"/>
  <c r="AU28" i="113" s="1"/>
  <c r="BE18" i="1"/>
  <c r="BE20" i="1" s="1"/>
  <c r="AU19" i="113" s="1"/>
  <c r="BI73" i="1"/>
  <c r="AY72" i="113" s="1"/>
  <c r="BG73" i="1"/>
  <c r="AW72" i="113" s="1"/>
  <c r="BI66" i="1"/>
  <c r="AY65" i="113" s="1"/>
  <c r="BG66" i="1"/>
  <c r="AW65" i="113" s="1"/>
  <c r="BI46" i="1"/>
  <c r="AY45" i="113" s="1"/>
  <c r="BG46" i="1"/>
  <c r="AW45" i="113" s="1"/>
  <c r="BI36" i="1"/>
  <c r="AY35" i="113" s="1"/>
  <c r="BG36" i="1"/>
  <c r="AW35" i="113" s="1"/>
  <c r="BI29" i="1"/>
  <c r="AY28" i="113" s="1"/>
  <c r="BG29" i="1"/>
  <c r="AW28" i="113" s="1"/>
  <c r="BI18" i="1"/>
  <c r="AY17" i="113" s="1"/>
  <c r="BG18" i="1"/>
  <c r="BG20" i="1" s="1"/>
  <c r="AW19" i="113" s="1"/>
  <c r="A67" i="3" l="1"/>
  <c r="BK11" i="1"/>
  <c r="BM11" i="1" s="1"/>
  <c r="AU17" i="113"/>
  <c r="BI20" i="1"/>
  <c r="AY19" i="113" s="1"/>
  <c r="AV10" i="113"/>
  <c r="A63" i="3"/>
  <c r="I74" i="1"/>
  <c r="I65" i="113"/>
  <c r="I49" i="1"/>
  <c r="I19" i="113"/>
  <c r="AW17" i="113"/>
  <c r="BH74" i="1"/>
  <c r="BM74" i="1"/>
  <c r="AX17" i="113"/>
  <c r="BH47" i="1"/>
  <c r="AX46" i="113" s="1"/>
  <c r="BB17" i="113"/>
  <c r="A62" i="3"/>
  <c r="A64" i="3"/>
  <c r="AW10" i="113"/>
  <c r="BF74" i="1"/>
  <c r="AV73" i="113" s="1"/>
  <c r="BF20" i="1"/>
  <c r="AV19" i="113" s="1"/>
  <c r="AV23" i="113"/>
  <c r="BF47" i="1"/>
  <c r="AV35" i="113"/>
  <c r="BM47" i="1"/>
  <c r="BB46" i="113" s="1"/>
  <c r="BE47" i="1"/>
  <c r="BG74" i="1"/>
  <c r="BE74" i="1"/>
  <c r="BI47" i="1"/>
  <c r="BI74" i="1"/>
  <c r="BG47" i="1"/>
  <c r="AH16" i="113"/>
  <c r="Z7" i="113"/>
  <c r="AA7" i="113"/>
  <c r="AB7" i="113"/>
  <c r="AC7" i="113"/>
  <c r="AD7" i="113"/>
  <c r="AE7" i="113"/>
  <c r="AF7" i="113"/>
  <c r="AG7" i="113"/>
  <c r="AH7" i="113"/>
  <c r="AI7" i="113"/>
  <c r="AJ7" i="113"/>
  <c r="AK7" i="113"/>
  <c r="AL7" i="113"/>
  <c r="AM7" i="113"/>
  <c r="AN7" i="113"/>
  <c r="AT7" i="113"/>
  <c r="Z8" i="113"/>
  <c r="AA8" i="113"/>
  <c r="AB8" i="113"/>
  <c r="AC8" i="113"/>
  <c r="AD8" i="113"/>
  <c r="AE8" i="113"/>
  <c r="AF8" i="113"/>
  <c r="AG8" i="113"/>
  <c r="AH8" i="113"/>
  <c r="AI8" i="113"/>
  <c r="AJ8" i="113"/>
  <c r="AK8" i="113"/>
  <c r="AL8" i="113"/>
  <c r="AM8" i="113"/>
  <c r="AN8" i="113"/>
  <c r="AT8" i="113"/>
  <c r="Z9" i="113"/>
  <c r="AA9" i="113"/>
  <c r="AB9" i="113"/>
  <c r="AC9" i="113"/>
  <c r="AD9" i="113"/>
  <c r="AE9" i="113"/>
  <c r="AF9" i="113"/>
  <c r="AG9" i="113"/>
  <c r="AH9" i="113"/>
  <c r="AI9" i="113"/>
  <c r="AJ9" i="113"/>
  <c r="AK9" i="113"/>
  <c r="AL9" i="113"/>
  <c r="AM9" i="113"/>
  <c r="AN9" i="113"/>
  <c r="AT9" i="113"/>
  <c r="Z10" i="113"/>
  <c r="Z11" i="113"/>
  <c r="AA11" i="113"/>
  <c r="AB11" i="113"/>
  <c r="AC11" i="113"/>
  <c r="AD11" i="113"/>
  <c r="AE11" i="113"/>
  <c r="AF11" i="113"/>
  <c r="AG11" i="113"/>
  <c r="AH11" i="113"/>
  <c r="AI11" i="113"/>
  <c r="AJ11" i="113"/>
  <c r="AK11" i="113"/>
  <c r="AL11" i="113"/>
  <c r="AM11" i="113"/>
  <c r="AN11" i="113"/>
  <c r="AT11" i="113"/>
  <c r="Z14" i="113"/>
  <c r="AA14" i="113"/>
  <c r="AB14" i="113"/>
  <c r="AC14" i="113"/>
  <c r="AD14" i="113"/>
  <c r="AE14" i="113"/>
  <c r="AF14" i="113"/>
  <c r="AG14" i="113"/>
  <c r="AH14" i="113"/>
  <c r="AI14" i="113"/>
  <c r="AJ14" i="113"/>
  <c r="AK14" i="113"/>
  <c r="AL14" i="113"/>
  <c r="AM14" i="113"/>
  <c r="AN14" i="113"/>
  <c r="AT14" i="113"/>
  <c r="Z15" i="113"/>
  <c r="AA15" i="113"/>
  <c r="AB15" i="113"/>
  <c r="AC15" i="113"/>
  <c r="AD15" i="113"/>
  <c r="AE15" i="113"/>
  <c r="AF15" i="113"/>
  <c r="AG15" i="113"/>
  <c r="AH15" i="113"/>
  <c r="AI15" i="113"/>
  <c r="AJ15" i="113"/>
  <c r="AK15" i="113"/>
  <c r="AL15" i="113"/>
  <c r="AM15" i="113"/>
  <c r="AN15" i="113"/>
  <c r="AT15" i="113"/>
  <c r="Z16" i="113"/>
  <c r="AA16" i="113"/>
  <c r="AB16" i="113"/>
  <c r="AC16" i="113"/>
  <c r="AD16" i="113"/>
  <c r="AE16" i="113"/>
  <c r="AF16" i="113"/>
  <c r="AG16" i="113"/>
  <c r="AI16" i="113"/>
  <c r="AJ16" i="113"/>
  <c r="AK16" i="113"/>
  <c r="AL16" i="113"/>
  <c r="AM16" i="113"/>
  <c r="AN16" i="113"/>
  <c r="AT16" i="113"/>
  <c r="AA18" i="113"/>
  <c r="AB18" i="113"/>
  <c r="AC18" i="113"/>
  <c r="AD18" i="113"/>
  <c r="AE18" i="113"/>
  <c r="AF18" i="113"/>
  <c r="AG18" i="113"/>
  <c r="AH18" i="113"/>
  <c r="AI18" i="113"/>
  <c r="AJ18" i="113"/>
  <c r="AK18" i="113"/>
  <c r="AL18" i="113"/>
  <c r="AM18" i="113"/>
  <c r="AN18" i="113"/>
  <c r="AT18" i="113"/>
  <c r="AA23" i="113"/>
  <c r="AB23" i="113"/>
  <c r="AC23" i="113"/>
  <c r="AD23" i="113"/>
  <c r="AE23" i="113"/>
  <c r="AF23" i="113"/>
  <c r="AG23" i="113"/>
  <c r="AH23" i="113"/>
  <c r="AI23" i="113"/>
  <c r="AJ23" i="113"/>
  <c r="AK23" i="113"/>
  <c r="AL23" i="113"/>
  <c r="AM23" i="113"/>
  <c r="AN23" i="113"/>
  <c r="AT23" i="113"/>
  <c r="Z24" i="113"/>
  <c r="AA24" i="113"/>
  <c r="AB24" i="113"/>
  <c r="AC24" i="113"/>
  <c r="AD24" i="113"/>
  <c r="AE24" i="113"/>
  <c r="AF24" i="113"/>
  <c r="AG24" i="113"/>
  <c r="AH24" i="113"/>
  <c r="AI24" i="113"/>
  <c r="AJ24" i="113"/>
  <c r="AK24" i="113"/>
  <c r="AL24" i="113"/>
  <c r="AM24" i="113"/>
  <c r="AN24" i="113"/>
  <c r="AT24" i="113"/>
  <c r="Z25" i="113"/>
  <c r="AA25" i="113"/>
  <c r="AB25" i="113"/>
  <c r="AC25" i="113"/>
  <c r="AD25" i="113"/>
  <c r="AE25" i="113"/>
  <c r="AF25" i="113"/>
  <c r="AG25" i="113"/>
  <c r="AH25" i="113"/>
  <c r="AI25" i="113"/>
  <c r="AJ25" i="113"/>
  <c r="AK25" i="113"/>
  <c r="AL25" i="113"/>
  <c r="AM25" i="113"/>
  <c r="AN25" i="113"/>
  <c r="AT25" i="113"/>
  <c r="Z26" i="113"/>
  <c r="AA26" i="113"/>
  <c r="AB26" i="113"/>
  <c r="AC26" i="113"/>
  <c r="AD26" i="113"/>
  <c r="AE26" i="113"/>
  <c r="AF26" i="113"/>
  <c r="AG26" i="113"/>
  <c r="AH26" i="113"/>
  <c r="AI26" i="113"/>
  <c r="AJ26" i="113"/>
  <c r="AK26" i="113"/>
  <c r="AL26" i="113"/>
  <c r="AM26" i="113"/>
  <c r="AN26" i="113"/>
  <c r="AT26" i="113"/>
  <c r="Z27" i="113"/>
  <c r="AA27" i="113"/>
  <c r="AB27" i="113"/>
  <c r="AC27" i="113"/>
  <c r="AD27" i="113"/>
  <c r="AE27" i="113"/>
  <c r="AG27" i="113"/>
  <c r="AH27" i="113"/>
  <c r="AI27" i="113"/>
  <c r="AJ27" i="113"/>
  <c r="AK27" i="113"/>
  <c r="AL27" i="113"/>
  <c r="AM27" i="113"/>
  <c r="AN27" i="113"/>
  <c r="AT27" i="113"/>
  <c r="Z31" i="113"/>
  <c r="AA31" i="113"/>
  <c r="AB31" i="113"/>
  <c r="AC31" i="113"/>
  <c r="AD31" i="113"/>
  <c r="AE31" i="113"/>
  <c r="AF31" i="113"/>
  <c r="AG31" i="113"/>
  <c r="AH31" i="113"/>
  <c r="AI31" i="113"/>
  <c r="AJ31" i="113"/>
  <c r="AK31" i="113"/>
  <c r="AL31" i="113"/>
  <c r="AM31" i="113"/>
  <c r="AN31" i="113"/>
  <c r="AT31" i="113"/>
  <c r="Z32" i="113"/>
  <c r="AA32" i="113"/>
  <c r="AB32" i="113"/>
  <c r="AC32" i="113"/>
  <c r="AD32" i="113"/>
  <c r="AE32" i="113"/>
  <c r="AF32" i="113"/>
  <c r="AG32" i="113"/>
  <c r="AH32" i="113"/>
  <c r="AI32" i="113"/>
  <c r="AJ32" i="113"/>
  <c r="AK32" i="113"/>
  <c r="AL32" i="113"/>
  <c r="AM32" i="113"/>
  <c r="AN32" i="113"/>
  <c r="AT32" i="113"/>
  <c r="Z34" i="113"/>
  <c r="AA34" i="113"/>
  <c r="AB34" i="113"/>
  <c r="AC34" i="113"/>
  <c r="AD34" i="113"/>
  <c r="AE34" i="113"/>
  <c r="AF34" i="113"/>
  <c r="AG34" i="113"/>
  <c r="AI34" i="113"/>
  <c r="AJ34" i="113"/>
  <c r="AK34" i="113"/>
  <c r="AL34" i="113"/>
  <c r="AM34" i="113"/>
  <c r="AN34" i="113"/>
  <c r="AT34" i="113"/>
  <c r="Z37" i="113"/>
  <c r="AA37" i="113"/>
  <c r="AB37" i="113"/>
  <c r="AC37" i="113"/>
  <c r="AD37" i="113"/>
  <c r="AE37" i="113"/>
  <c r="AF37" i="113"/>
  <c r="AG37" i="113"/>
  <c r="AI37" i="113"/>
  <c r="AJ37" i="113"/>
  <c r="AK37" i="113"/>
  <c r="AL37" i="113"/>
  <c r="AM37" i="113"/>
  <c r="AN37" i="113"/>
  <c r="AT37" i="113"/>
  <c r="Z38" i="113"/>
  <c r="AA38" i="113"/>
  <c r="AB38" i="113"/>
  <c r="AC38" i="113"/>
  <c r="AD38" i="113"/>
  <c r="AE38" i="113"/>
  <c r="AF38" i="113"/>
  <c r="AG38" i="113"/>
  <c r="AH38" i="113"/>
  <c r="AI38" i="113"/>
  <c r="AJ38" i="113"/>
  <c r="AK38" i="113"/>
  <c r="AL38" i="113"/>
  <c r="AM38" i="113"/>
  <c r="AN38" i="113"/>
  <c r="AT38" i="113"/>
  <c r="Z39" i="113"/>
  <c r="AA39" i="113"/>
  <c r="AC39" i="113"/>
  <c r="AD39" i="113"/>
  <c r="AE39" i="113"/>
  <c r="AF39" i="113"/>
  <c r="AG39" i="113"/>
  <c r="AH39" i="113"/>
  <c r="AI39" i="113"/>
  <c r="AJ39" i="113"/>
  <c r="AK39" i="113"/>
  <c r="AL39" i="113"/>
  <c r="AM39" i="113"/>
  <c r="AN39" i="113"/>
  <c r="AT39" i="113"/>
  <c r="Z42" i="113"/>
  <c r="AA42" i="113"/>
  <c r="AB42" i="113"/>
  <c r="AC42" i="113"/>
  <c r="AD42" i="113"/>
  <c r="AE42" i="113"/>
  <c r="AF42" i="113"/>
  <c r="AG42" i="113"/>
  <c r="AI42" i="113"/>
  <c r="AJ42" i="113"/>
  <c r="AK42" i="113"/>
  <c r="AL42" i="113"/>
  <c r="AM42" i="113"/>
  <c r="AN42" i="113"/>
  <c r="AT42" i="113"/>
  <c r="Z43" i="113"/>
  <c r="AA43" i="113"/>
  <c r="AB43" i="113"/>
  <c r="AC43" i="113"/>
  <c r="AD43" i="113"/>
  <c r="AE43" i="113"/>
  <c r="AF43" i="113"/>
  <c r="AG43" i="113"/>
  <c r="AH43" i="113"/>
  <c r="AI43" i="113"/>
  <c r="AJ43" i="113"/>
  <c r="AK43" i="113"/>
  <c r="AL43" i="113"/>
  <c r="AM43" i="113"/>
  <c r="AN43" i="113"/>
  <c r="AT43" i="113"/>
  <c r="Z44" i="113"/>
  <c r="AA44" i="113"/>
  <c r="AB44" i="113"/>
  <c r="AC44" i="113"/>
  <c r="AD44" i="113"/>
  <c r="AE44" i="113"/>
  <c r="AF44" i="113"/>
  <c r="AG44" i="113"/>
  <c r="AH44" i="113"/>
  <c r="AI44" i="113"/>
  <c r="AJ44" i="113"/>
  <c r="AK44" i="113"/>
  <c r="AL44" i="113"/>
  <c r="AM44" i="113"/>
  <c r="AN44" i="113"/>
  <c r="AT44" i="113"/>
  <c r="Z50" i="113"/>
  <c r="AA50" i="113"/>
  <c r="AB50" i="113"/>
  <c r="AC50" i="113"/>
  <c r="AD50" i="113"/>
  <c r="AE50" i="113"/>
  <c r="AF50" i="113"/>
  <c r="AG50" i="113"/>
  <c r="AH50" i="113"/>
  <c r="AI50" i="113"/>
  <c r="AJ50" i="113"/>
  <c r="AK50" i="113"/>
  <c r="AL50" i="113"/>
  <c r="AM50" i="113"/>
  <c r="AN50" i="113"/>
  <c r="AT50" i="113"/>
  <c r="Z53" i="113"/>
  <c r="AA53" i="113"/>
  <c r="AB53" i="113"/>
  <c r="AC53" i="113"/>
  <c r="AD53" i="113"/>
  <c r="AE53" i="113"/>
  <c r="AF53" i="113"/>
  <c r="AG53" i="113"/>
  <c r="AH53" i="113"/>
  <c r="AI53" i="113"/>
  <c r="AJ53" i="113"/>
  <c r="AK53" i="113"/>
  <c r="AL53" i="113"/>
  <c r="AM53" i="113"/>
  <c r="AN53" i="113"/>
  <c r="AT53" i="113"/>
  <c r="Z54" i="113"/>
  <c r="AA54" i="113"/>
  <c r="AB54" i="113"/>
  <c r="AC54" i="113"/>
  <c r="AD54" i="113"/>
  <c r="AE54" i="113"/>
  <c r="AF54" i="113"/>
  <c r="AG54" i="113"/>
  <c r="AH54" i="113"/>
  <c r="AI54" i="113"/>
  <c r="AJ54" i="113"/>
  <c r="AK54" i="113"/>
  <c r="AL54" i="113"/>
  <c r="AM54" i="113"/>
  <c r="AN54" i="113"/>
  <c r="AT54" i="113"/>
  <c r="Z60" i="113"/>
  <c r="AA60" i="113"/>
  <c r="AB60" i="113"/>
  <c r="AC60" i="113"/>
  <c r="AD60" i="113"/>
  <c r="AE60" i="113"/>
  <c r="AF60" i="113"/>
  <c r="AG60" i="113"/>
  <c r="AH60" i="113"/>
  <c r="AI60" i="113"/>
  <c r="AJ60" i="113"/>
  <c r="AK60" i="113"/>
  <c r="AL60" i="113"/>
  <c r="AM60" i="113"/>
  <c r="AN60" i="113"/>
  <c r="AT60" i="113"/>
  <c r="Z61" i="113"/>
  <c r="AA61" i="113"/>
  <c r="AB61" i="113"/>
  <c r="AC61" i="113"/>
  <c r="AD61" i="113"/>
  <c r="AE61" i="113"/>
  <c r="AF61" i="113"/>
  <c r="AG61" i="113"/>
  <c r="AH61" i="113"/>
  <c r="AI61" i="113"/>
  <c r="AJ61" i="113"/>
  <c r="AK61" i="113"/>
  <c r="AL61" i="113"/>
  <c r="AM61" i="113"/>
  <c r="AN61" i="113"/>
  <c r="AT61" i="113"/>
  <c r="Z62" i="113"/>
  <c r="AA62" i="113"/>
  <c r="AB62" i="113"/>
  <c r="AC62" i="113"/>
  <c r="AD62" i="113"/>
  <c r="AE62" i="113"/>
  <c r="AF62" i="113"/>
  <c r="AG62" i="113"/>
  <c r="AH62" i="113"/>
  <c r="AI62" i="113"/>
  <c r="AJ62" i="113"/>
  <c r="AK62" i="113"/>
  <c r="AL62" i="113"/>
  <c r="AM62" i="113"/>
  <c r="AN62" i="113"/>
  <c r="AT62" i="113"/>
  <c r="Z63" i="113"/>
  <c r="AA63" i="113"/>
  <c r="AB63" i="113"/>
  <c r="AC63" i="113"/>
  <c r="AD63" i="113"/>
  <c r="AE63" i="113"/>
  <c r="AF63" i="113"/>
  <c r="AG63" i="113"/>
  <c r="AH63" i="113"/>
  <c r="AI63" i="113"/>
  <c r="AJ63" i="113"/>
  <c r="AK63" i="113"/>
  <c r="AL63" i="113"/>
  <c r="AM63" i="113"/>
  <c r="AN63" i="113"/>
  <c r="AT63" i="113"/>
  <c r="Z64" i="113"/>
  <c r="AA64" i="113"/>
  <c r="AB64" i="113"/>
  <c r="AC64" i="113"/>
  <c r="AD64" i="113"/>
  <c r="AE64" i="113"/>
  <c r="AF64" i="113"/>
  <c r="AG64" i="113"/>
  <c r="AH64" i="113"/>
  <c r="AI64" i="113"/>
  <c r="AJ64" i="113"/>
  <c r="AK64" i="113"/>
  <c r="AL64" i="113"/>
  <c r="AM64" i="113"/>
  <c r="AN64" i="113"/>
  <c r="AT64" i="113"/>
  <c r="Z67" i="113"/>
  <c r="AA67" i="113"/>
  <c r="AB67" i="113"/>
  <c r="AC67" i="113"/>
  <c r="AD67" i="113"/>
  <c r="AE67" i="113"/>
  <c r="AF67" i="113"/>
  <c r="AG67" i="113"/>
  <c r="AH67" i="113"/>
  <c r="AI67" i="113"/>
  <c r="AJ67" i="113"/>
  <c r="AK67" i="113"/>
  <c r="AL67" i="113"/>
  <c r="AM67" i="113"/>
  <c r="AN67" i="113"/>
  <c r="AT67" i="113"/>
  <c r="Z68" i="113"/>
  <c r="AA68" i="113"/>
  <c r="AB68" i="113"/>
  <c r="AC68" i="113"/>
  <c r="AD68" i="113"/>
  <c r="AE68" i="113"/>
  <c r="AF68" i="113"/>
  <c r="AG68" i="113"/>
  <c r="AH68" i="113"/>
  <c r="AI68" i="113"/>
  <c r="AJ68" i="113"/>
  <c r="AK68" i="113"/>
  <c r="AL68" i="113"/>
  <c r="AM68" i="113"/>
  <c r="AN68" i="113"/>
  <c r="AT68" i="113"/>
  <c r="Z69" i="113"/>
  <c r="AA69" i="113"/>
  <c r="AB69" i="113"/>
  <c r="AC69" i="113"/>
  <c r="AD69" i="113"/>
  <c r="AE69" i="113"/>
  <c r="AF69" i="113"/>
  <c r="AG69" i="113"/>
  <c r="AH69" i="113"/>
  <c r="AI69" i="113"/>
  <c r="AJ69" i="113"/>
  <c r="AK69" i="113"/>
  <c r="AL69" i="113"/>
  <c r="AM69" i="113"/>
  <c r="AN69" i="113"/>
  <c r="AT69" i="113"/>
  <c r="Z70" i="113"/>
  <c r="AA70" i="113"/>
  <c r="AB70" i="113"/>
  <c r="AC70" i="113"/>
  <c r="AD70" i="113"/>
  <c r="AE70" i="113"/>
  <c r="AF70" i="113"/>
  <c r="AG70" i="113"/>
  <c r="AH70" i="113"/>
  <c r="AI70" i="113"/>
  <c r="AJ70" i="113"/>
  <c r="AK70" i="113"/>
  <c r="AL70" i="113"/>
  <c r="AM70" i="113"/>
  <c r="AN70" i="113"/>
  <c r="AT70" i="113"/>
  <c r="Z71" i="113"/>
  <c r="AA71" i="113"/>
  <c r="AB71" i="113"/>
  <c r="AC71" i="113"/>
  <c r="AD71" i="113"/>
  <c r="AE71" i="113"/>
  <c r="AF71" i="113"/>
  <c r="AG71" i="113"/>
  <c r="AH71" i="113"/>
  <c r="AI71" i="113"/>
  <c r="AJ71" i="113"/>
  <c r="AK71" i="113"/>
  <c r="AL71" i="113"/>
  <c r="AM71" i="113"/>
  <c r="AN71" i="113"/>
  <c r="AT71" i="113"/>
  <c r="Z75" i="113"/>
  <c r="AA75" i="113"/>
  <c r="AB75" i="113"/>
  <c r="AC75" i="113"/>
  <c r="AD75" i="113"/>
  <c r="AE75" i="113"/>
  <c r="AF75" i="113"/>
  <c r="AG75" i="113"/>
  <c r="AH75" i="113"/>
  <c r="AI75" i="113"/>
  <c r="AJ75" i="113"/>
  <c r="AK75" i="113"/>
  <c r="AL75" i="113"/>
  <c r="AM75" i="113"/>
  <c r="AN75" i="113"/>
  <c r="AT75" i="113"/>
  <c r="Z77" i="113"/>
  <c r="AA77" i="113"/>
  <c r="AB77" i="113"/>
  <c r="AC77" i="113"/>
  <c r="AD77" i="113"/>
  <c r="AE77" i="113"/>
  <c r="AF77" i="113"/>
  <c r="AG77" i="113"/>
  <c r="AH77" i="113"/>
  <c r="AI77" i="113"/>
  <c r="AJ77" i="113"/>
  <c r="AK77" i="113"/>
  <c r="AL77" i="113"/>
  <c r="AM77" i="113"/>
  <c r="AN77" i="113"/>
  <c r="AT77" i="113"/>
  <c r="Z78" i="113"/>
  <c r="AA78" i="113"/>
  <c r="AB78" i="113"/>
  <c r="AC78" i="113"/>
  <c r="AD78" i="113"/>
  <c r="AE78" i="113"/>
  <c r="AF78" i="113"/>
  <c r="AG78" i="113"/>
  <c r="AH78" i="113"/>
  <c r="AI78" i="113"/>
  <c r="AJ78" i="113"/>
  <c r="AK78" i="113"/>
  <c r="AL78" i="113"/>
  <c r="AM78" i="113"/>
  <c r="AN78" i="113"/>
  <c r="AT78" i="113"/>
  <c r="Z79" i="113"/>
  <c r="AA79" i="113"/>
  <c r="AB79" i="113"/>
  <c r="AC79" i="113"/>
  <c r="AD79" i="113"/>
  <c r="AE79" i="113"/>
  <c r="AF79" i="113"/>
  <c r="AG79" i="113"/>
  <c r="AH79" i="113"/>
  <c r="AI79" i="113"/>
  <c r="AJ79" i="113"/>
  <c r="AK79" i="113"/>
  <c r="AL79" i="113"/>
  <c r="AM79" i="113"/>
  <c r="AN79" i="113"/>
  <c r="AT79" i="113"/>
  <c r="C56" i="3"/>
  <c r="B51" i="48" s="1"/>
  <c r="B56" i="3"/>
  <c r="C45" i="3"/>
  <c r="B42" i="48" s="1"/>
  <c r="B45" i="3"/>
  <c r="V7" i="113"/>
  <c r="W7" i="113"/>
  <c r="X7" i="113"/>
  <c r="Y7" i="113"/>
  <c r="V8" i="113"/>
  <c r="W8" i="113"/>
  <c r="X8" i="113"/>
  <c r="Y8" i="113"/>
  <c r="V9" i="113"/>
  <c r="W9" i="113"/>
  <c r="X9" i="113"/>
  <c r="Y9" i="113"/>
  <c r="V11" i="113"/>
  <c r="W11" i="113"/>
  <c r="X11" i="113"/>
  <c r="Y11" i="113"/>
  <c r="V14" i="113"/>
  <c r="W14" i="113"/>
  <c r="X14" i="113"/>
  <c r="Y14" i="113"/>
  <c r="V15" i="113"/>
  <c r="W15" i="113"/>
  <c r="X15" i="113"/>
  <c r="Y15" i="113"/>
  <c r="V16" i="113"/>
  <c r="W16" i="113"/>
  <c r="X16" i="113"/>
  <c r="Y16" i="113"/>
  <c r="V18" i="113"/>
  <c r="W18" i="113"/>
  <c r="X18" i="113"/>
  <c r="Y18" i="113"/>
  <c r="W23" i="113"/>
  <c r="X23" i="113"/>
  <c r="Y23" i="113"/>
  <c r="V24" i="113"/>
  <c r="W24" i="113"/>
  <c r="X24" i="113"/>
  <c r="Y24" i="113"/>
  <c r="V25" i="113"/>
  <c r="W25" i="113"/>
  <c r="X25" i="113"/>
  <c r="Y25" i="113"/>
  <c r="V26" i="113"/>
  <c r="W26" i="113"/>
  <c r="X26" i="113"/>
  <c r="Y26" i="113"/>
  <c r="V27" i="113"/>
  <c r="W27" i="113"/>
  <c r="X27" i="113"/>
  <c r="Y27" i="113"/>
  <c r="V31" i="113"/>
  <c r="W31" i="113"/>
  <c r="X31" i="113"/>
  <c r="Y31" i="113"/>
  <c r="V32" i="113"/>
  <c r="W32" i="113"/>
  <c r="X32" i="113"/>
  <c r="Y32" i="113"/>
  <c r="W34" i="113"/>
  <c r="X34" i="113"/>
  <c r="Y34" i="113"/>
  <c r="W37" i="113"/>
  <c r="X37" i="113"/>
  <c r="Y37" i="113"/>
  <c r="V38" i="113"/>
  <c r="W38" i="113"/>
  <c r="X38" i="113"/>
  <c r="Y38" i="113"/>
  <c r="V39" i="113"/>
  <c r="W39" i="113"/>
  <c r="X39" i="113"/>
  <c r="Y39" i="113"/>
  <c r="W42" i="113"/>
  <c r="X42" i="113"/>
  <c r="Y42" i="113"/>
  <c r="V43" i="113"/>
  <c r="W43" i="113"/>
  <c r="X43" i="113"/>
  <c r="Y43" i="113"/>
  <c r="V44" i="113"/>
  <c r="W44" i="113"/>
  <c r="X44" i="113"/>
  <c r="Y44" i="113"/>
  <c r="V50" i="113"/>
  <c r="W50" i="113"/>
  <c r="X50" i="113"/>
  <c r="Y50" i="113"/>
  <c r="V51" i="113"/>
  <c r="X52" i="113"/>
  <c r="W53" i="113"/>
  <c r="X53" i="113"/>
  <c r="Y53" i="113"/>
  <c r="V54" i="113"/>
  <c r="W54" i="113"/>
  <c r="X54" i="113"/>
  <c r="Y54" i="113"/>
  <c r="V60" i="113"/>
  <c r="W60" i="113"/>
  <c r="X60" i="113"/>
  <c r="Y60" i="113"/>
  <c r="V61" i="113"/>
  <c r="W61" i="113"/>
  <c r="X61" i="113"/>
  <c r="Y61" i="113"/>
  <c r="V62" i="113"/>
  <c r="W62" i="113"/>
  <c r="X62" i="113"/>
  <c r="Y62" i="113"/>
  <c r="V63" i="113"/>
  <c r="W63" i="113"/>
  <c r="X63" i="113"/>
  <c r="Y63" i="113"/>
  <c r="V64" i="113"/>
  <c r="W64" i="113"/>
  <c r="X64" i="113"/>
  <c r="Y64" i="113"/>
  <c r="V67" i="113"/>
  <c r="W67" i="113"/>
  <c r="X67" i="113"/>
  <c r="Y67" i="113"/>
  <c r="V68" i="113"/>
  <c r="W68" i="113"/>
  <c r="X68" i="113"/>
  <c r="Y68" i="113"/>
  <c r="V69" i="113"/>
  <c r="W69" i="113"/>
  <c r="X69" i="113"/>
  <c r="Y69" i="113"/>
  <c r="V70" i="113"/>
  <c r="W70" i="113"/>
  <c r="X70" i="113"/>
  <c r="Y70" i="113"/>
  <c r="V71" i="113"/>
  <c r="W71" i="113"/>
  <c r="X71" i="113"/>
  <c r="Y71" i="113"/>
  <c r="V75" i="113"/>
  <c r="W75" i="113"/>
  <c r="X75" i="113"/>
  <c r="Y75" i="113"/>
  <c r="V77" i="113"/>
  <c r="W77" i="113"/>
  <c r="X77" i="113"/>
  <c r="Y77" i="113"/>
  <c r="V78" i="113"/>
  <c r="W78" i="113"/>
  <c r="X78" i="113"/>
  <c r="Y78" i="113"/>
  <c r="V79" i="113"/>
  <c r="W79" i="113"/>
  <c r="X79" i="113"/>
  <c r="Y79" i="113"/>
  <c r="AQ11" i="1"/>
  <c r="AM10" i="113" s="1"/>
  <c r="AR72" i="113"/>
  <c r="AR65" i="113"/>
  <c r="AR45" i="113"/>
  <c r="AR35" i="113"/>
  <c r="AR28" i="113"/>
  <c r="AI72" i="113"/>
  <c r="AI65" i="113"/>
  <c r="AI45" i="113"/>
  <c r="AI35" i="113"/>
  <c r="AI28" i="113"/>
  <c r="AI19" i="113"/>
  <c r="BA10" i="113" l="1"/>
  <c r="A68" i="3"/>
  <c r="BF77" i="1"/>
  <c r="AV76" i="113" s="1"/>
  <c r="AR19" i="113"/>
  <c r="AR17" i="113"/>
  <c r="BM49" i="1"/>
  <c r="BB48" i="113" s="1"/>
  <c r="BF49" i="1"/>
  <c r="AV48" i="113" s="1"/>
  <c r="BI49" i="1"/>
  <c r="AY46" i="113"/>
  <c r="I77" i="1"/>
  <c r="I73" i="113"/>
  <c r="BG49" i="1"/>
  <c r="AW48" i="113" s="1"/>
  <c r="AW46" i="113"/>
  <c r="BH77" i="1"/>
  <c r="AX73" i="113"/>
  <c r="I48" i="113"/>
  <c r="I52" i="1"/>
  <c r="BI77" i="1"/>
  <c r="AY73" i="113"/>
  <c r="BG77" i="1"/>
  <c r="AW73" i="113"/>
  <c r="BE49" i="1"/>
  <c r="AU46" i="113"/>
  <c r="BM77" i="1"/>
  <c r="BM81" i="1" s="1"/>
  <c r="BB73" i="113"/>
  <c r="BH49" i="1"/>
  <c r="AX48" i="113" s="1"/>
  <c r="BE77" i="1"/>
  <c r="AU73" i="113"/>
  <c r="AV46" i="113"/>
  <c r="AI17" i="113"/>
  <c r="AR46" i="113"/>
  <c r="AR73" i="113"/>
  <c r="AI73" i="113"/>
  <c r="AI46" i="113"/>
  <c r="F296" i="111"/>
  <c r="F213" i="111"/>
  <c r="F205" i="111"/>
  <c r="F192" i="111"/>
  <c r="F193" i="111"/>
  <c r="F194" i="111"/>
  <c r="F195" i="111"/>
  <c r="F196" i="111"/>
  <c r="F197" i="111"/>
  <c r="F198" i="111"/>
  <c r="F199" i="111"/>
  <c r="F200" i="111"/>
  <c r="F201" i="111"/>
  <c r="F202" i="111"/>
  <c r="F203" i="111"/>
  <c r="F204" i="111"/>
  <c r="F206" i="111"/>
  <c r="F207" i="111"/>
  <c r="F208" i="111"/>
  <c r="F209" i="111"/>
  <c r="F210" i="111"/>
  <c r="F211" i="111"/>
  <c r="F212" i="111"/>
  <c r="F214" i="111"/>
  <c r="F215" i="111"/>
  <c r="F216" i="111"/>
  <c r="F217" i="111"/>
  <c r="F218" i="111"/>
  <c r="F219" i="111"/>
  <c r="F220" i="111"/>
  <c r="F221" i="111"/>
  <c r="F222" i="111"/>
  <c r="F223" i="111"/>
  <c r="F224" i="111"/>
  <c r="F225" i="111"/>
  <c r="F226" i="111"/>
  <c r="F227" i="111"/>
  <c r="F228" i="111"/>
  <c r="F229" i="111"/>
  <c r="F230" i="111"/>
  <c r="BF81" i="1" l="1"/>
  <c r="AV80" i="113" s="1"/>
  <c r="BM52" i="1"/>
  <c r="BB51" i="113" s="1"/>
  <c r="BG52" i="1"/>
  <c r="AW51" i="113" s="1"/>
  <c r="BF52" i="1"/>
  <c r="AV51" i="113" s="1"/>
  <c r="AU48" i="113"/>
  <c r="BE52" i="1"/>
  <c r="AU51" i="113" s="1"/>
  <c r="BI81" i="1"/>
  <c r="AY76" i="113"/>
  <c r="BH81" i="1"/>
  <c r="AX76" i="113"/>
  <c r="BI52" i="1"/>
  <c r="AY51" i="113" s="1"/>
  <c r="AY48" i="113"/>
  <c r="BB76" i="113"/>
  <c r="BG81" i="1"/>
  <c r="AW76" i="113"/>
  <c r="I81" i="1"/>
  <c r="I76" i="113"/>
  <c r="I51" i="113"/>
  <c r="BH52" i="1"/>
  <c r="BE81" i="1"/>
  <c r="AU76" i="113"/>
  <c r="AR48" i="113"/>
  <c r="AR76" i="113"/>
  <c r="AI76" i="113"/>
  <c r="AI48" i="113"/>
  <c r="V23" i="113"/>
  <c r="E63" i="3" l="1"/>
  <c r="AZ10" i="113"/>
  <c r="H13" i="99"/>
  <c r="E14" i="3"/>
  <c r="F15" i="48" s="1"/>
  <c r="I80" i="113"/>
  <c r="E64" i="3"/>
  <c r="AW80" i="113"/>
  <c r="AY80" i="113"/>
  <c r="E66" i="3"/>
  <c r="AX51" i="113"/>
  <c r="E69" i="3"/>
  <c r="BB80" i="113"/>
  <c r="E65" i="3"/>
  <c r="AX80" i="113"/>
  <c r="E62" i="3"/>
  <c r="AU80" i="113"/>
  <c r="AR51" i="113"/>
  <c r="AK28" i="113"/>
  <c r="AR80" i="113"/>
  <c r="AL81" i="1"/>
  <c r="AI51" i="113"/>
  <c r="Z23" i="113"/>
  <c r="Z18" i="113"/>
  <c r="E18" i="52"/>
  <c r="E20" i="52" s="1"/>
  <c r="M26" i="1"/>
  <c r="F26" i="50" s="1"/>
  <c r="F29" i="50" s="1"/>
  <c r="G15" i="48" l="1"/>
  <c r="AY10" i="113"/>
  <c r="A66" i="3"/>
  <c r="K13" i="99"/>
  <c r="AI80" i="113"/>
  <c r="H44" i="99"/>
  <c r="K44" i="99" s="1"/>
  <c r="H54" i="99"/>
  <c r="K54" i="99" s="1"/>
  <c r="E56" i="3"/>
  <c r="F51" i="48" s="1"/>
  <c r="E45" i="3"/>
  <c r="F42" i="48" s="1"/>
  <c r="B47" i="99"/>
  <c r="C48" i="3"/>
  <c r="B45" i="48" s="1"/>
  <c r="B48" i="3"/>
  <c r="G42" i="48" l="1"/>
  <c r="G51" i="48"/>
  <c r="AJ17" i="113"/>
  <c r="AJ28" i="113"/>
  <c r="AJ35" i="113"/>
  <c r="AJ45" i="113"/>
  <c r="AJ65" i="113"/>
  <c r="AJ72" i="113"/>
  <c r="AX10" i="113" l="1"/>
  <c r="A65" i="3"/>
  <c r="AJ19" i="113"/>
  <c r="AJ73" i="113"/>
  <c r="AJ46" i="113"/>
  <c r="BB10" i="113" l="1"/>
  <c r="A69" i="3"/>
  <c r="AJ76" i="113"/>
  <c r="AJ48" i="113"/>
  <c r="AJ51" i="113" l="1"/>
  <c r="AM81" i="1"/>
  <c r="AO73" i="1"/>
  <c r="AL72" i="113" s="1"/>
  <c r="AO66" i="1"/>
  <c r="AL65" i="113" s="1"/>
  <c r="AO46" i="1"/>
  <c r="AL45" i="113" s="1"/>
  <c r="AO36" i="1"/>
  <c r="AL35" i="113" s="1"/>
  <c r="AO29" i="1"/>
  <c r="AO18" i="1"/>
  <c r="AL17" i="113" s="1"/>
  <c r="AJ80" i="113" l="1"/>
  <c r="H45" i="99"/>
  <c r="K45" i="99" s="1"/>
  <c r="AL28" i="113"/>
  <c r="AO20" i="1"/>
  <c r="AL19" i="113" s="1"/>
  <c r="AO74" i="1"/>
  <c r="AL73" i="113" s="1"/>
  <c r="AO47" i="1"/>
  <c r="AL46" i="113" s="1"/>
  <c r="AO77" i="1" l="1"/>
  <c r="AL76" i="113" s="1"/>
  <c r="AO49" i="1"/>
  <c r="AL48" i="113" s="1"/>
  <c r="AO52" i="1" l="1"/>
  <c r="AL51" i="113" s="1"/>
  <c r="AO81" i="1"/>
  <c r="AL80" i="113" s="1"/>
  <c r="H47" i="99" l="1"/>
  <c r="K47" i="99" s="1"/>
  <c r="E48" i="3"/>
  <c r="F45" i="48" s="1"/>
  <c r="G45" i="48" l="1"/>
  <c r="AK43" i="1"/>
  <c r="AK38" i="1"/>
  <c r="AK35" i="1"/>
  <c r="V43" i="1"/>
  <c r="V42" i="113" s="1"/>
  <c r="V37" i="113"/>
  <c r="V35" i="1"/>
  <c r="V34" i="113" s="1"/>
  <c r="S35" i="1"/>
  <c r="T43" i="1"/>
  <c r="T38" i="1"/>
  <c r="S43" i="1"/>
  <c r="S38" i="1"/>
  <c r="F38" i="50" s="1"/>
  <c r="AH37" i="113" l="1"/>
  <c r="H38" i="50"/>
  <c r="AH42" i="113"/>
  <c r="H43" i="50"/>
  <c r="H46" i="50" s="1"/>
  <c r="F35" i="50"/>
  <c r="F36" i="50" s="1"/>
  <c r="AH34" i="113"/>
  <c r="H35" i="50"/>
  <c r="H36" i="50" s="1"/>
  <c r="T35" i="1"/>
  <c r="B52" i="99"/>
  <c r="C54" i="3"/>
  <c r="B49" i="48" s="1"/>
  <c r="B54" i="3"/>
  <c r="AT73" i="1"/>
  <c r="AP72" i="113" s="1"/>
  <c r="AT66" i="1"/>
  <c r="AT46" i="1"/>
  <c r="AP45" i="113" s="1"/>
  <c r="AT36" i="1"/>
  <c r="AP35" i="113" s="1"/>
  <c r="AT29" i="1"/>
  <c r="AP28" i="113" s="1"/>
  <c r="AT18" i="1"/>
  <c r="AP17" i="113" s="1"/>
  <c r="F85" i="111"/>
  <c r="F86" i="111"/>
  <c r="F87" i="111"/>
  <c r="F88" i="111"/>
  <c r="F89" i="111"/>
  <c r="F90" i="111"/>
  <c r="F91" i="111"/>
  <c r="F92" i="111"/>
  <c r="F93" i="111"/>
  <c r="F373" i="111"/>
  <c r="F357" i="111"/>
  <c r="F295" i="111"/>
  <c r="F239" i="111"/>
  <c r="F168" i="111"/>
  <c r="F97" i="111"/>
  <c r="F178" i="111"/>
  <c r="F191" i="111"/>
  <c r="H47" i="50" l="1"/>
  <c r="H49" i="50" s="1"/>
  <c r="AP65" i="113"/>
  <c r="AT74" i="1"/>
  <c r="AP73" i="113" s="1"/>
  <c r="AT20" i="1"/>
  <c r="AP19" i="113" s="1"/>
  <c r="F14" i="111"/>
  <c r="AT47" i="1"/>
  <c r="AP46" i="113" s="1"/>
  <c r="B43" i="99"/>
  <c r="AT77" i="1" l="1"/>
  <c r="AP76" i="113" s="1"/>
  <c r="AT49" i="1"/>
  <c r="AP48" i="113" s="1"/>
  <c r="C44" i="3"/>
  <c r="B41" i="48" s="1"/>
  <c r="B44" i="3"/>
  <c r="C43" i="3"/>
  <c r="B4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T43" i="113"/>
  <c r="U43"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3" i="1"/>
  <c r="AH72" i="113" s="1"/>
  <c r="AK66" i="1"/>
  <c r="AH65" i="113" s="1"/>
  <c r="AK46" i="1"/>
  <c r="AH45" i="113" s="1"/>
  <c r="AK36" i="1"/>
  <c r="AH35" i="113" s="1"/>
  <c r="AK29" i="1"/>
  <c r="AH28" i="113" s="1"/>
  <c r="AT81" i="1" l="1"/>
  <c r="AP80" i="113" s="1"/>
  <c r="AT52" i="1"/>
  <c r="AP51" i="113" s="1"/>
  <c r="B40" i="48"/>
  <c r="AK74" i="1"/>
  <c r="AH73" i="113" s="1"/>
  <c r="AK47" i="1"/>
  <c r="AH46" i="113" s="1"/>
  <c r="AK77" i="1" l="1"/>
  <c r="AH76" i="113" s="1"/>
  <c r="E54" i="3"/>
  <c r="F49" i="48" s="1"/>
  <c r="H52" i="99"/>
  <c r="K52" i="99" s="1"/>
  <c r="B26" i="99"/>
  <c r="G49" i="48" l="1"/>
  <c r="AK81" i="1"/>
  <c r="AH80" i="113" s="1"/>
  <c r="C25" i="3"/>
  <c r="B27" i="48" s="1"/>
  <c r="B25" i="3"/>
  <c r="T73" i="1"/>
  <c r="T72" i="113" s="1"/>
  <c r="T66" i="1"/>
  <c r="T65" i="113" s="1"/>
  <c r="T46" i="1"/>
  <c r="T45" i="113" s="1"/>
  <c r="T36" i="1"/>
  <c r="T35" i="113" s="1"/>
  <c r="T29" i="1"/>
  <c r="T18" i="1"/>
  <c r="H43" i="99" l="1"/>
  <c r="K43" i="99" s="1"/>
  <c r="E44" i="3"/>
  <c r="T20" i="1"/>
  <c r="T19" i="113" s="1"/>
  <c r="T17" i="113"/>
  <c r="T28" i="113"/>
  <c r="T74" i="1"/>
  <c r="T47" i="1"/>
  <c r="S9" i="113"/>
  <c r="F41" i="48" l="1"/>
  <c r="T49" i="1"/>
  <c r="T46" i="113"/>
  <c r="T77" i="1"/>
  <c r="T73" i="113"/>
  <c r="B42" i="99"/>
  <c r="G41" i="48" l="1"/>
  <c r="T52" i="1"/>
  <c r="T51" i="113" s="1"/>
  <c r="T48" i="113"/>
  <c r="T81" i="1"/>
  <c r="T80" i="113" s="1"/>
  <c r="T76" i="113"/>
  <c r="BC66" i="1"/>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L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4" i="113"/>
  <c r="H44" i="113"/>
  <c r="J44" i="113"/>
  <c r="K44" i="113"/>
  <c r="L44" i="113"/>
  <c r="M44" i="113"/>
  <c r="N44" i="113"/>
  <c r="O44" i="113"/>
  <c r="P44" i="113"/>
  <c r="Q44" i="113"/>
  <c r="R44" i="113"/>
  <c r="S44" i="113"/>
  <c r="G50" i="113"/>
  <c r="H50" i="113"/>
  <c r="J50" i="113"/>
  <c r="K50" i="113"/>
  <c r="L50" i="113"/>
  <c r="M50" i="113"/>
  <c r="N50" i="113"/>
  <c r="O50" i="113"/>
  <c r="P50" i="113"/>
  <c r="Q50" i="113"/>
  <c r="R50" i="113"/>
  <c r="S50" i="113"/>
  <c r="O51" i="113"/>
  <c r="O52" i="113"/>
  <c r="G53" i="113"/>
  <c r="H53" i="113"/>
  <c r="J53" i="113"/>
  <c r="K53" i="113"/>
  <c r="L53" i="113"/>
  <c r="M53" i="113"/>
  <c r="N53" i="113"/>
  <c r="O53" i="113"/>
  <c r="P53" i="113"/>
  <c r="Q53" i="113"/>
  <c r="R53" i="113"/>
  <c r="S53" i="113"/>
  <c r="G54" i="113"/>
  <c r="H54" i="113"/>
  <c r="J54" i="113"/>
  <c r="K54" i="113"/>
  <c r="L54" i="113"/>
  <c r="M54" i="113"/>
  <c r="N54" i="113"/>
  <c r="O54" i="113"/>
  <c r="P54" i="113"/>
  <c r="Q54" i="113"/>
  <c r="R54" i="113"/>
  <c r="S54" i="113"/>
  <c r="G60" i="113"/>
  <c r="H60" i="113"/>
  <c r="J60" i="113"/>
  <c r="K60" i="113"/>
  <c r="L60" i="113"/>
  <c r="M60" i="113"/>
  <c r="N60" i="113"/>
  <c r="O60" i="113"/>
  <c r="P60" i="113"/>
  <c r="Q60" i="113"/>
  <c r="R60" i="113"/>
  <c r="S60"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7" i="113"/>
  <c r="H67" i="113"/>
  <c r="J67" i="113"/>
  <c r="K67" i="113"/>
  <c r="L67" i="113"/>
  <c r="M67" i="113"/>
  <c r="N67" i="113"/>
  <c r="O67" i="113"/>
  <c r="P67" i="113"/>
  <c r="Q67" i="113"/>
  <c r="R67" i="113"/>
  <c r="S67"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5" i="113"/>
  <c r="H75" i="113"/>
  <c r="J75" i="113"/>
  <c r="K75" i="113"/>
  <c r="L75" i="113"/>
  <c r="M75" i="113"/>
  <c r="N75" i="113"/>
  <c r="O75" i="113"/>
  <c r="P75" i="113"/>
  <c r="Q75" i="113"/>
  <c r="R75" i="113"/>
  <c r="S75" i="113"/>
  <c r="G77" i="113"/>
  <c r="H77" i="113"/>
  <c r="J77" i="113"/>
  <c r="K77" i="113"/>
  <c r="L77" i="113"/>
  <c r="M77" i="113"/>
  <c r="N77" i="113"/>
  <c r="O77" i="113"/>
  <c r="P77" i="113"/>
  <c r="Q77" i="113"/>
  <c r="R77" i="113"/>
  <c r="S77"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AG72" i="113"/>
  <c r="AG65" i="113"/>
  <c r="AG45" i="113"/>
  <c r="AG35" i="113"/>
  <c r="AG28" i="113"/>
  <c r="AG17" i="113"/>
  <c r="AE40" i="1"/>
  <c r="AB39" i="113" s="1"/>
  <c r="G78" i="111"/>
  <c r="G77" i="111" s="1"/>
  <c r="F314" i="111"/>
  <c r="F315" i="111"/>
  <c r="F347" i="111"/>
  <c r="F348" i="111"/>
  <c r="F425" i="111"/>
  <c r="F426" i="111"/>
  <c r="F463" i="111"/>
  <c r="F462" i="111"/>
  <c r="F461" i="111"/>
  <c r="F460" i="111"/>
  <c r="F459" i="111"/>
  <c r="F458" i="111"/>
  <c r="F457" i="111"/>
  <c r="AG19" i="113" l="1"/>
  <c r="AG73" i="113"/>
  <c r="AG46" i="113"/>
  <c r="F187" i="111"/>
  <c r="AG76" i="113" l="1"/>
  <c r="AG48" i="113"/>
  <c r="B17" i="99"/>
  <c r="K11" i="1"/>
  <c r="C16" i="3"/>
  <c r="B18" i="48" s="1"/>
  <c r="B16" i="3"/>
  <c r="K72" i="113"/>
  <c r="K65" i="113"/>
  <c r="K45" i="113"/>
  <c r="K35" i="113"/>
  <c r="B49" i="99"/>
  <c r="AQ18" i="1"/>
  <c r="AM17" i="113" s="1"/>
  <c r="AQ36" i="1"/>
  <c r="AM35" i="113" s="1"/>
  <c r="AQ66" i="1"/>
  <c r="AM65" i="113" s="1"/>
  <c r="AQ73" i="1"/>
  <c r="AM72" i="113" s="1"/>
  <c r="C51" i="3"/>
  <c r="B46" i="48" s="1"/>
  <c r="B51" i="3"/>
  <c r="B56" i="99"/>
  <c r="AG80" i="113" l="1"/>
  <c r="AQ29" i="1"/>
  <c r="AM28" i="113" s="1"/>
  <c r="K28" i="113"/>
  <c r="K19" i="113"/>
  <c r="K17" i="113"/>
  <c r="A17" i="99"/>
  <c r="K10" i="113"/>
  <c r="AR11" i="1"/>
  <c r="AS11" i="1" s="1"/>
  <c r="A51" i="99" s="1"/>
  <c r="AG51" i="113"/>
  <c r="AQ74" i="1"/>
  <c r="AM73" i="113" s="1"/>
  <c r="K73" i="113"/>
  <c r="A51" i="3"/>
  <c r="A46" i="48" s="1"/>
  <c r="L11" i="1"/>
  <c r="L10" i="113" s="1"/>
  <c r="AQ20" i="1"/>
  <c r="AM19" i="113" s="1"/>
  <c r="AQ46" i="1"/>
  <c r="AM45" i="113" s="1"/>
  <c r="A49" i="99"/>
  <c r="A16" i="3"/>
  <c r="A18" i="48" s="1"/>
  <c r="K46" i="113"/>
  <c r="AT11" i="1" l="1"/>
  <c r="AU11" i="1" s="1"/>
  <c r="AV11" i="1" s="1"/>
  <c r="AW11" i="1" s="1"/>
  <c r="A53" i="3"/>
  <c r="A48" i="48" s="1"/>
  <c r="AO10" i="113"/>
  <c r="AN10" i="113"/>
  <c r="E43" i="3"/>
  <c r="F40" i="48" s="1"/>
  <c r="H42" i="99"/>
  <c r="K42" i="99" s="1"/>
  <c r="AQ47" i="1"/>
  <c r="AM46" i="113" s="1"/>
  <c r="M11" i="1"/>
  <c r="M10" i="113" s="1"/>
  <c r="AQ77" i="1"/>
  <c r="AM76" i="113" s="1"/>
  <c r="K48" i="113"/>
  <c r="K76" i="113"/>
  <c r="C58" i="3"/>
  <c r="B53" i="48" s="1"/>
  <c r="B58" i="3"/>
  <c r="AY73" i="1"/>
  <c r="AT72" i="113" s="1"/>
  <c r="AY66" i="1"/>
  <c r="AT65" i="113" s="1"/>
  <c r="AY46" i="1"/>
  <c r="AT45" i="113" s="1"/>
  <c r="AY36" i="1"/>
  <c r="AT35" i="113" s="1"/>
  <c r="AY29" i="1"/>
  <c r="AT28" i="113" s="1"/>
  <c r="AY18" i="1"/>
  <c r="AT17" i="113" s="1"/>
  <c r="G40" i="48" l="1"/>
  <c r="AY11" i="1"/>
  <c r="A55" i="99"/>
  <c r="AS10" i="113"/>
  <c r="A57" i="3"/>
  <c r="A52" i="48" s="1"/>
  <c r="A53" i="99"/>
  <c r="A55" i="3"/>
  <c r="A50" i="48" s="1"/>
  <c r="AP10" i="113"/>
  <c r="AQ49" i="1"/>
  <c r="AM48" i="113" s="1"/>
  <c r="AY74" i="1"/>
  <c r="AT73" i="113" s="1"/>
  <c r="N11" i="1"/>
  <c r="N10" i="113" s="1"/>
  <c r="K51" i="113"/>
  <c r="K81" i="1"/>
  <c r="K80" i="113" s="1"/>
  <c r="AQ81" i="1"/>
  <c r="AY20" i="1"/>
  <c r="AT19" i="113" s="1"/>
  <c r="AY47" i="1"/>
  <c r="AT46" i="113" s="1"/>
  <c r="AM80" i="113" l="1"/>
  <c r="AQ10" i="113"/>
  <c r="AQ52" i="1"/>
  <c r="AM51" i="113" s="1"/>
  <c r="H17" i="99"/>
  <c r="K17" i="99" s="1"/>
  <c r="O11" i="1"/>
  <c r="O10" i="113" s="1"/>
  <c r="E16" i="3"/>
  <c r="F18" i="48" s="1"/>
  <c r="H49" i="99"/>
  <c r="K49" i="99" s="1"/>
  <c r="E51" i="3"/>
  <c r="F46" i="48" s="1"/>
  <c r="AT48" i="113"/>
  <c r="AY77" i="1"/>
  <c r="AT76" i="113" s="1"/>
  <c r="G46" i="48" l="1"/>
  <c r="G18" i="48"/>
  <c r="AR10" i="113"/>
  <c r="A54" i="99"/>
  <c r="A56" i="3"/>
  <c r="A51" i="48" s="1"/>
  <c r="AY52" i="1"/>
  <c r="AT51" i="113" s="1"/>
  <c r="AY81" i="1"/>
  <c r="P11" i="1"/>
  <c r="P10" i="113" s="1"/>
  <c r="AT80" i="113" l="1"/>
  <c r="AY53" i="1"/>
  <c r="A54" i="3"/>
  <c r="A49" i="48" s="1"/>
  <c r="AT10" i="113"/>
  <c r="AK72" i="113"/>
  <c r="Q11" i="1"/>
  <c r="Q10" i="113" s="1"/>
  <c r="H56" i="99"/>
  <c r="K56" i="99" s="1"/>
  <c r="E58" i="3"/>
  <c r="F53" i="48" s="1"/>
  <c r="G53" i="48" l="1"/>
  <c r="R11" i="1"/>
  <c r="R10" i="113" s="1"/>
  <c r="O12" i="51"/>
  <c r="Q12" i="51" s="1"/>
  <c r="B50" i="99"/>
  <c r="B46" i="99"/>
  <c r="F11" i="113"/>
  <c r="F9" i="113"/>
  <c r="F8" i="113"/>
  <c r="F7" i="113"/>
  <c r="C47" i="3"/>
  <c r="B44" i="48" s="1"/>
  <c r="B47" i="3"/>
  <c r="S11" i="1" l="1"/>
  <c r="AK65" i="113" l="1"/>
  <c r="AK45" i="113"/>
  <c r="AK35" i="113"/>
  <c r="AK17" i="113"/>
  <c r="S10" i="113"/>
  <c r="T11" i="1"/>
  <c r="T10" i="113" s="1"/>
  <c r="AK73" i="113"/>
  <c r="A50" i="99"/>
  <c r="U36" i="1"/>
  <c r="U35" i="113" s="1"/>
  <c r="U29" i="1"/>
  <c r="U28" i="113" s="1"/>
  <c r="U18" i="1"/>
  <c r="U17" i="113" s="1"/>
  <c r="C31" i="3"/>
  <c r="B31" i="3"/>
  <c r="Z73" i="1"/>
  <c r="Z66" i="1"/>
  <c r="Z46" i="1"/>
  <c r="Z36" i="1"/>
  <c r="Z29" i="1"/>
  <c r="Z18" i="1"/>
  <c r="AK46" i="113" l="1"/>
  <c r="AK19" i="113"/>
  <c r="U11" i="1"/>
  <c r="A26" i="99"/>
  <c r="A25" i="3"/>
  <c r="A27" i="48" s="1"/>
  <c r="Z74" i="1"/>
  <c r="AK76" i="113"/>
  <c r="Z20" i="1"/>
  <c r="U20" i="1"/>
  <c r="U19" i="113" s="1"/>
  <c r="Z47" i="1"/>
  <c r="AK48" i="113" l="1"/>
  <c r="V11" i="1"/>
  <c r="V10" i="113" s="1"/>
  <c r="U10" i="113"/>
  <c r="AN81" i="1"/>
  <c r="AK80" i="113" s="1"/>
  <c r="Z77" i="1"/>
  <c r="Z49" i="1"/>
  <c r="A9" i="99"/>
  <c r="B9" i="99"/>
  <c r="E11" i="113"/>
  <c r="AK51" i="113" l="1"/>
  <c r="W11" i="1"/>
  <c r="W10" i="113" s="1"/>
  <c r="E47" i="3"/>
  <c r="F44" i="48" s="1"/>
  <c r="H46" i="99"/>
  <c r="K46" i="99" s="1"/>
  <c r="Z81" i="1"/>
  <c r="Z52" i="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1" i="1"/>
  <c r="AD11" i="1"/>
  <c r="AA10" i="113" s="1"/>
  <c r="F18" i="1"/>
  <c r="F17" i="113" s="1"/>
  <c r="G18" i="1"/>
  <c r="G17" i="113" s="1"/>
  <c r="H18" i="1"/>
  <c r="H17" i="113" s="1"/>
  <c r="J18" i="1"/>
  <c r="J17" i="113" s="1"/>
  <c r="AF17" i="113"/>
  <c r="L18" i="1"/>
  <c r="L17" i="113" s="1"/>
  <c r="M18" i="1"/>
  <c r="M17" i="113" s="1"/>
  <c r="N18" i="1"/>
  <c r="N17" i="113" s="1"/>
  <c r="O18" i="1"/>
  <c r="O17" i="113" s="1"/>
  <c r="V18" i="1"/>
  <c r="V17" i="113" s="1"/>
  <c r="W18" i="1"/>
  <c r="W17" i="113" s="1"/>
  <c r="AA18" i="1"/>
  <c r="P18" i="1"/>
  <c r="P17" i="113" s="1"/>
  <c r="Q18" i="1"/>
  <c r="Q17" i="113" s="1"/>
  <c r="R18" i="1"/>
  <c r="R17" i="113" s="1"/>
  <c r="S18" i="1"/>
  <c r="S17" i="113" s="1"/>
  <c r="Y17" i="113"/>
  <c r="X18" i="1"/>
  <c r="X17" i="113" s="1"/>
  <c r="AC18" i="1"/>
  <c r="Z17" i="113" s="1"/>
  <c r="AD18" i="1"/>
  <c r="AA17" i="113" s="1"/>
  <c r="AE18" i="1"/>
  <c r="AB17" i="113" s="1"/>
  <c r="AF18" i="1"/>
  <c r="AC17" i="113" s="1"/>
  <c r="AG18" i="1"/>
  <c r="AD17" i="113" s="1"/>
  <c r="AE17" i="113"/>
  <c r="AR18" i="1"/>
  <c r="AN17" i="113" s="1"/>
  <c r="AP23" i="1"/>
  <c r="BD23" i="1" s="1"/>
  <c r="F29" i="1"/>
  <c r="G29" i="1"/>
  <c r="G28" i="113" s="1"/>
  <c r="H29" i="1"/>
  <c r="H28" i="113" s="1"/>
  <c r="J29" i="1"/>
  <c r="J28" i="113" s="1"/>
  <c r="AF28" i="113"/>
  <c r="L29" i="1"/>
  <c r="L28" i="113" s="1"/>
  <c r="M29" i="1"/>
  <c r="M28" i="113" s="1"/>
  <c r="N29" i="1"/>
  <c r="N28" i="113" s="1"/>
  <c r="O29" i="1"/>
  <c r="O28" i="113" s="1"/>
  <c r="V29" i="1"/>
  <c r="V28" i="113" s="1"/>
  <c r="W29" i="1"/>
  <c r="W28" i="113" s="1"/>
  <c r="AA29" i="1"/>
  <c r="P29" i="1"/>
  <c r="P28" i="113" s="1"/>
  <c r="Q29" i="1"/>
  <c r="Q28" i="113" s="1"/>
  <c r="R29" i="1"/>
  <c r="R28" i="113" s="1"/>
  <c r="S29" i="1"/>
  <c r="S28" i="113" s="1"/>
  <c r="Y28" i="113"/>
  <c r="X29" i="1"/>
  <c r="X28" i="113" s="1"/>
  <c r="AC29" i="1"/>
  <c r="Z28" i="113" s="1"/>
  <c r="AD29" i="1"/>
  <c r="AA28" i="113" s="1"/>
  <c r="AE29" i="1"/>
  <c r="AB28" i="113" s="1"/>
  <c r="AF29" i="1"/>
  <c r="AC28" i="113" s="1"/>
  <c r="AG29" i="1"/>
  <c r="AD28" i="113" s="1"/>
  <c r="AE28" i="113"/>
  <c r="AR29" i="1"/>
  <c r="AN28" i="113" s="1"/>
  <c r="AP31" i="1"/>
  <c r="F36" i="1"/>
  <c r="F35" i="113" s="1"/>
  <c r="G36" i="1"/>
  <c r="G35" i="113" s="1"/>
  <c r="H36" i="1"/>
  <c r="H35" i="113" s="1"/>
  <c r="J36" i="1"/>
  <c r="J35" i="113" s="1"/>
  <c r="AF35" i="113"/>
  <c r="L36" i="1"/>
  <c r="L35" i="113" s="1"/>
  <c r="M36" i="1"/>
  <c r="M35" i="113" s="1"/>
  <c r="N36" i="1"/>
  <c r="N35" i="113" s="1"/>
  <c r="O36" i="1"/>
  <c r="O35" i="113" s="1"/>
  <c r="V36" i="1"/>
  <c r="V35" i="113" s="1"/>
  <c r="W36" i="1"/>
  <c r="W35" i="113" s="1"/>
  <c r="AA36" i="1"/>
  <c r="P36" i="1"/>
  <c r="P35" i="113" s="1"/>
  <c r="Q36" i="1"/>
  <c r="Q35" i="113" s="1"/>
  <c r="R36" i="1"/>
  <c r="R35" i="113" s="1"/>
  <c r="S36" i="1"/>
  <c r="S35" i="113" s="1"/>
  <c r="Y35" i="113"/>
  <c r="X36" i="1"/>
  <c r="X35" i="113" s="1"/>
  <c r="AC36" i="1"/>
  <c r="Z35" i="113" s="1"/>
  <c r="AD36" i="1"/>
  <c r="AA35" i="113" s="1"/>
  <c r="AE36" i="1"/>
  <c r="AB35" i="113" s="1"/>
  <c r="AF36" i="1"/>
  <c r="AC35" i="113" s="1"/>
  <c r="AG36" i="1"/>
  <c r="AD35" i="113" s="1"/>
  <c r="AE35" i="113"/>
  <c r="AR36" i="1"/>
  <c r="AN35" i="113" s="1"/>
  <c r="E45" i="1"/>
  <c r="AB45" i="1" s="1"/>
  <c r="F46" i="1"/>
  <c r="G46" i="1"/>
  <c r="G45" i="113" s="1"/>
  <c r="H46" i="1"/>
  <c r="H45" i="113" s="1"/>
  <c r="J46" i="1"/>
  <c r="J45" i="113" s="1"/>
  <c r="AF45" i="113"/>
  <c r="L46" i="1"/>
  <c r="L45" i="113" s="1"/>
  <c r="M46" i="1"/>
  <c r="M45" i="113" s="1"/>
  <c r="N46" i="1"/>
  <c r="N45" i="113" s="1"/>
  <c r="O46" i="1"/>
  <c r="O45" i="113" s="1"/>
  <c r="V46" i="1"/>
  <c r="V45" i="113" s="1"/>
  <c r="W46" i="1"/>
  <c r="W45" i="113" s="1"/>
  <c r="AA46" i="1"/>
  <c r="P46" i="1"/>
  <c r="P45" i="113" s="1"/>
  <c r="Q46" i="1"/>
  <c r="Q45" i="113" s="1"/>
  <c r="R46" i="1"/>
  <c r="R45" i="113" s="1"/>
  <c r="S46" i="1"/>
  <c r="S45" i="113" s="1"/>
  <c r="Y45" i="113"/>
  <c r="X46" i="1"/>
  <c r="X45" i="113" s="1"/>
  <c r="AC46" i="1"/>
  <c r="Z45" i="113" s="1"/>
  <c r="AD46" i="1"/>
  <c r="AA45" i="113" s="1"/>
  <c r="AE46" i="1"/>
  <c r="AB45" i="113" s="1"/>
  <c r="AF46" i="1"/>
  <c r="AC45" i="113" s="1"/>
  <c r="AG46" i="1"/>
  <c r="AD45" i="113" s="1"/>
  <c r="AE45" i="113"/>
  <c r="AR46" i="1"/>
  <c r="AN45" i="113" s="1"/>
  <c r="E53" i="1"/>
  <c r="E52" i="113" s="1"/>
  <c r="F66" i="1"/>
  <c r="G66" i="1"/>
  <c r="G65" i="113" s="1"/>
  <c r="H66" i="1"/>
  <c r="H65" i="113" s="1"/>
  <c r="J66" i="1"/>
  <c r="J65" i="113" s="1"/>
  <c r="AF65" i="113"/>
  <c r="L66" i="1"/>
  <c r="L65" i="113" s="1"/>
  <c r="M66" i="1"/>
  <c r="M65" i="113" s="1"/>
  <c r="N66" i="1"/>
  <c r="N65" i="113" s="1"/>
  <c r="O66" i="1"/>
  <c r="O65" i="113" s="1"/>
  <c r="V66" i="1"/>
  <c r="V65" i="113" s="1"/>
  <c r="W66" i="1"/>
  <c r="W65" i="113" s="1"/>
  <c r="AA66" i="1"/>
  <c r="P66" i="1"/>
  <c r="P65" i="113" s="1"/>
  <c r="Q66" i="1"/>
  <c r="Q65" i="113" s="1"/>
  <c r="R66" i="1"/>
  <c r="R65" i="113" s="1"/>
  <c r="S66" i="1"/>
  <c r="S65" i="113" s="1"/>
  <c r="U66" i="1"/>
  <c r="U65" i="113" s="1"/>
  <c r="Y65" i="113"/>
  <c r="X66" i="1"/>
  <c r="X65" i="113" s="1"/>
  <c r="AC66" i="1"/>
  <c r="Z65" i="113" s="1"/>
  <c r="AD66" i="1"/>
  <c r="AA65" i="113" s="1"/>
  <c r="AE66" i="1"/>
  <c r="AB65" i="113" s="1"/>
  <c r="AF66" i="1"/>
  <c r="AC65" i="113" s="1"/>
  <c r="AG66" i="1"/>
  <c r="AD65" i="113" s="1"/>
  <c r="AE65" i="113"/>
  <c r="AR66" i="1"/>
  <c r="F73" i="1"/>
  <c r="F72" i="113" s="1"/>
  <c r="G73" i="1"/>
  <c r="G72" i="113" s="1"/>
  <c r="H73" i="1"/>
  <c r="H72" i="113" s="1"/>
  <c r="J73" i="1"/>
  <c r="J72" i="113" s="1"/>
  <c r="AF72" i="113"/>
  <c r="L73" i="1"/>
  <c r="L72" i="113" s="1"/>
  <c r="M73" i="1"/>
  <c r="M72" i="113" s="1"/>
  <c r="N73" i="1"/>
  <c r="N72" i="113" s="1"/>
  <c r="O73" i="1"/>
  <c r="O72" i="113" s="1"/>
  <c r="V73" i="1"/>
  <c r="V72" i="113" s="1"/>
  <c r="W73" i="1"/>
  <c r="W72" i="113" s="1"/>
  <c r="AA73" i="1"/>
  <c r="P73" i="1"/>
  <c r="P72" i="113" s="1"/>
  <c r="Q73" i="1"/>
  <c r="Q72" i="113" s="1"/>
  <c r="R73" i="1"/>
  <c r="R72" i="113" s="1"/>
  <c r="S73" i="1"/>
  <c r="S72" i="113" s="1"/>
  <c r="U73" i="1"/>
  <c r="U72" i="113" s="1"/>
  <c r="Y72" i="113"/>
  <c r="X73" i="1"/>
  <c r="X72" i="113" s="1"/>
  <c r="AC73" i="1"/>
  <c r="Z72" i="113" s="1"/>
  <c r="AD73" i="1"/>
  <c r="AA72" i="113" s="1"/>
  <c r="AE73" i="1"/>
  <c r="AB72" i="113" s="1"/>
  <c r="AF73" i="1"/>
  <c r="AC72" i="113" s="1"/>
  <c r="AG73" i="1"/>
  <c r="AD72" i="113" s="1"/>
  <c r="AE72" i="113"/>
  <c r="AR73" i="1"/>
  <c r="AN72" i="113" s="1"/>
  <c r="C52" i="3"/>
  <c r="B47" i="48" s="1"/>
  <c r="B52" i="3"/>
  <c r="B46" i="3"/>
  <c r="B41" i="3"/>
  <c r="B40" i="3"/>
  <c r="B39" i="3"/>
  <c r="B38" i="3"/>
  <c r="B37" i="3"/>
  <c r="B36" i="3"/>
  <c r="B29" i="3"/>
  <c r="B30" i="3"/>
  <c r="B26" i="3"/>
  <c r="B24" i="3"/>
  <c r="B23" i="3"/>
  <c r="B22" i="3"/>
  <c r="B21" i="3"/>
  <c r="B32" i="3"/>
  <c r="B28" i="3"/>
  <c r="B27" i="3"/>
  <c r="B20" i="3"/>
  <c r="B19" i="3"/>
  <c r="B18" i="3"/>
  <c r="B17" i="3"/>
  <c r="B42" i="3"/>
  <c r="B15" i="3"/>
  <c r="B13" i="3"/>
  <c r="B12" i="3"/>
  <c r="B11" i="3"/>
  <c r="G44" i="48" l="1"/>
  <c r="AN65" i="113"/>
  <c r="AR74" i="1"/>
  <c r="AN73" i="113" s="1"/>
  <c r="AR47" i="1"/>
  <c r="AN46" i="113" s="1"/>
  <c r="X11" i="1"/>
  <c r="AE73" i="113"/>
  <c r="AF74" i="1"/>
  <c r="AC73" i="113" s="1"/>
  <c r="AF73" i="113"/>
  <c r="AG74" i="1"/>
  <c r="AD73" i="113" s="1"/>
  <c r="AD74" i="1"/>
  <c r="AA73" i="113" s="1"/>
  <c r="AE74" i="1"/>
  <c r="AB73" i="113" s="1"/>
  <c r="AC74" i="1"/>
  <c r="Z73" i="113" s="1"/>
  <c r="Q74" i="1"/>
  <c r="Q73" i="113" s="1"/>
  <c r="L74" i="1"/>
  <c r="L73" i="113" s="1"/>
  <c r="R74" i="1"/>
  <c r="R73" i="113" s="1"/>
  <c r="M74" i="1"/>
  <c r="M73" i="113" s="1"/>
  <c r="H74" i="1"/>
  <c r="H73" i="113" s="1"/>
  <c r="X74" i="1"/>
  <c r="X73" i="113" s="1"/>
  <c r="U74" i="1"/>
  <c r="U73" i="113" s="1"/>
  <c r="P74" i="1"/>
  <c r="P73" i="113" s="1"/>
  <c r="O74" i="1"/>
  <c r="O73" i="113" s="1"/>
  <c r="G74" i="1"/>
  <c r="G73" i="113" s="1"/>
  <c r="Y73" i="113"/>
  <c r="V74" i="1"/>
  <c r="V73" i="113" s="1"/>
  <c r="W74" i="1"/>
  <c r="W73" i="113" s="1"/>
  <c r="S74" i="1"/>
  <c r="S73" i="113" s="1"/>
  <c r="AA74" i="1"/>
  <c r="N74" i="1"/>
  <c r="N73" i="113" s="1"/>
  <c r="J74" i="1"/>
  <c r="J73" i="113" s="1"/>
  <c r="F65" i="113"/>
  <c r="F74" i="1"/>
  <c r="O20" i="1"/>
  <c r="O19" i="113" s="1"/>
  <c r="P20" i="1"/>
  <c r="P19" i="113" s="1"/>
  <c r="F28" i="113"/>
  <c r="X20" i="1"/>
  <c r="X19" i="113" s="1"/>
  <c r="G11" i="1"/>
  <c r="G10" i="113" s="1"/>
  <c r="F10" i="113"/>
  <c r="AE11" i="1"/>
  <c r="AB10" i="113" s="1"/>
  <c r="Q20" i="1"/>
  <c r="Q19" i="113" s="1"/>
  <c r="AF19" i="113"/>
  <c r="G20" i="1"/>
  <c r="G19" i="113" s="1"/>
  <c r="V47" i="1"/>
  <c r="V46" i="113" s="1"/>
  <c r="AR20" i="1"/>
  <c r="AN19" i="113" s="1"/>
  <c r="Y46" i="113"/>
  <c r="AA20" i="1"/>
  <c r="V20" i="1"/>
  <c r="V19" i="113" s="1"/>
  <c r="AE47" i="1"/>
  <c r="AB46" i="113" s="1"/>
  <c r="S47" i="1"/>
  <c r="S46" i="113" s="1"/>
  <c r="AA47" i="1"/>
  <c r="N47" i="1"/>
  <c r="N46" i="113" s="1"/>
  <c r="J47" i="1"/>
  <c r="J46" i="113" s="1"/>
  <c r="F47" i="1"/>
  <c r="F46" i="113" s="1"/>
  <c r="L20" i="1"/>
  <c r="L19" i="113" s="1"/>
  <c r="E31" i="3"/>
  <c r="AE20" i="1"/>
  <c r="AB19" i="113" s="1"/>
  <c r="J20" i="1"/>
  <c r="J19" i="113" s="1"/>
  <c r="S20" i="1"/>
  <c r="S19" i="113" s="1"/>
  <c r="F20" i="1"/>
  <c r="F19" i="113" s="1"/>
  <c r="N20" i="1"/>
  <c r="N19" i="113" s="1"/>
  <c r="Y19" i="113"/>
  <c r="AE46" i="113"/>
  <c r="AG47" i="1"/>
  <c r="AD46" i="113" s="1"/>
  <c r="R47" i="1"/>
  <c r="R46" i="113" s="1"/>
  <c r="M47" i="1"/>
  <c r="M46" i="113" s="1"/>
  <c r="AF47" i="1"/>
  <c r="AC46" i="113" s="1"/>
  <c r="AF20" i="1"/>
  <c r="AC19" i="113" s="1"/>
  <c r="R20" i="1"/>
  <c r="R19" i="113" s="1"/>
  <c r="W20" i="1"/>
  <c r="W19" i="113" s="1"/>
  <c r="M20" i="1"/>
  <c r="M19" i="113" s="1"/>
  <c r="H20" i="1"/>
  <c r="H19" i="113" s="1"/>
  <c r="W47" i="1"/>
  <c r="W46" i="113" s="1"/>
  <c r="H47" i="1"/>
  <c r="H46" i="113" s="1"/>
  <c r="AD47" i="1"/>
  <c r="AA46" i="113" s="1"/>
  <c r="Q47" i="1"/>
  <c r="Q46" i="113" s="1"/>
  <c r="L47" i="1"/>
  <c r="L46" i="113" s="1"/>
  <c r="AP45" i="1"/>
  <c r="X47" i="1"/>
  <c r="X46" i="113" s="1"/>
  <c r="P47" i="1"/>
  <c r="P46" i="113" s="1"/>
  <c r="O47" i="1"/>
  <c r="O46" i="113" s="1"/>
  <c r="AF46" i="113"/>
  <c r="G47" i="1"/>
  <c r="G46" i="113" s="1"/>
  <c r="AE19" i="113"/>
  <c r="AD20" i="1"/>
  <c r="AA19" i="113" s="1"/>
  <c r="A11" i="3"/>
  <c r="E44" i="113"/>
  <c r="F45" i="113"/>
  <c r="AG20" i="1"/>
  <c r="AD19" i="113" s="1"/>
  <c r="AC47" i="1"/>
  <c r="Z46" i="113" s="1"/>
  <c r="AC20" i="1"/>
  <c r="Z19" i="113" s="1"/>
  <c r="I10" i="48"/>
  <c r="G61" i="48"/>
  <c r="F94" i="111"/>
  <c r="F95" i="111"/>
  <c r="F96"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E25" i="1" s="1"/>
  <c r="F158" i="111"/>
  <c r="F159" i="111"/>
  <c r="F160" i="111"/>
  <c r="F162" i="111"/>
  <c r="F163" i="111"/>
  <c r="F164" i="111"/>
  <c r="F165" i="111"/>
  <c r="F166" i="111"/>
  <c r="F167" i="111"/>
  <c r="F169" i="111"/>
  <c r="F170" i="111"/>
  <c r="F171" i="111"/>
  <c r="F172" i="111"/>
  <c r="F173" i="111"/>
  <c r="F174" i="111"/>
  <c r="F175" i="111"/>
  <c r="F176" i="111"/>
  <c r="F177" i="111"/>
  <c r="F179" i="111"/>
  <c r="F180" i="111"/>
  <c r="F181" i="111"/>
  <c r="F182" i="111"/>
  <c r="F183" i="111"/>
  <c r="F184" i="111"/>
  <c r="F185" i="111"/>
  <c r="F186" i="111"/>
  <c r="F188" i="111"/>
  <c r="F189" i="111"/>
  <c r="F190" i="111"/>
  <c r="F27" i="111"/>
  <c r="E28" i="1" s="1"/>
  <c r="AB28" i="1" s="1"/>
  <c r="F231" i="111"/>
  <c r="F232" i="111"/>
  <c r="F233" i="111"/>
  <c r="F234" i="111"/>
  <c r="F235" i="111"/>
  <c r="F236" i="111"/>
  <c r="F237" i="111"/>
  <c r="F238" i="111"/>
  <c r="F240" i="111"/>
  <c r="F241" i="111"/>
  <c r="F242" i="111"/>
  <c r="F243" i="111"/>
  <c r="F244" i="111"/>
  <c r="F245" i="111"/>
  <c r="F246" i="111"/>
  <c r="F31" i="111" s="1"/>
  <c r="E32" i="1" s="1"/>
  <c r="AB32" i="1" s="1"/>
  <c r="F247" i="111"/>
  <c r="F248" i="111"/>
  <c r="F249" i="111"/>
  <c r="F250" i="111"/>
  <c r="F34" i="111" s="1"/>
  <c r="E35" i="1" s="1"/>
  <c r="AB35" i="1" s="1"/>
  <c r="F252" i="111"/>
  <c r="F253" i="111"/>
  <c r="F254" i="111"/>
  <c r="F255" i="111"/>
  <c r="F256" i="111"/>
  <c r="F257" i="111"/>
  <c r="F258" i="111"/>
  <c r="F259" i="111"/>
  <c r="F260" i="111"/>
  <c r="F261" i="111"/>
  <c r="F262" i="111"/>
  <c r="F37" i="111" s="1"/>
  <c r="E38" i="1" s="1"/>
  <c r="AB38" i="1" s="1"/>
  <c r="F263" i="111"/>
  <c r="F264" i="111"/>
  <c r="F265" i="111"/>
  <c r="F266" i="111"/>
  <c r="F267" i="111"/>
  <c r="F268" i="111"/>
  <c r="F38" i="111" s="1"/>
  <c r="E39" i="1" s="1"/>
  <c r="E38" i="113" s="1"/>
  <c r="F269" i="111"/>
  <c r="F270" i="111"/>
  <c r="F271" i="111"/>
  <c r="F272" i="111"/>
  <c r="F273" i="111"/>
  <c r="F274" i="111"/>
  <c r="F39" i="111" s="1"/>
  <c r="E40" i="1" s="1"/>
  <c r="E39" i="113" s="1"/>
  <c r="F275" i="111"/>
  <c r="F276" i="111"/>
  <c r="F277" i="111"/>
  <c r="F278" i="111"/>
  <c r="F279" i="111"/>
  <c r="F280" i="111"/>
  <c r="F281" i="111"/>
  <c r="F282" i="111"/>
  <c r="F283" i="111"/>
  <c r="F284" i="111"/>
  <c r="F285" i="111"/>
  <c r="F286" i="111"/>
  <c r="F287" i="111"/>
  <c r="F288" i="111"/>
  <c r="F289" i="111"/>
  <c r="F42" i="111" s="1"/>
  <c r="E43" i="1" s="1"/>
  <c r="F290" i="111"/>
  <c r="F291" i="111"/>
  <c r="F292" i="111"/>
  <c r="F293" i="111"/>
  <c r="F294" i="111"/>
  <c r="F297" i="111"/>
  <c r="F43" i="111" s="1"/>
  <c r="E44" i="1" s="1"/>
  <c r="AB44" i="1" s="1"/>
  <c r="F298" i="111"/>
  <c r="F299" i="111"/>
  <c r="F300" i="111"/>
  <c r="F301" i="111"/>
  <c r="F302" i="111"/>
  <c r="F303" i="111"/>
  <c r="F304" i="111"/>
  <c r="F305" i="111"/>
  <c r="F51" i="111" s="1"/>
  <c r="E52" i="1" s="1"/>
  <c r="F306" i="111"/>
  <c r="F53" i="111" s="1"/>
  <c r="E54" i="1" s="1"/>
  <c r="F307" i="111"/>
  <c r="F54" i="111" s="1"/>
  <c r="E55" i="1" s="1"/>
  <c r="AB55" i="1" s="1"/>
  <c r="F308" i="111"/>
  <c r="F309" i="111"/>
  <c r="F310" i="111"/>
  <c r="F311" i="111"/>
  <c r="F312" i="111"/>
  <c r="F313" i="111"/>
  <c r="F316" i="111"/>
  <c r="F317" i="111"/>
  <c r="F318" i="111"/>
  <c r="F319" i="111"/>
  <c r="F320" i="111"/>
  <c r="F60" i="111" s="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9" i="111"/>
  <c r="F350" i="111"/>
  <c r="F351" i="111"/>
  <c r="F352" i="111"/>
  <c r="F353" i="111"/>
  <c r="F61" i="111" s="1"/>
  <c r="F354" i="111"/>
  <c r="F355" i="111"/>
  <c r="F356" i="111"/>
  <c r="F358" i="111"/>
  <c r="F359" i="111"/>
  <c r="F360" i="111"/>
  <c r="F361" i="111"/>
  <c r="F362" i="111"/>
  <c r="F363" i="111"/>
  <c r="F364" i="111"/>
  <c r="F365" i="111"/>
  <c r="F366" i="111"/>
  <c r="F62" i="111" s="1"/>
  <c r="F367" i="111"/>
  <c r="F368" i="111"/>
  <c r="F369" i="111"/>
  <c r="F370" i="111"/>
  <c r="F371" i="111"/>
  <c r="F372" i="111"/>
  <c r="F374" i="111"/>
  <c r="F375" i="111"/>
  <c r="F376" i="111"/>
  <c r="F377" i="111"/>
  <c r="F378" i="111"/>
  <c r="F379" i="111"/>
  <c r="F380" i="111"/>
  <c r="F381" i="111"/>
  <c r="F382" i="111"/>
  <c r="F63" i="111" s="1"/>
  <c r="F383" i="111"/>
  <c r="F384" i="111"/>
  <c r="F385" i="111"/>
  <c r="F386" i="111"/>
  <c r="F387" i="111"/>
  <c r="F388" i="111"/>
  <c r="F389" i="111"/>
  <c r="F390" i="111"/>
  <c r="F391" i="111"/>
  <c r="F392" i="111"/>
  <c r="F393" i="111"/>
  <c r="F394" i="111"/>
  <c r="F395" i="111"/>
  <c r="F64" i="111" s="1"/>
  <c r="E65" i="1" s="1"/>
  <c r="F396" i="111"/>
  <c r="F397" i="111"/>
  <c r="F398" i="111"/>
  <c r="F399" i="111"/>
  <c r="F400" i="111"/>
  <c r="F401" i="111"/>
  <c r="F402" i="111"/>
  <c r="F403" i="111"/>
  <c r="F404" i="111"/>
  <c r="F69" i="111" s="1"/>
  <c r="F405" i="111"/>
  <c r="F70" i="111" s="1"/>
  <c r="F406" i="111"/>
  <c r="F407" i="111"/>
  <c r="F408" i="111"/>
  <c r="F409" i="111"/>
  <c r="F410" i="111"/>
  <c r="F411" i="111"/>
  <c r="F412" i="111"/>
  <c r="F413" i="111"/>
  <c r="F414" i="111"/>
  <c r="F415" i="111"/>
  <c r="F416" i="111"/>
  <c r="F417" i="111"/>
  <c r="F418" i="111"/>
  <c r="F419" i="111"/>
  <c r="F420" i="111"/>
  <c r="F421" i="111"/>
  <c r="F422" i="111"/>
  <c r="F423" i="111"/>
  <c r="F424" i="111"/>
  <c r="F427" i="111"/>
  <c r="F428" i="111"/>
  <c r="F429" i="111"/>
  <c r="F430" i="111"/>
  <c r="F431" i="111"/>
  <c r="F432" i="111"/>
  <c r="F75" i="111" s="1"/>
  <c r="E76" i="1" s="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64" i="111"/>
  <c r="F465" i="111"/>
  <c r="F466" i="111"/>
  <c r="F78" i="111" s="1"/>
  <c r="F467" i="111"/>
  <c r="F468" i="111"/>
  <c r="F469" i="111"/>
  <c r="F470" i="111"/>
  <c r="F15" i="111"/>
  <c r="F161" i="111"/>
  <c r="F23" i="111" s="1"/>
  <c r="G14" i="111"/>
  <c r="G15" i="111"/>
  <c r="G16" i="111"/>
  <c r="G18" i="111"/>
  <c r="G23" i="111"/>
  <c r="G24" i="111"/>
  <c r="G25" i="111"/>
  <c r="G26" i="111"/>
  <c r="G27" i="111"/>
  <c r="G31" i="111"/>
  <c r="G32" i="111"/>
  <c r="G34" i="111"/>
  <c r="G37" i="111"/>
  <c r="G38" i="111"/>
  <c r="G39" i="111"/>
  <c r="G42" i="111"/>
  <c r="G43" i="111"/>
  <c r="G51" i="111"/>
  <c r="G53" i="111"/>
  <c r="G54" i="111"/>
  <c r="G60" i="111"/>
  <c r="G61" i="111"/>
  <c r="G62" i="111"/>
  <c r="G63" i="111"/>
  <c r="G64" i="111"/>
  <c r="G67" i="111"/>
  <c r="G68" i="111"/>
  <c r="G69" i="111"/>
  <c r="G70" i="111"/>
  <c r="G71" i="111"/>
  <c r="G75" i="111"/>
  <c r="E33" i="111" l="1"/>
  <c r="H33" i="111" s="1"/>
  <c r="F18" i="111"/>
  <c r="E19" i="1" s="1"/>
  <c r="F67" i="111"/>
  <c r="F77" i="111"/>
  <c r="E78" i="1" s="1"/>
  <c r="E51" i="113"/>
  <c r="AX45" i="1"/>
  <c r="AZ45" i="1" s="1"/>
  <c r="Y11" i="1"/>
  <c r="Y10" i="113" s="1"/>
  <c r="X10" i="113"/>
  <c r="F71" i="111"/>
  <c r="F68" i="111"/>
  <c r="F26" i="111"/>
  <c r="E27" i="1" s="1"/>
  <c r="F65" i="111"/>
  <c r="E15" i="111"/>
  <c r="F25" i="111"/>
  <c r="E16" i="1"/>
  <c r="E15" i="113" s="1"/>
  <c r="E15" i="1"/>
  <c r="AC77" i="1"/>
  <c r="Z76" i="113" s="1"/>
  <c r="AF77" i="1"/>
  <c r="AC76" i="113" s="1"/>
  <c r="AD77" i="1"/>
  <c r="AA76" i="113" s="1"/>
  <c r="H77" i="1"/>
  <c r="H76" i="113" s="1"/>
  <c r="AE76" i="113"/>
  <c r="O77" i="1"/>
  <c r="O76" i="113" s="1"/>
  <c r="W77" i="1"/>
  <c r="W76" i="113" s="1"/>
  <c r="R77" i="1"/>
  <c r="R76" i="113" s="1"/>
  <c r="M77" i="1"/>
  <c r="M76" i="113" s="1"/>
  <c r="AB40" i="1"/>
  <c r="AB25" i="1"/>
  <c r="E24" i="113"/>
  <c r="E53" i="113"/>
  <c r="AP32" i="1"/>
  <c r="AB39" i="1"/>
  <c r="F32" i="111"/>
  <c r="E46" i="1"/>
  <c r="E45" i="113" s="1"/>
  <c r="E42" i="113"/>
  <c r="E43" i="113"/>
  <c r="N49" i="1"/>
  <c r="N48" i="113" s="1"/>
  <c r="AP55" i="1"/>
  <c r="AP44" i="1"/>
  <c r="E37" i="113"/>
  <c r="U77" i="1"/>
  <c r="U76" i="113" s="1"/>
  <c r="AP38" i="1"/>
  <c r="AG77" i="1"/>
  <c r="AD76" i="113" s="1"/>
  <c r="E54" i="113"/>
  <c r="E31" i="113"/>
  <c r="J49" i="1"/>
  <c r="J48" i="113" s="1"/>
  <c r="AP35" i="1"/>
  <c r="AP28" i="1"/>
  <c r="Q49" i="1"/>
  <c r="Q48" i="113" s="1"/>
  <c r="E34" i="113"/>
  <c r="E27" i="113"/>
  <c r="AE49" i="1"/>
  <c r="AB48" i="113" s="1"/>
  <c r="Y76" i="113"/>
  <c r="L77" i="1"/>
  <c r="L76" i="113" s="1"/>
  <c r="AF11" i="1"/>
  <c r="AC10" i="113" s="1"/>
  <c r="L49" i="1"/>
  <c r="L48" i="113" s="1"/>
  <c r="V77" i="1"/>
  <c r="V76" i="113" s="1"/>
  <c r="H11" i="1"/>
  <c r="AF49" i="1"/>
  <c r="AC48" i="113" s="1"/>
  <c r="Q77" i="1"/>
  <c r="Q76" i="113" s="1"/>
  <c r="AR49" i="1"/>
  <c r="AN48" i="113" s="1"/>
  <c r="AF76" i="113"/>
  <c r="V49" i="1"/>
  <c r="V48" i="113" s="1"/>
  <c r="AA49" i="1"/>
  <c r="F49" i="1"/>
  <c r="F52" i="1" s="1"/>
  <c r="X77" i="1"/>
  <c r="X76" i="113" s="1"/>
  <c r="P77" i="1"/>
  <c r="P76" i="113" s="1"/>
  <c r="G77" i="1"/>
  <c r="G76" i="113" s="1"/>
  <c r="S49" i="1"/>
  <c r="S48" i="113" s="1"/>
  <c r="A52" i="3"/>
  <c r="A47" i="48" s="1"/>
  <c r="Y48" i="113"/>
  <c r="W49" i="1"/>
  <c r="W48" i="113" s="1"/>
  <c r="F73" i="113"/>
  <c r="F77" i="1"/>
  <c r="S77" i="1"/>
  <c r="S76" i="113" s="1"/>
  <c r="AR77" i="1"/>
  <c r="AN76" i="113" s="1"/>
  <c r="M49" i="1"/>
  <c r="M48" i="113" s="1"/>
  <c r="AA77" i="1"/>
  <c r="H49" i="1"/>
  <c r="H48" i="113" s="1"/>
  <c r="N77" i="1"/>
  <c r="N76" i="113" s="1"/>
  <c r="AE77" i="1"/>
  <c r="AB76" i="113" s="1"/>
  <c r="R49" i="1"/>
  <c r="R48" i="113" s="1"/>
  <c r="J77" i="1"/>
  <c r="J76" i="113" s="1"/>
  <c r="AE48" i="113"/>
  <c r="O49" i="1"/>
  <c r="O48" i="113" s="1"/>
  <c r="AG49" i="1"/>
  <c r="AD48" i="113" s="1"/>
  <c r="AD49" i="1"/>
  <c r="AA48" i="113" s="1"/>
  <c r="AF48" i="113"/>
  <c r="X49" i="1"/>
  <c r="X48" i="113" s="1"/>
  <c r="G49" i="1"/>
  <c r="P49" i="1"/>
  <c r="P48" i="113" s="1"/>
  <c r="AC49" i="1"/>
  <c r="Z48" i="113" s="1"/>
  <c r="E24" i="1"/>
  <c r="G45" i="111"/>
  <c r="G17" i="111"/>
  <c r="G19" i="111" s="1"/>
  <c r="G28" i="111"/>
  <c r="G72" i="111"/>
  <c r="G35" i="111"/>
  <c r="G65" i="111"/>
  <c r="A1" i="3"/>
  <c r="A2" i="50"/>
  <c r="A1" i="50"/>
  <c r="A4" i="50"/>
  <c r="A3" i="50"/>
  <c r="A4" i="3"/>
  <c r="A4" i="48" s="1"/>
  <c r="BD45" i="1" l="1"/>
  <c r="E33" i="1"/>
  <c r="E36" i="1" s="1"/>
  <c r="E35" i="113" s="1"/>
  <c r="H10" i="113"/>
  <c r="I11" i="1"/>
  <c r="AX35" i="1"/>
  <c r="AZ35" i="1" s="1"/>
  <c r="AX55" i="1"/>
  <c r="AZ55" i="1" s="1"/>
  <c r="AX38" i="1"/>
  <c r="AZ38" i="1" s="1"/>
  <c r="AX44" i="1"/>
  <c r="AZ44" i="1" s="1"/>
  <c r="AX32" i="1"/>
  <c r="AZ32" i="1" s="1"/>
  <c r="V53" i="113"/>
  <c r="F72" i="111"/>
  <c r="F73" i="111" s="1"/>
  <c r="F76" i="111" s="1"/>
  <c r="F80" i="111" s="1"/>
  <c r="AX28" i="1"/>
  <c r="AZ28" i="1" s="1"/>
  <c r="AB16" i="1"/>
  <c r="AP16" i="1" s="1"/>
  <c r="G48" i="113"/>
  <c r="G51" i="113"/>
  <c r="G73" i="111"/>
  <c r="G76" i="111" s="1"/>
  <c r="G80" i="111" s="1"/>
  <c r="AC81" i="1"/>
  <c r="Z80" i="113" s="1"/>
  <c r="AF81" i="1"/>
  <c r="AC80" i="113" s="1"/>
  <c r="AF52" i="1"/>
  <c r="AC51" i="113" s="1"/>
  <c r="AD81" i="1"/>
  <c r="AA80" i="113" s="1"/>
  <c r="R81" i="1"/>
  <c r="R80" i="113" s="1"/>
  <c r="AP39" i="1"/>
  <c r="J52" i="1"/>
  <c r="J51" i="113" s="1"/>
  <c r="M81" i="1"/>
  <c r="M80" i="113" s="1"/>
  <c r="W81" i="1"/>
  <c r="W80" i="113" s="1"/>
  <c r="O81" i="1"/>
  <c r="O80" i="113" s="1"/>
  <c r="H81" i="1"/>
  <c r="H80" i="113" s="1"/>
  <c r="AE80" i="113"/>
  <c r="AG81" i="1"/>
  <c r="AD80" i="113" s="1"/>
  <c r="AP40" i="1"/>
  <c r="Q52" i="1"/>
  <c r="Q51" i="113" s="1"/>
  <c r="G46" i="111"/>
  <c r="G48" i="111" s="1"/>
  <c r="G56" i="111" s="1"/>
  <c r="AE52" i="1"/>
  <c r="AB51" i="113" s="1"/>
  <c r="N52" i="1"/>
  <c r="N51" i="113" s="1"/>
  <c r="Y81" i="1"/>
  <c r="Y80" i="113" s="1"/>
  <c r="AB15" i="1"/>
  <c r="AP15" i="1" s="1"/>
  <c r="E14" i="113"/>
  <c r="AP25" i="1"/>
  <c r="AB27" i="1"/>
  <c r="E26" i="113"/>
  <c r="AB19" i="1"/>
  <c r="E18" i="113"/>
  <c r="AB24" i="1"/>
  <c r="E23" i="113"/>
  <c r="F48" i="113"/>
  <c r="F28" i="111"/>
  <c r="E26" i="1"/>
  <c r="E29" i="1" s="1"/>
  <c r="U81" i="1"/>
  <c r="U80" i="113" s="1"/>
  <c r="AA52" i="1"/>
  <c r="AR52" i="1"/>
  <c r="AN51" i="113" s="1"/>
  <c r="G81" i="1"/>
  <c r="G80" i="113" s="1"/>
  <c r="V81" i="1"/>
  <c r="V80" i="113" s="1"/>
  <c r="L52" i="1"/>
  <c r="L51" i="113" s="1"/>
  <c r="Q81" i="1"/>
  <c r="AG11" i="1"/>
  <c r="L81" i="1"/>
  <c r="L80" i="113" s="1"/>
  <c r="AI81" i="1"/>
  <c r="AF80" i="113" s="1"/>
  <c r="S52" i="1"/>
  <c r="S51" i="113" s="1"/>
  <c r="P81" i="1"/>
  <c r="P80" i="113" s="1"/>
  <c r="X81" i="1"/>
  <c r="X80" i="113" s="1"/>
  <c r="Y51" i="113"/>
  <c r="R52" i="1"/>
  <c r="R51" i="113" s="1"/>
  <c r="N81" i="1"/>
  <c r="N80" i="113" s="1"/>
  <c r="H52" i="1"/>
  <c r="H51" i="113" s="1"/>
  <c r="M52" i="1"/>
  <c r="S81" i="1"/>
  <c r="S80" i="113" s="1"/>
  <c r="W52" i="1"/>
  <c r="W51" i="113" s="1"/>
  <c r="J81" i="1"/>
  <c r="J80" i="113" s="1"/>
  <c r="AE81" i="1"/>
  <c r="AB80" i="113" s="1"/>
  <c r="AA81" i="1"/>
  <c r="AR81" i="1"/>
  <c r="AN80" i="113" s="1"/>
  <c r="F76" i="113"/>
  <c r="F81" i="1"/>
  <c r="F51" i="113"/>
  <c r="AD52" i="1"/>
  <c r="AA51" i="113" s="1"/>
  <c r="AF51" i="113"/>
  <c r="P52" i="1"/>
  <c r="P51" i="113" s="1"/>
  <c r="AG52" i="1"/>
  <c r="AD51" i="113" s="1"/>
  <c r="AE51" i="113"/>
  <c r="AC52" i="1"/>
  <c r="J73" i="50"/>
  <c r="Z51" i="113" l="1"/>
  <c r="BD32" i="1"/>
  <c r="BD35" i="1"/>
  <c r="BL35" i="1" s="1"/>
  <c r="BN35" i="1" s="1"/>
  <c r="BD44" i="1"/>
  <c r="AD10" i="113"/>
  <c r="AH11" i="1"/>
  <c r="AE10" i="113" s="1"/>
  <c r="AB33" i="1"/>
  <c r="AB36" i="1" s="1"/>
  <c r="E32" i="113"/>
  <c r="A13" i="99"/>
  <c r="I10" i="113"/>
  <c r="A14" i="3"/>
  <c r="A15" i="48" s="1"/>
  <c r="BD28" i="1"/>
  <c r="M51" i="113"/>
  <c r="BD55" i="1"/>
  <c r="BD38" i="1"/>
  <c r="AX16" i="1"/>
  <c r="AZ16" i="1" s="1"/>
  <c r="AX40" i="1"/>
  <c r="AZ40" i="1" s="1"/>
  <c r="AX39" i="1"/>
  <c r="AZ39" i="1" s="1"/>
  <c r="AB54" i="1"/>
  <c r="AP54" i="1" s="1"/>
  <c r="AX25" i="1"/>
  <c r="AZ25" i="1" s="1"/>
  <c r="Q80" i="113"/>
  <c r="E22" i="3"/>
  <c r="F24" i="48" s="1"/>
  <c r="Z11" i="1"/>
  <c r="AA11" i="1" s="1"/>
  <c r="AX15" i="1"/>
  <c r="H26" i="99"/>
  <c r="E25" i="3"/>
  <c r="F27" i="48" s="1"/>
  <c r="H37" i="99"/>
  <c r="H38" i="99"/>
  <c r="H39" i="99"/>
  <c r="H36" i="99"/>
  <c r="H40" i="99"/>
  <c r="H35" i="99"/>
  <c r="E13" i="3"/>
  <c r="H12" i="99"/>
  <c r="H24" i="99"/>
  <c r="H29" i="99"/>
  <c r="E12" i="3"/>
  <c r="H31" i="99"/>
  <c r="H19" i="99"/>
  <c r="H21" i="99"/>
  <c r="H11" i="99"/>
  <c r="H27" i="99"/>
  <c r="AP24" i="1"/>
  <c r="AX24" i="1" s="1"/>
  <c r="E28" i="113"/>
  <c r="E47" i="1"/>
  <c r="E46" i="113" s="1"/>
  <c r="E25" i="113"/>
  <c r="AB26" i="1"/>
  <c r="AP19" i="1"/>
  <c r="AP27" i="1"/>
  <c r="H18" i="99"/>
  <c r="H23" i="99"/>
  <c r="H28" i="99"/>
  <c r="H50" i="99"/>
  <c r="K50" i="99" s="1"/>
  <c r="H41" i="99"/>
  <c r="H30" i="99"/>
  <c r="H22" i="99"/>
  <c r="H10" i="99"/>
  <c r="H16" i="99"/>
  <c r="H25" i="99"/>
  <c r="H20" i="99"/>
  <c r="F80" i="113"/>
  <c r="E52" i="3"/>
  <c r="F47" i="48" s="1"/>
  <c r="J29" i="50"/>
  <c r="J66" i="50"/>
  <c r="J74" i="50" s="1"/>
  <c r="E53" i="50"/>
  <c r="G47" i="48" l="1"/>
  <c r="G27" i="48"/>
  <c r="G24" i="48"/>
  <c r="BD40" i="1"/>
  <c r="BD39" i="1"/>
  <c r="BO35" i="1"/>
  <c r="BD16" i="1"/>
  <c r="AP33" i="1"/>
  <c r="AX33" i="1" s="1"/>
  <c r="AZ33" i="1" s="1"/>
  <c r="AZ15" i="1"/>
  <c r="E27" i="51" s="1"/>
  <c r="BD25" i="1"/>
  <c r="AX54" i="1"/>
  <c r="AZ54" i="1" s="1"/>
  <c r="AX19" i="1"/>
  <c r="AZ19" i="1" s="1"/>
  <c r="AZ24" i="1"/>
  <c r="AX27" i="1"/>
  <c r="AZ27" i="1" s="1"/>
  <c r="K26" i="99"/>
  <c r="AP36" i="1"/>
  <c r="AP26" i="1"/>
  <c r="AB29" i="1"/>
  <c r="AI11" i="1"/>
  <c r="AJ11" i="1" s="1"/>
  <c r="AK11" i="1" s="1"/>
  <c r="AL11" i="1" s="1"/>
  <c r="AM11" i="1" s="1"/>
  <c r="AN11" i="1" s="1"/>
  <c r="AO11" i="1" s="1"/>
  <c r="J77" i="50"/>
  <c r="J81" i="50" s="1"/>
  <c r="BD33" i="1" l="1"/>
  <c r="BD36" i="1" s="1"/>
  <c r="BL36" i="1" s="1"/>
  <c r="BN36" i="1" s="1"/>
  <c r="BD15" i="1"/>
  <c r="BL15" i="1" s="1"/>
  <c r="BD19" i="1"/>
  <c r="AG10" i="113"/>
  <c r="AF10" i="113"/>
  <c r="BD24" i="1"/>
  <c r="BD54" i="1"/>
  <c r="BD27" i="1"/>
  <c r="AX36" i="1"/>
  <c r="AZ36" i="1" s="1"/>
  <c r="AX26" i="1"/>
  <c r="AZ26" i="1" s="1"/>
  <c r="J14" i="111"/>
  <c r="I14" i="111" s="1"/>
  <c r="J15" i="111"/>
  <c r="I15" i="111" s="1"/>
  <c r="J16" i="111"/>
  <c r="I16" i="111" s="1"/>
  <c r="J18" i="111"/>
  <c r="I18" i="111" s="1"/>
  <c r="J23" i="111"/>
  <c r="I23" i="111" s="1"/>
  <c r="J24" i="111"/>
  <c r="I24" i="111" s="1"/>
  <c r="E27" i="111"/>
  <c r="H27" i="111" s="1"/>
  <c r="J31" i="111"/>
  <c r="I31" i="111" s="1"/>
  <c r="J32" i="111"/>
  <c r="I32" i="111" s="1"/>
  <c r="J37" i="111"/>
  <c r="I37" i="111" s="1"/>
  <c r="J38" i="111"/>
  <c r="I38" i="111" s="1"/>
  <c r="J39" i="111"/>
  <c r="I39" i="111" s="1"/>
  <c r="J42" i="111"/>
  <c r="I42" i="111" s="1"/>
  <c r="J43" i="111"/>
  <c r="I43" i="111" s="1"/>
  <c r="J44" i="111"/>
  <c r="I44" i="111" s="1"/>
  <c r="J53" i="111"/>
  <c r="I53" i="111" s="1"/>
  <c r="J54" i="111"/>
  <c r="I54" i="111" s="1"/>
  <c r="J60" i="111"/>
  <c r="I60" i="111" s="1"/>
  <c r="J62" i="111"/>
  <c r="I62" i="111" s="1"/>
  <c r="J63" i="111"/>
  <c r="I63" i="111" s="1"/>
  <c r="J64" i="111"/>
  <c r="I64" i="111" s="1"/>
  <c r="H66" i="111"/>
  <c r="J66" i="111"/>
  <c r="I66" i="111" s="1"/>
  <c r="J75" i="111"/>
  <c r="I75" i="111" s="1"/>
  <c r="E25" i="111"/>
  <c r="H25" i="111" s="1"/>
  <c r="J25" i="111"/>
  <c r="J27" i="111"/>
  <c r="I27" i="111" s="1"/>
  <c r="J34" i="111"/>
  <c r="J61" i="111"/>
  <c r="C46" i="3"/>
  <c r="B43" i="48" s="1"/>
  <c r="C41" i="3"/>
  <c r="B38" i="48" s="1"/>
  <c r="C40" i="3"/>
  <c r="B37" i="48" s="1"/>
  <c r="C39" i="3"/>
  <c r="B36" i="48" s="1"/>
  <c r="C38" i="3"/>
  <c r="B35" i="48" s="1"/>
  <c r="C37" i="3"/>
  <c r="B34" i="48" s="1"/>
  <c r="BO36" i="1" l="1"/>
  <c r="BD26" i="1"/>
  <c r="BD29" i="1" s="1"/>
  <c r="A43" i="3"/>
  <c r="A42" i="99"/>
  <c r="E55" i="50"/>
  <c r="G55" i="50" s="1"/>
  <c r="I55" i="50" s="1"/>
  <c r="E54" i="50"/>
  <c r="G54" i="50" s="1"/>
  <c r="I54" i="50" s="1"/>
  <c r="E24" i="111"/>
  <c r="H24" i="111" s="1"/>
  <c r="E27" i="50"/>
  <c r="G27" i="50" s="1"/>
  <c r="I27" i="50" s="1"/>
  <c r="E37" i="111"/>
  <c r="H37" i="111" s="1"/>
  <c r="E38" i="111"/>
  <c r="H38" i="111" s="1"/>
  <c r="E44" i="111"/>
  <c r="H44" i="111" s="1"/>
  <c r="E34" i="111"/>
  <c r="H34" i="111" s="1"/>
  <c r="E53" i="111"/>
  <c r="H53" i="111" s="1"/>
  <c r="E31" i="111"/>
  <c r="H31" i="111" s="1"/>
  <c r="E42" i="111"/>
  <c r="H42" i="111" s="1"/>
  <c r="E39" i="111"/>
  <c r="H39" i="111" s="1"/>
  <c r="F35" i="111"/>
  <c r="E54" i="111"/>
  <c r="H54" i="111" s="1"/>
  <c r="E51" i="111"/>
  <c r="H51" i="111" s="1"/>
  <c r="E32" i="111"/>
  <c r="H32" i="111" s="1"/>
  <c r="J17" i="111"/>
  <c r="J19" i="111" s="1"/>
  <c r="J45" i="111"/>
  <c r="E18" i="111"/>
  <c r="H18" i="111" s="1"/>
  <c r="H15" i="111"/>
  <c r="I25" i="111"/>
  <c r="I28" i="111" s="1"/>
  <c r="J28" i="111"/>
  <c r="E14" i="111"/>
  <c r="I34" i="111"/>
  <c r="I35" i="111" s="1"/>
  <c r="J35" i="111"/>
  <c r="E26" i="111"/>
  <c r="E43" i="111"/>
  <c r="H43" i="111" s="1"/>
  <c r="F45" i="111"/>
  <c r="I45" i="111"/>
  <c r="I17" i="111"/>
  <c r="I19" i="111" s="1"/>
  <c r="J65" i="111"/>
  <c r="J80" i="111" s="1"/>
  <c r="I80" i="111" s="1"/>
  <c r="I61" i="111"/>
  <c r="I65" i="111" s="1"/>
  <c r="E23" i="111"/>
  <c r="J51" i="111"/>
  <c r="I51" i="111" s="1"/>
  <c r="A38" i="3"/>
  <c r="A35" i="48" s="1"/>
  <c r="A37" i="3"/>
  <c r="A34" i="48" s="1"/>
  <c r="AH10" i="113" l="1"/>
  <c r="A43" i="99"/>
  <c r="A44" i="3"/>
  <c r="A41" i="48" s="1"/>
  <c r="A40" i="48"/>
  <c r="E45" i="50"/>
  <c r="G45" i="50" s="1"/>
  <c r="I45" i="50" s="1"/>
  <c r="E28" i="111"/>
  <c r="E35" i="111"/>
  <c r="H35" i="111" s="1"/>
  <c r="F46" i="111"/>
  <c r="E45" i="111"/>
  <c r="H45" i="111" s="1"/>
  <c r="J46" i="111"/>
  <c r="J48" i="111" s="1"/>
  <c r="J56" i="111" s="1"/>
  <c r="J81" i="111" s="1"/>
  <c r="H23" i="111"/>
  <c r="H14" i="111"/>
  <c r="I46" i="111"/>
  <c r="I48" i="111" s="1"/>
  <c r="I56" i="111" s="1"/>
  <c r="I81" i="111" s="1"/>
  <c r="A39" i="3"/>
  <c r="A36" i="48" s="1"/>
  <c r="A52" i="99" l="1"/>
  <c r="E46" i="111"/>
  <c r="H46" i="111" s="1"/>
  <c r="H28" i="111"/>
  <c r="A40" i="3"/>
  <c r="A37" i="48" s="1"/>
  <c r="AI10" i="113" l="1"/>
  <c r="A44" i="99"/>
  <c r="A45" i="3"/>
  <c r="A42" i="48" s="1"/>
  <c r="K27" i="50"/>
  <c r="A41" i="3"/>
  <c r="A38" i="48" s="1"/>
  <c r="AJ10" i="113" l="1"/>
  <c r="A45" i="99"/>
  <c r="A46" i="3"/>
  <c r="A43" i="48" s="1"/>
  <c r="AK10" i="113" l="1"/>
  <c r="A47" i="3"/>
  <c r="A44" i="48" s="1"/>
  <c r="A46" i="99"/>
  <c r="AL10" i="113" l="1"/>
  <c r="A31" i="3"/>
  <c r="E8" i="48"/>
  <c r="E67" i="48" s="1"/>
  <c r="A47" i="99" l="1"/>
  <c r="A48" i="3"/>
  <c r="A45" i="48" s="1"/>
  <c r="A40" i="99"/>
  <c r="B31" i="99" l="1"/>
  <c r="C30" i="3"/>
  <c r="B32" i="48" s="1"/>
  <c r="B30" i="99"/>
  <c r="B12" i="99"/>
  <c r="A12" i="99"/>
  <c r="C13" i="3"/>
  <c r="A13" i="3"/>
  <c r="D14" i="99"/>
  <c r="D33" i="99" s="1"/>
  <c r="D58" i="99" s="1"/>
  <c r="A92" i="48"/>
  <c r="C73" i="48"/>
  <c r="E80" i="48" s="1"/>
  <c r="A89" i="48"/>
  <c r="A90" i="48"/>
  <c r="A133" i="48"/>
  <c r="B133" i="48"/>
  <c r="F133" i="48"/>
  <c r="B136" i="48"/>
  <c r="F136" i="48"/>
  <c r="C149" i="48"/>
  <c r="C150" i="48"/>
  <c r="B11" i="48"/>
  <c r="C11" i="3"/>
  <c r="A12" i="3"/>
  <c r="C12" i="3"/>
  <c r="A15" i="3"/>
  <c r="C15" i="3"/>
  <c r="A42" i="3"/>
  <c r="A39" i="48" s="1"/>
  <c r="C42" i="3"/>
  <c r="B39" i="48" s="1"/>
  <c r="A17" i="3"/>
  <c r="A19" i="48" s="1"/>
  <c r="C17" i="3"/>
  <c r="B19" i="48" s="1"/>
  <c r="A18" i="3"/>
  <c r="A20" i="48" s="1"/>
  <c r="C18" i="3"/>
  <c r="B20" i="48" s="1"/>
  <c r="A19" i="3"/>
  <c r="A21" i="48" s="1"/>
  <c r="C19" i="3"/>
  <c r="B21" i="48" s="1"/>
  <c r="A20" i="3"/>
  <c r="A22" i="48" s="1"/>
  <c r="C20" i="3"/>
  <c r="B22" i="48" s="1"/>
  <c r="A27" i="3"/>
  <c r="A29" i="48" s="1"/>
  <c r="C27" i="3"/>
  <c r="B29" i="48" s="1"/>
  <c r="A28" i="3"/>
  <c r="A30" i="48" s="1"/>
  <c r="C28" i="3"/>
  <c r="B30" i="48" s="1"/>
  <c r="C32" i="3"/>
  <c r="C21" i="3"/>
  <c r="B23" i="48" s="1"/>
  <c r="C22" i="3"/>
  <c r="B24" i="48" s="1"/>
  <c r="C23" i="3"/>
  <c r="B25" i="48" s="1"/>
  <c r="C24" i="3"/>
  <c r="B26" i="48" s="1"/>
  <c r="C26" i="3"/>
  <c r="B28" i="48" s="1"/>
  <c r="C29" i="3"/>
  <c r="B31" i="48" s="1"/>
  <c r="A36" i="3"/>
  <c r="C36" i="3"/>
  <c r="B33" i="48" s="1"/>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1" i="48"/>
  <c r="B131" i="48"/>
  <c r="A132" i="48"/>
  <c r="B132" i="48"/>
  <c r="E40" i="50"/>
  <c r="G40" i="50" s="1"/>
  <c r="I40" i="50" s="1"/>
  <c r="E43" i="50"/>
  <c r="E22" i="52"/>
  <c r="E24" i="52" s="1"/>
  <c r="X16" i="51"/>
  <c r="X18" i="51"/>
  <c r="V20" i="51"/>
  <c r="W20" i="51"/>
  <c r="W24" i="51"/>
  <c r="A10" i="99"/>
  <c r="B10" i="99"/>
  <c r="A11" i="99"/>
  <c r="B11" i="99"/>
  <c r="A16" i="99"/>
  <c r="B16" i="99"/>
  <c r="A41" i="99"/>
  <c r="B41" i="99"/>
  <c r="A18" i="99"/>
  <c r="B18" i="99"/>
  <c r="A19" i="99"/>
  <c r="B19" i="99"/>
  <c r="A20" i="99"/>
  <c r="B20" i="99"/>
  <c r="A21" i="99"/>
  <c r="B21" i="99"/>
  <c r="A28" i="99"/>
  <c r="B28" i="99"/>
  <c r="A29" i="99"/>
  <c r="B29" i="99"/>
  <c r="B22" i="99"/>
  <c r="B23" i="99"/>
  <c r="B24" i="99"/>
  <c r="B25" i="99"/>
  <c r="B27" i="99"/>
  <c r="A35" i="99"/>
  <c r="B35" i="99"/>
  <c r="A37" i="99"/>
  <c r="B37" i="99"/>
  <c r="A38" i="99"/>
  <c r="B38" i="99"/>
  <c r="A36" i="99"/>
  <c r="B36" i="99"/>
  <c r="A39" i="99"/>
  <c r="B39" i="99"/>
  <c r="B40" i="99"/>
  <c r="D64" i="99"/>
  <c r="D68" i="99"/>
  <c r="A73" i="99"/>
  <c r="B73" i="99"/>
  <c r="A74" i="99"/>
  <c r="B74" i="99"/>
  <c r="A75" i="99"/>
  <c r="B75" i="99"/>
  <c r="A76" i="99"/>
  <c r="B76" i="99"/>
  <c r="A77" i="99"/>
  <c r="B77" i="99"/>
  <c r="A78" i="99"/>
  <c r="B78" i="99"/>
  <c r="A79" i="99"/>
  <c r="B79" i="99"/>
  <c r="A80" i="99"/>
  <c r="B80" i="99"/>
  <c r="A85" i="99"/>
  <c r="B85" i="99"/>
  <c r="A86" i="99"/>
  <c r="B86" i="99"/>
  <c r="A87" i="99"/>
  <c r="B87" i="99"/>
  <c r="A88" i="99"/>
  <c r="B88" i="99"/>
  <c r="A89" i="99"/>
  <c r="B89" i="99"/>
  <c r="A90" i="99"/>
  <c r="B90" i="99"/>
  <c r="A91" i="99"/>
  <c r="B91" i="99"/>
  <c r="A92" i="99"/>
  <c r="B92" i="99"/>
  <c r="A93" i="99"/>
  <c r="B93" i="99"/>
  <c r="A94" i="99"/>
  <c r="B94" i="99"/>
  <c r="A95" i="99"/>
  <c r="B95" i="99"/>
  <c r="A96" i="99"/>
  <c r="B96" i="99"/>
  <c r="A97" i="99"/>
  <c r="B97" i="99"/>
  <c r="A98" i="99"/>
  <c r="B98"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A116" i="99"/>
  <c r="B116" i="99"/>
  <c r="A117" i="99"/>
  <c r="B117" i="99"/>
  <c r="A118" i="99"/>
  <c r="B118" i="99"/>
  <c r="G117" i="99"/>
  <c r="F132" i="48"/>
  <c r="F131" i="48"/>
  <c r="G116" i="99"/>
  <c r="C87" i="48"/>
  <c r="C165" i="48" s="1"/>
  <c r="C79" i="48"/>
  <c r="C157" i="48" s="1"/>
  <c r="C83" i="48"/>
  <c r="C161" i="48" s="1"/>
  <c r="C82" i="48"/>
  <c r="C160" i="48" s="1"/>
  <c r="C78" i="48"/>
  <c r="C156" i="48" s="1"/>
  <c r="C86" i="48"/>
  <c r="C164" i="48" s="1"/>
  <c r="C77" i="48"/>
  <c r="C155" i="48" s="1"/>
  <c r="G96" i="99"/>
  <c r="F114" i="48"/>
  <c r="G90" i="99"/>
  <c r="F128" i="48"/>
  <c r="F130" i="48"/>
  <c r="F120" i="48"/>
  <c r="F104" i="48"/>
  <c r="G86" i="99"/>
  <c r="F112" i="48"/>
  <c r="G94" i="99"/>
  <c r="G113" i="99"/>
  <c r="F126" i="48"/>
  <c r="G111" i="99"/>
  <c r="G105" i="99"/>
  <c r="G118" i="99"/>
  <c r="G115" i="99"/>
  <c r="F118" i="99"/>
  <c r="G109" i="99"/>
  <c r="F124" i="48"/>
  <c r="F127" i="48"/>
  <c r="G112" i="99"/>
  <c r="F99" i="48"/>
  <c r="G76" i="99"/>
  <c r="F108" i="48"/>
  <c r="F113" i="99"/>
  <c r="F106" i="48"/>
  <c r="G88" i="99"/>
  <c r="F110" i="48"/>
  <c r="G92" i="99"/>
  <c r="F121" i="48"/>
  <c r="G106" i="99"/>
  <c r="F96" i="99"/>
  <c r="F112" i="99"/>
  <c r="F115" i="99"/>
  <c r="F129" i="48"/>
  <c r="G114" i="99"/>
  <c r="F109" i="48"/>
  <c r="G91" i="99"/>
  <c r="F125" i="48"/>
  <c r="G110" i="99"/>
  <c r="G77" i="99"/>
  <c r="F100" i="48"/>
  <c r="F103" i="48"/>
  <c r="G80" i="99"/>
  <c r="F107" i="48"/>
  <c r="G89" i="99"/>
  <c r="F105" i="48"/>
  <c r="G87" i="99"/>
  <c r="F111" i="48"/>
  <c r="G93" i="99"/>
  <c r="F122" i="48"/>
  <c r="G107" i="99"/>
  <c r="F109" i="99"/>
  <c r="G85" i="99"/>
  <c r="F114" i="99"/>
  <c r="F103" i="99"/>
  <c r="G75" i="99"/>
  <c r="F102" i="48"/>
  <c r="G79" i="99"/>
  <c r="F115" i="48"/>
  <c r="G97" i="99"/>
  <c r="F123" i="48"/>
  <c r="G108" i="99"/>
  <c r="F95" i="99"/>
  <c r="G95" i="99"/>
  <c r="F116" i="99"/>
  <c r="F105" i="99"/>
  <c r="F106" i="99"/>
  <c r="F116" i="48"/>
  <c r="G98" i="99"/>
  <c r="F96" i="48"/>
  <c r="F134" i="48" s="1"/>
  <c r="G73" i="99"/>
  <c r="G83" i="99" s="1"/>
  <c r="G101" i="99" s="1"/>
  <c r="G120" i="99" s="1"/>
  <c r="F97" i="48"/>
  <c r="G74" i="99"/>
  <c r="F101" i="48"/>
  <c r="G78" i="99"/>
  <c r="F85" i="99"/>
  <c r="F94" i="99"/>
  <c r="F108" i="99"/>
  <c r="G103" i="99"/>
  <c r="F118" i="48"/>
  <c r="F98" i="48"/>
  <c r="F73" i="99"/>
  <c r="F83" i="99" s="1"/>
  <c r="F91" i="99"/>
  <c r="F113" i="48"/>
  <c r="F117" i="99"/>
  <c r="F111" i="99"/>
  <c r="F93" i="99"/>
  <c r="F86" i="99"/>
  <c r="F90" i="99"/>
  <c r="F98" i="99"/>
  <c r="F97" i="99"/>
  <c r="F110" i="99"/>
  <c r="F107" i="99"/>
  <c r="F77" i="99"/>
  <c r="F75" i="99"/>
  <c r="F74" i="99"/>
  <c r="F80" i="99"/>
  <c r="F89" i="99"/>
  <c r="F88" i="99"/>
  <c r="F78" i="99"/>
  <c r="F87" i="99"/>
  <c r="F79" i="99"/>
  <c r="F76" i="99"/>
  <c r="F92" i="99"/>
  <c r="F119" i="48"/>
  <c r="G104" i="99"/>
  <c r="F104" i="99"/>
  <c r="E25" i="50"/>
  <c r="G25" i="50" s="1"/>
  <c r="I25" i="50" s="1"/>
  <c r="E14" i="99"/>
  <c r="E33" i="99" s="1"/>
  <c r="E58" i="99" s="1"/>
  <c r="X20" i="51" l="1"/>
  <c r="Z20" i="51" s="1"/>
  <c r="A33" i="48"/>
  <c r="B17" i="48"/>
  <c r="A17" i="48"/>
  <c r="A13" i="48"/>
  <c r="A12" i="48"/>
  <c r="B14" i="48"/>
  <c r="B13" i="48"/>
  <c r="B12" i="48"/>
  <c r="A14" i="48"/>
  <c r="C84" i="48"/>
  <c r="D83" i="48" s="1"/>
  <c r="C158" i="48"/>
  <c r="D155" i="48" s="1"/>
  <c r="C88" i="48"/>
  <c r="D86" i="48" s="1"/>
  <c r="D88" i="48" s="1"/>
  <c r="E32" i="50"/>
  <c r="G32" i="50" s="1"/>
  <c r="E15" i="50"/>
  <c r="G15" i="50" s="1"/>
  <c r="I15" i="50" s="1"/>
  <c r="E52" i="50"/>
  <c r="E28" i="50"/>
  <c r="G28" i="50" s="1"/>
  <c r="I28" i="50" s="1"/>
  <c r="E35" i="50"/>
  <c r="G35" i="50" s="1"/>
  <c r="I35" i="50" s="1"/>
  <c r="E33" i="50"/>
  <c r="G33" i="50" s="1"/>
  <c r="I33" i="50" s="1"/>
  <c r="E44" i="50"/>
  <c r="E26" i="50"/>
  <c r="G26" i="50" s="1"/>
  <c r="I26" i="50" s="1"/>
  <c r="E39" i="50"/>
  <c r="G39" i="50" s="1"/>
  <c r="I39" i="50" s="1"/>
  <c r="E38" i="50"/>
  <c r="G38" i="50" s="1"/>
  <c r="I38" i="50" s="1"/>
  <c r="E19" i="50"/>
  <c r="G19" i="50" s="1"/>
  <c r="I19" i="50" s="1"/>
  <c r="E16" i="50"/>
  <c r="G16" i="50" s="1"/>
  <c r="I16" i="50" s="1"/>
  <c r="F101" i="99"/>
  <c r="H83" i="99"/>
  <c r="C162" i="48"/>
  <c r="D160" i="48" s="1"/>
  <c r="C151" i="48"/>
  <c r="E158" i="48" s="1"/>
  <c r="C166" i="48"/>
  <c r="D164" i="48" s="1"/>
  <c r="C80" i="48"/>
  <c r="D77" i="48" s="1"/>
  <c r="F138" i="48"/>
  <c r="F142" i="48" s="1"/>
  <c r="F145" i="48" s="1"/>
  <c r="I32" i="50" l="1"/>
  <c r="G36" i="50"/>
  <c r="E46" i="50"/>
  <c r="G44" i="50"/>
  <c r="D82" i="48"/>
  <c r="D84" i="48" s="1"/>
  <c r="Y20" i="51"/>
  <c r="D161" i="48"/>
  <c r="D162" i="48" s="1"/>
  <c r="A32" i="3"/>
  <c r="D156" i="48"/>
  <c r="E156" i="48" s="1"/>
  <c r="E166" i="48" s="1"/>
  <c r="E164" i="48" s="1"/>
  <c r="D157" i="48"/>
  <c r="E157" i="48" s="1"/>
  <c r="D87" i="48"/>
  <c r="E36" i="50"/>
  <c r="E24" i="50"/>
  <c r="F120" i="99"/>
  <c r="H120" i="99" s="1"/>
  <c r="H101" i="99"/>
  <c r="D166" i="48"/>
  <c r="E77" i="48"/>
  <c r="E84" i="48" s="1"/>
  <c r="D165" i="48"/>
  <c r="D79" i="48"/>
  <c r="E79" i="48" s="1"/>
  <c r="D78" i="48"/>
  <c r="E78" i="48" s="1"/>
  <c r="E88" i="48" s="1"/>
  <c r="E155" i="48"/>
  <c r="E162" i="48" s="1"/>
  <c r="I36" i="50" l="1"/>
  <c r="I44" i="50"/>
  <c r="E29" i="50"/>
  <c r="E47" i="50" s="1"/>
  <c r="G24" i="50"/>
  <c r="M8" i="99"/>
  <c r="BB68" i="1"/>
  <c r="E88" i="1"/>
  <c r="A21" i="3"/>
  <c r="A23" i="48" s="1"/>
  <c r="A22" i="99"/>
  <c r="K16" i="50"/>
  <c r="D158" i="48"/>
  <c r="E165" i="48"/>
  <c r="E86" i="48"/>
  <c r="E87" i="48"/>
  <c r="E83" i="48"/>
  <c r="E82" i="48"/>
  <c r="D80" i="48"/>
  <c r="E160" i="48"/>
  <c r="E161" i="48"/>
  <c r="I24" i="50" l="1"/>
  <c r="G29" i="50"/>
  <c r="BC67" i="1"/>
  <c r="BQ68" i="1"/>
  <c r="BR67" i="1" s="1"/>
  <c r="K20" i="99"/>
  <c r="E19" i="3"/>
  <c r="F21" i="48" s="1"/>
  <c r="K28" i="50"/>
  <c r="K33" i="50"/>
  <c r="K44" i="50"/>
  <c r="K40" i="50"/>
  <c r="K55" i="50"/>
  <c r="A23" i="99"/>
  <c r="A22" i="3"/>
  <c r="A24" i="48" s="1"/>
  <c r="K25" i="50"/>
  <c r="K26" i="50"/>
  <c r="K54" i="50"/>
  <c r="K19" i="50"/>
  <c r="K45" i="50"/>
  <c r="K32" i="50"/>
  <c r="K39" i="50"/>
  <c r="K19" i="99"/>
  <c r="E18" i="3"/>
  <c r="F20" i="48" s="1"/>
  <c r="K28" i="99"/>
  <c r="E40" i="3"/>
  <c r="F37" i="48" s="1"/>
  <c r="K39" i="99"/>
  <c r="K37" i="99"/>
  <c r="E38" i="3"/>
  <c r="F35" i="48" s="1"/>
  <c r="K23" i="99"/>
  <c r="E32" i="3"/>
  <c r="E29" i="3"/>
  <c r="F31" i="48" s="1"/>
  <c r="E15" i="3"/>
  <c r="F17" i="48" s="1"/>
  <c r="K16" i="99"/>
  <c r="E30" i="3"/>
  <c r="F32" i="48" s="1"/>
  <c r="K31" i="99"/>
  <c r="G35" i="48" l="1"/>
  <c r="G31" i="48"/>
  <c r="G20" i="48"/>
  <c r="G32" i="48"/>
  <c r="G21" i="48"/>
  <c r="G37" i="48"/>
  <c r="I29" i="50"/>
  <c r="E36" i="3"/>
  <c r="F33" i="48" s="1"/>
  <c r="K35" i="99"/>
  <c r="K38" i="99"/>
  <c r="E39" i="3"/>
  <c r="F36" i="48" s="1"/>
  <c r="E24" i="3"/>
  <c r="F26" i="48" s="1"/>
  <c r="K25" i="99"/>
  <c r="K18" i="99"/>
  <c r="E17" i="3"/>
  <c r="F19" i="48" s="1"/>
  <c r="K36" i="99"/>
  <c r="E37" i="3"/>
  <c r="F34" i="48" s="1"/>
  <c r="E21" i="3"/>
  <c r="F23" i="48" s="1"/>
  <c r="K22" i="99"/>
  <c r="K12" i="99"/>
  <c r="F14" i="48"/>
  <c r="E46" i="3"/>
  <c r="F43" i="48" s="1"/>
  <c r="E41" i="3"/>
  <c r="F38" i="48" s="1"/>
  <c r="K40" i="99"/>
  <c r="K30" i="99"/>
  <c r="E27" i="3"/>
  <c r="F29" i="48" s="1"/>
  <c r="E20" i="3"/>
  <c r="F22" i="48" s="1"/>
  <c r="K21" i="99"/>
  <c r="K27" i="99"/>
  <c r="E26" i="3"/>
  <c r="F28" i="48" s="1"/>
  <c r="K29" i="99"/>
  <c r="E28" i="3"/>
  <c r="F30" i="48" s="1"/>
  <c r="K11" i="99"/>
  <c r="F13" i="48"/>
  <c r="A23" i="3"/>
  <c r="A25" i="48" s="1"/>
  <c r="A24" i="99"/>
  <c r="E23" i="3"/>
  <c r="F25" i="48" s="1"/>
  <c r="K24" i="99"/>
  <c r="E11" i="3"/>
  <c r="F12" i="48" s="1"/>
  <c r="E42" i="3"/>
  <c r="F39" i="48" s="1"/>
  <c r="K41" i="99"/>
  <c r="G17" i="48"/>
  <c r="G25" i="48" l="1"/>
  <c r="G34" i="48"/>
  <c r="G39" i="48"/>
  <c r="G30" i="48"/>
  <c r="G26" i="48"/>
  <c r="G33" i="48"/>
  <c r="G22" i="48"/>
  <c r="G38" i="48"/>
  <c r="G19" i="48"/>
  <c r="G36" i="48"/>
  <c r="G28" i="48"/>
  <c r="G29" i="48"/>
  <c r="G23" i="48"/>
  <c r="G43" i="48"/>
  <c r="F55" i="48"/>
  <c r="F169" i="48" s="1"/>
  <c r="G12" i="48"/>
  <c r="K10" i="99"/>
  <c r="G13" i="48"/>
  <c r="A25" i="99"/>
  <c r="A24" i="3"/>
  <c r="A26" i="48" s="1"/>
  <c r="G14" i="48"/>
  <c r="A26" i="3" l="1"/>
  <c r="A28" i="48" s="1"/>
  <c r="A27" i="99"/>
  <c r="A30" i="3" l="1"/>
  <c r="A32" i="48" s="1"/>
  <c r="A31" i="99"/>
  <c r="A29" i="3" l="1"/>
  <c r="A31" i="48" s="1"/>
  <c r="A30" i="99" l="1"/>
  <c r="Q14" i="51" l="1"/>
  <c r="V24" i="51"/>
  <c r="X24" i="51" s="1"/>
  <c r="O16" i="51"/>
  <c r="Q16" i="51" l="1"/>
  <c r="BK53" i="1" l="1"/>
  <c r="BK57" i="1" s="1"/>
  <c r="AV53" i="1"/>
  <c r="AV57" i="1" s="1"/>
  <c r="AW53" i="1"/>
  <c r="AJ57" i="1"/>
  <c r="AJ94" i="1" s="1"/>
  <c r="AJ95" i="1" s="1"/>
  <c r="AH94" i="1"/>
  <c r="AH95" i="1" s="1"/>
  <c r="AU53" i="1"/>
  <c r="BJ53" i="1"/>
  <c r="AS53" i="1"/>
  <c r="BF53" i="1"/>
  <c r="BM53" i="1"/>
  <c r="BE53" i="1"/>
  <c r="I53" i="1"/>
  <c r="BG53" i="1"/>
  <c r="AJ52" i="113"/>
  <c r="AO53" i="1"/>
  <c r="AL52" i="113" s="1"/>
  <c r="AT53" i="1"/>
  <c r="AP52" i="113" s="1"/>
  <c r="AK53" i="1"/>
  <c r="AH52" i="113" s="1"/>
  <c r="T53" i="1"/>
  <c r="J53" i="1"/>
  <c r="J52" i="113" s="1"/>
  <c r="L53" i="1"/>
  <c r="L52" i="113" s="1"/>
  <c r="AF52" i="113"/>
  <c r="AE53" i="1"/>
  <c r="AB52" i="113" s="1"/>
  <c r="S53" i="1"/>
  <c r="S52" i="113" s="1"/>
  <c r="U53" i="1"/>
  <c r="U52" i="113" s="1"/>
  <c r="AQ53" i="1"/>
  <c r="AM52" i="113" s="1"/>
  <c r="K52" i="113"/>
  <c r="Q53" i="1"/>
  <c r="Q52" i="113" s="1"/>
  <c r="AG53" i="1"/>
  <c r="AD52" i="113" s="1"/>
  <c r="F53" i="1"/>
  <c r="N53" i="1"/>
  <c r="N52" i="113" s="1"/>
  <c r="R53" i="1"/>
  <c r="R52" i="113" s="1"/>
  <c r="P53" i="1"/>
  <c r="P52" i="113" s="1"/>
  <c r="Y52" i="113"/>
  <c r="M53" i="1"/>
  <c r="M52" i="113" s="1"/>
  <c r="AD53" i="1"/>
  <c r="AA52" i="113" s="1"/>
  <c r="V53" i="1"/>
  <c r="V52" i="113" s="1"/>
  <c r="AC53" i="1"/>
  <c r="AA53" i="1"/>
  <c r="AR53" i="1"/>
  <c r="AN52" i="113" s="1"/>
  <c r="H53" i="1"/>
  <c r="H52" i="113" s="1"/>
  <c r="G52" i="113"/>
  <c r="W53" i="1"/>
  <c r="W52" i="113" s="1"/>
  <c r="E57" i="48"/>
  <c r="AF53" i="1"/>
  <c r="AC52" i="113" s="1"/>
  <c r="Z53" i="1"/>
  <c r="O57" i="1"/>
  <c r="O56" i="113" s="1"/>
  <c r="N8" i="99"/>
  <c r="Z52" i="113" l="1"/>
  <c r="H53" i="50"/>
  <c r="F52" i="113"/>
  <c r="F53" i="50"/>
  <c r="G53" i="50" s="1"/>
  <c r="I53" i="50" s="1"/>
  <c r="BA52" i="113"/>
  <c r="N55" i="99"/>
  <c r="I53" i="48"/>
  <c r="I12" i="48"/>
  <c r="AV94" i="1"/>
  <c r="AV95" i="1" s="1"/>
  <c r="AT52" i="113"/>
  <c r="AY57" i="1"/>
  <c r="AT56" i="113" s="1"/>
  <c r="I31" i="48"/>
  <c r="I22" i="48"/>
  <c r="I18" i="48"/>
  <c r="I19" i="48"/>
  <c r="I20" i="48"/>
  <c r="I24" i="48"/>
  <c r="I25" i="48"/>
  <c r="I28" i="48"/>
  <c r="I23" i="48"/>
  <c r="I30" i="48"/>
  <c r="I26" i="48"/>
  <c r="I27" i="48"/>
  <c r="I29" i="48"/>
  <c r="I32" i="48"/>
  <c r="I21" i="48"/>
  <c r="I15" i="48"/>
  <c r="I51" i="48"/>
  <c r="I52" i="48"/>
  <c r="I50" i="48"/>
  <c r="I48" i="48"/>
  <c r="I49" i="48"/>
  <c r="I42" i="48"/>
  <c r="I45" i="48"/>
  <c r="I44" i="48"/>
  <c r="I43" i="48"/>
  <c r="AR52" i="113"/>
  <c r="AS52" i="113"/>
  <c r="AW57" i="1"/>
  <c r="G55" i="99" s="1"/>
  <c r="J55" i="99" s="1"/>
  <c r="M55" i="99" s="1"/>
  <c r="BK94" i="1"/>
  <c r="BK95" i="1" s="1"/>
  <c r="D68" i="3"/>
  <c r="BA56" i="113"/>
  <c r="N51" i="99"/>
  <c r="N53" i="99"/>
  <c r="AE52" i="113"/>
  <c r="AG52" i="113"/>
  <c r="BF57" i="1"/>
  <c r="AV52" i="113"/>
  <c r="AW52" i="113"/>
  <c r="BG57" i="1"/>
  <c r="I57" i="1"/>
  <c r="I52" i="113"/>
  <c r="AO52" i="113"/>
  <c r="AS57" i="1"/>
  <c r="G51" i="99" s="1"/>
  <c r="J51" i="99" s="1"/>
  <c r="M51" i="99" s="1"/>
  <c r="AY52" i="113"/>
  <c r="BI57" i="1"/>
  <c r="BE57" i="1"/>
  <c r="AU52" i="113"/>
  <c r="AZ52" i="113"/>
  <c r="BJ57" i="1"/>
  <c r="D67" i="3" s="1"/>
  <c r="AX52" i="113"/>
  <c r="BH57" i="1"/>
  <c r="BM57" i="1"/>
  <c r="BB52" i="113"/>
  <c r="AQ52" i="113"/>
  <c r="AU57" i="1"/>
  <c r="N13" i="99"/>
  <c r="N54" i="99"/>
  <c r="N44" i="99"/>
  <c r="N47" i="99"/>
  <c r="N45" i="99"/>
  <c r="AK52" i="113"/>
  <c r="AI52" i="113"/>
  <c r="G44" i="99"/>
  <c r="J44" i="99" s="1"/>
  <c r="M44" i="99" s="1"/>
  <c r="AO57" i="1"/>
  <c r="AL56" i="113" s="1"/>
  <c r="AQ57" i="1"/>
  <c r="AM56" i="113" s="1"/>
  <c r="AR57" i="1"/>
  <c r="AN56" i="113" s="1"/>
  <c r="AT57" i="1"/>
  <c r="AP56" i="113" s="1"/>
  <c r="N52" i="99"/>
  <c r="N43" i="99"/>
  <c r="I41" i="48"/>
  <c r="I40" i="48"/>
  <c r="I47" i="48"/>
  <c r="I46" i="48"/>
  <c r="T57" i="1"/>
  <c r="T56" i="113" s="1"/>
  <c r="T52" i="113"/>
  <c r="N26" i="99"/>
  <c r="E86" i="1"/>
  <c r="AV90" i="1" s="1"/>
  <c r="AV91" i="1" s="1"/>
  <c r="N42" i="99"/>
  <c r="J57" i="1"/>
  <c r="J56" i="113" s="1"/>
  <c r="AG56" i="113"/>
  <c r="AE57" i="1"/>
  <c r="AB56" i="113" s="1"/>
  <c r="AF57" i="1"/>
  <c r="AC56" i="113" s="1"/>
  <c r="S57" i="1"/>
  <c r="S56" i="113" s="1"/>
  <c r="L57" i="1"/>
  <c r="L56" i="113" s="1"/>
  <c r="P57" i="1"/>
  <c r="P56" i="113" s="1"/>
  <c r="AG57" i="1"/>
  <c r="AD56" i="113" s="1"/>
  <c r="AF56" i="113"/>
  <c r="AA57" i="1"/>
  <c r="W57" i="1"/>
  <c r="W56" i="113" s="1"/>
  <c r="Y56" i="113"/>
  <c r="AC57" i="1"/>
  <c r="Z56" i="113" s="1"/>
  <c r="M57" i="1"/>
  <c r="M56" i="113" s="1"/>
  <c r="N17" i="99"/>
  <c r="Q57" i="1"/>
  <c r="Q56" i="113" s="1"/>
  <c r="N57" i="1"/>
  <c r="N56" i="113" s="1"/>
  <c r="AE56" i="113"/>
  <c r="R57" i="1"/>
  <c r="R56" i="113" s="1"/>
  <c r="H57" i="1"/>
  <c r="H56" i="113" s="1"/>
  <c r="AB53" i="1"/>
  <c r="F57" i="1"/>
  <c r="F94" i="1" s="1"/>
  <c r="F95" i="1" s="1"/>
  <c r="AD57" i="1"/>
  <c r="AA56" i="113" s="1"/>
  <c r="G57" i="1"/>
  <c r="G56" i="113" s="1"/>
  <c r="Z57" i="1"/>
  <c r="V57" i="1"/>
  <c r="V56" i="113" s="1"/>
  <c r="N49" i="99"/>
  <c r="I17" i="48"/>
  <c r="I13" i="48"/>
  <c r="F57" i="48"/>
  <c r="F59" i="48" s="1"/>
  <c r="F63" i="48" s="1"/>
  <c r="F66" i="48" s="1"/>
  <c r="I14" i="48"/>
  <c r="I38" i="48"/>
  <c r="I39" i="48"/>
  <c r="I36" i="48"/>
  <c r="I34" i="48"/>
  <c r="I33" i="48"/>
  <c r="I37" i="48"/>
  <c r="I35" i="48"/>
  <c r="N56" i="99"/>
  <c r="N50" i="99"/>
  <c r="O94" i="1"/>
  <c r="O95" i="1" s="1"/>
  <c r="N46" i="99"/>
  <c r="G21" i="99"/>
  <c r="J21" i="99" s="1"/>
  <c r="M21" i="99" s="1"/>
  <c r="D20" i="3"/>
  <c r="N28" i="99"/>
  <c r="N22" i="99"/>
  <c r="N23" i="99"/>
  <c r="N18" i="99"/>
  <c r="N10" i="99"/>
  <c r="N38" i="99"/>
  <c r="N24" i="99"/>
  <c r="N21" i="99"/>
  <c r="N20" i="99"/>
  <c r="N41" i="99"/>
  <c r="N35" i="99"/>
  <c r="N40" i="99"/>
  <c r="N36" i="99"/>
  <c r="N27" i="99"/>
  <c r="N25" i="99"/>
  <c r="N29" i="99"/>
  <c r="N12" i="99"/>
  <c r="O15" i="99"/>
  <c r="O34" i="99"/>
  <c r="N11" i="99"/>
  <c r="N31" i="99"/>
  <c r="N16" i="99"/>
  <c r="N37" i="99"/>
  <c r="N19" i="99"/>
  <c r="N39" i="99"/>
  <c r="N30" i="99"/>
  <c r="P55" i="99" l="1"/>
  <c r="O55" i="99"/>
  <c r="AV96" i="1"/>
  <c r="AV83" i="1"/>
  <c r="AW94" i="1"/>
  <c r="AW95" i="1" s="1"/>
  <c r="AS56" i="113"/>
  <c r="D57" i="3"/>
  <c r="BK90" i="1"/>
  <c r="BK91" i="1" s="1"/>
  <c r="BK83" i="1" s="1"/>
  <c r="AW90" i="1"/>
  <c r="AW91" i="1" s="1"/>
  <c r="AQ90" i="1"/>
  <c r="AQ91" i="1" s="1"/>
  <c r="AQ83" i="1" s="1"/>
  <c r="O51" i="99"/>
  <c r="D55" i="3"/>
  <c r="G53" i="99"/>
  <c r="P51" i="99"/>
  <c r="AH90" i="1"/>
  <c r="AH91" i="1" s="1"/>
  <c r="AH83" i="1" s="1"/>
  <c r="AJ90" i="1"/>
  <c r="AJ91" i="1" s="1"/>
  <c r="AU94" i="1"/>
  <c r="AU95" i="1" s="1"/>
  <c r="AQ56" i="113"/>
  <c r="D65" i="3"/>
  <c r="AX56" i="113"/>
  <c r="BH94" i="1"/>
  <c r="BH95" i="1" s="1"/>
  <c r="D53" i="3"/>
  <c r="AS94" i="1"/>
  <c r="AS95" i="1" s="1"/>
  <c r="AO56" i="113"/>
  <c r="D64" i="3"/>
  <c r="AW56" i="113"/>
  <c r="BG94" i="1"/>
  <c r="BG95" i="1" s="1"/>
  <c r="D62" i="3"/>
  <c r="AU56" i="113"/>
  <c r="BE94" i="1"/>
  <c r="BE95" i="1" s="1"/>
  <c r="AZ56" i="113"/>
  <c r="BJ94" i="1"/>
  <c r="BJ95" i="1" s="1"/>
  <c r="BI94" i="1"/>
  <c r="BI95" i="1" s="1"/>
  <c r="D66" i="3"/>
  <c r="AY56" i="113"/>
  <c r="D69" i="3"/>
  <c r="BB56" i="113"/>
  <c r="BM94" i="1"/>
  <c r="BM95" i="1" s="1"/>
  <c r="D14" i="3"/>
  <c r="I94" i="1"/>
  <c r="I95" i="1" s="1"/>
  <c r="I56" i="113"/>
  <c r="G13" i="99"/>
  <c r="BF94" i="1"/>
  <c r="BF95" i="1" s="1"/>
  <c r="D63" i="3"/>
  <c r="AV56" i="113"/>
  <c r="G54" i="99"/>
  <c r="O54" i="99" s="1"/>
  <c r="AR56" i="113"/>
  <c r="AS90" i="1"/>
  <c r="AS91" i="1" s="1"/>
  <c r="AS83" i="1" s="1"/>
  <c r="AU90" i="1"/>
  <c r="AU91" i="1" s="1"/>
  <c r="BJ90" i="1"/>
  <c r="BJ91" i="1" s="1"/>
  <c r="BF90" i="1"/>
  <c r="BF91" i="1" s="1"/>
  <c r="BF83" i="1" s="1"/>
  <c r="I90" i="1"/>
  <c r="I91" i="1" s="1"/>
  <c r="O44" i="99"/>
  <c r="AJ56" i="113"/>
  <c r="G45" i="99"/>
  <c r="P44" i="99"/>
  <c r="BM90" i="1"/>
  <c r="BM91" i="1" s="1"/>
  <c r="BE90" i="1"/>
  <c r="BE91" i="1" s="1"/>
  <c r="BE83" i="1" s="1"/>
  <c r="BH90" i="1"/>
  <c r="BH91" i="1" s="1"/>
  <c r="AK56" i="113"/>
  <c r="BI90" i="1"/>
  <c r="BI91" i="1" s="1"/>
  <c r="BG90" i="1"/>
  <c r="BG91" i="1" s="1"/>
  <c r="AI56" i="113"/>
  <c r="D45" i="3"/>
  <c r="AL94" i="1"/>
  <c r="AL95" i="1" s="1"/>
  <c r="AO94" i="1"/>
  <c r="AO95" i="1" s="1"/>
  <c r="D56" i="3"/>
  <c r="AM94" i="1"/>
  <c r="AM95" i="1" s="1"/>
  <c r="D43" i="3"/>
  <c r="AL90" i="1"/>
  <c r="AL91" i="1" s="1"/>
  <c r="AL83" i="1" s="1"/>
  <c r="G47" i="99"/>
  <c r="D48" i="3"/>
  <c r="AM90" i="1"/>
  <c r="AM91" i="1" s="1"/>
  <c r="AO90" i="1"/>
  <c r="AO91" i="1" s="1"/>
  <c r="AO83" i="1" s="1"/>
  <c r="D54" i="3"/>
  <c r="G52" i="99"/>
  <c r="AT94" i="1"/>
  <c r="AT95" i="1" s="1"/>
  <c r="AT90" i="1"/>
  <c r="AT91" i="1" s="1"/>
  <c r="AT83" i="1" s="1"/>
  <c r="G42" i="99"/>
  <c r="J42" i="99" s="1"/>
  <c r="M42" i="99" s="1"/>
  <c r="P42" i="99" s="1"/>
  <c r="G26" i="99"/>
  <c r="J26" i="99" s="1"/>
  <c r="M26" i="99" s="1"/>
  <c r="P26" i="99" s="1"/>
  <c r="T94" i="1"/>
  <c r="T95" i="1" s="1"/>
  <c r="D25" i="3"/>
  <c r="D15" i="3"/>
  <c r="J94" i="1"/>
  <c r="J95" i="1" s="1"/>
  <c r="G16" i="99"/>
  <c r="J16" i="99" s="1"/>
  <c r="M16" i="99" s="1"/>
  <c r="P16" i="99" s="1"/>
  <c r="T90" i="1"/>
  <c r="T91" i="1" s="1"/>
  <c r="O90" i="1"/>
  <c r="O91" i="1" s="1"/>
  <c r="J90" i="1"/>
  <c r="J91" i="1" s="1"/>
  <c r="G36" i="99"/>
  <c r="J36" i="99" s="1"/>
  <c r="M36" i="99" s="1"/>
  <c r="P36" i="99" s="1"/>
  <c r="G39" i="99"/>
  <c r="J39" i="99" s="1"/>
  <c r="M39" i="99" s="1"/>
  <c r="P39" i="99" s="1"/>
  <c r="G38" i="99"/>
  <c r="J38" i="99" s="1"/>
  <c r="M38" i="99" s="1"/>
  <c r="P38" i="99" s="1"/>
  <c r="G40" i="99"/>
  <c r="J40" i="99" s="1"/>
  <c r="M40" i="99" s="1"/>
  <c r="P40" i="99" s="1"/>
  <c r="G37" i="99"/>
  <c r="J37" i="99" s="1"/>
  <c r="M37" i="99" s="1"/>
  <c r="P37" i="99" s="1"/>
  <c r="K90" i="1"/>
  <c r="K91" i="1" s="1"/>
  <c r="K83" i="1" s="1"/>
  <c r="K56" i="113"/>
  <c r="V94" i="1"/>
  <c r="V95" i="1" s="1"/>
  <c r="D17" i="3"/>
  <c r="L94" i="1"/>
  <c r="L95" i="1" s="1"/>
  <c r="D38" i="3"/>
  <c r="AD90" i="1"/>
  <c r="AD91" i="1" s="1"/>
  <c r="AE90" i="1"/>
  <c r="AE91" i="1" s="1"/>
  <c r="L90" i="1"/>
  <c r="L91" i="1" s="1"/>
  <c r="G18" i="99"/>
  <c r="J18" i="99" s="1"/>
  <c r="M18" i="99" s="1"/>
  <c r="P18" i="99" s="1"/>
  <c r="AE94" i="1"/>
  <c r="AE95" i="1" s="1"/>
  <c r="AD94" i="1"/>
  <c r="AD95" i="1" s="1"/>
  <c r="S94" i="1"/>
  <c r="S95" i="1" s="1"/>
  <c r="D28" i="3"/>
  <c r="G20" i="99"/>
  <c r="J20" i="99" s="1"/>
  <c r="M20" i="99" s="1"/>
  <c r="P20" i="99" s="1"/>
  <c r="AC94" i="1"/>
  <c r="AC95" i="1" s="1"/>
  <c r="P90" i="1"/>
  <c r="P91" i="1" s="1"/>
  <c r="D13" i="3"/>
  <c r="AF90" i="1"/>
  <c r="AF91" i="1" s="1"/>
  <c r="G25" i="99"/>
  <c r="J25" i="99" s="1"/>
  <c r="M25" i="99" s="1"/>
  <c r="P25" i="99" s="1"/>
  <c r="D39" i="3"/>
  <c r="D24" i="3"/>
  <c r="Y94" i="1"/>
  <c r="Y95" i="1" s="1"/>
  <c r="AF94" i="1"/>
  <c r="AF95" i="1" s="1"/>
  <c r="S90" i="1"/>
  <c r="S91" i="1" s="1"/>
  <c r="N90" i="1"/>
  <c r="N91" i="1" s="1"/>
  <c r="H90" i="1"/>
  <c r="H91" i="1" s="1"/>
  <c r="W94" i="1"/>
  <c r="W95" i="1" s="1"/>
  <c r="G31" i="99"/>
  <c r="J31" i="99" s="1"/>
  <c r="M31" i="99" s="1"/>
  <c r="P31" i="99" s="1"/>
  <c r="D12" i="3"/>
  <c r="D21" i="3"/>
  <c r="H94" i="1"/>
  <c r="H95" i="1" s="1"/>
  <c r="P94" i="1"/>
  <c r="P95" i="1" s="1"/>
  <c r="W90" i="1"/>
  <c r="W91" i="1" s="1"/>
  <c r="D19" i="3"/>
  <c r="G22" i="99"/>
  <c r="J22" i="99" s="1"/>
  <c r="M22" i="99" s="1"/>
  <c r="P22" i="99" s="1"/>
  <c r="G35" i="99"/>
  <c r="J35" i="99" s="1"/>
  <c r="M35" i="99" s="1"/>
  <c r="P35" i="99" s="1"/>
  <c r="G12" i="99"/>
  <c r="J12" i="99" s="1"/>
  <c r="M12" i="99" s="1"/>
  <c r="P12" i="99" s="1"/>
  <c r="G29" i="99"/>
  <c r="J29" i="99" s="1"/>
  <c r="M29" i="99" s="1"/>
  <c r="P29" i="99" s="1"/>
  <c r="N94" i="1"/>
  <c r="N95" i="1" s="1"/>
  <c r="G24" i="99"/>
  <c r="J24" i="99" s="1"/>
  <c r="M24" i="99" s="1"/>
  <c r="P24" i="99" s="1"/>
  <c r="D30" i="3"/>
  <c r="D40" i="3"/>
  <c r="AG94" i="1"/>
  <c r="AG95" i="1" s="1"/>
  <c r="AG90" i="1"/>
  <c r="AG91" i="1" s="1"/>
  <c r="Y90" i="1"/>
  <c r="Y91" i="1" s="1"/>
  <c r="AA90" i="1"/>
  <c r="AA91" i="1" s="1"/>
  <c r="AI94" i="1"/>
  <c r="AI95" i="1" s="1"/>
  <c r="G23" i="99"/>
  <c r="J23" i="99" s="1"/>
  <c r="M23" i="99" s="1"/>
  <c r="P23" i="99" s="1"/>
  <c r="AA94" i="1"/>
  <c r="AA95" i="1" s="1"/>
  <c r="G28" i="99"/>
  <c r="J28" i="99" s="1"/>
  <c r="M28" i="99" s="1"/>
  <c r="P28" i="99" s="1"/>
  <c r="G41" i="99"/>
  <c r="J41" i="99" s="1"/>
  <c r="M41" i="99" s="1"/>
  <c r="P41" i="99" s="1"/>
  <c r="D31" i="3"/>
  <c r="AN94" i="1"/>
  <c r="AN95" i="1" s="1"/>
  <c r="R94" i="1"/>
  <c r="R95" i="1" s="1"/>
  <c r="Q90" i="1"/>
  <c r="Q91" i="1" s="1"/>
  <c r="D11" i="3"/>
  <c r="AI90" i="1"/>
  <c r="AI91" i="1" s="1"/>
  <c r="R90" i="1"/>
  <c r="R91" i="1" s="1"/>
  <c r="D32" i="3"/>
  <c r="D42" i="3"/>
  <c r="Z94" i="1"/>
  <c r="Z95" i="1" s="1"/>
  <c r="D23" i="3"/>
  <c r="D22" i="3"/>
  <c r="AR94" i="1"/>
  <c r="AR95" i="1" s="1"/>
  <c r="G19" i="99"/>
  <c r="G10" i="99"/>
  <c r="O10" i="99" s="1"/>
  <c r="Z90" i="1"/>
  <c r="Z91" i="1" s="1"/>
  <c r="Z83" i="1" s="1"/>
  <c r="F90" i="1"/>
  <c r="F91" i="1" s="1"/>
  <c r="F56" i="113"/>
  <c r="Q94" i="1"/>
  <c r="Q95" i="1" s="1"/>
  <c r="D16" i="3"/>
  <c r="G17" i="99"/>
  <c r="K94" i="1"/>
  <c r="K95" i="1" s="1"/>
  <c r="G90" i="1"/>
  <c r="G91" i="1" s="1"/>
  <c r="V90" i="1"/>
  <c r="V91" i="1" s="1"/>
  <c r="D46" i="3"/>
  <c r="D18" i="3"/>
  <c r="D47" i="3"/>
  <c r="G94" i="1"/>
  <c r="G95" i="1" s="1"/>
  <c r="AQ94" i="1"/>
  <c r="AQ95" i="1" s="1"/>
  <c r="D51" i="3"/>
  <c r="G49" i="99"/>
  <c r="M90" i="1"/>
  <c r="M91" i="1" s="1"/>
  <c r="AC90" i="1"/>
  <c r="AC91" i="1" s="1"/>
  <c r="AC83" i="1" s="1"/>
  <c r="D41" i="3"/>
  <c r="G11" i="99"/>
  <c r="J11" i="99" s="1"/>
  <c r="M11" i="99" s="1"/>
  <c r="P11" i="99" s="1"/>
  <c r="D36" i="3"/>
  <c r="D37" i="3"/>
  <c r="D27" i="3"/>
  <c r="AN90" i="1"/>
  <c r="AN91" i="1" s="1"/>
  <c r="AN83" i="1" s="1"/>
  <c r="G46" i="99"/>
  <c r="J46" i="99" s="1"/>
  <c r="M46" i="99" s="1"/>
  <c r="P46" i="99" s="1"/>
  <c r="M94" i="1"/>
  <c r="M95" i="1" s="1"/>
  <c r="AP53" i="1"/>
  <c r="D52" i="3"/>
  <c r="AR90" i="1"/>
  <c r="AR91" i="1" s="1"/>
  <c r="G50" i="99"/>
  <c r="O50" i="99" s="1"/>
  <c r="AY90" i="1"/>
  <c r="AY91" i="1" s="1"/>
  <c r="AY83" i="1" s="1"/>
  <c r="G56" i="99"/>
  <c r="AY94" i="1"/>
  <c r="AY95" i="1" s="1"/>
  <c r="D58" i="3"/>
  <c r="P21" i="99"/>
  <c r="O21" i="99"/>
  <c r="BK96" i="1" l="1"/>
  <c r="AW83" i="1"/>
  <c r="AW96" i="1"/>
  <c r="J53" i="99"/>
  <c r="M53" i="99" s="1"/>
  <c r="P53" i="99" s="1"/>
  <c r="O53" i="99"/>
  <c r="AJ83" i="1"/>
  <c r="AJ96" i="1"/>
  <c r="AH96" i="1"/>
  <c r="J13" i="99"/>
  <c r="M13" i="99" s="1"/>
  <c r="P13" i="99" s="1"/>
  <c r="O13" i="99"/>
  <c r="J54" i="99"/>
  <c r="M54" i="99" s="1"/>
  <c r="P54" i="99" s="1"/>
  <c r="AS96" i="1"/>
  <c r="AU83" i="1"/>
  <c r="AU96" i="1"/>
  <c r="BJ96" i="1"/>
  <c r="BJ83" i="1"/>
  <c r="I83" i="1"/>
  <c r="I96" i="1"/>
  <c r="BF96" i="1"/>
  <c r="J45" i="99"/>
  <c r="M45" i="99" s="1"/>
  <c r="P45" i="99" s="1"/>
  <c r="O45" i="99"/>
  <c r="BM96" i="1"/>
  <c r="BM83" i="1"/>
  <c r="BE96" i="1"/>
  <c r="BH83" i="1"/>
  <c r="BH96" i="1"/>
  <c r="BG96" i="1"/>
  <c r="BG83" i="1"/>
  <c r="BI83" i="1"/>
  <c r="BI96" i="1"/>
  <c r="AX53" i="1"/>
  <c r="AZ53" i="1" s="1"/>
  <c r="AL96" i="1"/>
  <c r="J47" i="99"/>
  <c r="M47" i="99" s="1"/>
  <c r="P47" i="99" s="1"/>
  <c r="O47" i="99"/>
  <c r="AM96" i="1"/>
  <c r="AM83" i="1"/>
  <c r="AO96" i="1"/>
  <c r="AT96" i="1"/>
  <c r="J52" i="99"/>
  <c r="M52" i="99" s="1"/>
  <c r="P52" i="99" s="1"/>
  <c r="O52" i="99"/>
  <c r="O42" i="99"/>
  <c r="O26" i="99"/>
  <c r="O16" i="99"/>
  <c r="O18" i="99"/>
  <c r="T83" i="1"/>
  <c r="T96" i="1"/>
  <c r="K96" i="1"/>
  <c r="O37" i="99"/>
  <c r="AQ96" i="1"/>
  <c r="O38" i="99"/>
  <c r="O20" i="99"/>
  <c r="O25" i="99"/>
  <c r="O12" i="99"/>
  <c r="J10" i="99"/>
  <c r="M10" i="99" s="1"/>
  <c r="O41" i="99"/>
  <c r="O31" i="99"/>
  <c r="O39" i="99"/>
  <c r="O35" i="99"/>
  <c r="O29" i="99"/>
  <c r="O22" i="99"/>
  <c r="AR96" i="1"/>
  <c r="O46" i="99"/>
  <c r="O40" i="99"/>
  <c r="O24" i="99"/>
  <c r="J50" i="99"/>
  <c r="M50" i="99" s="1"/>
  <c r="P50" i="99" s="1"/>
  <c r="O23" i="99"/>
  <c r="O28" i="99"/>
  <c r="O36" i="99"/>
  <c r="AY96" i="1"/>
  <c r="Z96" i="1"/>
  <c r="J19" i="99"/>
  <c r="M19" i="99" s="1"/>
  <c r="P19" i="99" s="1"/>
  <c r="O19" i="99"/>
  <c r="O11" i="99"/>
  <c r="AN96" i="1"/>
  <c r="J17" i="99"/>
  <c r="M17" i="99" s="1"/>
  <c r="P17" i="99" s="1"/>
  <c r="O17" i="99"/>
  <c r="J49" i="99"/>
  <c r="M49" i="99" s="1"/>
  <c r="P49" i="99" s="1"/>
  <c r="O49" i="99"/>
  <c r="AR83" i="1"/>
  <c r="J56" i="99"/>
  <c r="M56" i="99" s="1"/>
  <c r="P56" i="99" s="1"/>
  <c r="O56" i="99"/>
  <c r="H96" i="1"/>
  <c r="H83" i="1"/>
  <c r="AG96" i="1"/>
  <c r="AG83" i="1"/>
  <c r="L96" i="1"/>
  <c r="L83" i="1"/>
  <c r="V96" i="1"/>
  <c r="V83" i="1"/>
  <c r="M96" i="1"/>
  <c r="M83" i="1"/>
  <c r="AF96" i="1"/>
  <c r="AF83" i="1"/>
  <c r="AD96" i="1"/>
  <c r="AD83" i="1"/>
  <c r="P96" i="1"/>
  <c r="P83" i="1"/>
  <c r="R96" i="1"/>
  <c r="R83" i="1"/>
  <c r="O96" i="1"/>
  <c r="O83" i="1"/>
  <c r="F96" i="1"/>
  <c r="F83" i="1"/>
  <c r="AA96" i="1"/>
  <c r="AA83" i="1"/>
  <c r="G96" i="1"/>
  <c r="G83" i="1"/>
  <c r="J96" i="1"/>
  <c r="J83" i="1"/>
  <c r="Q96" i="1"/>
  <c r="Q83" i="1"/>
  <c r="AE96" i="1"/>
  <c r="AE83" i="1"/>
  <c r="AC96" i="1"/>
  <c r="W96" i="1"/>
  <c r="W83" i="1"/>
  <c r="AI96" i="1"/>
  <c r="AI83" i="1"/>
  <c r="N96" i="1"/>
  <c r="N83" i="1"/>
  <c r="S96" i="1"/>
  <c r="S83" i="1"/>
  <c r="Y96" i="1"/>
  <c r="Y83" i="1"/>
  <c r="BD53" i="1" l="1"/>
  <c r="P10" i="99"/>
  <c r="K53" i="50" l="1"/>
  <c r="AP29" i="1" l="1"/>
  <c r="AX29" i="1" l="1"/>
  <c r="AZ29" i="1" s="1"/>
  <c r="K24" i="50"/>
  <c r="K29" i="50" s="1"/>
  <c r="A56" i="99" l="1"/>
  <c r="A58" i="3"/>
  <c r="A53" i="48" s="1"/>
  <c r="E77" i="113" l="1"/>
  <c r="E77" i="111"/>
  <c r="E62" i="111"/>
  <c r="H62" i="111" s="1"/>
  <c r="E63" i="1"/>
  <c r="E62" i="113" s="1"/>
  <c r="E75" i="111"/>
  <c r="H75" i="111" s="1"/>
  <c r="E75" i="113"/>
  <c r="E69" i="111"/>
  <c r="E70" i="1"/>
  <c r="E69" i="113" s="1"/>
  <c r="E68" i="111"/>
  <c r="E69" i="1"/>
  <c r="E69" i="50" s="1"/>
  <c r="G69" i="50" s="1"/>
  <c r="I69" i="50" s="1"/>
  <c r="E63" i="111"/>
  <c r="H63" i="111" s="1"/>
  <c r="E64" i="1"/>
  <c r="E63" i="113" s="1"/>
  <c r="E64" i="111"/>
  <c r="H64" i="111" s="1"/>
  <c r="E64" i="113"/>
  <c r="E71" i="111"/>
  <c r="E72" i="1"/>
  <c r="E70" i="111"/>
  <c r="E71" i="1"/>
  <c r="AB71" i="1" s="1"/>
  <c r="AP71" i="1" s="1"/>
  <c r="E67" i="111"/>
  <c r="E68" i="1"/>
  <c r="E68" i="50" s="1"/>
  <c r="G68" i="50" s="1"/>
  <c r="E78" i="111"/>
  <c r="E79" i="1"/>
  <c r="E61" i="111"/>
  <c r="H61" i="111" s="1"/>
  <c r="E62" i="1"/>
  <c r="E61" i="1"/>
  <c r="F16" i="111"/>
  <c r="E16" i="111" s="1"/>
  <c r="E60" i="111"/>
  <c r="H60" i="111" s="1"/>
  <c r="I68" i="50" l="1"/>
  <c r="AX71" i="1"/>
  <c r="AZ71" i="1" s="1"/>
  <c r="E65" i="111"/>
  <c r="H65" i="111" s="1"/>
  <c r="F17" i="111"/>
  <c r="F19" i="111" s="1"/>
  <c r="F48" i="111" s="1"/>
  <c r="F56" i="111" s="1"/>
  <c r="F81" i="111" s="1"/>
  <c r="E17" i="1"/>
  <c r="E16" i="113" s="1"/>
  <c r="E64" i="50"/>
  <c r="G64" i="50" s="1"/>
  <c r="I64" i="50" s="1"/>
  <c r="E70" i="50"/>
  <c r="G70" i="50" s="1"/>
  <c r="I70" i="50" s="1"/>
  <c r="AB64" i="1"/>
  <c r="AP64" i="1" s="1"/>
  <c r="E70" i="113"/>
  <c r="AB63" i="1"/>
  <c r="AP63" i="1" s="1"/>
  <c r="AB70" i="1"/>
  <c r="AP70" i="1" s="1"/>
  <c r="AB76" i="1"/>
  <c r="AP76" i="1" s="1"/>
  <c r="E68" i="113"/>
  <c r="E72" i="111"/>
  <c r="E67" i="113"/>
  <c r="AB68" i="1"/>
  <c r="AP68" i="1" s="1"/>
  <c r="E65" i="50"/>
  <c r="G65" i="50" s="1"/>
  <c r="I65" i="50" s="1"/>
  <c r="AB65" i="1"/>
  <c r="AP65" i="1" s="1"/>
  <c r="H16" i="111"/>
  <c r="E17" i="111"/>
  <c r="AB62" i="1"/>
  <c r="AP62" i="1" s="1"/>
  <c r="E61" i="113"/>
  <c r="E62" i="50"/>
  <c r="G62" i="50" s="1"/>
  <c r="I62" i="50" s="1"/>
  <c r="E79" i="50"/>
  <c r="G79" i="50" s="1"/>
  <c r="I79" i="50" s="1"/>
  <c r="AB79" i="1"/>
  <c r="AP79" i="1" s="1"/>
  <c r="E78" i="113"/>
  <c r="E66" i="1"/>
  <c r="AB61" i="1"/>
  <c r="E61" i="50"/>
  <c r="G61" i="50" s="1"/>
  <c r="E60" i="113"/>
  <c r="E71" i="113"/>
  <c r="E72" i="50"/>
  <c r="G72" i="50" s="1"/>
  <c r="I72" i="50" s="1"/>
  <c r="AB72" i="1"/>
  <c r="AP72" i="1" s="1"/>
  <c r="AB69" i="1"/>
  <c r="AP69" i="1" s="1"/>
  <c r="E71" i="50"/>
  <c r="G71" i="50" s="1"/>
  <c r="I71" i="50" s="1"/>
  <c r="E78" i="50"/>
  <c r="G78" i="50" s="1"/>
  <c r="I78" i="50" s="1"/>
  <c r="E76" i="50"/>
  <c r="G76" i="50" s="1"/>
  <c r="I76" i="50" s="1"/>
  <c r="E63" i="50"/>
  <c r="G63" i="50" s="1"/>
  <c r="I63" i="50" s="1"/>
  <c r="E73" i="1"/>
  <c r="E72" i="113" s="1"/>
  <c r="AB78" i="1"/>
  <c r="AP78" i="1" s="1"/>
  <c r="I61" i="50" l="1"/>
  <c r="I66" i="50" s="1"/>
  <c r="G66" i="50"/>
  <c r="G73" i="50"/>
  <c r="I73" i="50"/>
  <c r="BD71" i="1"/>
  <c r="E73" i="111"/>
  <c r="E76" i="111" s="1"/>
  <c r="E80" i="111" s="1"/>
  <c r="H80" i="111" s="1"/>
  <c r="AX78" i="1"/>
  <c r="AZ78" i="1" s="1"/>
  <c r="AX79" i="1"/>
  <c r="AZ79" i="1" s="1"/>
  <c r="AX65" i="1"/>
  <c r="AZ65" i="1" s="1"/>
  <c r="AX63" i="1"/>
  <c r="AZ63" i="1" s="1"/>
  <c r="AX69" i="1"/>
  <c r="AZ69" i="1" s="1"/>
  <c r="AX68" i="1"/>
  <c r="AZ68" i="1" s="1"/>
  <c r="AX76" i="1"/>
  <c r="AZ76" i="1" s="1"/>
  <c r="AX64" i="1"/>
  <c r="AZ64" i="1" s="1"/>
  <c r="AX62" i="1"/>
  <c r="AZ62" i="1" s="1"/>
  <c r="AX72" i="1"/>
  <c r="AZ72" i="1" s="1"/>
  <c r="AX70" i="1"/>
  <c r="AZ70" i="1" s="1"/>
  <c r="AB17" i="1"/>
  <c r="AB18" i="1" s="1"/>
  <c r="E17" i="50"/>
  <c r="E18" i="1"/>
  <c r="E20" i="1" s="1"/>
  <c r="E73" i="50"/>
  <c r="AB73" i="1"/>
  <c r="AP73" i="1" s="1"/>
  <c r="E65" i="113"/>
  <c r="E74" i="1"/>
  <c r="AB66" i="1"/>
  <c r="AP61" i="1"/>
  <c r="H17" i="111"/>
  <c r="E19" i="111"/>
  <c r="E66" i="50"/>
  <c r="E18" i="50" l="1"/>
  <c r="E20" i="50" s="1"/>
  <c r="E49" i="50" s="1"/>
  <c r="E57" i="50" s="1"/>
  <c r="G17" i="50"/>
  <c r="I17" i="50" s="1"/>
  <c r="BD64" i="1"/>
  <c r="BD63" i="1"/>
  <c r="BD70" i="1"/>
  <c r="BD76" i="1"/>
  <c r="BD68" i="1"/>
  <c r="BD79" i="1"/>
  <c r="K71" i="50"/>
  <c r="AP17" i="1"/>
  <c r="AX17" i="1" s="1"/>
  <c r="AZ17" i="1" s="1"/>
  <c r="K72" i="50"/>
  <c r="BD72" i="1"/>
  <c r="BD65" i="1"/>
  <c r="K62" i="50"/>
  <c r="BD62" i="1"/>
  <c r="K69" i="50"/>
  <c r="BD69" i="1"/>
  <c r="BD78" i="1"/>
  <c r="AX61" i="1"/>
  <c r="AZ61" i="1" s="1"/>
  <c r="AX73" i="1"/>
  <c r="AZ73" i="1" s="1"/>
  <c r="E17" i="113"/>
  <c r="E74" i="50"/>
  <c r="E77" i="50" s="1"/>
  <c r="E81" i="50" s="1"/>
  <c r="E82" i="50" s="1"/>
  <c r="E73" i="113"/>
  <c r="E77" i="1"/>
  <c r="AB74" i="1"/>
  <c r="AB77" i="1" s="1"/>
  <c r="AB81" i="1" s="1"/>
  <c r="AP66" i="1"/>
  <c r="AB20" i="1"/>
  <c r="E49" i="1"/>
  <c r="E19" i="113"/>
  <c r="E48" i="111"/>
  <c r="H19" i="111"/>
  <c r="K68" i="50" l="1"/>
  <c r="BD17" i="1"/>
  <c r="BD18" i="1" s="1"/>
  <c r="BD20" i="1" s="1"/>
  <c r="K64" i="50"/>
  <c r="K79" i="50"/>
  <c r="K65" i="50"/>
  <c r="BD73" i="1"/>
  <c r="K78" i="50"/>
  <c r="K70" i="50"/>
  <c r="K73" i="50" s="1"/>
  <c r="K63" i="50"/>
  <c r="K76" i="50"/>
  <c r="K61" i="50"/>
  <c r="BD61" i="1"/>
  <c r="AP74" i="1"/>
  <c r="AX66" i="1"/>
  <c r="E56" i="111"/>
  <c r="H48" i="111"/>
  <c r="E76" i="113"/>
  <c r="E81" i="1"/>
  <c r="E48" i="113"/>
  <c r="E57" i="1"/>
  <c r="I7" i="115" l="1"/>
  <c r="I31" i="115" s="1"/>
  <c r="I48" i="115" s="1"/>
  <c r="P7" i="115"/>
  <c r="K7" i="115"/>
  <c r="K31" i="115" s="1"/>
  <c r="R7" i="115"/>
  <c r="K17" i="50"/>
  <c r="G18" i="50"/>
  <c r="G20" i="50" s="1"/>
  <c r="BD66" i="1"/>
  <c r="BD74" i="1" s="1"/>
  <c r="BD77" i="1" s="1"/>
  <c r="BD81" i="1" s="1"/>
  <c r="BL61" i="1"/>
  <c r="I18" i="50"/>
  <c r="I20" i="50" s="1"/>
  <c r="I74" i="50"/>
  <c r="I77" i="50" s="1"/>
  <c r="I81" i="50" s="1"/>
  <c r="K66" i="50"/>
  <c r="K74" i="50" s="1"/>
  <c r="K77" i="50" s="1"/>
  <c r="K81" i="50" s="1"/>
  <c r="AP77" i="1"/>
  <c r="AP81" i="1" s="1"/>
  <c r="G36" i="51" s="1"/>
  <c r="AZ66" i="1"/>
  <c r="AX74" i="1"/>
  <c r="AX77" i="1" s="1"/>
  <c r="AX81" i="1" s="1"/>
  <c r="E94" i="1"/>
  <c r="E95" i="1" s="1"/>
  <c r="E80" i="113"/>
  <c r="E90" i="1"/>
  <c r="E91" i="1" s="1"/>
  <c r="E10" i="3"/>
  <c r="H9" i="99"/>
  <c r="H14" i="99" s="1"/>
  <c r="E82" i="1"/>
  <c r="D10" i="3"/>
  <c r="G9" i="99"/>
  <c r="G14" i="99" s="1"/>
  <c r="E56" i="113"/>
  <c r="H56" i="111"/>
  <c r="E81" i="111"/>
  <c r="M7" i="115" l="1"/>
  <c r="R31" i="115"/>
  <c r="R48" i="115" s="1"/>
  <c r="M31" i="115"/>
  <c r="K48" i="115"/>
  <c r="G74" i="50"/>
  <c r="G77" i="50" s="1"/>
  <c r="G81" i="50" s="1"/>
  <c r="E96" i="1"/>
  <c r="E83" i="1"/>
  <c r="E83" i="50" s="1"/>
  <c r="AZ74" i="1"/>
  <c r="AZ77" i="1" s="1"/>
  <c r="AZ81" i="1" s="1"/>
  <c r="E13" i="51" s="1"/>
  <c r="E11" i="48"/>
  <c r="E34" i="3"/>
  <c r="K9" i="99"/>
  <c r="O9" i="99"/>
  <c r="F10" i="3"/>
  <c r="J9" i="99"/>
  <c r="E17" i="51" l="1"/>
  <c r="E50" i="51"/>
  <c r="E52" i="51" s="1"/>
  <c r="AK16" i="115"/>
  <c r="AK18" i="115" s="1"/>
  <c r="M48" i="115"/>
  <c r="AK20" i="115" s="1"/>
  <c r="I11" i="48"/>
  <c r="I59" i="48" s="1"/>
  <c r="I66" i="48" s="1"/>
  <c r="E55" i="48"/>
  <c r="E59" i="48" s="1"/>
  <c r="E63" i="48" s="1"/>
  <c r="E59" i="3"/>
  <c r="E71" i="3" s="1"/>
  <c r="J14" i="99"/>
  <c r="M9" i="99"/>
  <c r="O14" i="99"/>
  <c r="H33" i="99"/>
  <c r="G11" i="48"/>
  <c r="G55" i="48" s="1"/>
  <c r="N9" i="99"/>
  <c r="N14" i="99" s="1"/>
  <c r="N33" i="99" s="1"/>
  <c r="N58" i="99" s="1"/>
  <c r="K14" i="99"/>
  <c r="K33" i="99" s="1"/>
  <c r="K58" i="99" s="1"/>
  <c r="E54" i="51" l="1"/>
  <c r="K55" i="48"/>
  <c r="G169" i="48"/>
  <c r="G59" i="48"/>
  <c r="E55" i="51" s="1"/>
  <c r="H58" i="99"/>
  <c r="P9" i="99"/>
  <c r="M14" i="99"/>
  <c r="E56" i="51" l="1"/>
  <c r="E57" i="51" s="1"/>
  <c r="E66" i="48"/>
  <c r="G63" i="48"/>
  <c r="X52" i="1" l="1"/>
  <c r="G66" i="48"/>
  <c r="K66" i="48" l="1"/>
  <c r="X51" i="113"/>
  <c r="X57" i="1"/>
  <c r="X56" i="113" s="1"/>
  <c r="G30" i="99" l="1"/>
  <c r="D29" i="3"/>
  <c r="X94" i="1"/>
  <c r="X95" i="1" s="1"/>
  <c r="X90" i="1"/>
  <c r="X91" i="1" s="1"/>
  <c r="X96" i="1" l="1"/>
  <c r="X83" i="1"/>
  <c r="O30" i="99"/>
  <c r="J30" i="99"/>
  <c r="M30" i="99" l="1"/>
  <c r="P30" i="99" l="1"/>
  <c r="BL28" i="1" l="1"/>
  <c r="BN28" i="1" s="1"/>
  <c r="BL17" i="1"/>
  <c r="BN17" i="1" s="1"/>
  <c r="BL71" i="1"/>
  <c r="BN71" i="1" s="1"/>
  <c r="BL55" i="1"/>
  <c r="BN55" i="1" s="1"/>
  <c r="BL54" i="1"/>
  <c r="BN54" i="1" s="1"/>
  <c r="BL65" i="1"/>
  <c r="BN65" i="1" s="1"/>
  <c r="BL24" i="1"/>
  <c r="BN24" i="1" s="1"/>
  <c r="BL39" i="1"/>
  <c r="BN39" i="1" s="1"/>
  <c r="BL26" i="1"/>
  <c r="BN26" i="1" s="1"/>
  <c r="BL53" i="1"/>
  <c r="BN53" i="1" s="1"/>
  <c r="BL76" i="1"/>
  <c r="BN76" i="1" s="1"/>
  <c r="BL16" i="1"/>
  <c r="BN16" i="1" s="1"/>
  <c r="BL32" i="1"/>
  <c r="BN32" i="1" s="1"/>
  <c r="BL18" i="1"/>
  <c r="BN18" i="1" s="1"/>
  <c r="BN15" i="1"/>
  <c r="BL63" i="1"/>
  <c r="BN63" i="1" s="1"/>
  <c r="BL27" i="1"/>
  <c r="BN27" i="1" s="1"/>
  <c r="BL68" i="1"/>
  <c r="BN68" i="1" s="1"/>
  <c r="BL62" i="1"/>
  <c r="BN62" i="1" s="1"/>
  <c r="BN61" i="1"/>
  <c r="BL20" i="1"/>
  <c r="BN20" i="1" s="1"/>
  <c r="BL19" i="1"/>
  <c r="BN19" i="1" s="1"/>
  <c r="BL79" i="1"/>
  <c r="BN79" i="1" s="1"/>
  <c r="BL73" i="1"/>
  <c r="BN73" i="1" s="1"/>
  <c r="BO73" i="1" s="1"/>
  <c r="BL40" i="1"/>
  <c r="BN40" i="1" s="1"/>
  <c r="BL33" i="1"/>
  <c r="BN33" i="1" s="1"/>
  <c r="BL78" i="1"/>
  <c r="BN78" i="1" s="1"/>
  <c r="BL66" i="1"/>
  <c r="BL38" i="1"/>
  <c r="BN38" i="1" s="1"/>
  <c r="BL44" i="1"/>
  <c r="BN44" i="1" s="1"/>
  <c r="BL29" i="1"/>
  <c r="BN29" i="1" s="1"/>
  <c r="BO29" i="1" s="1"/>
  <c r="BL25" i="1"/>
  <c r="BN25" i="1" s="1"/>
  <c r="BL64" i="1"/>
  <c r="BN64" i="1" s="1"/>
  <c r="BL70" i="1"/>
  <c r="BN70" i="1" s="1"/>
  <c r="BL72" i="1"/>
  <c r="BN72" i="1" s="1"/>
  <c r="BL69" i="1"/>
  <c r="BN69" i="1" s="1"/>
  <c r="BL45" i="1"/>
  <c r="BN45" i="1" s="1"/>
  <c r="BO45" i="1" l="1"/>
  <c r="BO70" i="1"/>
  <c r="BO44" i="1"/>
  <c r="BO33" i="1"/>
  <c r="BO68" i="1"/>
  <c r="BO76" i="1"/>
  <c r="BO39" i="1"/>
  <c r="BO55" i="1"/>
  <c r="BO69" i="1"/>
  <c r="BO64" i="1"/>
  <c r="BO38" i="1"/>
  <c r="BO40" i="1"/>
  <c r="BO27" i="1"/>
  <c r="BO32" i="1"/>
  <c r="BO24" i="1"/>
  <c r="BO71" i="1"/>
  <c r="BO72" i="1"/>
  <c r="BO25" i="1"/>
  <c r="BO61" i="1"/>
  <c r="BO63" i="1"/>
  <c r="BO26" i="1"/>
  <c r="BO65" i="1"/>
  <c r="BO78" i="1"/>
  <c r="BO79" i="1"/>
  <c r="BO62" i="1"/>
  <c r="BO54" i="1"/>
  <c r="BO28" i="1"/>
  <c r="BO15" i="1"/>
  <c r="BO16" i="1"/>
  <c r="BO19" i="1"/>
  <c r="BO17" i="1"/>
  <c r="BO53" i="1"/>
  <c r="BL74" i="1"/>
  <c r="BL77" i="1" s="1"/>
  <c r="BL81" i="1" s="1"/>
  <c r="BN66" i="1"/>
  <c r="BN74" i="1" l="1"/>
  <c r="BN77" i="1" s="1"/>
  <c r="BN81" i="1" s="1"/>
  <c r="G13" i="51" s="1"/>
  <c r="G17" i="51" s="1"/>
  <c r="BO66" i="1"/>
  <c r="BO74" i="1" s="1"/>
  <c r="BO77" i="1" s="1"/>
  <c r="BO81" i="1" s="1"/>
  <c r="AK18" i="1" l="1"/>
  <c r="AH17" i="113" s="1"/>
  <c r="AP18" i="1" l="1"/>
  <c r="AX18" i="1" s="1"/>
  <c r="AZ18" i="1" s="1"/>
  <c r="BO18" i="1" s="1"/>
  <c r="AK20" i="1"/>
  <c r="AP20" i="1" l="1"/>
  <c r="AX20" i="1" s="1"/>
  <c r="AZ20" i="1" s="1"/>
  <c r="BO20" i="1" s="1"/>
  <c r="AK49" i="1"/>
  <c r="AH19" i="113"/>
  <c r="AH48" i="113" l="1"/>
  <c r="AK52" i="1"/>
  <c r="H52" i="50" s="1"/>
  <c r="AK57" i="1"/>
  <c r="H57" i="50" l="1"/>
  <c r="AK90" i="1"/>
  <c r="AK91" i="1" s="1"/>
  <c r="AH56" i="113"/>
  <c r="AK94" i="1"/>
  <c r="AK95" i="1" s="1"/>
  <c r="G43" i="99"/>
  <c r="D44" i="3"/>
  <c r="AH51" i="113"/>
  <c r="J43" i="99" l="1"/>
  <c r="O43" i="99"/>
  <c r="AK83" i="1"/>
  <c r="AK96" i="1"/>
  <c r="M43" i="99" l="1"/>
  <c r="P43" i="99" l="1"/>
  <c r="T7" i="115" l="1"/>
  <c r="T10" i="115"/>
  <c r="T11" i="115"/>
  <c r="T12" i="115"/>
  <c r="T14" i="115"/>
  <c r="T15" i="115"/>
  <c r="T16" i="115"/>
  <c r="T17" i="115"/>
  <c r="T18" i="115"/>
  <c r="T19" i="115"/>
  <c r="T20" i="115"/>
  <c r="T21" i="115"/>
  <c r="T22" i="115"/>
  <c r="T23" i="115"/>
  <c r="T24" i="115"/>
  <c r="T26" i="115"/>
  <c r="T27" i="115"/>
  <c r="T28" i="115"/>
  <c r="T29" i="115"/>
  <c r="AC13" i="115"/>
  <c r="T13" i="115" l="1"/>
  <c r="W34" i="115" l="1"/>
  <c r="Y34" i="115" s="1"/>
  <c r="P34" i="115" s="1"/>
  <c r="AC34" i="115" l="1"/>
  <c r="T34" i="115" l="1"/>
  <c r="W31" i="115" l="1"/>
  <c r="W48" i="115" s="1"/>
  <c r="Y25" i="115"/>
  <c r="P25" i="115" s="1"/>
  <c r="U43" i="1"/>
  <c r="U42" i="113" s="1"/>
  <c r="AB43" i="1"/>
  <c r="AB46" i="1" s="1"/>
  <c r="AB47" i="1" l="1"/>
  <c r="AP46" i="1"/>
  <c r="AX46" i="1" s="1"/>
  <c r="AZ46" i="1" s="1"/>
  <c r="T25" i="115"/>
  <c r="P31" i="115"/>
  <c r="U46" i="1"/>
  <c r="F43" i="50"/>
  <c r="Y31" i="115"/>
  <c r="Y48" i="115" s="1"/>
  <c r="AC48" i="115" s="1"/>
  <c r="AP43" i="1"/>
  <c r="AX43" i="1" s="1"/>
  <c r="AZ43" i="1" s="1"/>
  <c r="BD43" i="1" s="1"/>
  <c r="AC25" i="115"/>
  <c r="AC31" i="115" s="1"/>
  <c r="T31" i="115" l="1"/>
  <c r="G83" i="50" s="1"/>
  <c r="P48" i="115"/>
  <c r="T48" i="115" s="1"/>
  <c r="I83" i="50" s="1"/>
  <c r="F46" i="50"/>
  <c r="F47" i="50" s="1"/>
  <c r="F49" i="50" s="1"/>
  <c r="G43" i="50"/>
  <c r="BD46" i="1"/>
  <c r="BL43" i="1"/>
  <c r="BN43" i="1" s="1"/>
  <c r="BO43" i="1" s="1"/>
  <c r="U47" i="1"/>
  <c r="U45" i="113"/>
  <c r="AP47" i="1"/>
  <c r="AX47" i="1" s="1"/>
  <c r="AZ47" i="1" s="1"/>
  <c r="AB49" i="1"/>
  <c r="I43" i="50" l="1"/>
  <c r="G46" i="50"/>
  <c r="G47" i="50" s="1"/>
  <c r="G49" i="50" s="1"/>
  <c r="AP49" i="1"/>
  <c r="AX49" i="1" s="1"/>
  <c r="AZ49" i="1" s="1"/>
  <c r="U46" i="113"/>
  <c r="U49" i="1"/>
  <c r="BD47" i="1"/>
  <c r="BL46" i="1"/>
  <c r="BN46" i="1" s="1"/>
  <c r="BO46" i="1" s="1"/>
  <c r="U48" i="113" l="1"/>
  <c r="U52" i="1"/>
  <c r="BL47" i="1"/>
  <c r="BN47" i="1" s="1"/>
  <c r="BO47" i="1" s="1"/>
  <c r="BD49" i="1"/>
  <c r="I46" i="50"/>
  <c r="I47" i="50" s="1"/>
  <c r="I49" i="50" s="1"/>
  <c r="U51" i="113" l="1"/>
  <c r="AB52" i="1"/>
  <c r="F52" i="50"/>
  <c r="BL49" i="1"/>
  <c r="BN49" i="1" s="1"/>
  <c r="BO49" i="1" s="1"/>
  <c r="U57" i="1"/>
  <c r="D26" i="3" l="1"/>
  <c r="D34" i="3" s="1"/>
  <c r="D59" i="3" s="1"/>
  <c r="U94" i="1"/>
  <c r="U95" i="1" s="1"/>
  <c r="U90" i="1"/>
  <c r="U91" i="1" s="1"/>
  <c r="G27" i="99"/>
  <c r="U56" i="113"/>
  <c r="AP52" i="1"/>
  <c r="AX52" i="1" s="1"/>
  <c r="AZ52" i="1" s="1"/>
  <c r="BD52" i="1" s="1"/>
  <c r="AB57" i="1"/>
  <c r="G52" i="50"/>
  <c r="F57" i="50"/>
  <c r="I52" i="50" l="1"/>
  <c r="G57" i="50"/>
  <c r="G82" i="50" s="1"/>
  <c r="G33" i="99"/>
  <c r="O27" i="99"/>
  <c r="J27" i="99"/>
  <c r="U96" i="1"/>
  <c r="U83" i="1"/>
  <c r="AP57" i="1"/>
  <c r="AB90" i="1"/>
  <c r="AB91" i="1" s="1"/>
  <c r="AB94" i="1"/>
  <c r="AB95" i="1" s="1"/>
  <c r="BL52" i="1"/>
  <c r="BN52" i="1" s="1"/>
  <c r="BO52" i="1" s="1"/>
  <c r="BD57" i="1"/>
  <c r="F59" i="3"/>
  <c r="D71" i="3"/>
  <c r="F71" i="3" s="1"/>
  <c r="G37" i="51" l="1"/>
  <c r="AX57" i="1"/>
  <c r="AP94" i="1"/>
  <c r="AP95" i="1" s="1"/>
  <c r="AP90" i="1"/>
  <c r="AP91" i="1" s="1"/>
  <c r="BD94" i="1"/>
  <c r="BD95" i="1" s="1"/>
  <c r="BL57" i="1"/>
  <c r="BD90" i="1"/>
  <c r="BD91" i="1" s="1"/>
  <c r="BD82" i="1"/>
  <c r="O33" i="99"/>
  <c r="G58" i="99"/>
  <c r="AB83" i="1"/>
  <c r="AB96" i="1"/>
  <c r="M27" i="99"/>
  <c r="J33" i="99"/>
  <c r="J58" i="99" s="1"/>
  <c r="I57" i="50"/>
  <c r="I82" i="50" s="1"/>
  <c r="AP96" i="1" l="1"/>
  <c r="AP83" i="1"/>
  <c r="G38" i="51" s="1"/>
  <c r="BD96" i="1"/>
  <c r="BD83" i="1"/>
  <c r="BL82" i="1"/>
  <c r="BN57" i="1"/>
  <c r="BL94" i="1"/>
  <c r="BL95" i="1" s="1"/>
  <c r="BL90" i="1"/>
  <c r="BL91" i="1" s="1"/>
  <c r="AX94" i="1"/>
  <c r="AX95" i="1" s="1"/>
  <c r="AX90" i="1"/>
  <c r="AX91" i="1" s="1"/>
  <c r="AZ57" i="1"/>
  <c r="M33" i="99"/>
  <c r="M58" i="99" s="1"/>
  <c r="N59" i="99" s="1"/>
  <c r="N61" i="99" s="1"/>
  <c r="P27" i="99"/>
  <c r="P58" i="99" s="1"/>
  <c r="BL96" i="1" l="1"/>
  <c r="BL83" i="1"/>
  <c r="AZ94" i="1"/>
  <c r="AZ95" i="1" s="1"/>
  <c r="AZ82" i="1"/>
  <c r="AZ90" i="1"/>
  <c r="AZ91" i="1" s="1"/>
  <c r="E19" i="51"/>
  <c r="E21" i="51" s="1"/>
  <c r="E25" i="51" s="1"/>
  <c r="AX83" i="1"/>
  <c r="AX96" i="1"/>
  <c r="BN82" i="1"/>
  <c r="BN94" i="1"/>
  <c r="BN95" i="1" s="1"/>
  <c r="BN90" i="1"/>
  <c r="BN91" i="1" s="1"/>
  <c r="BO57" i="1"/>
  <c r="G19" i="51"/>
  <c r="G21" i="51" s="1"/>
  <c r="BO90" i="1" l="1"/>
  <c r="BO91" i="1" s="1"/>
  <c r="BO94" i="1"/>
  <c r="BO95" i="1" s="1"/>
  <c r="BN96" i="1"/>
  <c r="BN83" i="1"/>
  <c r="E33" i="51"/>
  <c r="M26" i="51"/>
  <c r="M27" i="51" s="1"/>
  <c r="N122" i="99"/>
  <c r="Q122" i="99" s="1"/>
  <c r="E29" i="51"/>
  <c r="G39" i="51"/>
  <c r="G40" i="51" s="1"/>
  <c r="J9" i="52"/>
  <c r="H27" i="51"/>
  <c r="G25" i="51"/>
  <c r="H21" i="51"/>
  <c r="H25" i="51" s="1"/>
  <c r="AZ83" i="1"/>
  <c r="BA82" i="1" s="1"/>
  <c r="AZ96" i="1"/>
  <c r="J12" i="52" l="1"/>
  <c r="J16" i="52"/>
  <c r="J35" i="50" s="1"/>
  <c r="J15" i="50"/>
  <c r="J14" i="52"/>
  <c r="J43" i="50" s="1"/>
  <c r="K9" i="52"/>
  <c r="G41" i="51"/>
  <c r="O26" i="51"/>
  <c r="O27" i="51" s="1"/>
  <c r="BO83" i="1"/>
  <c r="BO96" i="1"/>
  <c r="J18" i="50" l="1"/>
  <c r="J20" i="50" s="1"/>
  <c r="K15" i="50"/>
  <c r="K18" i="50" s="1"/>
  <c r="K20" i="50" s="1"/>
  <c r="K35" i="50"/>
  <c r="K36" i="50" s="1"/>
  <c r="J36" i="50"/>
  <c r="K14" i="52"/>
  <c r="K16" i="52"/>
  <c r="K12" i="52"/>
  <c r="J46" i="50"/>
  <c r="K43" i="50"/>
  <c r="K46" i="50" s="1"/>
  <c r="J38" i="50"/>
  <c r="K38" i="50" s="1"/>
  <c r="J18" i="52"/>
  <c r="J20" i="52" s="1"/>
  <c r="K18" i="52" l="1"/>
  <c r="K20" i="52" s="1"/>
  <c r="K47" i="50"/>
  <c r="K49" i="50" s="1"/>
  <c r="J47" i="50"/>
  <c r="J49" i="50" s="1"/>
  <c r="K22" i="52"/>
  <c r="K24" i="52" s="1"/>
  <c r="K26" i="52" s="1"/>
  <c r="J22" i="52"/>
  <c r="J52" i="50" s="1"/>
  <c r="K52" i="50" s="1"/>
  <c r="J24" i="52" l="1"/>
  <c r="J26" i="52" s="1"/>
  <c r="J57" i="50"/>
  <c r="K57" i="50"/>
  <c r="K82" i="50" s="1"/>
</calcChain>
</file>

<file path=xl/comments1.xml><?xml version="1.0" encoding="utf-8"?>
<comments xmlns="http://schemas.openxmlformats.org/spreadsheetml/2006/main">
  <authors>
    <author>Liz Andrews</author>
  </authors>
  <commentList>
    <comment ref="O52" authorId="0" shapeId="0">
      <text>
        <r>
          <rPr>
            <b/>
            <sz val="8"/>
            <color indexed="81"/>
            <rFont val="Tahoma"/>
            <family val="2"/>
          </rPr>
          <t>Liz Andrews:</t>
        </r>
        <r>
          <rPr>
            <sz val="8"/>
            <color indexed="81"/>
            <rFont val="Tahoma"/>
            <family val="2"/>
          </rPr>
          <t xml:space="preserve">
Per adjustment, no formula in this column.</t>
        </r>
      </text>
    </comment>
    <comment ref="V52"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2" authorId="0" shapeId="0">
      <text>
        <r>
          <rPr>
            <b/>
            <sz val="8"/>
            <color indexed="81"/>
            <rFont val="Tahoma"/>
            <family val="2"/>
          </rPr>
          <t>Liz Andrews:</t>
        </r>
        <r>
          <rPr>
            <sz val="8"/>
            <color indexed="81"/>
            <rFont val="Tahoma"/>
            <family val="2"/>
          </rPr>
          <t xml:space="preserve">
per Debt calc.</t>
        </r>
      </text>
    </comment>
    <comment ref="V54" authorId="0"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Joe Miller</author>
    <author>kznwdg</author>
  </authors>
  <commentList>
    <comment ref="E31" authorId="0" shapeId="0">
      <text>
        <r>
          <rPr>
            <b/>
            <sz val="9"/>
            <color indexed="81"/>
            <rFont val="Tahoma"/>
            <family val="2"/>
          </rPr>
          <t>Joe Miller:</t>
        </r>
        <r>
          <rPr>
            <sz val="9"/>
            <color indexed="81"/>
            <rFont val="Tahoma"/>
            <family val="2"/>
          </rPr>
          <t xml:space="preserve">
From Ehrbar Exhibit</t>
        </r>
      </text>
    </comment>
    <comment ref="C53" authorId="1" shapeId="0">
      <text>
        <r>
          <rPr>
            <b/>
            <sz val="8"/>
            <color indexed="81"/>
            <rFont val="Tahoma"/>
            <family val="2"/>
          </rPr>
          <t>kznwdg:</t>
        </r>
        <r>
          <rPr>
            <sz val="8"/>
            <color indexed="81"/>
            <rFont val="Tahoma"/>
            <family val="2"/>
          </rPr>
          <t xml:space="preserve">
After Taxes (FIT Calc = Taxable Income x .35)</t>
        </r>
      </text>
    </comment>
  </commentList>
</comments>
</file>

<file path=xl/comments3.xml><?xml version="1.0" encoding="utf-8"?>
<comments xmlns="http://schemas.openxmlformats.org/spreadsheetml/2006/main">
  <authors>
    <author>rzk7kq</author>
  </authors>
  <commentList>
    <comment ref="B70"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6"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4.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22" authorId="1" shapeId="0">
      <text>
        <r>
          <rPr>
            <b/>
            <sz val="8"/>
            <color indexed="81"/>
            <rFont val="Tahoma"/>
            <family val="2"/>
          </rPr>
          <t>2/6/04 Account 182.31 is fully offset by 283.17</t>
        </r>
        <r>
          <rPr>
            <sz val="8"/>
            <color indexed="81"/>
            <rFont val="Tahoma"/>
            <family val="2"/>
          </rPr>
          <t xml:space="preserve">
</t>
        </r>
      </text>
    </comment>
    <comment ref="M422" authorId="1" shapeId="0">
      <text>
        <r>
          <rPr>
            <b/>
            <sz val="8"/>
            <color indexed="81"/>
            <rFont val="Tahoma"/>
            <family val="2"/>
          </rPr>
          <t>2/6/04 Account 182.31 is fully offset by 283.17</t>
        </r>
        <r>
          <rPr>
            <sz val="8"/>
            <color indexed="81"/>
            <rFont val="Tahoma"/>
            <family val="2"/>
          </rPr>
          <t xml:space="preserve">
</t>
        </r>
      </text>
    </comment>
    <comment ref="A443" authorId="2" shapeId="0">
      <text>
        <r>
          <rPr>
            <sz val="9"/>
            <color indexed="81"/>
            <rFont val="Tahoma"/>
            <family val="2"/>
          </rPr>
          <t>Acct 0108.02  System amount is from input matrix.  WA and ID amounts are hard coded, and do not change.</t>
        </r>
      </text>
    </comment>
    <comment ref="B445" authorId="1" shapeId="0">
      <text>
        <r>
          <rPr>
            <sz val="8"/>
            <color indexed="81"/>
            <rFont val="Tahoma"/>
            <family val="2"/>
          </rPr>
          <t xml:space="preserve">Write-off recorded 9/04 as the results of the Idaho General Rate Case
</t>
        </r>
      </text>
    </comment>
    <comment ref="M445" authorId="1" shapeId="0">
      <text>
        <r>
          <rPr>
            <sz val="8"/>
            <color indexed="81"/>
            <rFont val="Tahoma"/>
            <family val="2"/>
          </rPr>
          <t xml:space="preserve">Write-off recorded 9/04 as the results of the Idaho General Rate Case
</t>
        </r>
      </text>
    </comment>
    <comment ref="B446" authorId="1" shapeId="0">
      <text>
        <r>
          <rPr>
            <sz val="8"/>
            <color indexed="81"/>
            <rFont val="Tahoma"/>
            <family val="2"/>
          </rPr>
          <t xml:space="preserve">Write-off recorded 9/04 as the results of the Idaho General Rate Case
</t>
        </r>
      </text>
    </comment>
    <comment ref="M446" authorId="1" shapeId="0">
      <text>
        <r>
          <rPr>
            <sz val="8"/>
            <color indexed="81"/>
            <rFont val="Tahoma"/>
            <family val="2"/>
          </rPr>
          <t xml:space="preserve">Write-off recorded 9/04 as the results of the Idaho General Rate Case
</t>
        </r>
      </text>
    </comment>
    <comment ref="B447" authorId="1" shapeId="0">
      <text>
        <r>
          <rPr>
            <sz val="8"/>
            <color indexed="81"/>
            <rFont val="Tahoma"/>
            <family val="2"/>
          </rPr>
          <t xml:space="preserve">Write-off recorded 9/04 as the results of the Idaho General Rate Case
</t>
        </r>
      </text>
    </comment>
    <comment ref="M447" authorId="1" shapeId="0">
      <text>
        <r>
          <rPr>
            <sz val="8"/>
            <color indexed="81"/>
            <rFont val="Tahoma"/>
            <family val="2"/>
          </rPr>
          <t xml:space="preserve">Write-off recorded 9/04 as the results of the Idaho General Rate Case
</t>
        </r>
      </text>
    </comment>
  </commentList>
</comments>
</file>

<file path=xl/sharedStrings.xml><?xml version="1.0" encoding="utf-8"?>
<sst xmlns="http://schemas.openxmlformats.org/spreadsheetml/2006/main" count="1809" uniqueCount="860">
  <si>
    <t xml:space="preserve">Deferred </t>
  </si>
  <si>
    <t>Settlement</t>
  </si>
  <si>
    <t>Eliminate</t>
  </si>
  <si>
    <t>Injuries</t>
  </si>
  <si>
    <t>Restate</t>
  </si>
  <si>
    <t>Office Space</t>
  </si>
  <si>
    <t>Pro Forma</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</si>
  <si>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</si>
  <si>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</si>
  <si>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</si>
  <si>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</si>
  <si>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</si>
  <si>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</si>
  <si>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</si>
  <si>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</si>
  <si>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</si>
  <si>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</si>
  <si>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</si>
  <si>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</si>
  <si>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</si>
  <si>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</si>
  <si>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</si>
  <si>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</si>
  <si>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</si>
  <si>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</si>
  <si>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</si>
  <si>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</si>
  <si>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</si>
  <si>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</si>
  <si>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</si>
  <si>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</si>
  <si>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</si>
  <si>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</si>
  <si>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</si>
  <si>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</si>
  <si>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</si>
  <si>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</si>
  <si>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</si>
  <si>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</si>
  <si>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</si>
  <si>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</si>
  <si>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</si>
  <si>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</si>
  <si>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</si>
  <si>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</si>
  <si>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</si>
  <si>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</si>
  <si>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</si>
  <si>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</si>
  <si>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</si>
  <si>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</si>
  <si>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</si>
  <si>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</si>
  <si>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</si>
  <si>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</si>
  <si>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</si>
  <si>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</si>
  <si>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</si>
  <si>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</si>
  <si>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</si>
  <si>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</si>
  <si>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</si>
  <si>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</si>
  <si>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</si>
  <si>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</si>
  <si>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</si>
  <si>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</si>
  <si>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</si>
  <si>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</si>
  <si>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</si>
  <si>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</si>
  <si>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</si>
  <si>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</si>
  <si>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</si>
  <si>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</si>
  <si>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</si>
  <si>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</si>
  <si>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</si>
  <si>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</si>
  <si>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</si>
  <si>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</si>
  <si>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</si>
  <si>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</si>
  <si>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</si>
  <si>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</si>
  <si>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</si>
  <si>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</si>
  <si>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</si>
  <si>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</si>
  <si>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</si>
  <si>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</si>
  <si>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</si>
  <si>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</si>
  <si>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</si>
  <si>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</si>
  <si>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</si>
  <si>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</si>
  <si>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</si>
  <si>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</si>
  <si>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</si>
  <si>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</si>
  <si>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</si>
  <si>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</si>
  <si>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</si>
  <si>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</si>
  <si>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</si>
  <si>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</si>
  <si>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</si>
  <si>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</si>
  <si>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</si>
  <si>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</si>
  <si>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</si>
  <si>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</si>
  <si>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</si>
  <si>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</si>
  <si>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</si>
  <si>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</si>
  <si>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</si>
  <si>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</si>
  <si>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</si>
  <si>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</si>
  <si>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</si>
  <si>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</si>
  <si>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</si>
  <si>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</si>
  <si>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</si>
  <si>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</si>
  <si>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</si>
  <si>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</si>
  <si>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</si>
  <si>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</si>
  <si>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</si>
  <si>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</si>
  <si>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</si>
  <si>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</si>
  <si>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</si>
  <si>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</si>
  <si>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</si>
  <si>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</si>
  <si>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</si>
  <si>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</si>
  <si>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</si>
  <si>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</si>
  <si>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</si>
  <si>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</si>
  <si>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</si>
  <si>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</si>
  <si>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</si>
  <si>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</si>
  <si>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</si>
  <si>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</si>
  <si>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</si>
  <si>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</si>
  <si>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</si>
  <si>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</si>
  <si>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</si>
  <si>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</si>
  <si>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</si>
  <si>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</si>
  <si>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</si>
  <si>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</si>
  <si>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</si>
  <si>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</si>
  <si>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</si>
  <si>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</si>
  <si>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</si>
  <si>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</si>
  <si>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</si>
  <si>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</si>
  <si>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</si>
  <si>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</si>
  <si>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</si>
  <si>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</si>
  <si>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</si>
  <si>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</si>
  <si>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</si>
  <si>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</si>
  <si>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</si>
  <si>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</si>
  <si>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</si>
  <si>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</si>
  <si>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</si>
  <si>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</si>
  <si>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</si>
  <si>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</si>
  <si>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</si>
  <si>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</si>
  <si>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</si>
  <si>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</si>
  <si>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</si>
  <si>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</si>
  <si>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</si>
  <si>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</si>
  <si>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</si>
  <si>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</si>
  <si>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</si>
  <si>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</si>
  <si>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</si>
  <si>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</si>
  <si>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</si>
  <si>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</si>
  <si>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</si>
  <si>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</si>
  <si>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</si>
  <si>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</si>
  <si>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</si>
  <si>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</si>
  <si>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</si>
  <si>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</si>
  <si>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</si>
  <si>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</si>
  <si>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</si>
  <si>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</si>
  <si>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</si>
  <si>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</si>
  <si>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</si>
  <si>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</si>
  <si>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</si>
  <si>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</si>
  <si>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</si>
  <si>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</si>
  <si>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</si>
  <si>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</si>
  <si>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</si>
  <si>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</si>
  <si>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</si>
  <si>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</si>
  <si>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</si>
  <si>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</si>
  <si>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</si>
  <si>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</si>
  <si>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</si>
  <si>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</si>
  <si>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</si>
  <si>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</si>
  <si>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</si>
  <si>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</si>
  <si>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</si>
  <si>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</si>
  <si>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</si>
  <si>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</si>
  <si>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</si>
  <si>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</si>
  <si>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</si>
  <si>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</si>
  <si>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</si>
  <si>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</si>
  <si>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</si>
  <si>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</si>
  <si>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</si>
  <si>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</si>
  <si>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</si>
  <si>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</si>
  <si>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</si>
  <si>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</si>
  <si>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</si>
  <si>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</si>
  <si>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</si>
  <si>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</si>
  <si>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</si>
  <si>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</si>
  <si>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</si>
  <si>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</si>
  <si>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</si>
  <si>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</si>
  <si>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</si>
  <si>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</si>
  <si>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</si>
  <si>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</si>
  <si>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</si>
  <si>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Impact of ROE reduced to x%</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</si>
  <si>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</si>
  <si>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</si>
  <si>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</si>
  <si>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</si>
  <si>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</si>
  <si>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</si>
  <si>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</si>
  <si>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</si>
  <si>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</si>
  <si>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</si>
  <si>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</si>
  <si>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</si>
  <si>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</si>
  <si>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</si>
  <si>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</si>
  <si>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</si>
  <si>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</si>
  <si>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</si>
  <si>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</si>
  <si>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</si>
  <si>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</si>
  <si>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</si>
  <si>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</si>
  <si>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</si>
  <si>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</si>
  <si>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</si>
  <si>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</si>
  <si>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</si>
  <si>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</si>
  <si>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</si>
  <si>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</si>
  <si>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</si>
  <si>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</si>
  <si>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</si>
  <si>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</si>
  <si>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</si>
  <si>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</si>
  <si>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</si>
  <si>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</si>
  <si>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</si>
  <si>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</si>
  <si>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</si>
  <si>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</si>
  <si>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</si>
  <si>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</si>
  <si>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</si>
  <si>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</si>
  <si>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</si>
  <si>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</si>
  <si>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</si>
  <si>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</si>
  <si>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</si>
  <si>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</si>
  <si>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</si>
  <si>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</si>
  <si>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</si>
  <si>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</si>
  <si>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</si>
  <si>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</si>
  <si>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</si>
  <si>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</si>
  <si>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</si>
  <si>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</si>
  <si>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</si>
  <si>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</si>
  <si>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</si>
  <si>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</si>
  <si>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</si>
  <si>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</si>
  <si>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</si>
  <si>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</si>
  <si>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</si>
  <si>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</si>
  <si>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</si>
  <si>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</si>
  <si>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</si>
  <si>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</si>
  <si>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</si>
  <si>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</si>
  <si>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</si>
  <si>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</si>
  <si>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</si>
  <si>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</si>
  <si>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</si>
  <si>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</si>
  <si>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</si>
  <si>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</si>
  <si>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</si>
  <si>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</si>
  <si>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</si>
  <si>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</si>
  <si>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</si>
  <si>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</si>
  <si>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</si>
  <si>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</si>
  <si>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</si>
  <si>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</si>
  <si>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</si>
  <si>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</si>
  <si>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</si>
  <si>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</si>
  <si>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</si>
  <si>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</si>
  <si>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</si>
  <si>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</si>
  <si>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</si>
  <si>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</si>
  <si>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</si>
  <si>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</si>
  <si>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</si>
  <si>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</si>
  <si>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</si>
  <si>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</si>
  <si>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</si>
  <si>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</si>
  <si>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</si>
  <si>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</si>
  <si>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</si>
  <si>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</si>
  <si>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</si>
  <si>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</si>
  <si>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</si>
  <si>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</si>
  <si>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</si>
  <si>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</si>
  <si>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</si>
  <si>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</si>
  <si>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</si>
  <si>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</si>
  <si>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</si>
  <si>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</si>
  <si>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</si>
  <si>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</si>
  <si>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</si>
  <si>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</si>
  <si>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</si>
  <si>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</si>
  <si>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</si>
  <si>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</si>
  <si>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</si>
  <si>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</si>
  <si>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</si>
  <si>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</si>
  <si>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</si>
  <si>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</si>
  <si>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</si>
  <si>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</si>
  <si>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</si>
  <si>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</si>
  <si>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</si>
  <si>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</si>
  <si>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</si>
  <si>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</si>
  <si>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</si>
  <si>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</si>
  <si>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</si>
  <si>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</si>
  <si>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</si>
  <si>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</si>
  <si>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</si>
  <si>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</si>
  <si>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</si>
  <si>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</si>
  <si>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</si>
  <si>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</si>
  <si>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</si>
  <si>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</si>
  <si>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</si>
  <si>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</si>
  <si>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</si>
  <si>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</si>
  <si>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</si>
  <si>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</si>
  <si>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</si>
  <si>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</si>
  <si>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</si>
  <si>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</si>
  <si>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</si>
  <si>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</si>
  <si>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</si>
  <si>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</si>
  <si>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</si>
  <si>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</si>
  <si>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</si>
  <si>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</si>
  <si>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</si>
  <si>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</si>
  <si>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</si>
  <si>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</si>
  <si>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</si>
  <si>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</si>
  <si>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</si>
  <si>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</si>
  <si>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</si>
  <si>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</si>
  <si>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</si>
  <si>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</si>
  <si>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</si>
  <si>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</si>
  <si>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</si>
  <si>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</si>
  <si>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</si>
  <si>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</si>
  <si>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</si>
  <si>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</si>
  <si>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</si>
  <si>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</si>
  <si>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</si>
  <si>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</si>
  <si>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</si>
  <si>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</si>
  <si>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</si>
  <si>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</si>
  <si>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</si>
  <si>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</si>
  <si>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</si>
  <si>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</si>
  <si>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</si>
  <si>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</si>
  <si>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</si>
  <si>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</si>
  <si>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</si>
  <si>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</si>
  <si>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</si>
  <si>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</si>
  <si>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</si>
  <si>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</si>
  <si>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</si>
  <si>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</si>
  <si>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</si>
  <si>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</si>
  <si>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</si>
  <si>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</si>
  <si>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</si>
  <si>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</si>
  <si>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</si>
  <si>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</si>
  <si>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</si>
  <si>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</si>
  <si>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</si>
  <si>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</si>
  <si>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</si>
  <si>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</si>
  <si>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</si>
  <si>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</si>
  <si>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</si>
  <si>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</si>
  <si>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</si>
  <si>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</si>
  <si>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</si>
  <si>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</si>
  <si>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</si>
  <si>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</si>
  <si>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</si>
  <si>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</si>
  <si>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</si>
  <si>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</si>
  <si>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</si>
  <si>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</si>
  <si>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</si>
  <si>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</si>
  <si>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</si>
  <si>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</si>
  <si>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</si>
  <si>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</si>
  <si>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</si>
  <si>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</si>
  <si>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</si>
  <si>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</si>
  <si>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</si>
  <si>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</si>
  <si>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</si>
  <si>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</si>
  <si>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</si>
  <si>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</si>
  <si>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</si>
  <si>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</si>
  <si>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</si>
  <si>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</si>
  <si>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</si>
  <si>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</si>
  <si>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</si>
  <si>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</si>
  <si>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</si>
  <si>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</si>
  <si>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</si>
  <si>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</si>
  <si>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</si>
  <si>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</si>
  <si>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</si>
  <si>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</si>
  <si>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</si>
  <si>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</si>
  <si>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</si>
  <si>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</si>
  <si>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</si>
  <si>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</si>
  <si>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</si>
  <si>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</si>
  <si>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</si>
  <si>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</si>
  <si>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</si>
  <si>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</si>
  <si>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</si>
  <si>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</si>
  <si>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</si>
  <si>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</si>
  <si>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</si>
  <si>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</si>
  <si>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</si>
  <si>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</si>
  <si>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</si>
  <si>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</si>
  <si>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</si>
  <si>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</si>
  <si>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</si>
  <si>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</si>
  <si>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</si>
  <si>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</si>
  <si>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</si>
  <si>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</si>
  <si>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</si>
  <si>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</si>
  <si>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</si>
  <si>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</si>
  <si>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</si>
  <si>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</si>
  <si>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</si>
  <si>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</si>
  <si>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</si>
  <si>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</si>
  <si>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</si>
  <si>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</si>
  <si>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</si>
  <si>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</si>
  <si>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</si>
  <si>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</si>
  <si>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</si>
  <si>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</si>
  <si>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</si>
  <si>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</si>
  <si>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Total Debt</t>
  </si>
  <si>
    <t>FIT/DFIT/</t>
  </si>
  <si>
    <t>ITC/PTC</t>
  </si>
  <si>
    <t>`</t>
  </si>
  <si>
    <t>Totals</t>
  </si>
  <si>
    <t>PF-Ttl</t>
  </si>
  <si>
    <t>Attrition</t>
  </si>
  <si>
    <t>Attrition Components</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</si>
  <si>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</si>
  <si>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</si>
  <si>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</si>
  <si>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</si>
  <si>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</si>
  <si>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</si>
  <si>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</si>
  <si>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</si>
  <si>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</si>
  <si>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</si>
  <si>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</si>
  <si>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</si>
  <si>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</si>
  <si>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</si>
  <si>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</si>
  <si>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</si>
  <si>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</si>
  <si>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</si>
  <si>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</si>
  <si>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</si>
  <si>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</si>
  <si>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</si>
  <si>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</si>
  <si>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</si>
  <si>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</si>
  <si>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</si>
  <si>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</si>
  <si>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</si>
  <si>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</si>
  <si>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</si>
  <si>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</si>
  <si>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</si>
  <si>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</si>
  <si>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</si>
  <si>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</si>
  <si>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</si>
  <si>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</si>
  <si>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</si>
  <si>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</si>
  <si>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Tara</t>
  </si>
  <si>
    <t>Current authorizerd</t>
  </si>
  <si>
    <t>Expenses</t>
  </si>
  <si>
    <t>Incentive</t>
  </si>
  <si>
    <t>Pro forma</t>
  </si>
  <si>
    <t>Total (2)</t>
  </si>
  <si>
    <t>(1)</t>
  </si>
  <si>
    <t xml:space="preserve">REVENUE REQUIREMENT </t>
  </si>
  <si>
    <t>CALCULATION OF GENERAL REVENUE REQUIREMENT</t>
  </si>
  <si>
    <t xml:space="preserve">Cross Check </t>
  </si>
  <si>
    <t>(2)</t>
  </si>
  <si>
    <t>(3)</t>
  </si>
  <si>
    <t>DEFERRED DEBITS AND CREDITS &amp; OTHER</t>
  </si>
  <si>
    <t xml:space="preserve">RATE OF RETURN  </t>
  </si>
  <si>
    <t xml:space="preserve">Weather </t>
  </si>
  <si>
    <t>E-WN</t>
  </si>
  <si>
    <t>Adder</t>
  </si>
  <si>
    <t>Schedules</t>
  </si>
  <si>
    <t xml:space="preserve">Revenue </t>
  </si>
  <si>
    <t>E-PREV</t>
  </si>
  <si>
    <t>Attrition Adjusted</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</si>
  <si>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</si>
  <si>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</si>
  <si>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</si>
  <si>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</si>
  <si>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</si>
  <si>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</si>
  <si>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</si>
  <si>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</si>
  <si>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</si>
  <si>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Miscellaneous Steam Power Generation Op Exp</t>
  </si>
  <si>
    <t>Miscellaneous Steam Power Generation Maint Exp</t>
  </si>
  <si>
    <t>Miscellaneous Other Power Generation Op Exp</t>
  </si>
  <si>
    <t>Miscellaneous Other Power Generation Maint Exp</t>
  </si>
  <si>
    <t>Amortization of Spokane River TDG</t>
  </si>
  <si>
    <t>Amortization of Schedule 98 REC Rev</t>
  </si>
  <si>
    <t>Project Compass Deferral - ID</t>
  </si>
  <si>
    <t>NET OPERATING INCOME (LOSS) BEFORE FIT</t>
  </si>
  <si>
    <t>ELECTRIC NET OPERATING INCOME (LOSS)</t>
  </si>
  <si>
    <t>Misc Intangible Plant- (C-IPL)</t>
  </si>
  <si>
    <t>Misc Intangible Plant-Mainframe Software (C-IPL)</t>
  </si>
  <si>
    <t>Misc Intangible Plant-PC Software (C-IPL)</t>
  </si>
  <si>
    <t>Amortization Adj</t>
  </si>
  <si>
    <t>Dec 2015 AMA</t>
  </si>
  <si>
    <t>2016 Limited</t>
  </si>
  <si>
    <t>Capital Adds</t>
  </si>
  <si>
    <t>2017 AMA</t>
  </si>
  <si>
    <t>Cross Check</t>
  </si>
  <si>
    <t xml:space="preserve">Cross Check  </t>
  </si>
  <si>
    <t>2016 AMA (Inc)</t>
  </si>
  <si>
    <t xml:space="preserve"> Offsets</t>
  </si>
  <si>
    <t xml:space="preserve">Pro Forma  </t>
  </si>
  <si>
    <t>E-PRA</t>
  </si>
  <si>
    <t>E-PCAP15</t>
  </si>
  <si>
    <t>E-PCAP16</t>
  </si>
  <si>
    <t>E-POFF</t>
  </si>
  <si>
    <t>E-PMD</t>
  </si>
  <si>
    <t>E-CCAP16</t>
  </si>
  <si>
    <t>E-CCAP17</t>
  </si>
  <si>
    <t>E-CPT</t>
  </si>
  <si>
    <t>E-CIS</t>
  </si>
  <si>
    <t>E-CM</t>
  </si>
  <si>
    <t>E-CREC</t>
  </si>
  <si>
    <t>Restating Adjustments</t>
  </si>
  <si>
    <t>Non-Utility</t>
  </si>
  <si>
    <t>2017</t>
  </si>
  <si>
    <t>Step 2 Increase</t>
  </si>
  <si>
    <t>2018 CROSS CHECK ADJUSTMENTS</t>
  </si>
  <si>
    <t>Power Supply</t>
  </si>
  <si>
    <t xml:space="preserve">Transmission </t>
  </si>
  <si>
    <t>Rev/Exp Adj</t>
  </si>
  <si>
    <t>Planned Capital</t>
  </si>
  <si>
    <t>Add 2018 AMA</t>
  </si>
  <si>
    <t>to Attrition</t>
  </si>
  <si>
    <t>E-CPS18</t>
  </si>
  <si>
    <t>E-CTR18</t>
  </si>
  <si>
    <t>E-CLN18</t>
  </si>
  <si>
    <t>E-CIS18</t>
  </si>
  <si>
    <t>E-CPT18</t>
  </si>
  <si>
    <t>E-CREC18</t>
  </si>
  <si>
    <t>FINAL</t>
  </si>
  <si>
    <t>2017 CROSS CHECK ADJUSTMENTS</t>
  </si>
  <si>
    <t>Reconcile 2018</t>
  </si>
  <si>
    <t>/ Cross Check</t>
  </si>
  <si>
    <t>2018</t>
  </si>
  <si>
    <t>17AA/CC-Ttl</t>
  </si>
  <si>
    <t>18AA/CC-Ttl</t>
  </si>
  <si>
    <t>17CC-Ttl</t>
  </si>
  <si>
    <t>18CC-Ttl</t>
  </si>
  <si>
    <t>Incremental</t>
  </si>
  <si>
    <t>Reconcile 2017</t>
  </si>
  <si>
    <t>2017 Total Cross Check</t>
  </si>
  <si>
    <t>2017 Cross Check Adjustments</t>
  </si>
  <si>
    <t>2018 Cross Check Adjustments</t>
  </si>
  <si>
    <t>E-CCAP18</t>
  </si>
  <si>
    <t>(Per Order No. 6; UE-120436, dated 6/20/2012 - "hard" CF rounded to 6 digits)</t>
  </si>
  <si>
    <t>Plant Held</t>
  </si>
  <si>
    <t>For Future</t>
  </si>
  <si>
    <t>Use</t>
  </si>
  <si>
    <t xml:space="preserve">E-PHF </t>
  </si>
  <si>
    <t xml:space="preserve">Regulatory </t>
  </si>
  <si>
    <t>(6 Months 2018: 1/1/2018-6/30/2018)</t>
  </si>
  <si>
    <t>Misc. Restating</t>
  </si>
  <si>
    <t>Non-Util / Non-Recurring</t>
  </si>
  <si>
    <t>E-CLN</t>
  </si>
  <si>
    <t>Normalize</t>
  </si>
  <si>
    <t>CS2/Colstrip</t>
  </si>
  <si>
    <t>PF Major Maint</t>
  </si>
  <si>
    <t>Insurance</t>
  </si>
  <si>
    <t>E-CI18</t>
  </si>
  <si>
    <t>E-CI</t>
  </si>
  <si>
    <t>Joe</t>
  </si>
  <si>
    <t>Meter Deferral</t>
  </si>
  <si>
    <t>&amp; Amortization</t>
  </si>
  <si>
    <t>new</t>
  </si>
  <si>
    <t>x</t>
  </si>
  <si>
    <t>2017 AMI</t>
  </si>
  <si>
    <t>Capital &amp; Expense</t>
  </si>
  <si>
    <t>2018 AMI</t>
  </si>
  <si>
    <t>ADDED</t>
  </si>
  <si>
    <t>Added</t>
  </si>
  <si>
    <t>Regulatory Amortization - Meter Deferral</t>
  </si>
  <si>
    <t>Added 1/21/2016  LMA - if approved by Commission for 2017 need to add into ROO</t>
  </si>
  <si>
    <t>Attrition Cross Check Adjustments</t>
  </si>
  <si>
    <t>2017 Attrition Adjustment</t>
  </si>
  <si>
    <t>Above Pro Forma Study</t>
  </si>
  <si>
    <t>Incremental 06.2018</t>
  </si>
  <si>
    <t>Attrition Adjustment</t>
  </si>
  <si>
    <t>6Mos 2018</t>
  </si>
  <si>
    <t>INCREMENTAL</t>
  </si>
  <si>
    <t>2018 (I)</t>
  </si>
  <si>
    <t>2018 (6 Months)</t>
  </si>
  <si>
    <t>g</t>
  </si>
  <si>
    <t xml:space="preserve">Revenue Requirement </t>
  </si>
  <si>
    <t>Total General Business Revenues</t>
  </si>
  <si>
    <r>
      <t xml:space="preserve">Total </t>
    </r>
    <r>
      <rPr>
        <u/>
        <sz val="10"/>
        <rFont val="Times New Roman"/>
        <family val="1"/>
      </rPr>
      <t>Billed</t>
    </r>
    <r>
      <rPr>
        <sz val="10"/>
        <rFont val="Times New Roman"/>
        <family val="1"/>
      </rPr>
      <t xml:space="preserve"> General Business Revenues</t>
    </r>
  </si>
  <si>
    <t>Historical Pro Forma Study &amp; Attrition Adjustments</t>
  </si>
  <si>
    <t>Pro Forma Study Rate Base</t>
  </si>
  <si>
    <t>Pro Forma Study Net income</t>
  </si>
  <si>
    <t>Pro Forma Study Revenue Requirement</t>
  </si>
  <si>
    <t>Proposed Revenue Requirement 2017</t>
  </si>
  <si>
    <t xml:space="preserve">2017 Attrition Allowance </t>
  </si>
  <si>
    <t>2018 Incremental Attrition Allowance (6 months)</t>
  </si>
  <si>
    <t>PRO FORMA &amp; CROSS CHECK STUDY</t>
  </si>
  <si>
    <t>2017 Attrition Allowance</t>
  </si>
  <si>
    <t>Jan-Jun 2018</t>
  </si>
  <si>
    <t>2017 Attrition</t>
  </si>
  <si>
    <t>Jun-Jul 2018 Attrition Allowance</t>
  </si>
  <si>
    <t>(1) Per Company witness Mr. Ehrbar, rate necessary to recover incremental revenue requirement over 6-month period January- June 2018.</t>
  </si>
  <si>
    <t>(1) January to June 2018 Incremental Cross Check results in $11.535 million prior to column (18.08) "Reconcile 2018 Cross Check to Attrition" ($10,301 + $1,234 = $11,535).</t>
  </si>
  <si>
    <t xml:space="preserve">Adj. </t>
  </si>
  <si>
    <t xml:space="preserve">No. </t>
  </si>
  <si>
    <t>Income</t>
  </si>
  <si>
    <t xml:space="preserve">Net Oper. </t>
  </si>
  <si>
    <t>Restating Adjustments:</t>
  </si>
  <si>
    <t>Restated Results</t>
  </si>
  <si>
    <t xml:space="preserve">Rev. Req. </t>
  </si>
  <si>
    <t>Pre-Tax</t>
  </si>
  <si>
    <t>Tax Rate</t>
  </si>
  <si>
    <t>Cost of Capital</t>
  </si>
  <si>
    <t>Filed Rate Base</t>
  </si>
  <si>
    <t xml:space="preserve">Filed Return </t>
  </si>
  <si>
    <t>Cost of Capital Impact</t>
  </si>
  <si>
    <t>Pro Forma Results (Traditional Rev. Req.)</t>
  </si>
  <si>
    <t>Revenue Conversion</t>
  </si>
  <si>
    <t>Company Filing (Rev. Req. at ICNU ROR)</t>
  </si>
  <si>
    <t>Rev. Req. Parameters</t>
  </si>
  <si>
    <t>Contest</t>
  </si>
  <si>
    <t>Update</t>
  </si>
  <si>
    <t>-</t>
  </si>
  <si>
    <t>-----------------&gt;</t>
  </si>
  <si>
    <t>Electric Revenue Requirement Summary ($000)</t>
  </si>
  <si>
    <t xml:space="preserve">Total </t>
  </si>
  <si>
    <t>Books</t>
  </si>
  <si>
    <t xml:space="preserve">Restating </t>
  </si>
  <si>
    <t xml:space="preserve">Restated </t>
  </si>
  <si>
    <t xml:space="preserve">Pro-forma </t>
  </si>
  <si>
    <t>h</t>
  </si>
  <si>
    <t>Traditional Revenue Requirement Calculations for Avista Corporation</t>
  </si>
  <si>
    <t>Twelve Months Ended September 31, 2015</t>
  </si>
  <si>
    <t xml:space="preserve">($000)   </t>
  </si>
  <si>
    <t>Adjustment Details</t>
  </si>
  <si>
    <t>Restatement Adjustments</t>
  </si>
  <si>
    <t>Washington Electric Pro Forma Revenue Requirement</t>
  </si>
  <si>
    <t>Washington Electric Results</t>
  </si>
  <si>
    <t>Revenue Conversion Factor Calculation</t>
  </si>
  <si>
    <t>ICNU/NWIGU Neutral</t>
  </si>
  <si>
    <t>ICNU/NWIGU Oppose</t>
  </si>
  <si>
    <t>ICNU/NWIGU Modified</t>
  </si>
  <si>
    <t>ICNU/NWIGU Position</t>
  </si>
  <si>
    <t>Impact of ICNU/NWIGU Adjustments</t>
  </si>
  <si>
    <t>Per Book Results (Y/E Sep. 30, 2015)</t>
  </si>
  <si>
    <t>Sep 30, 2015</t>
  </si>
  <si>
    <t>WITH PROPOSED RATES</t>
  </si>
  <si>
    <t>Capital Structure</t>
  </si>
  <si>
    <t>Proposed Capital Structure</t>
  </si>
  <si>
    <t xml:space="preserve">Def. / </t>
  </si>
  <si>
    <t>(Suf.)</t>
  </si>
  <si>
    <t>Adopt Staff Position</t>
  </si>
  <si>
    <t>Adopt Staff Pos.</t>
  </si>
  <si>
    <t>ICNU/NWIGU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</si>
</sst>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quot;$&quot;#,##0.0_);\(&quot;$&quot;#,##0.0\)"/>
    <numFmt numFmtId="176" formatCode="0000.00"/>
    <numFmt numFmtId="177" formatCode="0000"/>
    <numFmt numFmtId="178" formatCode="_(&quot;$&quot;* #,##0_);_(&quot;$&quot;* \(#,##0\);_(&quot;$&quot;* &quot;-&quot;??_);_(@_)"/>
    <numFmt numFmtId="179" formatCode="#,##0.000000_);\(#,##0.000000\)"/>
    <numFmt numFmtId="180" formatCode="0.000"/>
    <numFmt numFmtId="181" formatCode="_(* #,##0.00_);_(* \(#,##0.00\);_(* &quot;-&quot;_);_(@_)"/>
  </numFmts>
  <fonts count="66">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i/>
      <u/>
      <sz val="10"/>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double">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34" fillId="0" borderId="0"/>
    <xf numFmtId="0" fontId="43" fillId="5" borderId="0"/>
    <xf numFmtId="37" fontId="34" fillId="0" borderId="0"/>
    <xf numFmtId="43" fontId="58" fillId="0" borderId="0" applyFont="0" applyFill="0" applyBorder="0" applyAlignment="0" applyProtection="0"/>
  </cellStyleXfs>
  <cellXfs count="890">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4"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7"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0" fontId="4" fillId="0" borderId="11" xfId="12" applyFont="1" applyBorder="1" applyAlignment="1">
      <alignment horizontal="center"/>
    </xf>
    <xf numFmtId="0" fontId="5" fillId="0" borderId="0" xfId="12" applyNumberFormat="1" applyFont="1" applyAlignment="1">
      <alignment horizontal="center"/>
    </xf>
    <xf numFmtId="0" fontId="5" fillId="0" borderId="0" xfId="12" applyFont="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7" fillId="0" borderId="10" xfId="0" applyFont="1" applyBorder="1"/>
    <xf numFmtId="0" fontId="7" fillId="0" borderId="10" xfId="0" applyFont="1" applyBorder="1" applyAlignment="1">
      <alignment horizontal="center"/>
    </xf>
    <xf numFmtId="0" fontId="14" fillId="0" borderId="0" xfId="0" applyFont="1"/>
    <xf numFmtId="5" fontId="7" fillId="0" borderId="0" xfId="0" applyNumberFormat="1" applyFont="1" applyBorder="1"/>
    <xf numFmtId="37" fontId="7" fillId="0" borderId="0" xfId="0" applyNumberFormat="1" applyFont="1" applyBorder="1"/>
    <xf numFmtId="3" fontId="7" fillId="0" borderId="0" xfId="0" applyNumberFormat="1" applyFont="1"/>
    <xf numFmtId="5" fontId="7" fillId="0" borderId="0" xfId="0" applyNumberFormat="1" applyFont="1"/>
    <xf numFmtId="37" fontId="7" fillId="0" borderId="3" xfId="0" applyNumberFormat="1" applyFont="1" applyBorder="1"/>
    <xf numFmtId="37" fontId="7" fillId="0" borderId="0" xfId="0" applyNumberFormat="1" applyFont="1"/>
    <xf numFmtId="10" fontId="7" fillId="0" borderId="0" xfId="0" applyNumberFormat="1" applyFont="1" applyBorder="1"/>
    <xf numFmtId="0" fontId="7" fillId="0" borderId="0" xfId="0" applyFont="1" applyFill="1" applyAlignment="1">
      <alignment horizontal="center"/>
    </xf>
    <xf numFmtId="3" fontId="7" fillId="0" borderId="0" xfId="0" applyNumberFormat="1" applyFont="1" applyBorder="1"/>
    <xf numFmtId="6" fontId="7" fillId="0" borderId="13" xfId="2" applyNumberFormat="1" applyFont="1" applyBorder="1"/>
    <xf numFmtId="0" fontId="9" fillId="0" borderId="0" xfId="0" applyFont="1" applyAlignment="1">
      <alignment horizontal="center"/>
    </xf>
    <xf numFmtId="0" fontId="17" fillId="0" borderId="0" xfId="0" applyFont="1"/>
    <xf numFmtId="0" fontId="17" fillId="0" borderId="0" xfId="0" applyFont="1" applyBorder="1"/>
    <xf numFmtId="0" fontId="17" fillId="0" borderId="0" xfId="0" applyFont="1" applyBorder="1" applyAlignment="1">
      <alignment horizontal="center"/>
    </xf>
    <xf numFmtId="5" fontId="17" fillId="0" borderId="0" xfId="0" applyNumberFormat="1" applyFont="1" applyBorder="1"/>
    <xf numFmtId="37" fontId="17" fillId="0" borderId="0" xfId="0" applyNumberFormat="1" applyFont="1" applyBorder="1"/>
    <xf numFmtId="3" fontId="18" fillId="0" borderId="0" xfId="0" applyNumberFormat="1" applyFont="1"/>
    <xf numFmtId="0" fontId="18" fillId="0" borderId="0" xfId="0" applyFont="1"/>
    <xf numFmtId="5" fontId="18" fillId="0" borderId="0" xfId="0" applyNumberFormat="1" applyFont="1"/>
    <xf numFmtId="37" fontId="18" fillId="0" borderId="0" xfId="0" applyNumberFormat="1" applyFont="1"/>
    <xf numFmtId="0" fontId="7" fillId="0" borderId="0" xfId="0" applyFont="1" applyAlignment="1">
      <alignment horizontal="left"/>
    </xf>
    <xf numFmtId="0" fontId="7" fillId="0" borderId="10" xfId="0" applyFont="1" applyBorder="1" applyAlignment="1">
      <alignment horizontal="left"/>
    </xf>
    <xf numFmtId="0" fontId="17" fillId="0" borderId="0" xfId="0" applyFont="1" applyAlignment="1">
      <alignment horizontal="left"/>
    </xf>
    <xf numFmtId="10" fontId="7" fillId="0" borderId="0" xfId="0" applyNumberFormat="1" applyFont="1" applyAlignment="1">
      <alignment horizontal="left"/>
    </xf>
    <xf numFmtId="10" fontId="7" fillId="0" borderId="0" xfId="0" applyNumberFormat="1"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0" fontId="15" fillId="0" borderId="0" xfId="11" applyFont="1"/>
    <xf numFmtId="10" fontId="15"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23" fillId="0" borderId="0" xfId="0" applyFont="1" applyBorder="1"/>
    <xf numFmtId="0" fontId="15" fillId="0" borderId="0" xfId="0" applyFont="1"/>
    <xf numFmtId="167" fontId="8" fillId="0" borderId="0" xfId="0" applyNumberFormat="1" applyFont="1"/>
    <xf numFmtId="167" fontId="7" fillId="0" borderId="0" xfId="0" applyNumberFormat="1" applyFont="1"/>
    <xf numFmtId="10" fontId="25" fillId="0" borderId="0" xfId="0" applyNumberFormat="1"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7" fillId="0" borderId="0" xfId="0" applyFont="1"/>
    <xf numFmtId="37" fontId="27" fillId="0" borderId="0" xfId="0" applyNumberFormat="1" applyFont="1" applyBorder="1"/>
    <xf numFmtId="37" fontId="18" fillId="0" borderId="0" xfId="0" applyNumberFormat="1" applyFont="1" applyBorder="1"/>
    <xf numFmtId="0" fontId="22" fillId="0" borderId="0" xfId="0" applyFont="1" applyAlignment="1">
      <alignment horizontal="left"/>
    </xf>
    <xf numFmtId="0" fontId="24" fillId="0" borderId="0" xfId="0" applyFont="1" applyBorder="1" applyAlignment="1">
      <alignment horizontal="center"/>
    </xf>
    <xf numFmtId="0" fontId="24" fillId="0" borderId="10" xfId="0" applyFont="1" applyBorder="1" applyAlignment="1">
      <alignment horizontal="center"/>
    </xf>
    <xf numFmtId="167" fontId="15" fillId="0" borderId="0" xfId="0" applyNumberFormat="1" applyFont="1"/>
    <xf numFmtId="167" fontId="15" fillId="0" borderId="0" xfId="0" applyNumberFormat="1" applyFont="1" applyBorder="1"/>
    <xf numFmtId="167" fontId="15" fillId="0" borderId="12" xfId="0" applyNumberFormat="1" applyFont="1" applyBorder="1"/>
    <xf numFmtId="167" fontId="15" fillId="0" borderId="10" xfId="0" applyNumberFormat="1" applyFont="1" applyBorder="1"/>
    <xf numFmtId="3" fontId="18" fillId="0" borderId="0" xfId="11" applyNumberFormat="1" applyFont="1"/>
    <xf numFmtId="164" fontId="18" fillId="0" borderId="0" xfId="11" applyNumberFormat="1" applyFont="1"/>
    <xf numFmtId="6" fontId="7" fillId="0" borderId="0" xfId="2" applyNumberFormat="1" applyFont="1" applyBorder="1"/>
    <xf numFmtId="10" fontId="8" fillId="0" borderId="0" xfId="0" applyNumberFormat="1" applyFont="1" applyBorder="1" applyAlignment="1">
      <alignment horizontal="left"/>
    </xf>
    <xf numFmtId="37" fontId="7" fillId="0" borderId="0" xfId="11" applyNumberFormat="1" applyFont="1" applyAlignment="1">
      <alignment horizontal="right"/>
    </xf>
    <xf numFmtId="37" fontId="18" fillId="0" borderId="10" xfId="0" applyNumberFormat="1" applyFont="1" applyBorder="1"/>
    <xf numFmtId="37" fontId="3" fillId="0" borderId="0" xfId="12" applyNumberFormat="1" applyFont="1" applyFill="1"/>
    <xf numFmtId="10" fontId="3" fillId="0" borderId="0" xfId="14" applyNumberFormat="1" applyFont="1" applyFill="1"/>
    <xf numFmtId="0" fontId="31" fillId="0" borderId="0" xfId="11" applyFont="1"/>
    <xf numFmtId="6" fontId="7" fillId="0" borderId="0" xfId="0" applyNumberFormat="1" applyFont="1"/>
    <xf numFmtId="0" fontId="20" fillId="0" borderId="0" xfId="0" applyFont="1" applyBorder="1" applyAlignment="1">
      <alignment horizontal="left"/>
    </xf>
    <xf numFmtId="0" fontId="20" fillId="0" borderId="0" xfId="0" applyFont="1" applyAlignment="1">
      <alignment horizontal="center"/>
    </xf>
    <xf numFmtId="0" fontId="20" fillId="0" borderId="0" xfId="0" applyFont="1"/>
    <xf numFmtId="0" fontId="20" fillId="0" borderId="0" xfId="0" applyFont="1" applyAlignment="1">
      <alignment horizontal="left"/>
    </xf>
    <xf numFmtId="0" fontId="18" fillId="0" borderId="0" xfId="0" applyFont="1" applyAlignment="1">
      <alignment horizontal="left"/>
    </xf>
    <xf numFmtId="0" fontId="18" fillId="0" borderId="0" xfId="0" applyFont="1" applyBorder="1"/>
    <xf numFmtId="0" fontId="16" fillId="0" borderId="0" xfId="0" applyFont="1" applyAlignment="1">
      <alignment horizontal="center"/>
    </xf>
    <xf numFmtId="169" fontId="7" fillId="0" borderId="13" xfId="1" applyNumberFormat="1" applyFont="1" applyBorder="1"/>
    <xf numFmtId="3" fontId="30" fillId="0" borderId="0" xfId="11" applyNumberFormat="1" applyFont="1"/>
    <xf numFmtId="169" fontId="18" fillId="0" borderId="0" xfId="1" applyNumberFormat="1" applyFont="1"/>
    <xf numFmtId="37" fontId="18" fillId="0" borderId="0" xfId="0" applyNumberFormat="1" applyFont="1" applyFill="1" applyBorder="1"/>
    <xf numFmtId="0" fontId="18" fillId="0" borderId="0" xfId="0" applyFont="1" applyBorder="1" applyAlignment="1">
      <alignment horizontal="left"/>
    </xf>
    <xf numFmtId="9" fontId="7" fillId="0" borderId="0" xfId="0" applyNumberFormat="1" applyFont="1" applyBorder="1" applyAlignment="1">
      <alignment horizontal="left"/>
    </xf>
    <xf numFmtId="0" fontId="7" fillId="0" borderId="0" xfId="0" applyFont="1" applyFill="1" applyBorder="1"/>
    <xf numFmtId="169" fontId="7" fillId="0" borderId="0" xfId="0" applyNumberFormat="1" applyFont="1"/>
    <xf numFmtId="3" fontId="18" fillId="0" borderId="10" xfId="11" applyNumberFormat="1" applyFont="1" applyBorder="1"/>
    <xf numFmtId="0" fontId="8" fillId="0" borderId="0" xfId="0" applyFont="1" applyFill="1"/>
    <xf numFmtId="10" fontId="20" fillId="0" borderId="0" xfId="0" applyNumberFormat="1" applyFont="1" applyFill="1"/>
    <xf numFmtId="10" fontId="7" fillId="0" borderId="0" xfId="0" applyNumberFormat="1" applyFont="1"/>
    <xf numFmtId="37" fontId="7" fillId="0" borderId="10" xfId="0" applyNumberFormat="1" applyFont="1" applyBorder="1"/>
    <xf numFmtId="3" fontId="8" fillId="0" borderId="0" xfId="11" applyNumberFormat="1" applyFont="1"/>
    <xf numFmtId="0" fontId="20" fillId="0" borderId="0" xfId="0" applyFont="1" applyBorder="1" applyAlignment="1">
      <alignment horizontal="right"/>
    </xf>
    <xf numFmtId="0" fontId="32" fillId="0" borderId="0" xfId="0" applyFont="1" applyBorder="1" applyAlignment="1">
      <alignment horizontal="center"/>
    </xf>
    <xf numFmtId="0" fontId="32" fillId="0" borderId="0" xfId="0" applyFont="1" applyAlignment="1">
      <alignment horizontal="center"/>
    </xf>
    <xf numFmtId="0" fontId="7" fillId="0" borderId="0" xfId="0" applyFont="1" applyFill="1"/>
    <xf numFmtId="10" fontId="7" fillId="0" borderId="0" xfId="14" applyNumberFormat="1" applyFont="1"/>
    <xf numFmtId="3" fontId="18" fillId="0" borderId="0" xfId="0" applyNumberFormat="1" applyFont="1" applyFill="1"/>
    <xf numFmtId="0" fontId="18" fillId="0" borderId="0" xfId="0" applyFont="1" applyFill="1"/>
    <xf numFmtId="0" fontId="20" fillId="0" borderId="0" xfId="0" applyFont="1" applyFill="1"/>
    <xf numFmtId="37" fontId="18" fillId="0" borderId="0" xfId="0" applyNumberFormat="1" applyFont="1" applyFill="1"/>
    <xf numFmtId="0" fontId="20" fillId="0" borderId="0" xfId="0" applyFont="1" applyFill="1" applyAlignment="1">
      <alignment horizontal="left"/>
    </xf>
    <xf numFmtId="9" fontId="7" fillId="0" borderId="0" xfId="0" applyNumberFormat="1" applyFont="1" applyFill="1" applyAlignment="1">
      <alignment horizontal="left"/>
    </xf>
    <xf numFmtId="167" fontId="7" fillId="0" borderId="12" xfId="0" applyNumberFormat="1" applyFont="1" applyBorder="1"/>
    <xf numFmtId="0" fontId="14" fillId="0" borderId="0" xfId="0" applyFont="1" applyFill="1"/>
    <xf numFmtId="0" fontId="7" fillId="0" borderId="0" xfId="0" applyFont="1" applyFill="1" applyAlignment="1">
      <alignment horizontal="left"/>
    </xf>
    <xf numFmtId="10" fontId="31" fillId="0" borderId="10" xfId="11" applyNumberFormat="1" applyFont="1" applyFill="1" applyBorder="1"/>
    <xf numFmtId="3" fontId="30" fillId="0" borderId="0" xfId="11" applyNumberFormat="1" applyFont="1" applyFill="1"/>
    <xf numFmtId="0" fontId="17" fillId="0" borderId="0" xfId="0" applyFont="1" applyFill="1"/>
    <xf numFmtId="0" fontId="17" fillId="0" borderId="0" xfId="0" applyFont="1" applyFill="1" applyAlignment="1">
      <alignment horizontal="left"/>
    </xf>
    <xf numFmtId="37" fontId="17" fillId="0" borderId="0" xfId="0" applyNumberFormat="1" applyFont="1" applyFill="1" applyBorder="1"/>
    <xf numFmtId="169" fontId="7" fillId="0" borderId="0" xfId="1" applyNumberFormat="1" applyFont="1" applyFill="1" applyBorder="1"/>
    <xf numFmtId="0" fontId="7" fillId="3" borderId="0" xfId="0" applyFont="1" applyFill="1" applyAlignment="1">
      <alignment horizontal="left"/>
    </xf>
    <xf numFmtId="5" fontId="18" fillId="3" borderId="0" xfId="0" applyNumberFormat="1" applyFont="1" applyFill="1"/>
    <xf numFmtId="7" fontId="7" fillId="0" borderId="0" xfId="0" applyNumberFormat="1" applyFont="1"/>
    <xf numFmtId="0" fontId="15"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5" fontId="7" fillId="0" borderId="16" xfId="0" applyNumberFormat="1" applyFont="1" applyFill="1" applyBorder="1"/>
    <xf numFmtId="0" fontId="18" fillId="0" borderId="0" xfId="0" applyFont="1" applyBorder="1" applyAlignment="1">
      <alignment horizontal="center"/>
    </xf>
    <xf numFmtId="10" fontId="18" fillId="0" borderId="0" xfId="0" applyNumberFormat="1" applyFont="1" applyBorder="1"/>
    <xf numFmtId="0" fontId="18" fillId="0" borderId="0" xfId="0" applyFont="1" applyFill="1" applyBorder="1"/>
    <xf numFmtId="6" fontId="7" fillId="0" borderId="16" xfId="2" applyNumberFormat="1" applyFont="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20" fillId="0" borderId="0" xfId="0" applyFont="1" applyFill="1" applyBorder="1" applyAlignment="1">
      <alignment horizontal="left"/>
    </xf>
    <xf numFmtId="9" fontId="7" fillId="0" borderId="0" xfId="0" applyNumberFormat="1" applyFont="1" applyFill="1" applyBorder="1" applyAlignment="1">
      <alignment horizontal="left"/>
    </xf>
    <xf numFmtId="5" fontId="20" fillId="0" borderId="0" xfId="0" applyNumberFormat="1" applyFont="1"/>
    <xf numFmtId="5" fontId="7" fillId="0" borderId="0" xfId="0" applyNumberFormat="1" applyFont="1" applyFill="1"/>
    <xf numFmtId="5" fontId="7" fillId="0" borderId="0" xfId="0" applyNumberFormat="1" applyFont="1" applyFill="1" applyAlignment="1">
      <alignment horizontal="right"/>
    </xf>
    <xf numFmtId="5" fontId="7" fillId="0" borderId="0" xfId="0" applyNumberFormat="1" applyFont="1" applyBorder="1" applyAlignment="1">
      <alignment horizontal="right"/>
    </xf>
    <xf numFmtId="5" fontId="7" fillId="0" borderId="0" xfId="2" applyNumberFormat="1" applyFont="1"/>
    <xf numFmtId="5" fontId="7" fillId="0" borderId="0" xfId="0" applyNumberFormat="1" applyFont="1" applyAlignment="1">
      <alignment horizontal="right"/>
    </xf>
    <xf numFmtId="5" fontId="7" fillId="0" borderId="16" xfId="2" applyNumberFormat="1" applyFont="1" applyFill="1" applyBorder="1"/>
    <xf numFmtId="5" fontId="18" fillId="0" borderId="0" xfId="0" applyNumberFormat="1" applyFont="1" applyBorder="1"/>
    <xf numFmtId="5" fontId="20" fillId="0" borderId="0" xfId="0" applyNumberFormat="1" applyFont="1" applyFill="1"/>
    <xf numFmtId="10" fontId="7" fillId="0" borderId="12" xfId="0" applyNumberFormat="1" applyFont="1" applyBorder="1"/>
    <xf numFmtId="0" fontId="18" fillId="0" borderId="0" xfId="0" applyFont="1" applyAlignment="1">
      <alignment horizontal="center"/>
    </xf>
    <xf numFmtId="0" fontId="17" fillId="0" borderId="0" xfId="0" applyFont="1" applyAlignment="1">
      <alignment horizontal="center"/>
    </xf>
    <xf numFmtId="0" fontId="20" fillId="0" borderId="0" xfId="0" applyFont="1" applyFill="1" applyAlignment="1">
      <alignment horizontal="center"/>
    </xf>
    <xf numFmtId="0" fontId="27" fillId="0" borderId="0" xfId="0" applyFont="1" applyAlignment="1">
      <alignment horizontal="center"/>
    </xf>
    <xf numFmtId="0" fontId="17" fillId="0" borderId="0" xfId="0" applyFont="1" applyFill="1" applyAlignment="1">
      <alignment horizontal="center"/>
    </xf>
    <xf numFmtId="10" fontId="7" fillId="0" borderId="13" xfId="0" applyNumberFormat="1" applyFont="1" applyFill="1" applyBorder="1" applyAlignment="1">
      <alignment horizontal="left"/>
    </xf>
    <xf numFmtId="10" fontId="7" fillId="0" borderId="13" xfId="0" applyNumberFormat="1" applyFont="1" applyBorder="1" applyAlignment="1">
      <alignment horizontal="left"/>
    </xf>
    <xf numFmtId="0" fontId="36"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7" fillId="0" borderId="0" xfId="0" applyFont="1" applyAlignment="1">
      <alignment horizontal="center"/>
    </xf>
    <xf numFmtId="0" fontId="37" fillId="0" borderId="0" xfId="0" applyFont="1" applyFill="1" applyAlignment="1">
      <alignment horizontal="center"/>
    </xf>
    <xf numFmtId="0" fontId="38" fillId="0" borderId="0" xfId="0" applyFont="1" applyAlignment="1">
      <alignment horizontal="left"/>
    </xf>
    <xf numFmtId="0" fontId="18" fillId="0" borderId="10" xfId="0" applyFont="1" applyBorder="1"/>
    <xf numFmtId="0" fontId="40" fillId="0" borderId="0" xfId="0" applyFont="1" applyAlignment="1">
      <alignment horizontal="center"/>
    </xf>
    <xf numFmtId="0" fontId="41" fillId="0" borderId="0" xfId="0" applyFont="1" applyAlignment="1">
      <alignment horizontal="center"/>
    </xf>
    <xf numFmtId="3" fontId="7" fillId="0" borderId="0" xfId="0" applyNumberFormat="1" applyFont="1" applyFill="1"/>
    <xf numFmtId="37" fontId="27" fillId="0" borderId="10" xfId="0" applyNumberFormat="1" applyFont="1" applyBorder="1"/>
    <xf numFmtId="0" fontId="27" fillId="0" borderId="10" xfId="0" applyFont="1" applyBorder="1"/>
    <xf numFmtId="5" fontId="10" fillId="0" borderId="0" xfId="0" applyNumberFormat="1" applyFont="1" applyFill="1"/>
    <xf numFmtId="5" fontId="10" fillId="0" borderId="16" xfId="0" applyNumberFormat="1" applyFont="1" applyFill="1" applyBorder="1"/>
    <xf numFmtId="0" fontId="41" fillId="0" borderId="0" xfId="0" applyFont="1" applyFill="1" applyAlignment="1">
      <alignment horizontal="center"/>
    </xf>
    <xf numFmtId="3" fontId="19"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4" fontId="7" fillId="0" borderId="0" xfId="0" applyNumberFormat="1" applyFont="1"/>
    <xf numFmtId="166" fontId="7" fillId="0" borderId="0" xfId="0" applyNumberFormat="1" applyFont="1"/>
    <xf numFmtId="166" fontId="7" fillId="0" borderId="0" xfId="0" applyNumberFormat="1" applyFont="1" applyBorder="1"/>
    <xf numFmtId="173" fontId="7" fillId="0" borderId="0" xfId="1" applyNumberFormat="1" applyFont="1" applyFill="1" applyBorder="1"/>
    <xf numFmtId="169" fontId="17" fillId="0" borderId="0" xfId="1" applyNumberFormat="1" applyFont="1"/>
    <xf numFmtId="169" fontId="20" fillId="0" borderId="0" xfId="1" applyNumberFormat="1" applyFont="1"/>
    <xf numFmtId="169" fontId="20" fillId="0" borderId="0" xfId="1" applyNumberFormat="1" applyFont="1" applyFill="1"/>
    <xf numFmtId="169" fontId="27" fillId="0" borderId="0" xfId="1" applyNumberFormat="1" applyFont="1"/>
    <xf numFmtId="169" fontId="7" fillId="0" borderId="0" xfId="1" applyNumberFormat="1" applyFont="1" applyFill="1"/>
    <xf numFmtId="169" fontId="17" fillId="0" borderId="0" xfId="1" applyNumberFormat="1" applyFont="1" applyFill="1"/>
    <xf numFmtId="169" fontId="7" fillId="0" borderId="0" xfId="0" applyNumberFormat="1" applyFont="1" applyFill="1" applyBorder="1"/>
    <xf numFmtId="169" fontId="8" fillId="0" borderId="0" xfId="0" applyNumberFormat="1" applyFont="1" applyFill="1" applyBorder="1"/>
    <xf numFmtId="0" fontId="17" fillId="0" borderId="0" xfId="0" applyFont="1" applyFill="1" applyBorder="1"/>
    <xf numFmtId="0" fontId="27" fillId="0" borderId="0" xfId="0" applyFont="1" applyFill="1" applyBorder="1"/>
    <xf numFmtId="165" fontId="7" fillId="0" borderId="0" xfId="14" applyNumberFormat="1" applyFont="1" applyFill="1" applyBorder="1"/>
    <xf numFmtId="10" fontId="7" fillId="0" borderId="0" xfId="0" applyNumberFormat="1" applyFont="1" applyFill="1" applyBorder="1"/>
    <xf numFmtId="0" fontId="27" fillId="0" borderId="0" xfId="0" applyFont="1" applyFill="1"/>
    <xf numFmtId="5" fontId="18" fillId="0" borderId="0" xfId="0" applyNumberFormat="1" applyFont="1" applyFill="1"/>
    <xf numFmtId="5" fontId="18" fillId="0" borderId="0" xfId="0" applyNumberFormat="1" applyFont="1" applyFill="1" applyBorder="1"/>
    <xf numFmtId="6" fontId="20" fillId="0" borderId="0" xfId="0" applyNumberFormat="1" applyFont="1"/>
    <xf numFmtId="0" fontId="7" fillId="0" borderId="0" xfId="0" applyFont="1" applyAlignment="1"/>
    <xf numFmtId="0" fontId="9" fillId="0" borderId="0" xfId="0" applyFont="1" applyAlignment="1"/>
    <xf numFmtId="5" fontId="3" fillId="0" borderId="0" xfId="12" applyNumberFormat="1" applyFont="1" applyFill="1" applyBorder="1"/>
    <xf numFmtId="6" fontId="20" fillId="0" borderId="0" xfId="0" applyNumberFormat="1" applyFont="1" applyBorder="1"/>
    <xf numFmtId="0" fontId="3" fillId="0" borderId="0" xfId="0" applyFont="1" applyFill="1" applyAlignment="1">
      <alignment horizontal="right"/>
    </xf>
    <xf numFmtId="5" fontId="3" fillId="0" borderId="0" xfId="0" applyNumberFormat="1" applyFont="1" applyFill="1" applyAlignment="1">
      <alignment horizontal="right"/>
    </xf>
    <xf numFmtId="0" fontId="3" fillId="0" borderId="0" xfId="0" applyFont="1" applyFill="1" applyBorder="1" applyAlignment="1">
      <alignment horizontal="right"/>
    </xf>
    <xf numFmtId="0" fontId="13" fillId="0" borderId="0" xfId="0" applyFont="1" applyAlignment="1">
      <alignment horizontal="right"/>
    </xf>
    <xf numFmtId="0" fontId="7" fillId="0" borderId="0" xfId="0" applyFont="1" applyAlignment="1">
      <alignment horizontal="center"/>
    </xf>
    <xf numFmtId="0" fontId="26" fillId="0" borderId="0" xfId="0" applyFont="1" applyAlignment="1">
      <alignment horizontal="center"/>
    </xf>
    <xf numFmtId="175" fontId="7" fillId="0" borderId="0" xfId="0" applyNumberFormat="1" applyFont="1" applyFill="1"/>
    <xf numFmtId="43" fontId="7" fillId="0" borderId="0" xfId="1" applyNumberFormat="1" applyFont="1" applyFill="1"/>
    <xf numFmtId="5" fontId="10" fillId="0" borderId="0" xfId="0" applyNumberFormat="1" applyFont="1" applyFill="1" applyBorder="1"/>
    <xf numFmtId="5" fontId="7" fillId="0" borderId="0" xfId="2" applyNumberFormat="1" applyFont="1" applyFill="1" applyBorder="1"/>
    <xf numFmtId="169" fontId="10" fillId="0" borderId="0" xfId="0" applyNumberFormat="1" applyFont="1" applyFill="1"/>
    <xf numFmtId="169" fontId="3" fillId="0" borderId="0" xfId="0" applyNumberFormat="1" applyFont="1" applyFill="1" applyAlignment="1">
      <alignment horizontal="right"/>
    </xf>
    <xf numFmtId="169" fontId="27" fillId="0" borderId="0" xfId="1" applyNumberFormat="1" applyFont="1" applyFill="1" applyBorder="1"/>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42"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5" xfId="12" applyNumberFormat="1" applyFont="1" applyBorder="1" applyAlignment="1">
      <alignment horizontal="center"/>
    </xf>
    <xf numFmtId="41" fontId="4" fillId="0" borderId="8" xfId="12" applyNumberFormat="1" applyFont="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0" fontId="8" fillId="0" borderId="0" xfId="0" applyFont="1" applyAlignment="1">
      <alignment horizontal="center"/>
    </xf>
    <xf numFmtId="0" fontId="8" fillId="0" borderId="0" xfId="0" applyFont="1" applyBorder="1" applyAlignment="1">
      <alignment horizontal="center"/>
    </xf>
    <xf numFmtId="0" fontId="7" fillId="0" borderId="0" xfId="0" applyFont="1" applyAlignment="1">
      <alignment horizontal="center"/>
    </xf>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31"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5" fontId="7" fillId="0" borderId="10" xfId="0" applyNumberFormat="1" applyFont="1" applyBorder="1"/>
    <xf numFmtId="37" fontId="8" fillId="2" borderId="0" xfId="12" applyNumberFormat="1" applyFont="1" applyFill="1"/>
    <xf numFmtId="10" fontId="31" fillId="2" borderId="0" xfId="14" applyNumberFormat="1" applyFont="1" applyFill="1"/>
    <xf numFmtId="0" fontId="7" fillId="0" borderId="0" xfId="12" applyFont="1"/>
    <xf numFmtId="0" fontId="7" fillId="0" borderId="0" xfId="12" applyFont="1" applyBorder="1"/>
    <xf numFmtId="5" fontId="7" fillId="0" borderId="0" xfId="12" applyNumberFormat="1" applyFont="1" applyBorder="1"/>
    <xf numFmtId="0" fontId="31" fillId="0" borderId="0" xfId="0" applyFont="1" applyAlignment="1">
      <alignment horizontal="left"/>
    </xf>
    <xf numFmtId="0" fontId="31" fillId="0" borderId="0" xfId="0" applyFont="1"/>
    <xf numFmtId="169" fontId="31" fillId="0" borderId="0" xfId="1" applyNumberFormat="1" applyFont="1" applyBorder="1"/>
    <xf numFmtId="10" fontId="31" fillId="0" borderId="0" xfId="14" applyNumberFormat="1" applyFont="1"/>
    <xf numFmtId="10" fontId="3" fillId="0" borderId="0" xfId="14" applyNumberFormat="1" applyFont="1"/>
    <xf numFmtId="41" fontId="45" fillId="0" borderId="0" xfId="12" applyNumberFormat="1" applyFont="1"/>
    <xf numFmtId="41" fontId="45" fillId="0" borderId="0" xfId="12" applyNumberFormat="1" applyFont="1" applyFill="1"/>
    <xf numFmtId="41" fontId="45"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3" fontId="3" fillId="0" borderId="0" xfId="9" applyNumberFormat="1" applyFont="1" applyFill="1" applyAlignment="1">
      <alignment horizontal="center"/>
    </xf>
    <xf numFmtId="176" fontId="46" fillId="0" borderId="0" xfId="0" applyNumberFormat="1" applyFont="1" applyAlignment="1">
      <alignment horizontal="left"/>
    </xf>
    <xf numFmtId="0" fontId="46" fillId="0" borderId="0" xfId="0" applyFont="1"/>
    <xf numFmtId="3" fontId="46" fillId="0" borderId="0" xfId="0" applyNumberFormat="1" applyFont="1"/>
    <xf numFmtId="177" fontId="46" fillId="0" borderId="0" xfId="0" applyNumberFormat="1" applyFont="1" applyAlignment="1">
      <alignment horizontal="left"/>
    </xf>
    <xf numFmtId="177" fontId="46" fillId="0" borderId="0" xfId="0" applyNumberFormat="1" applyFont="1" applyFill="1" applyAlignment="1">
      <alignment horizontal="left"/>
    </xf>
    <xf numFmtId="3" fontId="46" fillId="0" borderId="0" xfId="0" applyNumberFormat="1" applyFont="1" applyFill="1"/>
    <xf numFmtId="0" fontId="46" fillId="0" borderId="0" xfId="0" applyFont="1" applyFill="1"/>
    <xf numFmtId="176" fontId="46" fillId="0" borderId="0" xfId="0" applyNumberFormat="1" applyFont="1" applyFill="1" applyAlignment="1">
      <alignment horizontal="left"/>
    </xf>
    <xf numFmtId="3" fontId="46" fillId="0" borderId="0" xfId="0" applyNumberFormat="1" applyFont="1" applyAlignment="1">
      <alignment horizontal="left"/>
    </xf>
    <xf numFmtId="176" fontId="46" fillId="0" borderId="0" xfId="0" applyNumberFormat="1" applyFont="1"/>
    <xf numFmtId="177" fontId="46" fillId="0" borderId="0" xfId="0" applyNumberFormat="1" applyFont="1" applyFill="1" applyAlignment="1">
      <alignment horizontal="center"/>
    </xf>
    <xf numFmtId="177" fontId="46" fillId="0" borderId="0" xfId="0" applyNumberFormat="1" applyFont="1" applyAlignment="1">
      <alignment horizontal="center"/>
    </xf>
    <xf numFmtId="0" fontId="46" fillId="0" borderId="0" xfId="0" applyNumberFormat="1" applyFont="1"/>
    <xf numFmtId="0" fontId="46" fillId="0" borderId="0" xfId="0" applyNumberFormat="1" applyFont="1" applyAlignment="1">
      <alignment horizontal="center"/>
    </xf>
    <xf numFmtId="176" fontId="46" fillId="0" borderId="0" xfId="0" applyNumberFormat="1" applyFont="1" applyAlignment="1">
      <alignment horizontal="center"/>
    </xf>
    <xf numFmtId="177" fontId="46" fillId="0" borderId="0" xfId="0" applyNumberFormat="1" applyFont="1"/>
    <xf numFmtId="176" fontId="46" fillId="6" borderId="0" xfId="0" applyNumberFormat="1" applyFont="1" applyFill="1"/>
    <xf numFmtId="3" fontId="46" fillId="6" borderId="0" xfId="0" applyNumberFormat="1" applyFont="1" applyFill="1"/>
    <xf numFmtId="0" fontId="46" fillId="6" borderId="0" xfId="0" applyFont="1" applyFill="1"/>
    <xf numFmtId="3" fontId="46" fillId="0" borderId="0" xfId="0" applyNumberFormat="1" applyFont="1" applyAlignment="1">
      <alignment horizontal="center"/>
    </xf>
    <xf numFmtId="3" fontId="46" fillId="0" borderId="0" xfId="0" applyNumberFormat="1" applyFont="1" applyFill="1" applyAlignment="1">
      <alignment horizontal="center"/>
    </xf>
    <xf numFmtId="3" fontId="46" fillId="6" borderId="0" xfId="0" applyNumberFormat="1" applyFont="1" applyFill="1" applyAlignment="1">
      <alignment horizontal="center"/>
    </xf>
    <xf numFmtId="176" fontId="46"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45"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2" fontId="7" fillId="0" borderId="0" xfId="0" applyNumberFormat="1" applyFont="1"/>
    <xf numFmtId="2" fontId="7" fillId="0" borderId="10" xfId="0" applyNumberFormat="1" applyFont="1" applyBorder="1" applyAlignment="1">
      <alignment horizontal="center"/>
    </xf>
    <xf numFmtId="2" fontId="14" fillId="0" borderId="0" xfId="0" applyNumberFormat="1" applyFont="1" applyAlignment="1">
      <alignment horizontal="center"/>
    </xf>
    <xf numFmtId="2" fontId="18" fillId="0" borderId="0" xfId="0" applyNumberFormat="1" applyFont="1" applyAlignment="1">
      <alignment horizontal="center"/>
    </xf>
    <xf numFmtId="2" fontId="14" fillId="0" borderId="0" xfId="0" applyNumberFormat="1" applyFont="1"/>
    <xf numFmtId="2" fontId="18" fillId="0" borderId="0" xfId="0" applyNumberFormat="1" applyFont="1" applyFill="1" applyAlignment="1">
      <alignment horizontal="center"/>
    </xf>
    <xf numFmtId="2" fontId="19" fillId="0" borderId="0" xfId="0" applyNumberFormat="1" applyFont="1" applyAlignment="1">
      <alignment horizontal="center"/>
    </xf>
    <xf numFmtId="2" fontId="7" fillId="0" borderId="0" xfId="0" applyNumberFormat="1" applyFont="1" applyFill="1" applyAlignment="1">
      <alignment horizontal="center"/>
    </xf>
    <xf numFmtId="2" fontId="7" fillId="0" borderId="0" xfId="0" applyNumberFormat="1" applyFont="1" applyAlignment="1">
      <alignment horizontal="center"/>
    </xf>
    <xf numFmtId="2" fontId="7" fillId="0" borderId="0" xfId="0" applyNumberFormat="1" applyFont="1" applyBorder="1" applyAlignment="1">
      <alignment horizontal="center"/>
    </xf>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45"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44" fillId="0" borderId="0" xfId="4" applyNumberFormat="1" applyFont="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31" fillId="0" borderId="0" xfId="11" applyNumberFormat="1" applyFont="1" applyAlignment="1">
      <alignment horizontal="center"/>
    </xf>
    <xf numFmtId="4" fontId="8" fillId="0" borderId="0" xfId="11" applyNumberFormat="1" applyFont="1" applyAlignment="1">
      <alignment horizontal="centerContinuous"/>
    </xf>
    <xf numFmtId="4" fontId="21"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31"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18"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0" fontId="7" fillId="0" borderId="0" xfId="0" applyFont="1" applyAlignment="1">
      <alignment horizontal="center"/>
    </xf>
    <xf numFmtId="0" fontId="9" fillId="0" borderId="0" xfId="0" applyFont="1" applyAlignment="1">
      <alignment horizontal="center"/>
    </xf>
    <xf numFmtId="3" fontId="48" fillId="7" borderId="0" xfId="11" applyNumberFormat="1" applyFont="1" applyFill="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9" fillId="0" borderId="0" xfId="11" applyNumberFormat="1" applyFont="1" applyAlignment="1">
      <alignment horizontal="right"/>
    </xf>
    <xf numFmtId="3" fontId="50" fillId="0" borderId="0" xfId="11" applyNumberFormat="1" applyFont="1"/>
    <xf numFmtId="0" fontId="16" fillId="0" borderId="0" xfId="0" applyFont="1" applyFill="1"/>
    <xf numFmtId="169" fontId="7" fillId="4" borderId="27" xfId="1" applyNumberFormat="1" applyFont="1" applyFill="1" applyBorder="1"/>
    <xf numFmtId="4" fontId="7" fillId="4" borderId="28" xfId="11" applyNumberFormat="1" applyFont="1" applyFill="1" applyBorder="1" applyAlignment="1">
      <alignment horizontal="center"/>
    </xf>
    <xf numFmtId="0" fontId="7" fillId="4" borderId="29"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51"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8" fillId="0" borderId="0" xfId="12" applyNumberFormat="1" applyFont="1" applyFill="1" applyBorder="1"/>
    <xf numFmtId="10" fontId="18" fillId="0" borderId="0" xfId="14" applyNumberFormat="1" applyFont="1" applyFill="1" applyBorder="1"/>
    <xf numFmtId="37" fontId="8" fillId="0" borderId="0" xfId="12" applyNumberFormat="1" applyFont="1" applyFill="1" applyBorder="1"/>
    <xf numFmtId="10" fontId="8" fillId="0" borderId="0" xfId="14" applyNumberFormat="1" applyFont="1" applyFill="1" applyBorder="1" applyAlignment="1">
      <alignment horizontal="center"/>
    </xf>
    <xf numFmtId="168" fontId="18" fillId="0" borderId="0" xfId="14" applyNumberFormat="1" applyFont="1" applyFill="1" applyBorder="1"/>
    <xf numFmtId="0" fontId="7" fillId="0" borderId="0" xfId="0" applyFont="1" applyFill="1" applyBorder="1" applyAlignment="1">
      <alignment horizontal="right"/>
    </xf>
    <xf numFmtId="178" fontId="7" fillId="0" borderId="0" xfId="2" applyNumberFormat="1" applyFont="1" applyFill="1" applyBorder="1"/>
    <xf numFmtId="172" fontId="7" fillId="0" borderId="0" xfId="0" applyNumberFormat="1" applyFont="1" applyFill="1" applyBorder="1"/>
    <xf numFmtId="178"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178" fontId="7" fillId="0" borderId="0" xfId="2" applyNumberFormat="1" applyFont="1"/>
    <xf numFmtId="6" fontId="7" fillId="0" borderId="16" xfId="2" applyNumberFormat="1" applyFont="1" applyFill="1" applyBorder="1"/>
    <xf numFmtId="0" fontId="7" fillId="0" borderId="30" xfId="0" applyFont="1" applyBorder="1"/>
    <xf numFmtId="0" fontId="7" fillId="0" borderId="31" xfId="0" applyFont="1" applyBorder="1"/>
    <xf numFmtId="0" fontId="7" fillId="0" borderId="32" xfId="0" applyFont="1" applyBorder="1"/>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15" fillId="0" borderId="0" xfId="0" applyFont="1" applyFill="1"/>
    <xf numFmtId="0" fontId="7" fillId="0" borderId="0" xfId="12" applyFont="1" applyFill="1"/>
    <xf numFmtId="41" fontId="3" fillId="0" borderId="0" xfId="0" applyNumberFormat="1" applyFont="1" applyFill="1"/>
    <xf numFmtId="4" fontId="7" fillId="0" borderId="0" xfId="0" applyNumberFormat="1" applyFont="1" applyFill="1" applyBorder="1" applyAlignment="1">
      <alignment horizontal="left"/>
    </xf>
    <xf numFmtId="3" fontId="7" fillId="0" borderId="0" xfId="0" applyNumberFormat="1" applyFont="1" applyFill="1" applyBorder="1"/>
    <xf numFmtId="37" fontId="18" fillId="0" borderId="31" xfId="0" applyNumberFormat="1" applyFont="1" applyBorder="1"/>
    <xf numFmtId="0" fontId="18" fillId="0" borderId="31" xfId="0" applyFont="1" applyBorder="1"/>
    <xf numFmtId="0" fontId="7" fillId="0" borderId="31" xfId="0" applyFont="1" applyBorder="1" applyAlignment="1">
      <alignment horizontal="left"/>
    </xf>
    <xf numFmtId="5" fontId="18" fillId="0" borderId="31" xfId="0" applyNumberFormat="1" applyFont="1" applyBorder="1"/>
    <xf numFmtId="0" fontId="7" fillId="0" borderId="31" xfId="0" applyFont="1" applyBorder="1" applyAlignment="1">
      <alignment horizontal="center"/>
    </xf>
    <xf numFmtId="5" fontId="20" fillId="0" borderId="31" xfId="0" applyNumberFormat="1" applyFont="1" applyFill="1" applyBorder="1"/>
    <xf numFmtId="5" fontId="20" fillId="0" borderId="32" xfId="0" applyNumberFormat="1" applyFont="1" applyFill="1" applyBorder="1"/>
    <xf numFmtId="3" fontId="18" fillId="0" borderId="0" xfId="0" applyNumberFormat="1" applyFont="1" applyFill="1" applyBorder="1"/>
    <xf numFmtId="5" fontId="20" fillId="0" borderId="0" xfId="0" applyNumberFormat="1" applyFont="1" applyFill="1" applyBorder="1"/>
    <xf numFmtId="5" fontId="20" fillId="0" borderId="20" xfId="0" applyNumberFormat="1" applyFont="1" applyFill="1" applyBorder="1"/>
    <xf numFmtId="37" fontId="18" fillId="0" borderId="22" xfId="0" applyNumberFormat="1" applyFont="1" applyBorder="1"/>
    <xf numFmtId="0" fontId="18" fillId="0" borderId="22" xfId="0" applyFont="1" applyBorder="1"/>
    <xf numFmtId="0" fontId="7" fillId="0" borderId="22" xfId="0" applyFont="1" applyBorder="1" applyAlignment="1">
      <alignment horizontal="left"/>
    </xf>
    <xf numFmtId="5" fontId="18" fillId="0" borderId="22" xfId="0" applyNumberFormat="1" applyFont="1" applyBorder="1"/>
    <xf numFmtId="0" fontId="7" fillId="0" borderId="22" xfId="0" applyFont="1" applyBorder="1" applyAlignment="1">
      <alignment horizontal="center"/>
    </xf>
    <xf numFmtId="5" fontId="20" fillId="0" borderId="22" xfId="0" applyNumberFormat="1" applyFont="1" applyFill="1" applyBorder="1"/>
    <xf numFmtId="5" fontId="20" fillId="0" borderId="23" xfId="0" applyNumberFormat="1" applyFont="1" applyFill="1" applyBorder="1"/>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55" fillId="0" borderId="0" xfId="0" applyFont="1"/>
    <xf numFmtId="165" fontId="1" fillId="0" borderId="16" xfId="14" applyNumberFormat="1" applyFont="1" applyBorder="1"/>
    <xf numFmtId="37" fontId="55" fillId="0" borderId="0" xfId="0" applyNumberFormat="1" applyFont="1" applyFill="1" applyBorder="1" applyAlignment="1">
      <alignment horizontal="right"/>
    </xf>
    <xf numFmtId="3" fontId="56" fillId="0" borderId="0" xfId="6" applyNumberFormat="1" applyFont="1" applyFill="1"/>
    <xf numFmtId="0" fontId="49" fillId="0" borderId="0" xfId="0" applyFont="1" applyAlignment="1">
      <alignment horizontal="center"/>
    </xf>
    <xf numFmtId="0" fontId="57" fillId="0" borderId="0" xfId="0" applyFont="1" applyAlignment="1">
      <alignment horizontal="center"/>
    </xf>
    <xf numFmtId="0" fontId="7" fillId="0" borderId="0" xfId="0" applyFont="1" applyAlignment="1">
      <alignment horizontal="center"/>
    </xf>
    <xf numFmtId="167" fontId="7" fillId="0" borderId="0" xfId="0" applyNumberFormat="1" applyFont="1"/>
    <xf numFmtId="169" fontId="3" fillId="0" borderId="0" xfId="1" applyNumberFormat="1" applyFont="1"/>
    <xf numFmtId="0" fontId="52"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10" fontId="8" fillId="0" borderId="16" xfId="14" applyNumberFormat="1" applyFont="1" applyBorder="1"/>
    <xf numFmtId="41" fontId="18"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5" fontId="8" fillId="0" borderId="0" xfId="0" applyNumberFormat="1" applyFont="1" applyBorder="1"/>
    <xf numFmtId="10" fontId="8" fillId="0" borderId="0" xfId="14" applyNumberFormat="1" applyFont="1" applyBorder="1"/>
    <xf numFmtId="0" fontId="4" fillId="0" borderId="0" xfId="0" applyFont="1" applyAlignment="1">
      <alignment horizontal="centerContinuous"/>
    </xf>
    <xf numFmtId="0" fontId="8" fillId="0" borderId="0" xfId="0" applyFont="1" applyAlignment="1"/>
    <xf numFmtId="41" fontId="4" fillId="0" borderId="0" xfId="13" applyNumberFormat="1" applyFont="1" applyFill="1" applyBorder="1" applyAlignment="1">
      <alignment horizontal="center"/>
    </xf>
    <xf numFmtId="0" fontId="7" fillId="0" borderId="0" xfId="0" applyFont="1" applyAlignment="1">
      <alignment horizontal="center"/>
    </xf>
    <xf numFmtId="0" fontId="7" fillId="9" borderId="0" xfId="0" quotePrefix="1" applyFont="1" applyFill="1" applyAlignment="1">
      <alignment horizontal="center"/>
    </xf>
    <xf numFmtId="5" fontId="8" fillId="0" borderId="18" xfId="0" applyNumberFormat="1" applyFont="1" applyFill="1" applyBorder="1"/>
    <xf numFmtId="41" fontId="3" fillId="0" borderId="0" xfId="14" applyNumberFormat="1" applyFont="1" applyFill="1" applyBorder="1"/>
    <xf numFmtId="5" fontId="20" fillId="0" borderId="0" xfId="0" applyNumberFormat="1" applyFont="1" applyBorder="1"/>
    <xf numFmtId="5" fontId="3" fillId="0" borderId="0" xfId="0" applyNumberFormat="1" applyFont="1" applyFill="1" applyBorder="1" applyAlignment="1">
      <alignment horizontal="right"/>
    </xf>
    <xf numFmtId="2" fontId="4" fillId="0" borderId="0" xfId="4" applyNumberFormat="1" applyFont="1" applyBorder="1" applyAlignment="1" applyProtection="1">
      <alignment horizontal="center"/>
    </xf>
    <xf numFmtId="41" fontId="3" fillId="4" borderId="0" xfId="12" applyNumberFormat="1" applyFont="1" applyFill="1" applyBorder="1"/>
    <xf numFmtId="37" fontId="3" fillId="8" borderId="0" xfId="12" applyNumberFormat="1" applyFont="1" applyFill="1"/>
    <xf numFmtId="37" fontId="3" fillId="8" borderId="0" xfId="12" applyNumberFormat="1" applyFont="1" applyFill="1" applyAlignment="1">
      <alignment horizontal="right"/>
    </xf>
    <xf numFmtId="39" fontId="3" fillId="8" borderId="0" xfId="12" applyNumberFormat="1" applyFont="1" applyFill="1" applyAlignment="1">
      <alignment horizontal="right"/>
    </xf>
    <xf numFmtId="0" fontId="1" fillId="0" borderId="0" xfId="0" applyFont="1" applyFill="1"/>
    <xf numFmtId="3" fontId="60" fillId="0" borderId="0" xfId="0" applyNumberFormat="1" applyFont="1"/>
    <xf numFmtId="177" fontId="60" fillId="0" borderId="0" xfId="0" applyNumberFormat="1" applyFont="1" applyAlignment="1">
      <alignment horizontal="left"/>
    </xf>
    <xf numFmtId="177" fontId="60" fillId="0" borderId="0" xfId="0" applyNumberFormat="1" applyFont="1" applyFill="1" applyAlignment="1">
      <alignment horizontal="left"/>
    </xf>
    <xf numFmtId="3" fontId="60" fillId="0" borderId="0" xfId="0" applyNumberFormat="1" applyFont="1" applyFill="1"/>
    <xf numFmtId="0" fontId="60" fillId="0" borderId="0" xfId="0" applyFont="1"/>
    <xf numFmtId="177" fontId="60" fillId="0" borderId="0" xfId="0" applyNumberFormat="1" applyFont="1" applyAlignment="1">
      <alignment horizontal="center"/>
    </xf>
    <xf numFmtId="0" fontId="7" fillId="0" borderId="0" xfId="0" applyFont="1" applyFill="1" applyBorder="1" applyAlignment="1">
      <alignment horizontal="center"/>
    </xf>
    <xf numFmtId="41" fontId="20" fillId="0" borderId="0" xfId="0" applyNumberFormat="1" applyFont="1"/>
    <xf numFmtId="41" fontId="7" fillId="0" borderId="0" xfId="0" applyNumberFormat="1" applyFont="1" applyBorder="1"/>
    <xf numFmtId="0" fontId="8" fillId="0" borderId="0" xfId="0" applyFont="1" applyAlignment="1">
      <alignment horizontal="center"/>
    </xf>
    <xf numFmtId="0" fontId="60" fillId="0" borderId="0" xfId="0" applyFont="1" applyFill="1"/>
    <xf numFmtId="3" fontId="60" fillId="6" borderId="0" xfId="0" applyNumberFormat="1" applyFont="1" applyFill="1"/>
    <xf numFmtId="176" fontId="60" fillId="6" borderId="0" xfId="0" applyNumberFormat="1" applyFont="1" applyFill="1"/>
    <xf numFmtId="176" fontId="60" fillId="0" borderId="0" xfId="0" applyNumberFormat="1" applyFont="1"/>
    <xf numFmtId="176" fontId="60" fillId="0" borderId="0" xfId="0" applyNumberFormat="1" applyFont="1" applyFill="1"/>
    <xf numFmtId="0" fontId="7" fillId="0" borderId="0" xfId="0" applyFont="1" applyAlignment="1">
      <alignment horizontal="center"/>
    </xf>
    <xf numFmtId="3" fontId="61" fillId="0" borderId="0" xfId="13" applyNumberFormat="1" applyFont="1"/>
    <xf numFmtId="41" fontId="4" fillId="9" borderId="1" xfId="10" applyNumberFormat="1" applyFont="1" applyFill="1" applyBorder="1" applyAlignment="1">
      <alignment horizontal="center"/>
    </xf>
    <xf numFmtId="0" fontId="7" fillId="0" borderId="0" xfId="0" applyFont="1" applyAlignment="1">
      <alignment horizontal="center"/>
    </xf>
    <xf numFmtId="4" fontId="7" fillId="0" borderId="0" xfId="0" applyNumberFormat="1" applyFont="1" applyBorder="1" applyAlignment="1">
      <alignment horizontal="center"/>
    </xf>
    <xf numFmtId="4" fontId="7" fillId="0" borderId="0" xfId="0" applyNumberFormat="1" applyFont="1" applyBorder="1" applyAlignment="1">
      <alignment horizontal="left"/>
    </xf>
    <xf numFmtId="0" fontId="37" fillId="0" borderId="0" xfId="0" applyFont="1" applyBorder="1" applyAlignment="1">
      <alignment horizontal="center"/>
    </xf>
    <xf numFmtId="4" fontId="8" fillId="0" borderId="0" xfId="0" applyNumberFormat="1" applyFont="1" applyFill="1" applyBorder="1" applyAlignment="1">
      <alignment horizontal="left"/>
    </xf>
    <xf numFmtId="0" fontId="37" fillId="0" borderId="0" xfId="0" applyFont="1" applyFill="1" applyBorder="1" applyAlignment="1">
      <alignment horizontal="center"/>
    </xf>
    <xf numFmtId="4" fontId="7" fillId="0" borderId="0" xfId="0" applyNumberFormat="1" applyFont="1" applyFill="1" applyBorder="1" applyAlignment="1">
      <alignment horizontal="center"/>
    </xf>
    <xf numFmtId="0" fontId="7" fillId="0" borderId="0" xfId="0" applyFont="1" applyFill="1" applyBorder="1" applyAlignment="1">
      <alignment horizontal="left"/>
    </xf>
    <xf numFmtId="0" fontId="41" fillId="0" borderId="0" xfId="0" applyFont="1" applyFill="1" applyBorder="1" applyAlignment="1">
      <alignment horizontal="center"/>
    </xf>
    <xf numFmtId="0" fontId="20" fillId="0" borderId="0" xfId="0" applyFont="1" applyFill="1" applyBorder="1"/>
    <xf numFmtId="0" fontId="16" fillId="0" borderId="0" xfId="0" applyFont="1" applyFill="1" applyBorder="1"/>
    <xf numFmtId="0" fontId="7" fillId="0" borderId="0" xfId="0" applyFont="1" applyAlignment="1">
      <alignment horizontal="center"/>
    </xf>
    <xf numFmtId="169" fontId="4" fillId="9" borderId="5" xfId="1" applyNumberFormat="1" applyFont="1" applyFill="1" applyBorder="1"/>
    <xf numFmtId="169" fontId="4" fillId="9" borderId="8" xfId="1" applyNumberFormat="1" applyFont="1" applyFill="1" applyBorder="1"/>
    <xf numFmtId="14" fontId="53" fillId="0" borderId="0" xfId="12" applyNumberFormat="1" applyFont="1" applyFill="1" applyAlignment="1">
      <alignment horizontal="left" vertical="center"/>
    </xf>
    <xf numFmtId="41" fontId="53" fillId="0" borderId="0" xfId="12" applyNumberFormat="1" applyFont="1" applyFill="1" applyAlignment="1">
      <alignment horizontal="left" vertical="center"/>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37" fontId="3" fillId="0" borderId="0" xfId="12" applyNumberFormat="1" applyFont="1" applyFill="1"/>
    <xf numFmtId="10" fontId="3" fillId="0" borderId="0" xfId="14" applyNumberFormat="1" applyFont="1" applyFill="1"/>
    <xf numFmtId="169" fontId="7" fillId="0" borderId="0" xfId="1" applyNumberFormat="1" applyFont="1" applyFill="1" applyBorder="1"/>
    <xf numFmtId="0" fontId="3" fillId="0" borderId="0" xfId="12" applyFont="1" applyBorder="1"/>
    <xf numFmtId="37" fontId="3" fillId="0" borderId="0" xfId="12" applyNumberFormat="1" applyFont="1" applyFill="1" applyBorder="1"/>
    <xf numFmtId="169" fontId="20" fillId="0" borderId="0" xfId="1" applyNumberFormat="1" applyFont="1" applyFill="1"/>
    <xf numFmtId="5" fontId="3" fillId="0" borderId="0" xfId="12" applyNumberFormat="1" applyFont="1" applyFill="1" applyBorder="1"/>
    <xf numFmtId="0" fontId="3" fillId="0" borderId="0" xfId="12" applyNumberFormat="1" applyFont="1" applyBorder="1" applyAlignment="1">
      <alignment horizontal="center"/>
    </xf>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42"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3"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1" fontId="3" fillId="0" borderId="12" xfId="12" applyNumberFormat="1" applyFont="1" applyFill="1" applyBorder="1"/>
    <xf numFmtId="41" fontId="4" fillId="0" borderId="12" xfId="12" applyNumberFormat="1" applyFont="1" applyFill="1" applyBorder="1"/>
    <xf numFmtId="41" fontId="7" fillId="0" borderId="16" xfId="2" applyNumberFormat="1" applyFont="1" applyBorder="1"/>
    <xf numFmtId="41" fontId="45" fillId="0" borderId="0" xfId="12" applyNumberFormat="1" applyFont="1"/>
    <xf numFmtId="41" fontId="45" fillId="0" borderId="0" xfId="12" applyNumberFormat="1" applyFont="1" applyFill="1"/>
    <xf numFmtId="41" fontId="45" fillId="0" borderId="10" xfId="12" applyNumberFormat="1" applyFont="1" applyBorder="1"/>
    <xf numFmtId="3" fontId="3" fillId="0" borderId="0" xfId="9" applyNumberFormat="1" applyFont="1" applyFill="1" applyAlignment="1">
      <alignment horizontal="center"/>
    </xf>
    <xf numFmtId="41" fontId="3" fillId="0" borderId="3" xfId="12" applyNumberFormat="1" applyFont="1" applyFill="1" applyBorder="1"/>
    <xf numFmtId="37" fontId="3" fillId="0" borderId="10" xfId="12" applyNumberFormat="1" applyFont="1" applyFill="1" applyBorder="1"/>
    <xf numFmtId="5" fontId="3" fillId="0" borderId="13" xfId="12" applyNumberFormat="1" applyFont="1" applyFill="1" applyBorder="1"/>
    <xf numFmtId="5" fontId="45" fillId="0" borderId="0" xfId="12" applyNumberFormat="1" applyFont="1"/>
    <xf numFmtId="5" fontId="3" fillId="0" borderId="13" xfId="12" applyNumberFormat="1" applyFont="1" applyBorder="1"/>
    <xf numFmtId="5" fontId="45" fillId="0" borderId="0" xfId="10" applyNumberFormat="1" applyFont="1" applyFill="1" applyBorder="1"/>
    <xf numFmtId="5" fontId="3" fillId="0" borderId="0" xfId="10" applyNumberFormat="1" applyFont="1" applyFill="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44"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3" fillId="0" borderId="0" xfId="12" applyNumberFormat="1" applyFont="1" applyAlignment="1">
      <alignment horizontal="left"/>
    </xf>
    <xf numFmtId="41" fontId="4" fillId="0" borderId="0" xfId="12" applyNumberFormat="1" applyFont="1" applyBorder="1" applyAlignment="1">
      <alignment horizontal="center"/>
    </xf>
    <xf numFmtId="41" fontId="4" fillId="0" borderId="10" xfId="12" applyNumberFormat="1" applyFont="1" applyBorder="1" applyAlignment="1">
      <alignment horizontal="center"/>
    </xf>
    <xf numFmtId="2" fontId="4" fillId="0" borderId="10" xfId="4" applyNumberFormat="1" applyFont="1" applyBorder="1" applyAlignment="1" applyProtection="1">
      <alignment horizontal="center"/>
    </xf>
    <xf numFmtId="9" fontId="3" fillId="0" borderId="0" xfId="14" applyFont="1"/>
    <xf numFmtId="0" fontId="3" fillId="4" borderId="0" xfId="12" applyFont="1" applyFill="1"/>
    <xf numFmtId="41" fontId="3" fillId="4" borderId="10" xfId="12" applyNumberFormat="1" applyFont="1" applyFill="1" applyBorder="1"/>
    <xf numFmtId="41" fontId="4" fillId="4" borderId="10" xfId="12" applyNumberFormat="1" applyFont="1" applyFill="1" applyBorder="1"/>
    <xf numFmtId="0" fontId="3" fillId="0" borderId="0" xfId="12" applyFont="1" applyAlignment="1">
      <alignment vertical="top"/>
    </xf>
    <xf numFmtId="3" fontId="4" fillId="0" borderId="0" xfId="13" applyNumberFormat="1" applyFont="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2" fontId="4" fillId="9" borderId="5" xfId="12" applyNumberFormat="1" applyFont="1" applyFill="1" applyBorder="1" applyAlignment="1">
      <alignment horizontal="center"/>
    </xf>
    <xf numFmtId="41" fontId="4" fillId="9" borderId="5" xfId="12" applyNumberFormat="1" applyFont="1" applyFill="1" applyBorder="1"/>
    <xf numFmtId="5" fontId="4" fillId="9" borderId="5" xfId="12" applyNumberFormat="1" applyFont="1" applyFill="1" applyBorder="1"/>
    <xf numFmtId="41" fontId="4" fillId="9" borderId="8" xfId="12" applyNumberFormat="1" applyFont="1" applyFill="1" applyBorder="1"/>
    <xf numFmtId="41" fontId="4" fillId="9" borderId="1" xfId="12" applyNumberFormat="1" applyFont="1" applyFill="1" applyBorder="1"/>
    <xf numFmtId="41" fontId="4" fillId="9" borderId="33" xfId="12" applyNumberFormat="1" applyFont="1" applyFill="1" applyBorder="1"/>
    <xf numFmtId="10" fontId="4" fillId="9" borderId="5" xfId="14" applyNumberFormat="1" applyFont="1" applyFill="1" applyBorder="1"/>
    <xf numFmtId="41" fontId="4" fillId="9" borderId="34" xfId="14" applyNumberFormat="1" applyFont="1" applyFill="1" applyBorder="1"/>
    <xf numFmtId="41" fontId="53" fillId="0" borderId="0" xfId="12" applyNumberFormat="1" applyFont="1" applyFill="1" applyBorder="1" applyAlignment="1">
      <alignment vertical="center"/>
    </xf>
    <xf numFmtId="41" fontId="54" fillId="0" borderId="31" xfId="12" applyNumberFormat="1" applyFont="1" applyFill="1" applyBorder="1" applyAlignment="1">
      <alignment vertical="top" wrapText="1"/>
    </xf>
    <xf numFmtId="41" fontId="54" fillId="0" borderId="0" xfId="12" applyNumberFormat="1" applyFont="1" applyFill="1" applyBorder="1" applyAlignment="1">
      <alignment vertical="top" wrapText="1"/>
    </xf>
    <xf numFmtId="41" fontId="4" fillId="9" borderId="1" xfId="12" quotePrefix="1" applyNumberFormat="1" applyFont="1" applyFill="1" applyBorder="1" applyAlignment="1">
      <alignment horizontal="center"/>
    </xf>
    <xf numFmtId="41" fontId="4" fillId="9" borderId="35" xfId="14" applyNumberFormat="1" applyFont="1" applyFill="1" applyBorder="1"/>
    <xf numFmtId="2" fontId="4" fillId="9" borderId="8" xfId="12" applyNumberFormat="1" applyFont="1" applyFill="1" applyBorder="1" applyAlignment="1">
      <alignment horizontal="center"/>
    </xf>
    <xf numFmtId="0" fontId="4" fillId="0" borderId="1" xfId="12" applyFont="1" applyBorder="1" applyAlignment="1">
      <alignment horizontal="center"/>
    </xf>
    <xf numFmtId="41" fontId="4" fillId="0" borderId="4" xfId="12" applyNumberFormat="1" applyFont="1" applyBorder="1" applyAlignment="1">
      <alignment horizontal="center"/>
    </xf>
    <xf numFmtId="41" fontId="4" fillId="0" borderId="7" xfId="12" applyNumberFormat="1" applyFont="1" applyBorder="1" applyAlignment="1">
      <alignment horizontal="center"/>
    </xf>
    <xf numFmtId="41" fontId="4" fillId="0" borderId="11" xfId="12" applyNumberFormat="1" applyFont="1" applyBorder="1" applyAlignment="1">
      <alignment horizontal="center"/>
    </xf>
    <xf numFmtId="41" fontId="3" fillId="0" borderId="13" xfId="12" applyNumberFormat="1" applyFont="1" applyFill="1" applyBorder="1"/>
    <xf numFmtId="41" fontId="3" fillId="0" borderId="0" xfId="14" applyNumberFormat="1" applyFont="1"/>
    <xf numFmtId="168" fontId="3" fillId="0" borderId="0" xfId="14" applyNumberFormat="1" applyFont="1" applyFill="1"/>
    <xf numFmtId="10" fontId="3" fillId="0" borderId="0" xfId="14" applyNumberFormat="1" applyFont="1" applyFill="1" applyBorder="1"/>
    <xf numFmtId="2" fontId="18" fillId="0" borderId="19" xfId="0" applyNumberFormat="1" applyFont="1" applyFill="1" applyBorder="1" applyAlignment="1">
      <alignment horizontal="center"/>
    </xf>
    <xf numFmtId="5" fontId="20" fillId="0" borderId="20" xfId="0" applyNumberFormat="1" applyFont="1" applyBorder="1"/>
    <xf numFmtId="0" fontId="7" fillId="0" borderId="0" xfId="0" quotePrefix="1" applyFont="1" applyAlignment="1">
      <alignment horizontal="center"/>
    </xf>
    <xf numFmtId="167" fontId="15" fillId="0" borderId="13" xfId="0" applyNumberFormat="1" applyFont="1" applyBorder="1"/>
    <xf numFmtId="0" fontId="8" fillId="0" borderId="0" xfId="0" applyFont="1" applyBorder="1" applyAlignment="1">
      <alignment horizontal="center"/>
    </xf>
    <xf numFmtId="41" fontId="53" fillId="0" borderId="0" xfId="12" applyNumberFormat="1" applyFont="1" applyFill="1" applyBorder="1" applyAlignment="1">
      <alignment horizontal="center" vertical="center"/>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41" fontId="3" fillId="0" borderId="0" xfId="13" applyNumberFormat="1" applyFont="1" applyFill="1" applyAlignment="1">
      <alignment horizontal="center"/>
    </xf>
    <xf numFmtId="41" fontId="4" fillId="0" borderId="1" xfId="10" applyNumberFormat="1" applyFont="1" applyFill="1" applyBorder="1" applyAlignment="1">
      <alignment horizontal="center"/>
    </xf>
    <xf numFmtId="41" fontId="4" fillId="0" borderId="5" xfId="10" applyNumberFormat="1" applyFont="1" applyFill="1" applyBorder="1" applyAlignment="1">
      <alignment horizontal="center"/>
    </xf>
    <xf numFmtId="41" fontId="51" fillId="0" borderId="0" xfId="12" applyNumberFormat="1" applyFont="1" applyFill="1" applyAlignment="1"/>
    <xf numFmtId="41" fontId="4" fillId="0" borderId="0" xfId="12" applyNumberFormat="1" applyFont="1" applyFill="1" applyBorder="1" applyAlignment="1">
      <alignment horizontal="right"/>
    </xf>
    <xf numFmtId="41" fontId="3" fillId="0" borderId="25" xfId="14" applyNumberFormat="1" applyFont="1" applyFill="1" applyBorder="1"/>
    <xf numFmtId="41" fontId="3" fillId="0" borderId="0" xfId="12" applyNumberFormat="1" applyFont="1" applyFill="1" applyAlignment="1"/>
    <xf numFmtId="41" fontId="4" fillId="0" borderId="4" xfId="10" applyNumberFormat="1" applyFont="1" applyFill="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Fill="1" applyBorder="1" applyAlignment="1">
      <alignment horizontal="center"/>
    </xf>
    <xf numFmtId="3" fontId="4" fillId="0" borderId="0" xfId="13" applyNumberFormat="1" applyFont="1" applyFill="1" applyAlignment="1">
      <alignment horizontal="center"/>
    </xf>
    <xf numFmtId="0" fontId="7" fillId="0" borderId="0" xfId="0" applyFont="1" applyAlignment="1">
      <alignment horizontal="center"/>
    </xf>
    <xf numFmtId="41" fontId="4" fillId="0" borderId="0" xfId="12" applyNumberFormat="1" applyFont="1" applyFill="1" applyAlignment="1">
      <alignment wrapText="1"/>
    </xf>
    <xf numFmtId="0" fontId="3" fillId="0" borderId="0" xfId="12" applyFont="1" applyFill="1"/>
    <xf numFmtId="41" fontId="3" fillId="0" borderId="0" xfId="12" applyNumberFormat="1" applyFont="1" applyFill="1" applyAlignment="1">
      <alignment horizontal="center"/>
    </xf>
    <xf numFmtId="41" fontId="4" fillId="0" borderId="4" xfId="12" applyNumberFormat="1" applyFont="1" applyFill="1" applyBorder="1" applyAlignment="1">
      <alignment horizontal="center"/>
    </xf>
    <xf numFmtId="0" fontId="7" fillId="0" borderId="0" xfId="0" applyFont="1" applyAlignment="1">
      <alignment horizontal="center"/>
    </xf>
    <xf numFmtId="41" fontId="4" fillId="0" borderId="0" xfId="12" applyNumberFormat="1" applyFont="1" applyFill="1" applyBorder="1"/>
    <xf numFmtId="41" fontId="4" fillId="0" borderId="0" xfId="12" quotePrefix="1" applyNumberFormat="1" applyFont="1" applyFill="1" applyBorder="1" applyAlignment="1">
      <alignment horizontal="center"/>
    </xf>
    <xf numFmtId="2" fontId="4" fillId="0" borderId="0" xfId="12" applyNumberFormat="1" applyFont="1" applyFill="1" applyBorder="1" applyAlignment="1">
      <alignment horizontal="center"/>
    </xf>
    <xf numFmtId="5" fontId="4" fillId="0" borderId="0" xfId="12" applyNumberFormat="1" applyFont="1" applyFill="1" applyBorder="1"/>
    <xf numFmtId="41" fontId="4" fillId="0" borderId="6" xfId="12" applyNumberFormat="1" applyFont="1" applyFill="1" applyBorder="1"/>
    <xf numFmtId="41" fontId="4" fillId="0" borderId="0" xfId="14" applyNumberFormat="1" applyFont="1" applyFill="1" applyBorder="1"/>
    <xf numFmtId="0" fontId="7" fillId="0" borderId="0" xfId="0" applyFont="1" applyAlignment="1">
      <alignment horizontal="center"/>
    </xf>
    <xf numFmtId="0" fontId="18" fillId="0" borderId="0" xfId="0" applyFont="1" applyFill="1" applyAlignment="1">
      <alignment horizontal="center"/>
    </xf>
    <xf numFmtId="41" fontId="4" fillId="0" borderId="0" xfId="12" applyNumberFormat="1" applyFont="1" applyFill="1" applyBorder="1" applyAlignment="1">
      <alignment vertical="center" wrapText="1"/>
    </xf>
    <xf numFmtId="0" fontId="62" fillId="4" borderId="0" xfId="0" applyFont="1" applyFill="1"/>
    <xf numFmtId="0" fontId="7" fillId="0" borderId="0" xfId="0" applyFont="1" applyAlignment="1">
      <alignment horizontal="center"/>
    </xf>
    <xf numFmtId="41" fontId="4" fillId="0" borderId="5" xfId="12" quotePrefix="1" applyNumberFormat="1" applyFont="1" applyFill="1" applyBorder="1" applyAlignment="1">
      <alignment horizontal="center"/>
    </xf>
    <xf numFmtId="3" fontId="3" fillId="4" borderId="0" xfId="6" applyNumberFormat="1" applyFont="1" applyFill="1" applyAlignment="1">
      <alignment horizontal="center"/>
    </xf>
    <xf numFmtId="3" fontId="46" fillId="4" borderId="0" xfId="0" applyNumberFormat="1" applyFont="1" applyFill="1"/>
    <xf numFmtId="3" fontId="8" fillId="4" borderId="0" xfId="6" applyNumberFormat="1" applyFont="1" applyFill="1"/>
    <xf numFmtId="3" fontId="7" fillId="4" borderId="0" xfId="6" applyNumberFormat="1" applyFont="1" applyFill="1"/>
    <xf numFmtId="0" fontId="7" fillId="0" borderId="10" xfId="11" applyFont="1" applyBorder="1"/>
    <xf numFmtId="164" fontId="7" fillId="0" borderId="10" xfId="11" applyNumberFormat="1" applyFont="1" applyBorder="1"/>
    <xf numFmtId="5" fontId="7" fillId="0" borderId="10" xfId="11" applyNumberFormat="1" applyFont="1" applyBorder="1" applyAlignment="1">
      <alignment horizontal="right"/>
    </xf>
    <xf numFmtId="3" fontId="20" fillId="0" borderId="10" xfId="11" applyNumberFormat="1" applyFont="1" applyBorder="1"/>
    <xf numFmtId="3" fontId="7" fillId="0" borderId="10" xfId="11" applyNumberFormat="1" applyFont="1" applyBorder="1"/>
    <xf numFmtId="179" fontId="3" fillId="8" borderId="0" xfId="12" applyNumberFormat="1" applyFont="1" applyFill="1" applyAlignment="1">
      <alignment horizontal="right"/>
    </xf>
    <xf numFmtId="41" fontId="4" fillId="0" borderId="0" xfId="12" applyNumberFormat="1" applyFont="1" applyFill="1" applyBorder="1" applyAlignment="1">
      <alignment horizontal="left"/>
    </xf>
    <xf numFmtId="169" fontId="48" fillId="7" borderId="0" xfId="1" applyNumberFormat="1" applyFont="1" applyFill="1"/>
    <xf numFmtId="0" fontId="4" fillId="0" borderId="10" xfId="0" applyFont="1" applyBorder="1" applyAlignment="1">
      <alignment horizontal="center" vertical="center" wrapText="1"/>
    </xf>
    <xf numFmtId="5" fontId="7" fillId="0" borderId="0" xfId="2" applyNumberFormat="1" applyFont="1" applyFill="1"/>
    <xf numFmtId="2" fontId="18" fillId="0" borderId="30" xfId="0" applyNumberFormat="1" applyFont="1" applyFill="1" applyBorder="1" applyAlignment="1">
      <alignment horizontal="center"/>
    </xf>
    <xf numFmtId="3" fontId="18" fillId="0" borderId="31" xfId="0" applyNumberFormat="1" applyFont="1" applyFill="1" applyBorder="1"/>
    <xf numFmtId="0" fontId="18" fillId="0" borderId="31" xfId="0" applyFont="1" applyFill="1" applyBorder="1"/>
    <xf numFmtId="2" fontId="18" fillId="0" borderId="21" xfId="0" applyNumberFormat="1" applyFont="1" applyFill="1" applyBorder="1" applyAlignment="1">
      <alignment horizontal="center"/>
    </xf>
    <xf numFmtId="3" fontId="18" fillId="0" borderId="22" xfId="0" applyNumberFormat="1" applyFont="1" applyFill="1" applyBorder="1"/>
    <xf numFmtId="0" fontId="18" fillId="0" borderId="22" xfId="0" applyFont="1" applyFill="1" applyBorder="1"/>
    <xf numFmtId="2" fontId="7" fillId="0" borderId="0" xfId="0" applyNumberFormat="1" applyFont="1" applyFill="1" applyAlignment="1">
      <alignment horizontal="left"/>
    </xf>
    <xf numFmtId="0" fontId="4" fillId="0" borderId="0" xfId="12" applyFont="1" applyFill="1" applyAlignment="1">
      <alignment horizontal="center"/>
    </xf>
    <xf numFmtId="41" fontId="4" fillId="0" borderId="2" xfId="10" applyNumberFormat="1" applyFont="1" applyFill="1" applyBorder="1" applyAlignment="1">
      <alignment horizontal="center"/>
    </xf>
    <xf numFmtId="42" fontId="4" fillId="0" borderId="36" xfId="13" quotePrefix="1" applyNumberFormat="1" applyFont="1" applyFill="1" applyBorder="1" applyAlignment="1">
      <alignment horizontal="center"/>
    </xf>
    <xf numFmtId="10" fontId="4" fillId="0" borderId="28" xfId="14" applyNumberFormat="1" applyFont="1" applyFill="1" applyBorder="1" applyAlignment="1">
      <alignment horizontal="center"/>
    </xf>
    <xf numFmtId="3" fontId="4" fillId="0" borderId="29" xfId="13" applyNumberFormat="1" applyFont="1" applyFill="1" applyBorder="1" applyAlignment="1">
      <alignment horizontal="center"/>
    </xf>
    <xf numFmtId="5" fontId="4" fillId="0" borderId="36" xfId="13" applyNumberFormat="1" applyFont="1" applyBorder="1" applyAlignment="1">
      <alignment horizontal="center"/>
    </xf>
    <xf numFmtId="5" fontId="4" fillId="0" borderId="29" xfId="13" applyNumberFormat="1" applyFont="1" applyBorder="1" applyAlignment="1">
      <alignment horizontal="center"/>
    </xf>
    <xf numFmtId="41" fontId="4" fillId="8" borderId="6" xfId="12" applyNumberFormat="1" applyFont="1" applyFill="1" applyBorder="1" applyAlignment="1"/>
    <xf numFmtId="0" fontId="8" fillId="0" borderId="0" xfId="0" applyFont="1" applyAlignment="1">
      <alignment horizontal="center"/>
    </xf>
    <xf numFmtId="0" fontId="8" fillId="0" borderId="0" xfId="0" applyFont="1" applyFill="1" applyBorder="1" applyAlignment="1">
      <alignment horizontal="center"/>
    </xf>
    <xf numFmtId="0" fontId="8" fillId="0" borderId="0" xfId="0" applyFont="1" applyBorder="1" applyAlignment="1">
      <alignment horizontal="center"/>
    </xf>
    <xf numFmtId="0" fontId="7" fillId="0" borderId="0" xfId="0" applyFont="1" applyAlignment="1">
      <alignment horizontal="center"/>
    </xf>
    <xf numFmtId="168" fontId="7" fillId="0" borderId="10" xfId="14" applyNumberFormat="1" applyFont="1" applyBorder="1"/>
    <xf numFmtId="5" fontId="8" fillId="0" borderId="24" xfId="0" applyNumberFormat="1" applyFont="1" applyFill="1" applyBorder="1"/>
    <xf numFmtId="0" fontId="4" fillId="0" borderId="0" xfId="0" applyFont="1" applyBorder="1" applyAlignment="1">
      <alignment horizontal="center" vertical="center" wrapText="1"/>
    </xf>
    <xf numFmtId="0" fontId="8" fillId="8" borderId="10" xfId="0" applyFont="1" applyFill="1" applyBorder="1" applyAlignment="1">
      <alignment horizontal="center"/>
    </xf>
    <xf numFmtId="0" fontId="8" fillId="8" borderId="0" xfId="0" applyFont="1" applyFill="1" applyAlignment="1">
      <alignment horizontal="center"/>
    </xf>
    <xf numFmtId="0" fontId="8" fillId="8" borderId="0" xfId="0" applyFont="1" applyFill="1" applyBorder="1" applyAlignment="1">
      <alignment horizontal="center"/>
    </xf>
    <xf numFmtId="37" fontId="34" fillId="6" borderId="0" xfId="12" applyNumberFormat="1" applyFont="1" applyFill="1" applyBorder="1"/>
    <xf numFmtId="37" fontId="64" fillId="6" borderId="0" xfId="12" applyNumberFormat="1" applyFont="1" applyFill="1" applyBorder="1"/>
    <xf numFmtId="0" fontId="34" fillId="6" borderId="0" xfId="0" applyFont="1" applyFill="1" applyBorder="1"/>
    <xf numFmtId="0" fontId="63" fillId="6" borderId="10" xfId="0" applyFont="1" applyFill="1" applyBorder="1" applyAlignment="1">
      <alignment horizontal="center"/>
    </xf>
    <xf numFmtId="5" fontId="34" fillId="6" borderId="0" xfId="0" applyNumberFormat="1" applyFont="1" applyFill="1" applyBorder="1"/>
    <xf numFmtId="165" fontId="34" fillId="6" borderId="0" xfId="14" applyNumberFormat="1" applyFont="1" applyFill="1" applyBorder="1"/>
    <xf numFmtId="10" fontId="34" fillId="6" borderId="0" xfId="14" applyNumberFormat="1" applyFont="1" applyFill="1" applyBorder="1"/>
    <xf numFmtId="169" fontId="34" fillId="6" borderId="0" xfId="1" applyNumberFormat="1" applyFont="1" applyFill="1" applyBorder="1"/>
    <xf numFmtId="168" fontId="34" fillId="6" borderId="0" xfId="14" applyNumberFormat="1" applyFont="1" applyFill="1" applyBorder="1"/>
    <xf numFmtId="168" fontId="64" fillId="6" borderId="0" xfId="14" applyNumberFormat="1" applyFont="1" applyFill="1" applyBorder="1"/>
    <xf numFmtId="10" fontId="34" fillId="6" borderId="16" xfId="14" applyNumberFormat="1" applyFont="1" applyFill="1" applyBorder="1"/>
    <xf numFmtId="0" fontId="8" fillId="0" borderId="0" xfId="0" applyFont="1" applyBorder="1" applyAlignment="1">
      <alignment horizontal="center"/>
    </xf>
    <xf numFmtId="0" fontId="7" fillId="0" borderId="0" xfId="0" applyFont="1" applyAlignment="1">
      <alignment vertical="top" wrapText="1"/>
    </xf>
    <xf numFmtId="0" fontId="21" fillId="0" borderId="10" xfId="0" applyFont="1" applyBorder="1" applyAlignment="1"/>
    <xf numFmtId="0" fontId="8" fillId="0" borderId="0" xfId="0" applyFont="1" applyBorder="1" applyAlignment="1"/>
    <xf numFmtId="42" fontId="7" fillId="0" borderId="0" xfId="0" applyNumberFormat="1" applyFont="1"/>
    <xf numFmtId="42" fontId="7" fillId="0" borderId="0" xfId="0" applyNumberFormat="1" applyFont="1" applyBorder="1"/>
    <xf numFmtId="42" fontId="7" fillId="0" borderId="10" xfId="0" applyNumberFormat="1" applyFont="1" applyBorder="1"/>
    <xf numFmtId="5" fontId="8" fillId="0" borderId="16" xfId="0" applyNumberFormat="1" applyFont="1" applyFill="1" applyBorder="1"/>
    <xf numFmtId="5" fontId="7" fillId="0" borderId="10" xfId="0" applyNumberFormat="1" applyFont="1" applyFill="1" applyBorder="1"/>
    <xf numFmtId="41" fontId="4" fillId="8" borderId="1" xfId="12" quotePrefix="1" applyNumberFormat="1" applyFont="1" applyFill="1" applyBorder="1" applyAlignment="1">
      <alignment horizontal="center"/>
    </xf>
    <xf numFmtId="10" fontId="15" fillId="0" borderId="0" xfId="14" applyNumberFormat="1" applyFont="1" applyFill="1" applyBorder="1" applyAlignment="1">
      <alignment horizontal="right"/>
    </xf>
    <xf numFmtId="10" fontId="8" fillId="0" borderId="16" xfId="14" applyNumberFormat="1" applyFont="1" applyFill="1" applyBorder="1"/>
    <xf numFmtId="0" fontId="7" fillId="0" borderId="0" xfId="12" applyFont="1" applyFill="1" applyBorder="1"/>
    <xf numFmtId="5" fontId="7" fillId="0" borderId="0" xfId="12" applyNumberFormat="1" applyFont="1" applyFill="1" applyBorder="1"/>
    <xf numFmtId="10" fontId="8" fillId="0" borderId="0" xfId="14" applyNumberFormat="1" applyFont="1" applyFill="1" applyBorder="1"/>
    <xf numFmtId="0" fontId="7" fillId="0" borderId="0" xfId="12" applyFont="1" applyBorder="1" applyAlignment="1">
      <alignment horizontal="center"/>
    </xf>
    <xf numFmtId="178" fontId="8" fillId="0" borderId="12" xfId="2" applyNumberFormat="1" applyFont="1" applyBorder="1"/>
    <xf numFmtId="5" fontId="54" fillId="0" borderId="0" xfId="0" applyNumberFormat="1" applyFont="1" applyFill="1" applyBorder="1"/>
    <xf numFmtId="0" fontId="4" fillId="0" borderId="0" xfId="12" quotePrefix="1" applyFont="1" applyFill="1" applyBorder="1" applyAlignment="1">
      <alignment horizontal="right"/>
    </xf>
    <xf numFmtId="0" fontId="3" fillId="0" borderId="0" xfId="12" applyFont="1" applyBorder="1" applyAlignment="1">
      <alignment vertical="top" wrapText="1"/>
    </xf>
    <xf numFmtId="10" fontId="4" fillId="9" borderId="5" xfId="14" quotePrefix="1" applyNumberFormat="1" applyFont="1" applyFill="1" applyBorder="1" applyAlignment="1">
      <alignment horizontal="center"/>
    </xf>
    <xf numFmtId="41" fontId="4" fillId="0" borderId="0" xfId="12" applyNumberFormat="1" applyFont="1" applyAlignment="1">
      <alignment vertical="top" wrapText="1"/>
    </xf>
    <xf numFmtId="0" fontId="15" fillId="0" borderId="10" xfId="0" applyFont="1" applyBorder="1"/>
    <xf numFmtId="9" fontId="7" fillId="0" borderId="0" xfId="0" applyNumberFormat="1" applyFont="1"/>
    <xf numFmtId="168" fontId="7" fillId="0" borderId="0" xfId="0" applyNumberFormat="1" applyFont="1"/>
    <xf numFmtId="0" fontId="65" fillId="0" borderId="0" xfId="0" applyFont="1"/>
    <xf numFmtId="2" fontId="8" fillId="0" borderId="0" xfId="0" quotePrefix="1" applyNumberFormat="1" applyFont="1"/>
    <xf numFmtId="41" fontId="8" fillId="0" borderId="0" xfId="0" applyNumberFormat="1" applyFont="1"/>
    <xf numFmtId="41" fontId="8" fillId="0" borderId="13" xfId="0" applyNumberFormat="1" applyFont="1" applyBorder="1"/>
    <xf numFmtId="180" fontId="7" fillId="0" borderId="0" xfId="0" applyNumberFormat="1" applyFont="1"/>
    <xf numFmtId="41" fontId="15" fillId="0" borderId="0" xfId="0" applyNumberFormat="1" applyFont="1"/>
    <xf numFmtId="181" fontId="7" fillId="0" borderId="0" xfId="0" applyNumberFormat="1" applyFont="1"/>
    <xf numFmtId="0" fontId="8" fillId="0" borderId="10" xfId="0" applyFont="1" applyBorder="1"/>
    <xf numFmtId="0" fontId="3" fillId="0" borderId="0" xfId="12" applyNumberFormat="1" applyFont="1" applyAlignment="1">
      <alignment horizontal="left"/>
    </xf>
    <xf numFmtId="0" fontId="8" fillId="0" borderId="0" xfId="0" applyFont="1" applyAlignment="1">
      <alignment horizontal="center"/>
    </xf>
    <xf numFmtId="0" fontId="3" fillId="0" borderId="0" xfId="12" applyFont="1" applyBorder="1" applyAlignment="1">
      <alignment horizontal="left" vertical="top" wrapText="1"/>
    </xf>
    <xf numFmtId="0" fontId="63" fillId="6" borderId="0" xfId="0" applyFont="1" applyFill="1" applyBorder="1" applyAlignment="1">
      <alignment horizontal="center"/>
    </xf>
    <xf numFmtId="0" fontId="63" fillId="0" borderId="0" xfId="0" applyFont="1" applyFill="1" applyBorder="1" applyAlignment="1">
      <alignment horizontal="center"/>
    </xf>
    <xf numFmtId="0" fontId="8" fillId="0" borderId="0" xfId="0" applyFont="1" applyBorder="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24" fillId="0" borderId="0" xfId="0" applyFont="1" applyAlignment="1">
      <alignment horizontal="center"/>
    </xf>
    <xf numFmtId="0" fontId="15" fillId="0" borderId="6" xfId="0" applyFont="1" applyBorder="1"/>
    <xf numFmtId="0" fontId="15" fillId="0" borderId="10" xfId="6" applyFont="1" applyBorder="1"/>
    <xf numFmtId="0" fontId="7" fillId="0" borderId="0" xfId="6" applyFont="1"/>
    <xf numFmtId="0" fontId="7" fillId="0" borderId="10" xfId="6" applyFont="1" applyBorder="1"/>
    <xf numFmtId="41" fontId="3" fillId="7" borderId="0" xfId="12" applyNumberFormat="1" applyFont="1" applyFill="1"/>
    <xf numFmtId="41" fontId="3" fillId="7" borderId="10" xfId="12" applyNumberFormat="1" applyFont="1" applyFill="1" applyBorder="1"/>
    <xf numFmtId="41" fontId="53" fillId="7" borderId="10" xfId="12" quotePrefix="1" applyNumberFormat="1" applyFont="1" applyFill="1" applyBorder="1" applyAlignment="1">
      <alignment horizontal="left" vertical="center"/>
    </xf>
    <xf numFmtId="0" fontId="4" fillId="7" borderId="10" xfId="12" applyNumberFormat="1" applyFont="1" applyFill="1" applyBorder="1" applyAlignment="1">
      <alignment horizontal="fill" vertical="center" wrapText="1"/>
    </xf>
    <xf numFmtId="0" fontId="15" fillId="7" borderId="0" xfId="12" applyNumberFormat="1" applyFont="1" applyFill="1" applyBorder="1" applyAlignment="1">
      <alignment horizontal="right" vertical="center"/>
    </xf>
    <xf numFmtId="169" fontId="7" fillId="0" borderId="0" xfId="11" applyNumberFormat="1" applyFont="1"/>
    <xf numFmtId="0" fontId="8" fillId="0" borderId="0" xfId="0" applyFont="1" applyBorder="1"/>
    <xf numFmtId="0" fontId="15" fillId="0" borderId="0" xfId="6" applyFont="1" applyBorder="1"/>
    <xf numFmtId="3" fontId="4" fillId="0" borderId="1" xfId="0" applyNumberFormat="1" applyFont="1" applyBorder="1" applyAlignment="1">
      <alignment horizontal="center"/>
    </xf>
    <xf numFmtId="3" fontId="4" fillId="0" borderId="1" xfId="0" quotePrefix="1" applyNumberFormat="1" applyFont="1" applyBorder="1" applyAlignment="1">
      <alignment horizontal="center"/>
    </xf>
    <xf numFmtId="3" fontId="4" fillId="0" borderId="5" xfId="0" applyNumberFormat="1" applyFont="1" applyBorder="1" applyAlignment="1">
      <alignment horizontal="center"/>
    </xf>
    <xf numFmtId="3" fontId="4" fillId="0" borderId="8" xfId="0" quotePrefix="1" applyNumberFormat="1" applyFont="1" applyBorder="1" applyAlignment="1">
      <alignment horizontal="center"/>
    </xf>
    <xf numFmtId="3" fontId="4" fillId="0" borderId="8" xfId="0" applyNumberFormat="1" applyFont="1" applyBorder="1" applyAlignment="1">
      <alignment horizontal="center"/>
    </xf>
    <xf numFmtId="3" fontId="5" fillId="0" borderId="0" xfId="0" applyNumberFormat="1" applyFont="1" applyAlignment="1">
      <alignment horizontal="center"/>
    </xf>
    <xf numFmtId="0" fontId="3" fillId="0" borderId="0" xfId="0" applyFont="1" applyAlignment="1">
      <alignment horizontal="centerContinuous"/>
    </xf>
    <xf numFmtId="0" fontId="3" fillId="0" borderId="0" xfId="0" quotePrefix="1" applyFont="1" applyAlignment="1">
      <alignment horizontal="centerContinuous"/>
    </xf>
    <xf numFmtId="0" fontId="61" fillId="0" borderId="0" xfId="13" applyNumberFormat="1" applyFont="1" applyAlignment="1">
      <alignment horizontal="left"/>
    </xf>
    <xf numFmtId="0" fontId="3" fillId="0" borderId="0" xfId="13" applyNumberFormat="1" applyFont="1" applyAlignment="1">
      <alignment horizontal="left"/>
    </xf>
    <xf numFmtId="41" fontId="4" fillId="9" borderId="0" xfId="12" quotePrefix="1" applyNumberFormat="1" applyFont="1" applyFill="1" applyBorder="1" applyAlignment="1">
      <alignment horizontal="center"/>
    </xf>
    <xf numFmtId="41" fontId="4" fillId="8" borderId="0" xfId="12" quotePrefix="1" applyNumberFormat="1" applyFont="1" applyFill="1" applyBorder="1" applyAlignment="1">
      <alignment horizontal="center"/>
    </xf>
    <xf numFmtId="0" fontId="61" fillId="0" borderId="0" xfId="12" applyNumberFormat="1" applyFont="1" applyAlignment="1">
      <alignment horizontal="left"/>
    </xf>
    <xf numFmtId="167" fontId="8" fillId="0" borderId="0" xfId="0" applyNumberFormat="1" applyFont="1" applyAlignment="1"/>
    <xf numFmtId="167" fontId="7" fillId="0" borderId="0" xfId="0" applyNumberFormat="1" applyFont="1" applyAlignment="1">
      <alignment horizontal="center"/>
    </xf>
    <xf numFmtId="0" fontId="63" fillId="0" borderId="0" xfId="0" applyFont="1" applyFill="1" applyBorder="1" applyAlignment="1">
      <alignment horizontal="centerContinuous"/>
    </xf>
    <xf numFmtId="0" fontId="15" fillId="0" borderId="0" xfId="0" applyFont="1" applyFill="1" applyBorder="1"/>
    <xf numFmtId="0" fontId="65" fillId="0" borderId="0" xfId="0" applyFont="1" applyBorder="1"/>
    <xf numFmtId="0" fontId="65" fillId="0" borderId="10" xfId="0" applyFont="1" applyBorder="1"/>
    <xf numFmtId="0" fontId="21" fillId="0" borderId="10" xfId="0" applyFont="1" applyBorder="1"/>
    <xf numFmtId="0" fontId="9" fillId="0" borderId="10" xfId="0" applyFont="1" applyBorder="1" applyAlignment="1">
      <alignment horizontal="center"/>
    </xf>
    <xf numFmtId="0" fontId="21" fillId="0" borderId="0" xfId="0" applyFont="1" applyAlignment="1">
      <alignment horizontal="center"/>
    </xf>
    <xf numFmtId="0" fontId="61" fillId="0" borderId="0" xfId="13" applyNumberFormat="1" applyFont="1" applyFill="1" applyBorder="1" applyAlignment="1">
      <alignment horizontal="centerContinuous"/>
    </xf>
    <xf numFmtId="0" fontId="3" fillId="0" borderId="0" xfId="12" applyNumberFormat="1" applyFont="1" applyFill="1" applyBorder="1" applyAlignment="1">
      <alignment horizontal="centerContinuous"/>
    </xf>
    <xf numFmtId="0" fontId="7" fillId="0" borderId="0" xfId="0" applyFont="1" applyFill="1" applyBorder="1" applyAlignment="1">
      <alignment horizontal="centerContinuous"/>
    </xf>
    <xf numFmtId="167" fontId="7" fillId="0" borderId="0" xfId="0" applyNumberFormat="1" applyFont="1" applyFill="1" applyBorder="1" applyAlignment="1">
      <alignment horizontal="centerContinuous"/>
    </xf>
    <xf numFmtId="0" fontId="63" fillId="6" borderId="12" xfId="0" applyFont="1" applyFill="1" applyBorder="1" applyAlignment="1">
      <alignment horizontal="center"/>
    </xf>
    <xf numFmtId="0" fontId="63" fillId="6" borderId="14" xfId="0" applyFont="1" applyFill="1" applyBorder="1" applyAlignment="1">
      <alignment horizontal="left"/>
    </xf>
    <xf numFmtId="0" fontId="63" fillId="6" borderId="15" xfId="0" applyFont="1" applyFill="1" applyBorder="1" applyAlignment="1">
      <alignment horizontal="center"/>
    </xf>
    <xf numFmtId="37" fontId="34" fillId="6" borderId="6" xfId="12" applyNumberFormat="1" applyFont="1" applyFill="1" applyBorder="1"/>
    <xf numFmtId="0" fontId="63" fillId="6" borderId="7" xfId="0" applyFont="1" applyFill="1" applyBorder="1" applyAlignment="1">
      <alignment horizontal="center"/>
    </xf>
    <xf numFmtId="0" fontId="63" fillId="6" borderId="11" xfId="0" applyFont="1" applyFill="1" applyBorder="1" applyAlignment="1">
      <alignment horizontal="center"/>
    </xf>
    <xf numFmtId="37" fontId="34" fillId="6" borderId="7" xfId="12" applyNumberFormat="1" applyFont="1" applyFill="1" applyBorder="1"/>
    <xf numFmtId="10" fontId="34" fillId="6" borderId="7" xfId="14" applyNumberFormat="1" applyFont="1" applyFill="1" applyBorder="1"/>
    <xf numFmtId="10" fontId="34" fillId="6" borderId="37" xfId="14" applyNumberFormat="1" applyFont="1" applyFill="1" applyBorder="1"/>
    <xf numFmtId="37" fontId="34" fillId="6" borderId="9" xfId="12" applyNumberFormat="1" applyFont="1" applyFill="1" applyBorder="1"/>
    <xf numFmtId="0" fontId="34" fillId="6" borderId="10" xfId="0" applyFont="1" applyFill="1" applyBorder="1"/>
    <xf numFmtId="169" fontId="34" fillId="6" borderId="10" xfId="1" applyNumberFormat="1" applyFont="1" applyFill="1" applyBorder="1"/>
    <xf numFmtId="10" fontId="34" fillId="6" borderId="10" xfId="14" applyNumberFormat="1" applyFont="1" applyFill="1" applyBorder="1"/>
    <xf numFmtId="10" fontId="64" fillId="6" borderId="10" xfId="14" applyNumberFormat="1" applyFont="1" applyFill="1" applyBorder="1"/>
    <xf numFmtId="10" fontId="34" fillId="6" borderId="11" xfId="14" applyNumberFormat="1" applyFont="1" applyFill="1" applyBorder="1"/>
    <xf numFmtId="41" fontId="3" fillId="0" borderId="0" xfId="13" applyNumberFormat="1" applyFont="1" applyAlignment="1">
      <alignment horizontal="center" wrapText="1"/>
    </xf>
    <xf numFmtId="41" fontId="3" fillId="7" borderId="0" xfId="12" applyNumberFormat="1" applyFont="1" applyFill="1" applyAlignment="1">
      <alignment horizontal="center" wrapText="1"/>
    </xf>
    <xf numFmtId="41" fontId="3" fillId="7" borderId="0" xfId="13" applyNumberFormat="1" applyFont="1" applyFill="1" applyAlignment="1">
      <alignment horizontal="center" wrapText="1"/>
    </xf>
    <xf numFmtId="41" fontId="4" fillId="0" borderId="0" xfId="12" applyNumberFormat="1" applyFont="1" applyFill="1" applyAlignment="1">
      <alignment horizontal="center" wrapText="1"/>
    </xf>
    <xf numFmtId="3" fontId="4" fillId="0" borderId="0" xfId="13" applyNumberFormat="1" applyFont="1" applyAlignment="1">
      <alignment horizontal="center" wrapText="1"/>
    </xf>
    <xf numFmtId="41" fontId="4" fillId="0" borderId="0" xfId="12" quotePrefix="1" applyNumberFormat="1" applyFont="1" applyFill="1" applyAlignment="1">
      <alignment horizontal="center" wrapText="1"/>
    </xf>
    <xf numFmtId="41" fontId="7" fillId="7" borderId="0" xfId="0" applyNumberFormat="1" applyFont="1" applyFill="1"/>
    <xf numFmtId="41" fontId="7" fillId="7" borderId="10" xfId="0" applyNumberFormat="1" applyFont="1" applyFill="1" applyBorder="1"/>
    <xf numFmtId="0" fontId="7" fillId="0" borderId="0" xfId="6" applyFont="1" applyAlignment="1">
      <alignment horizontal="center"/>
    </xf>
    <xf numFmtId="0" fontId="7" fillId="0" borderId="0" xfId="6" applyFont="1" applyFill="1" applyBorder="1" applyAlignment="1">
      <alignment horizontal="center"/>
    </xf>
    <xf numFmtId="0" fontId="7" fillId="0" borderId="10" xfId="6" applyFont="1" applyBorder="1" applyAlignment="1">
      <alignment horizontal="center"/>
    </xf>
    <xf numFmtId="41" fontId="4" fillId="8" borderId="6" xfId="12" applyNumberFormat="1" applyFont="1" applyFill="1" applyBorder="1" applyAlignment="1">
      <alignment horizontal="center"/>
    </xf>
    <xf numFmtId="41" fontId="4" fillId="8" borderId="0" xfId="12" applyNumberFormat="1" applyFont="1" applyFill="1" applyBorder="1" applyAlignment="1">
      <alignment horizontal="center"/>
    </xf>
    <xf numFmtId="41" fontId="4" fillId="0" borderId="31" xfId="12" applyNumberFormat="1" applyFont="1" applyBorder="1" applyAlignment="1">
      <alignment horizontal="left" vertical="top" wrapText="1"/>
    </xf>
    <xf numFmtId="0" fontId="8" fillId="0" borderId="0" xfId="0" applyFont="1" applyAlignment="1">
      <alignment horizontal="center"/>
    </xf>
    <xf numFmtId="0" fontId="8" fillId="0" borderId="0" xfId="0" applyFont="1" applyBorder="1" applyAlignment="1">
      <alignment horizontal="center"/>
    </xf>
    <xf numFmtId="0" fontId="15" fillId="0" borderId="0" xfId="0" applyFont="1" applyAlignment="1">
      <alignment horizontal="left" vertical="top" wrapText="1"/>
    </xf>
    <xf numFmtId="0" fontId="3" fillId="0" borderId="0" xfId="12" applyFont="1" applyBorder="1" applyAlignment="1">
      <alignment horizontal="left" vertical="top" wrapText="1"/>
    </xf>
    <xf numFmtId="0" fontId="7" fillId="0" borderId="0" xfId="0" applyFont="1" applyFill="1" applyBorder="1" applyAlignment="1">
      <alignment horizontal="left" wrapText="1"/>
    </xf>
    <xf numFmtId="0" fontId="63" fillId="0" borderId="0" xfId="0" applyFont="1" applyFill="1" applyBorder="1" applyAlignment="1">
      <alignment horizontal="center"/>
    </xf>
    <xf numFmtId="0" fontId="7" fillId="0" borderId="24" xfId="11" applyFont="1" applyBorder="1" applyAlignment="1">
      <alignment horizontal="center"/>
    </xf>
    <xf numFmtId="0" fontId="7" fillId="0" borderId="25" xfId="11" applyFont="1" applyBorder="1" applyAlignment="1">
      <alignment horizontal="center"/>
    </xf>
    <xf numFmtId="0" fontId="7" fillId="0" borderId="26" xfId="11" applyFont="1" applyBorder="1" applyAlignment="1">
      <alignment horizontal="center"/>
    </xf>
    <xf numFmtId="4" fontId="16" fillId="0" borderId="0" xfId="11" applyNumberFormat="1" applyFont="1" applyBorder="1" applyAlignment="1">
      <alignment horizontal="center"/>
    </xf>
    <xf numFmtId="4" fontId="8" fillId="0" borderId="0" xfId="11" applyNumberFormat="1" applyFont="1" applyBorder="1" applyAlignment="1">
      <alignment horizontal="center"/>
    </xf>
    <xf numFmtId="4" fontId="33" fillId="0" borderId="0" xfId="11" applyNumberFormat="1" applyFont="1" applyBorder="1" applyAlignment="1">
      <alignment horizontal="center"/>
    </xf>
    <xf numFmtId="4" fontId="7" fillId="0" borderId="0" xfId="11" applyNumberFormat="1" applyFont="1" applyBorder="1" applyAlignment="1">
      <alignment horizontal="center"/>
    </xf>
    <xf numFmtId="0" fontId="7" fillId="0" borderId="0" xfId="0" applyFont="1" applyAlignment="1">
      <alignment horizontal="center"/>
    </xf>
    <xf numFmtId="0" fontId="9" fillId="0" borderId="0" xfId="0" applyFont="1" applyAlignment="1">
      <alignment horizontal="center"/>
    </xf>
    <xf numFmtId="0" fontId="3" fillId="0" borderId="0" xfId="0" applyFont="1" applyAlignment="1">
      <alignment horizontal="center"/>
    </xf>
    <xf numFmtId="0" fontId="26" fillId="0" borderId="0" xfId="0" applyFont="1" applyAlignment="1">
      <alignment horizontal="center"/>
    </xf>
    <xf numFmtId="0" fontId="7" fillId="0" borderId="10" xfId="0" applyFont="1" applyBorder="1" applyAlignment="1">
      <alignment horizontal="center"/>
    </xf>
    <xf numFmtId="0" fontId="7" fillId="7" borderId="0" xfId="0" applyFont="1" applyFill="1" applyAlignment="1">
      <alignment horizontal="center"/>
    </xf>
    <xf numFmtId="0" fontId="7" fillId="0" borderId="0" xfId="0" applyFont="1" applyFill="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F9943"/>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48</xdr:col>
      <xdr:colOff>19050</xdr:colOff>
      <xdr:row>83</xdr:row>
      <xdr:rowOff>9526</xdr:rowOff>
    </xdr:from>
    <xdr:to>
      <xdr:col>52</xdr:col>
      <xdr:colOff>2200275</xdr:colOff>
      <xdr:row>84</xdr:row>
      <xdr:rowOff>438150</xdr:rowOff>
    </xdr:to>
    <xdr:sp macro="" textlink="">
      <xdr:nvSpPr>
        <xdr:cNvPr id="3" name="TextBox 2"/>
        <xdr:cNvSpPr txBox="1"/>
      </xdr:nvSpPr>
      <xdr:spPr>
        <a:xfrm>
          <a:off x="40252650" y="12696826"/>
          <a:ext cx="6581775" cy="8381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(2) The final</a:t>
          </a:r>
          <a:r>
            <a:rPr lang="en-US" sz="900" b="1" baseline="0"/>
            <a:t> </a:t>
          </a:r>
          <a:r>
            <a:rPr lang="en-US" sz="900" b="1"/>
            <a:t>Attrition Adjusted Total revenue requirement of $38.568 million on line 50 developed by the Company's Attrition Study is used for the final </a:t>
          </a:r>
          <a:r>
            <a:rPr lang="en-US" sz="900" b="1">
              <a:solidFill>
                <a:schemeClr val="dk1"/>
              </a:solidFill>
              <a:latin typeface="+mn-lt"/>
              <a:ea typeface="+mn-ea"/>
              <a:cs typeface="+mn-cs"/>
            </a:rPr>
            <a:t>adjusted results and revenue requirement on an attrition adjusted basis.  However</a:t>
          </a:r>
          <a:r>
            <a:rPr lang="en-US" sz="900" b="1" baseline="0">
              <a:solidFill>
                <a:schemeClr val="dk1"/>
              </a:solidFill>
              <a:latin typeface="+mn-lt"/>
              <a:ea typeface="+mn-ea"/>
              <a:cs typeface="+mn-cs"/>
            </a:rPr>
            <a:t>, t</a:t>
          </a:r>
          <a:r>
            <a:rPr lang="en-US" sz="900" b="1">
              <a:solidFill>
                <a:schemeClr val="dk1"/>
              </a:solidFill>
              <a:latin typeface="+mn-lt"/>
              <a:ea typeface="+mn-ea"/>
              <a:cs typeface="+mn-cs"/>
            </a:rPr>
            <a:t>he values shown in the 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rk/30_ava/3046-8%20-%20UE-160228%202016%20GRC/reb/Staff/Staff%20Exhibits%208-17-16%20-%20CONF/Huang%20Exh%20JH-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rk/30_ava/3046-8%20-%20UE-160228%202016%20GRC/init/I.%20UE_AVA%20Dir%20Evidence-(Feb16)/3.%20UE_AVA%20WP's%20(Feb16)/L.%20UE__Smith%20WP(AVA-Feb16)/Elec.%20WP's/Pro%20Forma%2009.2015%20WA%20Electric%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ps/5)%202016%20WA%20GRC%20-%20Misc%20-%20BO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les%20and%20Figu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ps/1)%20(WA%202016)%20FLB%20Forecast%20Labor%20Non-Executiv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hibit%20No.%20BG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
      <sheetName val="ROO "/>
      <sheetName val="2018"/>
      <sheetName val="RR SUMMARY"/>
      <sheetName val="CF "/>
      <sheetName val="ADJ DETAIL-INPUT"/>
      <sheetName val="Recap Summary"/>
      <sheetName val="DEBT CALC"/>
      <sheetName val="LEAD SHEETS-DO NOT ENTER"/>
      <sheetName val="ADJ SUMMARY"/>
      <sheetName val="ROO INPUT"/>
    </sheetNames>
    <sheetDataSet>
      <sheetData sheetId="0"/>
      <sheetData sheetId="1"/>
      <sheetData sheetId="2"/>
      <sheetData sheetId="3"/>
      <sheetData sheetId="4"/>
      <sheetData sheetId="5">
        <row r="2">
          <cell r="A2" t="str">
            <v xml:space="preserve">AVISTA UTILITIES  </v>
          </cell>
        </row>
        <row r="3">
          <cell r="A3" t="str">
            <v xml:space="preserve">WASHINGTON ELECTRIC RESULTS - ATTRITION ADJUSTED PRO FORMA </v>
          </cell>
          <cell r="AC3" t="str">
            <v>PRO FORMA ADJUSTMENTS</v>
          </cell>
        </row>
        <row r="4">
          <cell r="A4" t="str">
            <v>TWELVE MONTHS ENDED SEPTEMBER 30, 2015</v>
          </cell>
        </row>
        <row r="5">
          <cell r="A5" t="str">
            <v xml:space="preserve">(000'S OF DOLLARS)  </v>
          </cell>
          <cell r="Z5" t="str">
            <v>Not Done</v>
          </cell>
          <cell r="AA5" t="str">
            <v>Not Done</v>
          </cell>
          <cell r="BB5" t="str">
            <v>2017</v>
          </cell>
        </row>
        <row r="6">
          <cell r="G6" t="str">
            <v>Contested</v>
          </cell>
          <cell r="I6" t="str">
            <v>Contested</v>
          </cell>
          <cell r="K6" t="str">
            <v>Updated</v>
          </cell>
          <cell r="X6" t="str">
            <v>Contested</v>
          </cell>
          <cell r="Y6" t="str">
            <v>Contested</v>
          </cell>
          <cell r="AC6" t="str">
            <v>Contested</v>
          </cell>
          <cell r="AD6" t="str">
            <v>Contested</v>
          </cell>
          <cell r="AG6" t="str">
            <v>Contested</v>
          </cell>
          <cell r="AH6" t="str">
            <v>Contested</v>
          </cell>
          <cell r="AI6" t="str">
            <v>Contested</v>
          </cell>
          <cell r="AJ6" t="str">
            <v>Contested</v>
          </cell>
          <cell r="AL6" t="str">
            <v>Contested</v>
          </cell>
          <cell r="AM6" t="str">
            <v>Contested</v>
          </cell>
          <cell r="AN6" t="str">
            <v>Contested</v>
          </cell>
          <cell r="AR6" t="str">
            <v>Eliminated</v>
          </cell>
          <cell r="AS6" t="str">
            <v>Eliminated</v>
          </cell>
          <cell r="AT6" t="str">
            <v>Eliminated</v>
          </cell>
          <cell r="AU6" t="str">
            <v>Eliminated</v>
          </cell>
          <cell r="AV6" t="str">
            <v>Eliminated</v>
          </cell>
          <cell r="AW6" t="str">
            <v>Eliminated</v>
          </cell>
          <cell r="AX6" t="str">
            <v>Eliminated</v>
          </cell>
          <cell r="AZ6" t="str">
            <v>Eliminated</v>
          </cell>
          <cell r="BA6" t="str">
            <v>Addition</v>
          </cell>
          <cell r="BB6" t="str">
            <v>FINAL</v>
          </cell>
        </row>
        <row r="7">
          <cell r="F7" t="str">
            <v xml:space="preserve">Deferred </v>
          </cell>
          <cell r="G7" t="str">
            <v xml:space="preserve">Deferred </v>
          </cell>
          <cell r="H7" t="str">
            <v>Working</v>
          </cell>
          <cell r="I7" t="str">
            <v>Plant Held</v>
          </cell>
          <cell r="J7" t="str">
            <v>Eliminate</v>
          </cell>
          <cell r="K7" t="str">
            <v>Restate</v>
          </cell>
          <cell r="L7" t="str">
            <v>Uncollect.</v>
          </cell>
          <cell r="M7" t="str">
            <v>Regulatory</v>
          </cell>
          <cell r="N7" t="str">
            <v>Injuries</v>
          </cell>
          <cell r="O7" t="str">
            <v>FIT/DFIT/</v>
          </cell>
          <cell r="P7" t="str">
            <v>Office Space</v>
          </cell>
          <cell r="Q7" t="str">
            <v>Restate</v>
          </cell>
          <cell r="R7" t="str">
            <v>Net</v>
          </cell>
          <cell r="S7" t="str">
            <v xml:space="preserve">Weather </v>
          </cell>
          <cell r="T7" t="str">
            <v>Eliminate</v>
          </cell>
          <cell r="U7" t="str">
            <v>Misc. Restating</v>
          </cell>
          <cell r="V7" t="str">
            <v>Eliminate</v>
          </cell>
          <cell r="W7" t="str">
            <v>Nez Perce</v>
          </cell>
          <cell r="X7" t="str">
            <v>Restate</v>
          </cell>
          <cell r="Y7" t="str">
            <v>Restate</v>
          </cell>
          <cell r="Z7" t="str">
            <v>OPEN</v>
          </cell>
          <cell r="AA7" t="str">
            <v>OPEN</v>
          </cell>
          <cell r="AB7" t="str">
            <v>Restated</v>
          </cell>
          <cell r="AC7" t="str">
            <v xml:space="preserve">Pro Forma </v>
          </cell>
          <cell r="AD7" t="str">
            <v xml:space="preserve">Pro Forma </v>
          </cell>
          <cell r="AE7" t="str">
            <v xml:space="preserve">Pro Forma </v>
          </cell>
          <cell r="AF7" t="str">
            <v xml:space="preserve">Pro Forma </v>
          </cell>
          <cell r="AG7" t="str">
            <v xml:space="preserve">Pro Forma </v>
          </cell>
          <cell r="AH7" t="str">
            <v xml:space="preserve">Pro Forma </v>
          </cell>
          <cell r="AI7" t="str">
            <v xml:space="preserve">Pro Forma </v>
          </cell>
          <cell r="AJ7" t="str">
            <v xml:space="preserve">Pro Forma  </v>
          </cell>
          <cell r="AK7" t="str">
            <v>Pro Forma</v>
          </cell>
          <cell r="AL7" t="str">
            <v xml:space="preserve">Pro Forma </v>
          </cell>
          <cell r="AM7" t="str">
            <v xml:space="preserve">Pro Forma </v>
          </cell>
          <cell r="AN7" t="str">
            <v xml:space="preserve">Pro Forma </v>
          </cell>
          <cell r="AO7" t="str">
            <v>PF Major Maint</v>
          </cell>
          <cell r="AQ7" t="str">
            <v xml:space="preserve">Pro Forma </v>
          </cell>
          <cell r="AR7" t="str">
            <v xml:space="preserve">Cross Check  </v>
          </cell>
          <cell r="AS7" t="str">
            <v xml:space="preserve">Cross Check  </v>
          </cell>
          <cell r="AT7" t="str">
            <v xml:space="preserve">Cross Check  </v>
          </cell>
          <cell r="AU7" t="str">
            <v xml:space="preserve">Cross Check  </v>
          </cell>
          <cell r="AV7" t="str">
            <v xml:space="preserve">Cross Check  </v>
          </cell>
          <cell r="AW7" t="str">
            <v xml:space="preserve">Cross Check  </v>
          </cell>
          <cell r="AX7" t="str">
            <v xml:space="preserve">Cross Check  </v>
          </cell>
          <cell r="AY7" t="str">
            <v>2017</v>
          </cell>
          <cell r="AZ7" t="str">
            <v>Reconcile 2017</v>
          </cell>
          <cell r="BA7" t="str">
            <v xml:space="preserve">Staff Proposed </v>
          </cell>
          <cell r="BB7" t="str">
            <v>Attrition Adjusted</v>
          </cell>
        </row>
        <row r="8">
          <cell r="A8" t="str">
            <v>Line</v>
          </cell>
          <cell r="E8" t="str">
            <v xml:space="preserve">Results of </v>
          </cell>
          <cell r="F8" t="str">
            <v>FIT</v>
          </cell>
          <cell r="G8" t="str">
            <v xml:space="preserve">Debits and </v>
          </cell>
          <cell r="H8" t="str">
            <v>Capital</v>
          </cell>
          <cell r="I8" t="str">
            <v>For Future</v>
          </cell>
          <cell r="J8" t="str">
            <v>B &amp; O</v>
          </cell>
          <cell r="K8" t="str">
            <v>Property</v>
          </cell>
          <cell r="L8" t="str">
            <v>Expense</v>
          </cell>
          <cell r="M8" t="str">
            <v>Expense</v>
          </cell>
          <cell r="N8" t="str">
            <v xml:space="preserve">and </v>
          </cell>
          <cell r="O8" t="str">
            <v>ITC/PTC</v>
          </cell>
          <cell r="P8" t="str">
            <v>Charges to</v>
          </cell>
          <cell r="Q8" t="str">
            <v>Excise</v>
          </cell>
          <cell r="R8" t="str">
            <v xml:space="preserve">Gains / </v>
          </cell>
          <cell r="S8" t="str">
            <v>Normalization</v>
          </cell>
          <cell r="T8" t="str">
            <v>Adder</v>
          </cell>
          <cell r="U8" t="str">
            <v>Non-Util / Non-Recurring</v>
          </cell>
          <cell r="V8" t="str">
            <v>WA Power</v>
          </cell>
          <cell r="W8" t="str">
            <v>Settlement</v>
          </cell>
          <cell r="X8" t="str">
            <v>Debt</v>
          </cell>
          <cell r="Y8" t="str">
            <v>Incentive</v>
          </cell>
          <cell r="AB8" t="str">
            <v>TOTAL</v>
          </cell>
          <cell r="AC8" t="str">
            <v>Power</v>
          </cell>
          <cell r="AD8" t="str">
            <v>Transmission</v>
          </cell>
          <cell r="AE8" t="str">
            <v>Labor</v>
          </cell>
          <cell r="AF8" t="str">
            <v>Labor</v>
          </cell>
          <cell r="AG8" t="str">
            <v xml:space="preserve">Employee </v>
          </cell>
          <cell r="AH8" t="str">
            <v xml:space="preserve">Regulatory </v>
          </cell>
          <cell r="AI8" t="str">
            <v>Property</v>
          </cell>
          <cell r="AJ8" t="str">
            <v>Meter Deferral</v>
          </cell>
          <cell r="AK8" t="str">
            <v xml:space="preserve">Revenue </v>
          </cell>
          <cell r="AL8" t="str">
            <v>Capital Add</v>
          </cell>
          <cell r="AM8" t="str">
            <v>2016 Limited</v>
          </cell>
          <cell r="AN8" t="str">
            <v xml:space="preserve">O&amp;M </v>
          </cell>
          <cell r="AO8" t="str">
            <v>Normalize</v>
          </cell>
          <cell r="AQ8" t="str">
            <v>Sub-Total</v>
          </cell>
          <cell r="AR8" t="str">
            <v>Capital Add</v>
          </cell>
          <cell r="AS8" t="str">
            <v>Capital Add</v>
          </cell>
          <cell r="AT8" t="str">
            <v>Labor</v>
          </cell>
          <cell r="AU8" t="str">
            <v>2017 AMI</v>
          </cell>
          <cell r="AV8" t="str">
            <v xml:space="preserve">Information </v>
          </cell>
          <cell r="AW8" t="str">
            <v>Property</v>
          </cell>
          <cell r="AX8" t="str">
            <v>Insurance</v>
          </cell>
          <cell r="AY8" t="str">
            <v>Cross Check =Pro Forma</v>
          </cell>
          <cell r="AZ8" t="str">
            <v>Cross Check</v>
          </cell>
          <cell r="BA8" t="str">
            <v>Attrition Allowance</v>
          </cell>
          <cell r="BB8" t="str">
            <v>Pro Foma</v>
          </cell>
        </row>
        <row r="9">
          <cell r="A9" t="str">
            <v>No.</v>
          </cell>
          <cell r="D9" t="str">
            <v>DESCRIPTION</v>
          </cell>
          <cell r="E9" t="str">
            <v xml:space="preserve">Operations </v>
          </cell>
          <cell r="F9" t="str">
            <v>Rate Base</v>
          </cell>
          <cell r="G9" t="str">
            <v>Credits</v>
          </cell>
          <cell r="H9" t="str">
            <v xml:space="preserve"> </v>
          </cell>
          <cell r="I9" t="str">
            <v>Use</v>
          </cell>
          <cell r="J9" t="str">
            <v>Taxes</v>
          </cell>
          <cell r="K9" t="str">
            <v>Tax</v>
          </cell>
          <cell r="L9" t="str">
            <v xml:space="preserve"> </v>
          </cell>
          <cell r="M9" t="str">
            <v xml:space="preserve"> </v>
          </cell>
          <cell r="N9" t="str">
            <v>Damages</v>
          </cell>
          <cell r="O9" t="str">
            <v>Expense</v>
          </cell>
          <cell r="P9" t="str">
            <v>Non-Utility</v>
          </cell>
          <cell r="Q9" t="str">
            <v>Taxes</v>
          </cell>
          <cell r="R9" t="str">
            <v>Losses</v>
          </cell>
          <cell r="S9" t="str">
            <v xml:space="preserve"> </v>
          </cell>
          <cell r="T9" t="str">
            <v>Schedules</v>
          </cell>
          <cell r="U9" t="str">
            <v>Expenses</v>
          </cell>
          <cell r="V9" t="str">
            <v>Cost Defer</v>
          </cell>
          <cell r="W9" t="str">
            <v>Adjustment</v>
          </cell>
          <cell r="X9" t="str">
            <v>Interest</v>
          </cell>
          <cell r="Y9" t="str">
            <v>Expenses</v>
          </cell>
          <cell r="AB9" t="str">
            <v xml:space="preserve"> </v>
          </cell>
          <cell r="AC9" t="str">
            <v>Supply</v>
          </cell>
          <cell r="AD9" t="str">
            <v>Rev/Exp</v>
          </cell>
          <cell r="AE9" t="str">
            <v>Non-Exec</v>
          </cell>
          <cell r="AF9" t="str">
            <v>Exec</v>
          </cell>
          <cell r="AG9" t="str">
            <v>Benefits</v>
          </cell>
          <cell r="AH9" t="str">
            <v>Amortization Adj</v>
          </cell>
          <cell r="AI9" t="str">
            <v>Tax</v>
          </cell>
          <cell r="AJ9" t="str">
            <v>&amp; Amortization</v>
          </cell>
          <cell r="AK9" t="str">
            <v>Normalization</v>
          </cell>
          <cell r="AL9" t="str">
            <v>Dec 2015 AMA</v>
          </cell>
          <cell r="AM9" t="str">
            <v>Capital Adds</v>
          </cell>
          <cell r="AN9" t="str">
            <v xml:space="preserve"> Offsets</v>
          </cell>
          <cell r="AO9" t="str">
            <v>CS2/Colstrip</v>
          </cell>
          <cell r="AR9" t="str">
            <v>2016 AMA (Inc)</v>
          </cell>
          <cell r="AS9" t="str">
            <v>2017 AMA</v>
          </cell>
          <cell r="AT9" t="str">
            <v>Non-Exec</v>
          </cell>
          <cell r="AU9" t="str">
            <v>Capital &amp; Expense</v>
          </cell>
          <cell r="AV9" t="str">
            <v>Tech/Serv Exp</v>
          </cell>
          <cell r="AW9" t="str">
            <v>Tax</v>
          </cell>
          <cell r="AX9" t="str">
            <v>Expense</v>
          </cell>
          <cell r="AY9" t="str">
            <v>Total</v>
          </cell>
          <cell r="AZ9" t="str">
            <v>to Attrition</v>
          </cell>
          <cell r="BB9" t="str">
            <v>Total (2)</v>
          </cell>
        </row>
        <row r="10">
          <cell r="B10" t="str">
            <v xml:space="preserve">Adjustment Number </v>
          </cell>
          <cell r="E10">
            <v>1</v>
          </cell>
          <cell r="F10">
            <v>1.01</v>
          </cell>
          <cell r="G10">
            <v>1.02</v>
          </cell>
          <cell r="H10">
            <v>1.03</v>
          </cell>
          <cell r="I10">
            <v>1.04</v>
          </cell>
          <cell r="J10">
            <v>2.0099999999999998</v>
          </cell>
          <cell r="K10">
            <v>2.0199999999999996</v>
          </cell>
          <cell r="L10">
            <v>2.0299999999999994</v>
          </cell>
          <cell r="M10">
            <v>2.0399999999999991</v>
          </cell>
          <cell r="N10">
            <v>2.0499999999999989</v>
          </cell>
          <cell r="O10">
            <v>2.0599999999999987</v>
          </cell>
          <cell r="P10">
            <v>2.0699999999999985</v>
          </cell>
          <cell r="Q10">
            <v>2.0799999999999983</v>
          </cell>
          <cell r="R10">
            <v>2.0899999999999981</v>
          </cell>
          <cell r="S10">
            <v>2.0999999999999979</v>
          </cell>
          <cell r="T10">
            <v>2.1099999999999977</v>
          </cell>
          <cell r="U10">
            <v>2.1199999999999974</v>
          </cell>
          <cell r="V10">
            <v>2.1299999999999972</v>
          </cell>
          <cell r="W10">
            <v>2.139999999999997</v>
          </cell>
          <cell r="X10">
            <v>2.1499999999999968</v>
          </cell>
          <cell r="Y10">
            <v>2.1599999999999966</v>
          </cell>
          <cell r="Z10">
            <v>2.1599999999999966</v>
          </cell>
          <cell r="AA10">
            <v>2.1699999999999964</v>
          </cell>
          <cell r="AB10" t="str">
            <v>R-Ttl</v>
          </cell>
          <cell r="AC10">
            <v>3</v>
          </cell>
          <cell r="AD10">
            <v>3.01</v>
          </cell>
          <cell r="AE10">
            <v>3.0199999999999996</v>
          </cell>
          <cell r="AF10">
            <v>3.0299999999999994</v>
          </cell>
          <cell r="AG10">
            <v>3.0399999999999991</v>
          </cell>
          <cell r="AH10">
            <v>3.0499999999999989</v>
          </cell>
          <cell r="AI10">
            <v>3.0599999999999987</v>
          </cell>
          <cell r="AJ10">
            <v>3.0699999999999985</v>
          </cell>
          <cell r="AK10">
            <v>3.0799999999999983</v>
          </cell>
          <cell r="AL10">
            <v>3.0899999999999981</v>
          </cell>
          <cell r="AM10">
            <v>3.0999999999999979</v>
          </cell>
          <cell r="AN10">
            <v>3.1099999999999977</v>
          </cell>
          <cell r="AO10">
            <v>3.1199999999999974</v>
          </cell>
          <cell r="AQ10" t="str">
            <v>PF-Ttl</v>
          </cell>
          <cell r="AR10">
            <v>4</v>
          </cell>
          <cell r="AS10">
            <v>4.01</v>
          </cell>
          <cell r="AT10">
            <v>4.0199999999999996</v>
          </cell>
          <cell r="AU10">
            <v>4.0299999999999994</v>
          </cell>
          <cell r="AV10">
            <v>4.0399999999999991</v>
          </cell>
          <cell r="AW10">
            <v>4.0499999999999989</v>
          </cell>
          <cell r="AX10">
            <v>4.0599999999999987</v>
          </cell>
          <cell r="AY10" t="str">
            <v>17CC-Ttl</v>
          </cell>
          <cell r="AZ10">
            <v>4.0699999999999985</v>
          </cell>
          <cell r="BA10">
            <v>4.08</v>
          </cell>
          <cell r="BB10" t="str">
            <v>17AA/CC-Ttl</v>
          </cell>
        </row>
        <row r="11">
          <cell r="B11" t="str">
            <v>Workpaper Reference</v>
          </cell>
          <cell r="E11" t="str">
            <v>E-ROO</v>
          </cell>
          <cell r="F11" t="str">
            <v>E-DFIT</v>
          </cell>
          <cell r="G11" t="str">
            <v>E-DDC</v>
          </cell>
          <cell r="H11" t="str">
            <v xml:space="preserve">E-WC </v>
          </cell>
          <cell r="I11" t="str">
            <v xml:space="preserve">E-PHF </v>
          </cell>
          <cell r="J11" t="str">
            <v>E-EBO</v>
          </cell>
          <cell r="K11" t="str">
            <v>E-RPT</v>
          </cell>
          <cell r="L11" t="str">
            <v>E-UE</v>
          </cell>
          <cell r="M11" t="str">
            <v>E-RE</v>
          </cell>
          <cell r="N11" t="str">
            <v>E-ID</v>
          </cell>
          <cell r="O11" t="str">
            <v xml:space="preserve">E-FIT </v>
          </cell>
          <cell r="P11" t="str">
            <v>E-OSC</v>
          </cell>
          <cell r="Q11" t="str">
            <v>E-RET</v>
          </cell>
          <cell r="R11" t="str">
            <v>E-NGL</v>
          </cell>
          <cell r="S11" t="str">
            <v>E-WN</v>
          </cell>
          <cell r="T11" t="str">
            <v>E-EAS</v>
          </cell>
          <cell r="U11" t="str">
            <v>E-MR</v>
          </cell>
          <cell r="V11" t="str">
            <v>E-EWPC</v>
          </cell>
          <cell r="W11" t="str">
            <v>E-NPS</v>
          </cell>
          <cell r="X11" t="str">
            <v>E-RDI</v>
          </cell>
          <cell r="Y11" t="str">
            <v>E-RI</v>
          </cell>
          <cell r="Z11" t="str">
            <v>OPEN</v>
          </cell>
          <cell r="AA11" t="str">
            <v>OPEN</v>
          </cell>
          <cell r="AC11" t="str">
            <v>E-PPS</v>
          </cell>
          <cell r="AD11" t="str">
            <v>E-PTR</v>
          </cell>
          <cell r="AE11" t="str">
            <v>E-PLN</v>
          </cell>
          <cell r="AF11" t="str">
            <v>E-PLE</v>
          </cell>
          <cell r="AG11" t="str">
            <v>E-PEB</v>
          </cell>
          <cell r="AH11" t="str">
            <v>E-PRA</v>
          </cell>
          <cell r="AI11" t="str">
            <v>E-PPT</v>
          </cell>
          <cell r="AJ11" t="str">
            <v>E-PMD</v>
          </cell>
          <cell r="AK11" t="str">
            <v>E-PREV</v>
          </cell>
          <cell r="AL11" t="str">
            <v>E-PCAP15</v>
          </cell>
          <cell r="AM11" t="str">
            <v>E-PCAP16</v>
          </cell>
          <cell r="AN11" t="str">
            <v>E-POFF</v>
          </cell>
          <cell r="AO11" t="str">
            <v>E-PMM</v>
          </cell>
          <cell r="AR11" t="str">
            <v>E-CCAP16</v>
          </cell>
          <cell r="AS11" t="str">
            <v>E-CCAP17</v>
          </cell>
          <cell r="AT11" t="str">
            <v>E-CLN</v>
          </cell>
          <cell r="AU11" t="str">
            <v>E-CM</v>
          </cell>
          <cell r="AV11" t="str">
            <v>E-CIS</v>
          </cell>
          <cell r="AW11" t="str">
            <v>E-CPT</v>
          </cell>
          <cell r="AX11" t="str">
            <v>E-CI</v>
          </cell>
          <cell r="AZ11" t="str">
            <v>E-CREC</v>
          </cell>
        </row>
        <row r="13">
          <cell r="B13" t="str">
            <v xml:space="preserve">REVENUES  </v>
          </cell>
        </row>
        <row r="14">
          <cell r="A14">
            <v>1</v>
          </cell>
          <cell r="B14" t="str">
            <v xml:space="preserve">Total General Business  </v>
          </cell>
          <cell r="E14">
            <v>512020</v>
          </cell>
          <cell r="F14">
            <v>0</v>
          </cell>
          <cell r="G14">
            <v>0</v>
          </cell>
          <cell r="H14">
            <v>0</v>
          </cell>
          <cell r="I14">
            <v>0</v>
          </cell>
          <cell r="J14">
            <v>-18110</v>
          </cell>
          <cell r="K14">
            <v>0</v>
          </cell>
          <cell r="L14">
            <v>0</v>
          </cell>
          <cell r="M14">
            <v>0</v>
          </cell>
          <cell r="N14">
            <v>0</v>
          </cell>
          <cell r="O14">
            <v>0</v>
          </cell>
          <cell r="P14">
            <v>0</v>
          </cell>
          <cell r="Q14">
            <v>0</v>
          </cell>
          <cell r="R14">
            <v>0</v>
          </cell>
          <cell r="S14">
            <v>3108</v>
          </cell>
          <cell r="T14">
            <v>-10581</v>
          </cell>
          <cell r="U14">
            <v>0</v>
          </cell>
          <cell r="V14">
            <v>12886</v>
          </cell>
          <cell r="W14">
            <v>0</v>
          </cell>
          <cell r="X14">
            <v>0</v>
          </cell>
          <cell r="Y14">
            <v>0</v>
          </cell>
          <cell r="Z14">
            <v>0</v>
          </cell>
          <cell r="AA14">
            <v>0</v>
          </cell>
          <cell r="AB14">
            <v>499323</v>
          </cell>
          <cell r="AC14">
            <v>0</v>
          </cell>
          <cell r="AD14">
            <v>0</v>
          </cell>
          <cell r="AE14">
            <v>0</v>
          </cell>
          <cell r="AF14">
            <v>0</v>
          </cell>
          <cell r="AG14">
            <v>0</v>
          </cell>
          <cell r="AH14">
            <v>0</v>
          </cell>
          <cell r="AI14">
            <v>0</v>
          </cell>
          <cell r="AJ14">
            <v>0</v>
          </cell>
          <cell r="AK14">
            <v>-5179</v>
          </cell>
          <cell r="AL14">
            <v>0</v>
          </cell>
          <cell r="AM14">
            <v>0</v>
          </cell>
          <cell r="AN14">
            <v>0</v>
          </cell>
          <cell r="AO14">
            <v>0</v>
          </cell>
          <cell r="AP14">
            <v>0</v>
          </cell>
          <cell r="AQ14">
            <v>494144</v>
          </cell>
          <cell r="AR14">
            <v>0</v>
          </cell>
          <cell r="AS14">
            <v>0</v>
          </cell>
          <cell r="AT14">
            <v>0</v>
          </cell>
          <cell r="AU14">
            <v>0</v>
          </cell>
          <cell r="AV14">
            <v>0</v>
          </cell>
          <cell r="AW14">
            <v>0</v>
          </cell>
          <cell r="AX14">
            <v>0</v>
          </cell>
          <cell r="AY14">
            <v>494144</v>
          </cell>
          <cell r="AZ14">
            <v>0</v>
          </cell>
          <cell r="BA14">
            <v>8544.8430502886185</v>
          </cell>
          <cell r="BB14">
            <v>502688.84305028862</v>
          </cell>
        </row>
        <row r="15">
          <cell r="A15">
            <v>2</v>
          </cell>
          <cell r="B15" t="str">
            <v xml:space="preserve">Interdepartmental Sales  </v>
          </cell>
          <cell r="E15">
            <v>920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t="str">
            <v>`</v>
          </cell>
          <cell r="W15">
            <v>0</v>
          </cell>
          <cell r="X15">
            <v>0</v>
          </cell>
          <cell r="Y15">
            <v>0</v>
          </cell>
          <cell r="Z15">
            <v>0</v>
          </cell>
          <cell r="AA15">
            <v>0</v>
          </cell>
          <cell r="AB15">
            <v>920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920</v>
          </cell>
          <cell r="AR15">
            <v>0</v>
          </cell>
          <cell r="AS15">
            <v>0</v>
          </cell>
          <cell r="AT15">
            <v>0</v>
          </cell>
          <cell r="AU15">
            <v>0</v>
          </cell>
          <cell r="AV15">
            <v>0</v>
          </cell>
          <cell r="AW15">
            <v>0</v>
          </cell>
          <cell r="AX15">
            <v>0</v>
          </cell>
          <cell r="AY15">
            <v>920</v>
          </cell>
          <cell r="AZ15">
            <v>0</v>
          </cell>
          <cell r="BA15">
            <v>24.062457199369874</v>
          </cell>
          <cell r="BB15">
            <v>944.06245719936987</v>
          </cell>
        </row>
        <row r="16">
          <cell r="A16">
            <v>3</v>
          </cell>
          <cell r="B16" t="str">
            <v xml:space="preserve">Sales for Resale  </v>
          </cell>
          <cell r="E16">
            <v>84664</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84664</v>
          </cell>
          <cell r="AC16">
            <v>-48129</v>
          </cell>
          <cell r="AD16">
            <v>0</v>
          </cell>
          <cell r="AE16">
            <v>0</v>
          </cell>
          <cell r="AF16">
            <v>0</v>
          </cell>
          <cell r="AG16">
            <v>0</v>
          </cell>
          <cell r="AH16">
            <v>0</v>
          </cell>
          <cell r="AI16">
            <v>0</v>
          </cell>
          <cell r="AJ16">
            <v>0</v>
          </cell>
          <cell r="AK16">
            <v>0</v>
          </cell>
          <cell r="AL16">
            <v>0</v>
          </cell>
          <cell r="AM16">
            <v>0</v>
          </cell>
          <cell r="AN16">
            <v>0</v>
          </cell>
          <cell r="AO16">
            <v>0</v>
          </cell>
          <cell r="AP16">
            <v>0</v>
          </cell>
          <cell r="AQ16">
            <v>36535</v>
          </cell>
          <cell r="AR16">
            <v>0</v>
          </cell>
          <cell r="AS16">
            <v>0</v>
          </cell>
          <cell r="AT16">
            <v>0</v>
          </cell>
          <cell r="AU16">
            <v>0</v>
          </cell>
          <cell r="AV16">
            <v>0</v>
          </cell>
          <cell r="AW16">
            <v>0</v>
          </cell>
          <cell r="AX16">
            <v>0</v>
          </cell>
          <cell r="AY16">
            <v>36535</v>
          </cell>
          <cell r="AZ16">
            <v>0</v>
          </cell>
          <cell r="BA16">
            <v>-1652.9376000000047</v>
          </cell>
          <cell r="BB16">
            <v>34882.062399999995</v>
          </cell>
        </row>
        <row r="17">
          <cell r="A17">
            <v>4</v>
          </cell>
          <cell r="B17" t="str">
            <v xml:space="preserve">Total Sales of Electricity  </v>
          </cell>
          <cell r="E17">
            <v>597604</v>
          </cell>
          <cell r="F17">
            <v>0</v>
          </cell>
          <cell r="G17">
            <v>0</v>
          </cell>
          <cell r="H17">
            <v>0</v>
          </cell>
          <cell r="I17">
            <v>0</v>
          </cell>
          <cell r="J17">
            <v>-18110</v>
          </cell>
          <cell r="K17">
            <v>0</v>
          </cell>
          <cell r="L17">
            <v>0</v>
          </cell>
          <cell r="M17">
            <v>0</v>
          </cell>
          <cell r="N17">
            <v>0</v>
          </cell>
          <cell r="O17">
            <v>0</v>
          </cell>
          <cell r="P17">
            <v>0</v>
          </cell>
          <cell r="Q17">
            <v>0</v>
          </cell>
          <cell r="R17">
            <v>0</v>
          </cell>
          <cell r="S17">
            <v>3108</v>
          </cell>
          <cell r="T17">
            <v>-10581</v>
          </cell>
          <cell r="U17">
            <v>0</v>
          </cell>
          <cell r="V17">
            <v>12886</v>
          </cell>
          <cell r="W17">
            <v>0</v>
          </cell>
          <cell r="X17">
            <v>0</v>
          </cell>
          <cell r="Y17">
            <v>0</v>
          </cell>
          <cell r="Z17">
            <v>0</v>
          </cell>
          <cell r="AA17">
            <v>0</v>
          </cell>
          <cell r="AB17">
            <v>584907</v>
          </cell>
          <cell r="AC17">
            <v>-48129</v>
          </cell>
          <cell r="AD17">
            <v>0</v>
          </cell>
          <cell r="AE17">
            <v>0</v>
          </cell>
          <cell r="AF17">
            <v>0</v>
          </cell>
          <cell r="AG17">
            <v>0</v>
          </cell>
          <cell r="AH17">
            <v>0</v>
          </cell>
          <cell r="AI17">
            <v>0</v>
          </cell>
          <cell r="AJ17">
            <v>0</v>
          </cell>
          <cell r="AK17">
            <v>-5179</v>
          </cell>
          <cell r="AL17">
            <v>0</v>
          </cell>
          <cell r="AM17">
            <v>0</v>
          </cell>
          <cell r="AN17">
            <v>0</v>
          </cell>
          <cell r="AO17">
            <v>0</v>
          </cell>
          <cell r="AP17">
            <v>0</v>
          </cell>
          <cell r="AQ17">
            <v>531599</v>
          </cell>
          <cell r="AR17">
            <v>0</v>
          </cell>
          <cell r="AS17">
            <v>0</v>
          </cell>
          <cell r="AT17">
            <v>0</v>
          </cell>
          <cell r="AU17">
            <v>0</v>
          </cell>
          <cell r="AV17">
            <v>0</v>
          </cell>
          <cell r="AW17">
            <v>0</v>
          </cell>
          <cell r="AX17">
            <v>0</v>
          </cell>
          <cell r="AY17">
            <v>531599</v>
          </cell>
          <cell r="AZ17">
            <v>0</v>
          </cell>
          <cell r="BA17">
            <v>6915.9679074879841</v>
          </cell>
          <cell r="BB17">
            <v>538514.967907488</v>
          </cell>
        </row>
        <row r="18">
          <cell r="A18">
            <v>5</v>
          </cell>
          <cell r="B18" t="str">
            <v xml:space="preserve">Other Revenue  </v>
          </cell>
          <cell r="E18">
            <v>76513</v>
          </cell>
          <cell r="F18">
            <v>0</v>
          </cell>
          <cell r="G18">
            <v>0</v>
          </cell>
          <cell r="H18">
            <v>0</v>
          </cell>
          <cell r="I18">
            <v>0</v>
          </cell>
          <cell r="J18">
            <v>-14</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76499</v>
          </cell>
          <cell r="AC18">
            <v>-64749</v>
          </cell>
          <cell r="AD18">
            <v>-237</v>
          </cell>
          <cell r="AE18">
            <v>0</v>
          </cell>
          <cell r="AF18">
            <v>0</v>
          </cell>
          <cell r="AG18">
            <v>0</v>
          </cell>
          <cell r="AH18">
            <v>0</v>
          </cell>
          <cell r="AI18">
            <v>0</v>
          </cell>
          <cell r="AJ18">
            <v>0</v>
          </cell>
          <cell r="AK18">
            <v>1882</v>
          </cell>
          <cell r="AL18">
            <v>0</v>
          </cell>
          <cell r="AM18">
            <v>0</v>
          </cell>
          <cell r="AN18">
            <v>0</v>
          </cell>
          <cell r="AO18">
            <v>0</v>
          </cell>
          <cell r="AP18">
            <v>0</v>
          </cell>
          <cell r="AQ18">
            <v>13395</v>
          </cell>
          <cell r="AR18">
            <v>0</v>
          </cell>
          <cell r="AS18">
            <v>0</v>
          </cell>
          <cell r="AT18">
            <v>0</v>
          </cell>
          <cell r="AU18">
            <v>0</v>
          </cell>
          <cell r="AV18">
            <v>0</v>
          </cell>
          <cell r="AW18">
            <v>0</v>
          </cell>
          <cell r="AX18">
            <v>0</v>
          </cell>
          <cell r="AY18">
            <v>13395</v>
          </cell>
          <cell r="AZ18">
            <v>0</v>
          </cell>
          <cell r="BA18">
            <v>43.5</v>
          </cell>
          <cell r="BB18">
            <v>13438.5</v>
          </cell>
        </row>
        <row r="19">
          <cell r="A19">
            <v>6</v>
          </cell>
          <cell r="B19" t="str">
            <v xml:space="preserve">Total Electric Revenue  </v>
          </cell>
          <cell r="E19">
            <v>674117</v>
          </cell>
          <cell r="F19">
            <v>0</v>
          </cell>
          <cell r="G19">
            <v>0</v>
          </cell>
          <cell r="H19">
            <v>0</v>
          </cell>
          <cell r="I19">
            <v>0</v>
          </cell>
          <cell r="J19">
            <v>-18124</v>
          </cell>
          <cell r="K19">
            <v>0</v>
          </cell>
          <cell r="L19">
            <v>0</v>
          </cell>
          <cell r="M19">
            <v>0</v>
          </cell>
          <cell r="N19">
            <v>0</v>
          </cell>
          <cell r="O19">
            <v>0</v>
          </cell>
          <cell r="P19">
            <v>0</v>
          </cell>
          <cell r="Q19">
            <v>0</v>
          </cell>
          <cell r="R19">
            <v>0</v>
          </cell>
          <cell r="S19">
            <v>3108</v>
          </cell>
          <cell r="T19">
            <v>-10581</v>
          </cell>
          <cell r="U19">
            <v>0</v>
          </cell>
          <cell r="V19">
            <v>12886</v>
          </cell>
          <cell r="W19">
            <v>0</v>
          </cell>
          <cell r="X19">
            <v>0</v>
          </cell>
          <cell r="Y19">
            <v>0</v>
          </cell>
          <cell r="Z19">
            <v>0</v>
          </cell>
          <cell r="AA19">
            <v>0</v>
          </cell>
          <cell r="AB19">
            <v>661406</v>
          </cell>
          <cell r="AC19">
            <v>-112878</v>
          </cell>
          <cell r="AD19">
            <v>-237</v>
          </cell>
          <cell r="AE19">
            <v>0</v>
          </cell>
          <cell r="AF19">
            <v>0</v>
          </cell>
          <cell r="AG19">
            <v>0</v>
          </cell>
          <cell r="AH19">
            <v>0</v>
          </cell>
          <cell r="AI19">
            <v>0</v>
          </cell>
          <cell r="AJ19">
            <v>0</v>
          </cell>
          <cell r="AK19">
            <v>-3297</v>
          </cell>
          <cell r="AL19">
            <v>0</v>
          </cell>
          <cell r="AM19">
            <v>0</v>
          </cell>
          <cell r="AN19">
            <v>0</v>
          </cell>
          <cell r="AO19">
            <v>0</v>
          </cell>
          <cell r="AP19">
            <v>0</v>
          </cell>
          <cell r="AQ19">
            <v>544994</v>
          </cell>
          <cell r="AR19">
            <v>0</v>
          </cell>
          <cell r="AS19">
            <v>0</v>
          </cell>
          <cell r="AT19">
            <v>0</v>
          </cell>
          <cell r="AU19">
            <v>0</v>
          </cell>
          <cell r="AV19">
            <v>0</v>
          </cell>
          <cell r="AW19">
            <v>0</v>
          </cell>
          <cell r="AX19">
            <v>0</v>
          </cell>
          <cell r="AY19">
            <v>544994</v>
          </cell>
          <cell r="AZ19">
            <v>0</v>
          </cell>
          <cell r="BA19">
            <v>6959.4679074879841</v>
          </cell>
          <cell r="BB19">
            <v>551953.467907488</v>
          </cell>
        </row>
        <row r="21">
          <cell r="B21" t="str">
            <v xml:space="preserve">EXPENSES  </v>
          </cell>
        </row>
        <row r="22">
          <cell r="B22" t="str">
            <v xml:space="preserve">Production and Transmission  </v>
          </cell>
        </row>
        <row r="23">
          <cell r="A23">
            <v>7</v>
          </cell>
          <cell r="C23" t="str">
            <v xml:space="preserve">Operating Expenses  </v>
          </cell>
          <cell r="E23">
            <v>189010</v>
          </cell>
          <cell r="F23">
            <v>0</v>
          </cell>
          <cell r="G23">
            <v>-3725</v>
          </cell>
          <cell r="H23">
            <v>0</v>
          </cell>
          <cell r="I23">
            <v>0</v>
          </cell>
          <cell r="J23">
            <v>0</v>
          </cell>
          <cell r="K23">
            <v>0</v>
          </cell>
          <cell r="L23">
            <v>0</v>
          </cell>
          <cell r="M23">
            <v>0</v>
          </cell>
          <cell r="N23">
            <v>0</v>
          </cell>
          <cell r="O23">
            <v>0</v>
          </cell>
          <cell r="P23">
            <v>0</v>
          </cell>
          <cell r="Q23">
            <v>0</v>
          </cell>
          <cell r="R23">
            <v>0</v>
          </cell>
          <cell r="S23">
            <v>0</v>
          </cell>
          <cell r="T23">
            <v>-206</v>
          </cell>
          <cell r="U23">
            <v>-1</v>
          </cell>
          <cell r="V23">
            <v>4557</v>
          </cell>
          <cell r="W23">
            <v>-9</v>
          </cell>
          <cell r="X23">
            <v>0</v>
          </cell>
          <cell r="Y23">
            <v>290</v>
          </cell>
          <cell r="Z23">
            <v>0</v>
          </cell>
          <cell r="AA23">
            <v>0</v>
          </cell>
          <cell r="AB23">
            <v>189916</v>
          </cell>
          <cell r="AC23">
            <v>-62823</v>
          </cell>
          <cell r="AD23">
            <v>155</v>
          </cell>
          <cell r="AE23">
            <v>696</v>
          </cell>
          <cell r="AF23">
            <v>-31</v>
          </cell>
          <cell r="AG23">
            <v>451</v>
          </cell>
          <cell r="AH23">
            <v>0</v>
          </cell>
          <cell r="AI23">
            <v>0</v>
          </cell>
          <cell r="AJ23">
            <v>0</v>
          </cell>
          <cell r="AK23">
            <v>0</v>
          </cell>
          <cell r="AL23">
            <v>0</v>
          </cell>
          <cell r="AM23">
            <v>0</v>
          </cell>
          <cell r="AN23">
            <v>0</v>
          </cell>
          <cell r="AO23">
            <v>822</v>
          </cell>
          <cell r="AP23">
            <v>0</v>
          </cell>
          <cell r="AQ23">
            <v>129186</v>
          </cell>
          <cell r="AR23">
            <v>0</v>
          </cell>
          <cell r="AS23">
            <v>0</v>
          </cell>
          <cell r="AT23">
            <v>0</v>
          </cell>
          <cell r="AU23">
            <v>0</v>
          </cell>
          <cell r="AV23">
            <v>0</v>
          </cell>
          <cell r="AW23">
            <v>0</v>
          </cell>
          <cell r="AX23">
            <v>0</v>
          </cell>
          <cell r="AY23">
            <v>129186</v>
          </cell>
          <cell r="AZ23">
            <v>0</v>
          </cell>
          <cell r="BA23">
            <v>8129.3402116171201</v>
          </cell>
          <cell r="BB23">
            <v>137315.34021161712</v>
          </cell>
        </row>
        <row r="24">
          <cell r="A24">
            <v>8</v>
          </cell>
          <cell r="C24" t="str">
            <v xml:space="preserve">Purchased Power  </v>
          </cell>
          <cell r="E24">
            <v>115031</v>
          </cell>
          <cell r="F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115031</v>
          </cell>
          <cell r="AC24">
            <v>-45073</v>
          </cell>
          <cell r="AD24">
            <v>0</v>
          </cell>
          <cell r="AE24">
            <v>0</v>
          </cell>
          <cell r="AF24">
            <v>0</v>
          </cell>
          <cell r="AH24">
            <v>0</v>
          </cell>
          <cell r="AI24">
            <v>0</v>
          </cell>
          <cell r="AJ24">
            <v>0</v>
          </cell>
          <cell r="AK24">
            <v>0</v>
          </cell>
          <cell r="AL24">
            <v>0</v>
          </cell>
          <cell r="AM24">
            <v>0</v>
          </cell>
          <cell r="AN24">
            <v>0</v>
          </cell>
          <cell r="AO24">
            <v>0</v>
          </cell>
          <cell r="AP24">
            <v>0</v>
          </cell>
          <cell r="AQ24">
            <v>69958</v>
          </cell>
          <cell r="AR24">
            <v>0</v>
          </cell>
          <cell r="AS24">
            <v>0</v>
          </cell>
          <cell r="AT24">
            <v>0</v>
          </cell>
          <cell r="AU24">
            <v>0</v>
          </cell>
          <cell r="AV24">
            <v>0</v>
          </cell>
          <cell r="AW24">
            <v>0</v>
          </cell>
          <cell r="AX24">
            <v>0</v>
          </cell>
          <cell r="AY24">
            <v>69958</v>
          </cell>
          <cell r="AZ24">
            <v>0</v>
          </cell>
          <cell r="BA24">
            <v>3562</v>
          </cell>
          <cell r="BB24">
            <v>73520</v>
          </cell>
        </row>
        <row r="25">
          <cell r="A25">
            <v>9</v>
          </cell>
          <cell r="C25" t="str">
            <v xml:space="preserve">Depreciation/Amortization  </v>
          </cell>
          <cell r="E25">
            <v>24379</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24379</v>
          </cell>
          <cell r="AC25">
            <v>0</v>
          </cell>
          <cell r="AD25">
            <v>0</v>
          </cell>
          <cell r="AE25">
            <v>0</v>
          </cell>
          <cell r="AF25">
            <v>0</v>
          </cell>
          <cell r="AG25">
            <v>0</v>
          </cell>
          <cell r="AH25">
            <v>0</v>
          </cell>
          <cell r="AI25">
            <v>0</v>
          </cell>
          <cell r="AJ25">
            <v>0</v>
          </cell>
          <cell r="AK25">
            <v>0</v>
          </cell>
          <cell r="AL25">
            <v>546</v>
          </cell>
          <cell r="AM25">
            <v>447</v>
          </cell>
          <cell r="AN25">
            <v>0</v>
          </cell>
          <cell r="AO25">
            <v>0</v>
          </cell>
          <cell r="AQ25">
            <v>25372</v>
          </cell>
          <cell r="AR25">
            <v>0</v>
          </cell>
          <cell r="AS25">
            <v>0</v>
          </cell>
          <cell r="AT25">
            <v>0</v>
          </cell>
          <cell r="AU25">
            <v>0</v>
          </cell>
          <cell r="AV25">
            <v>0</v>
          </cell>
          <cell r="AW25">
            <v>0</v>
          </cell>
          <cell r="AX25">
            <v>0</v>
          </cell>
          <cell r="AY25">
            <v>25372</v>
          </cell>
          <cell r="AZ25">
            <v>0</v>
          </cell>
          <cell r="BA25">
            <v>2962.9835484275172</v>
          </cell>
          <cell r="BB25">
            <v>28334.983548427517</v>
          </cell>
        </row>
        <row r="26">
          <cell r="A26">
            <v>10</v>
          </cell>
          <cell r="C26" t="str">
            <v>Regulatory Amortization</v>
          </cell>
          <cell r="E26">
            <v>-1445</v>
          </cell>
          <cell r="F26">
            <v>0</v>
          </cell>
          <cell r="G26">
            <v>-1360</v>
          </cell>
          <cell r="H26">
            <v>0</v>
          </cell>
          <cell r="I26">
            <v>0</v>
          </cell>
          <cell r="J26">
            <v>0</v>
          </cell>
          <cell r="K26">
            <v>0</v>
          </cell>
          <cell r="L26">
            <v>0</v>
          </cell>
          <cell r="M26">
            <v>0</v>
          </cell>
          <cell r="N26">
            <v>0</v>
          </cell>
          <cell r="O26">
            <v>0</v>
          </cell>
          <cell r="P26">
            <v>0</v>
          </cell>
          <cell r="Q26">
            <v>0</v>
          </cell>
          <cell r="R26">
            <v>0</v>
          </cell>
          <cell r="S26">
            <v>0</v>
          </cell>
          <cell r="T26">
            <v>8029</v>
          </cell>
          <cell r="U26">
            <v>0</v>
          </cell>
          <cell r="V26">
            <v>0</v>
          </cell>
          <cell r="W26">
            <v>0</v>
          </cell>
          <cell r="X26">
            <v>0</v>
          </cell>
          <cell r="Y26">
            <v>0</v>
          </cell>
          <cell r="Z26">
            <v>0</v>
          </cell>
          <cell r="AA26">
            <v>0</v>
          </cell>
          <cell r="AB26">
            <v>5224</v>
          </cell>
          <cell r="AH26">
            <v>-1705</v>
          </cell>
          <cell r="AI26">
            <v>0</v>
          </cell>
          <cell r="AJ26">
            <v>0</v>
          </cell>
          <cell r="AK26">
            <v>0</v>
          </cell>
          <cell r="AN26">
            <v>0</v>
          </cell>
          <cell r="AO26">
            <v>0</v>
          </cell>
          <cell r="AQ26">
            <v>3519</v>
          </cell>
          <cell r="AT26">
            <v>0</v>
          </cell>
          <cell r="AU26">
            <v>0</v>
          </cell>
          <cell r="AV26">
            <v>0</v>
          </cell>
          <cell r="AW26">
            <v>0</v>
          </cell>
          <cell r="AX26">
            <v>0</v>
          </cell>
          <cell r="AY26">
            <v>3519</v>
          </cell>
          <cell r="BA26">
            <v>81</v>
          </cell>
          <cell r="BB26">
            <v>3600</v>
          </cell>
        </row>
        <row r="27">
          <cell r="A27">
            <v>11</v>
          </cell>
          <cell r="C27" t="str">
            <v xml:space="preserve">Taxes  </v>
          </cell>
          <cell r="E27">
            <v>13890</v>
          </cell>
          <cell r="F27">
            <v>0</v>
          </cell>
          <cell r="G27">
            <v>0</v>
          </cell>
          <cell r="H27">
            <v>0</v>
          </cell>
          <cell r="I27">
            <v>0</v>
          </cell>
          <cell r="J27">
            <v>0</v>
          </cell>
          <cell r="K27">
            <v>-454</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13436</v>
          </cell>
          <cell r="AC27">
            <v>0</v>
          </cell>
          <cell r="AD27">
            <v>0</v>
          </cell>
          <cell r="AE27">
            <v>0</v>
          </cell>
          <cell r="AF27">
            <v>0</v>
          </cell>
          <cell r="AG27">
            <v>0</v>
          </cell>
          <cell r="AH27">
            <v>0</v>
          </cell>
          <cell r="AI27">
            <v>637</v>
          </cell>
          <cell r="AJ27">
            <v>0</v>
          </cell>
          <cell r="AK27">
            <v>0</v>
          </cell>
          <cell r="AL27">
            <v>0</v>
          </cell>
          <cell r="AM27">
            <v>0</v>
          </cell>
          <cell r="AN27">
            <v>0</v>
          </cell>
          <cell r="AO27">
            <v>0</v>
          </cell>
          <cell r="AP27">
            <v>0</v>
          </cell>
          <cell r="AQ27">
            <v>14073</v>
          </cell>
          <cell r="AR27">
            <v>0</v>
          </cell>
          <cell r="AS27">
            <v>0</v>
          </cell>
          <cell r="AT27">
            <v>0</v>
          </cell>
          <cell r="AU27">
            <v>0</v>
          </cell>
          <cell r="AV27">
            <v>0</v>
          </cell>
          <cell r="AW27">
            <v>0</v>
          </cell>
          <cell r="AX27">
            <v>0</v>
          </cell>
          <cell r="AY27">
            <v>14073</v>
          </cell>
          <cell r="AZ27">
            <v>0</v>
          </cell>
          <cell r="BA27">
            <v>1761.3434219207447</v>
          </cell>
          <cell r="BB27">
            <v>15834.343421920745</v>
          </cell>
        </row>
        <row r="28">
          <cell r="A28">
            <v>12</v>
          </cell>
          <cell r="B28" t="str">
            <v xml:space="preserve">Total Production &amp; Transmission  </v>
          </cell>
          <cell r="E28">
            <v>340865</v>
          </cell>
          <cell r="F28">
            <v>0</v>
          </cell>
          <cell r="G28">
            <v>-5085</v>
          </cell>
          <cell r="H28">
            <v>0</v>
          </cell>
          <cell r="I28">
            <v>0</v>
          </cell>
          <cell r="J28">
            <v>0</v>
          </cell>
          <cell r="K28">
            <v>-454</v>
          </cell>
          <cell r="L28">
            <v>0</v>
          </cell>
          <cell r="M28">
            <v>0</v>
          </cell>
          <cell r="N28">
            <v>0</v>
          </cell>
          <cell r="O28">
            <v>0</v>
          </cell>
          <cell r="P28">
            <v>0</v>
          </cell>
          <cell r="Q28">
            <v>0</v>
          </cell>
          <cell r="R28">
            <v>0</v>
          </cell>
          <cell r="S28">
            <v>0</v>
          </cell>
          <cell r="T28">
            <v>7823</v>
          </cell>
          <cell r="U28">
            <v>-1</v>
          </cell>
          <cell r="V28">
            <v>4557</v>
          </cell>
          <cell r="W28">
            <v>-9</v>
          </cell>
          <cell r="X28">
            <v>0</v>
          </cell>
          <cell r="Y28">
            <v>290</v>
          </cell>
          <cell r="Z28">
            <v>0</v>
          </cell>
          <cell r="AA28">
            <v>0</v>
          </cell>
          <cell r="AB28">
            <v>347986</v>
          </cell>
          <cell r="AC28">
            <v>-107896</v>
          </cell>
          <cell r="AD28">
            <v>155</v>
          </cell>
          <cell r="AE28">
            <v>696</v>
          </cell>
          <cell r="AF28">
            <v>-31</v>
          </cell>
          <cell r="AG28">
            <v>451</v>
          </cell>
          <cell r="AH28">
            <v>-1705</v>
          </cell>
          <cell r="AI28">
            <v>637</v>
          </cell>
          <cell r="AJ28">
            <v>0</v>
          </cell>
          <cell r="AK28">
            <v>0</v>
          </cell>
          <cell r="AL28">
            <v>546</v>
          </cell>
          <cell r="AM28">
            <v>447</v>
          </cell>
          <cell r="AN28">
            <v>0</v>
          </cell>
          <cell r="AO28">
            <v>822</v>
          </cell>
          <cell r="AP28">
            <v>0</v>
          </cell>
          <cell r="AQ28">
            <v>242108</v>
          </cell>
          <cell r="AR28">
            <v>0</v>
          </cell>
          <cell r="AS28">
            <v>0</v>
          </cell>
          <cell r="AT28">
            <v>0</v>
          </cell>
          <cell r="AU28">
            <v>0</v>
          </cell>
          <cell r="AV28">
            <v>0</v>
          </cell>
          <cell r="AW28">
            <v>0</v>
          </cell>
          <cell r="AX28">
            <v>0</v>
          </cell>
          <cell r="AY28">
            <v>242108</v>
          </cell>
          <cell r="AZ28">
            <v>0</v>
          </cell>
          <cell r="BA28">
            <v>16496.667181965382</v>
          </cell>
          <cell r="BB28">
            <v>258604.66718196537</v>
          </cell>
        </row>
        <row r="30">
          <cell r="B30" t="str">
            <v xml:space="preserve">Distribution  </v>
          </cell>
        </row>
        <row r="31">
          <cell r="A31">
            <v>13</v>
          </cell>
          <cell r="C31" t="str">
            <v xml:space="preserve">Operating Expenses  </v>
          </cell>
          <cell r="E31">
            <v>22961</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-1</v>
          </cell>
          <cell r="V31">
            <v>0</v>
          </cell>
          <cell r="W31">
            <v>0</v>
          </cell>
          <cell r="X31">
            <v>0</v>
          </cell>
          <cell r="Y31">
            <v>213</v>
          </cell>
          <cell r="Z31">
            <v>0</v>
          </cell>
          <cell r="AA31">
            <v>0</v>
          </cell>
          <cell r="AB31">
            <v>23173</v>
          </cell>
          <cell r="AC31">
            <v>0</v>
          </cell>
          <cell r="AD31">
            <v>0</v>
          </cell>
          <cell r="AE31">
            <v>509</v>
          </cell>
          <cell r="AF31">
            <v>0</v>
          </cell>
          <cell r="AG31">
            <v>332</v>
          </cell>
          <cell r="AH31">
            <v>0</v>
          </cell>
          <cell r="AI31">
            <v>0</v>
          </cell>
          <cell r="AJ31">
            <v>0</v>
          </cell>
          <cell r="AK31">
            <v>0</v>
          </cell>
          <cell r="AL31">
            <v>0</v>
          </cell>
          <cell r="AM31">
            <v>0</v>
          </cell>
          <cell r="AN31">
            <v>0</v>
          </cell>
          <cell r="AO31">
            <v>0</v>
          </cell>
          <cell r="AP31">
            <v>0</v>
          </cell>
          <cell r="AQ31">
            <v>24014</v>
          </cell>
          <cell r="AR31">
            <v>0</v>
          </cell>
          <cell r="AS31">
            <v>0</v>
          </cell>
          <cell r="AT31">
            <v>0</v>
          </cell>
          <cell r="AU31">
            <v>0</v>
          </cell>
          <cell r="AV31">
            <v>0</v>
          </cell>
          <cell r="AW31">
            <v>0</v>
          </cell>
          <cell r="AX31">
            <v>0</v>
          </cell>
          <cell r="AY31">
            <v>24014</v>
          </cell>
          <cell r="AZ31">
            <v>0</v>
          </cell>
          <cell r="BA31">
            <v>-773.37897334824083</v>
          </cell>
          <cell r="BB31">
            <v>23240.621026651759</v>
          </cell>
        </row>
        <row r="32">
          <cell r="A32">
            <v>14</v>
          </cell>
          <cell r="C32" t="str">
            <v>Depreciation/Amortization</v>
          </cell>
          <cell r="E32">
            <v>25024</v>
          </cell>
          <cell r="F32">
            <v>0</v>
          </cell>
          <cell r="G32">
            <v>0</v>
          </cell>
          <cell r="H32">
            <v>0</v>
          </cell>
          <cell r="I32">
            <v>0</v>
          </cell>
          <cell r="J32">
            <v>0</v>
          </cell>
          <cell r="K32">
            <v>0</v>
          </cell>
          <cell r="L32">
            <v>0</v>
          </cell>
          <cell r="M32">
            <v>0</v>
          </cell>
          <cell r="N32">
            <v>0</v>
          </cell>
          <cell r="O32">
            <v>0</v>
          </cell>
          <cell r="P32">
            <v>0</v>
          </cell>
          <cell r="Q32">
            <v>0</v>
          </cell>
          <cell r="R32">
            <v>-79</v>
          </cell>
          <cell r="S32">
            <v>0</v>
          </cell>
          <cell r="T32">
            <v>0</v>
          </cell>
          <cell r="U32">
            <v>0</v>
          </cell>
          <cell r="V32">
            <v>0</v>
          </cell>
          <cell r="W32">
            <v>0</v>
          </cell>
          <cell r="X32">
            <v>0</v>
          </cell>
          <cell r="Y32">
            <v>0</v>
          </cell>
          <cell r="Z32">
            <v>0</v>
          </cell>
          <cell r="AA32">
            <v>0</v>
          </cell>
          <cell r="AB32">
            <v>24945</v>
          </cell>
          <cell r="AC32">
            <v>0</v>
          </cell>
          <cell r="AD32">
            <v>0</v>
          </cell>
          <cell r="AE32">
            <v>0</v>
          </cell>
          <cell r="AF32">
            <v>0</v>
          </cell>
          <cell r="AG32">
            <v>0</v>
          </cell>
          <cell r="AH32">
            <v>0</v>
          </cell>
          <cell r="AI32">
            <v>0</v>
          </cell>
          <cell r="AJ32">
            <v>0</v>
          </cell>
          <cell r="AK32">
            <v>0</v>
          </cell>
          <cell r="AL32">
            <v>430</v>
          </cell>
          <cell r="AM32">
            <v>0</v>
          </cell>
          <cell r="AN32">
            <v>0</v>
          </cell>
          <cell r="AO32">
            <v>0</v>
          </cell>
          <cell r="AQ32">
            <v>25375</v>
          </cell>
          <cell r="AR32">
            <v>0</v>
          </cell>
          <cell r="AS32">
            <v>0</v>
          </cell>
          <cell r="AT32">
            <v>0</v>
          </cell>
          <cell r="AU32">
            <v>0</v>
          </cell>
          <cell r="AV32">
            <v>0</v>
          </cell>
          <cell r="AW32">
            <v>0</v>
          </cell>
          <cell r="AX32">
            <v>0</v>
          </cell>
          <cell r="AY32">
            <v>25375</v>
          </cell>
          <cell r="AZ32">
            <v>0</v>
          </cell>
          <cell r="BA32">
            <v>2675.4569477509067</v>
          </cell>
          <cell r="BB32">
            <v>28050.456947750907</v>
          </cell>
        </row>
        <row r="33">
          <cell r="A33">
            <v>15</v>
          </cell>
          <cell r="C33" t="str">
            <v>Regulatory Amortization</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T33">
            <v>0</v>
          </cell>
          <cell r="AV33">
            <v>0</v>
          </cell>
          <cell r="AW33">
            <v>0</v>
          </cell>
          <cell r="AX33">
            <v>0</v>
          </cell>
          <cell r="AY33">
            <v>0</v>
          </cell>
          <cell r="AZ33">
            <v>0</v>
          </cell>
          <cell r="BA33">
            <v>0</v>
          </cell>
          <cell r="BB33">
            <v>0</v>
          </cell>
        </row>
        <row r="34">
          <cell r="A34">
            <v>16</v>
          </cell>
          <cell r="C34" t="str">
            <v xml:space="preserve">Taxes  </v>
          </cell>
          <cell r="E34">
            <v>45055</v>
          </cell>
          <cell r="F34">
            <v>0</v>
          </cell>
          <cell r="G34">
            <v>0</v>
          </cell>
          <cell r="H34">
            <v>0</v>
          </cell>
          <cell r="I34">
            <v>0</v>
          </cell>
          <cell r="J34">
            <v>-18028</v>
          </cell>
          <cell r="K34">
            <v>121</v>
          </cell>
          <cell r="L34">
            <v>0</v>
          </cell>
          <cell r="M34">
            <v>0</v>
          </cell>
          <cell r="N34">
            <v>0</v>
          </cell>
          <cell r="O34">
            <v>0</v>
          </cell>
          <cell r="P34">
            <v>0</v>
          </cell>
          <cell r="Q34">
            <v>-333</v>
          </cell>
          <cell r="R34">
            <v>0</v>
          </cell>
          <cell r="S34">
            <v>120</v>
          </cell>
          <cell r="T34">
            <v>-407</v>
          </cell>
          <cell r="U34">
            <v>0</v>
          </cell>
          <cell r="V34">
            <v>496</v>
          </cell>
          <cell r="W34">
            <v>0</v>
          </cell>
          <cell r="X34">
            <v>0</v>
          </cell>
          <cell r="Y34">
            <v>0</v>
          </cell>
          <cell r="Z34">
            <v>0</v>
          </cell>
          <cell r="AA34">
            <v>0</v>
          </cell>
          <cell r="AB34">
            <v>27024</v>
          </cell>
          <cell r="AC34">
            <v>0</v>
          </cell>
          <cell r="AD34">
            <v>0</v>
          </cell>
          <cell r="AE34">
            <v>0</v>
          </cell>
          <cell r="AF34">
            <v>0</v>
          </cell>
          <cell r="AG34">
            <v>0</v>
          </cell>
          <cell r="AH34">
            <v>0</v>
          </cell>
          <cell r="AI34">
            <v>407</v>
          </cell>
          <cell r="AJ34">
            <v>0</v>
          </cell>
          <cell r="AK34">
            <v>-199</v>
          </cell>
          <cell r="AL34">
            <v>0</v>
          </cell>
          <cell r="AM34">
            <v>0</v>
          </cell>
          <cell r="AN34">
            <v>0</v>
          </cell>
          <cell r="AO34">
            <v>0</v>
          </cell>
          <cell r="AP34">
            <v>0</v>
          </cell>
          <cell r="AQ34">
            <v>27232</v>
          </cell>
          <cell r="AR34">
            <v>0</v>
          </cell>
          <cell r="AS34">
            <v>0</v>
          </cell>
          <cell r="AT34">
            <v>0</v>
          </cell>
          <cell r="AU34">
            <v>0</v>
          </cell>
          <cell r="AV34">
            <v>0</v>
          </cell>
          <cell r="AW34">
            <v>0</v>
          </cell>
          <cell r="AX34">
            <v>0</v>
          </cell>
          <cell r="AY34">
            <v>27232</v>
          </cell>
          <cell r="AZ34">
            <v>0</v>
          </cell>
          <cell r="BA34">
            <v>3715.9434604602138</v>
          </cell>
          <cell r="BB34">
            <v>30947.943460460214</v>
          </cell>
        </row>
        <row r="35">
          <cell r="A35">
            <v>17</v>
          </cell>
          <cell r="B35" t="str">
            <v xml:space="preserve">Total Distribution  </v>
          </cell>
          <cell r="E35">
            <v>93040</v>
          </cell>
          <cell r="F35">
            <v>0</v>
          </cell>
          <cell r="G35">
            <v>0</v>
          </cell>
          <cell r="H35">
            <v>0</v>
          </cell>
          <cell r="I35">
            <v>0</v>
          </cell>
          <cell r="J35">
            <v>-18028</v>
          </cell>
          <cell r="K35">
            <v>121</v>
          </cell>
          <cell r="L35">
            <v>0</v>
          </cell>
          <cell r="M35">
            <v>0</v>
          </cell>
          <cell r="N35">
            <v>0</v>
          </cell>
          <cell r="O35">
            <v>0</v>
          </cell>
          <cell r="P35">
            <v>0</v>
          </cell>
          <cell r="Q35">
            <v>-333</v>
          </cell>
          <cell r="R35">
            <v>-79</v>
          </cell>
          <cell r="S35">
            <v>120</v>
          </cell>
          <cell r="T35">
            <v>-407</v>
          </cell>
          <cell r="U35">
            <v>-1</v>
          </cell>
          <cell r="V35">
            <v>496</v>
          </cell>
          <cell r="W35">
            <v>0</v>
          </cell>
          <cell r="X35">
            <v>0</v>
          </cell>
          <cell r="Y35">
            <v>213</v>
          </cell>
          <cell r="Z35">
            <v>0</v>
          </cell>
          <cell r="AA35">
            <v>0</v>
          </cell>
          <cell r="AB35">
            <v>75142</v>
          </cell>
          <cell r="AC35">
            <v>0</v>
          </cell>
          <cell r="AD35">
            <v>0</v>
          </cell>
          <cell r="AE35">
            <v>509</v>
          </cell>
          <cell r="AF35">
            <v>0</v>
          </cell>
          <cell r="AG35">
            <v>332</v>
          </cell>
          <cell r="AH35">
            <v>0</v>
          </cell>
          <cell r="AI35">
            <v>407</v>
          </cell>
          <cell r="AJ35">
            <v>0</v>
          </cell>
          <cell r="AK35">
            <v>-199</v>
          </cell>
          <cell r="AL35">
            <v>430</v>
          </cell>
          <cell r="AM35">
            <v>0</v>
          </cell>
          <cell r="AN35">
            <v>0</v>
          </cell>
          <cell r="AO35">
            <v>0</v>
          </cell>
          <cell r="AP35">
            <v>0</v>
          </cell>
          <cell r="AQ35">
            <v>76621</v>
          </cell>
          <cell r="AR35">
            <v>0</v>
          </cell>
          <cell r="AS35">
            <v>0</v>
          </cell>
          <cell r="AT35">
            <v>0</v>
          </cell>
          <cell r="AU35">
            <v>0</v>
          </cell>
          <cell r="AV35">
            <v>0</v>
          </cell>
          <cell r="AW35">
            <v>0</v>
          </cell>
          <cell r="AX35">
            <v>0</v>
          </cell>
          <cell r="AY35">
            <v>76621</v>
          </cell>
          <cell r="AZ35">
            <v>0</v>
          </cell>
          <cell r="BA35">
            <v>5618.0214348628797</v>
          </cell>
          <cell r="BB35">
            <v>82239.02143486288</v>
          </cell>
        </row>
        <row r="37">
          <cell r="A37">
            <v>18</v>
          </cell>
          <cell r="B37" t="str">
            <v xml:space="preserve">Customer Accounting  </v>
          </cell>
          <cell r="E37">
            <v>10543</v>
          </cell>
          <cell r="F37">
            <v>0</v>
          </cell>
          <cell r="G37">
            <v>3</v>
          </cell>
          <cell r="H37">
            <v>0</v>
          </cell>
          <cell r="I37">
            <v>0</v>
          </cell>
          <cell r="J37">
            <v>0</v>
          </cell>
          <cell r="K37">
            <v>0</v>
          </cell>
          <cell r="L37">
            <v>1054</v>
          </cell>
          <cell r="M37">
            <v>0</v>
          </cell>
          <cell r="N37">
            <v>0</v>
          </cell>
          <cell r="O37">
            <v>0</v>
          </cell>
          <cell r="P37">
            <v>0</v>
          </cell>
          <cell r="Q37">
            <v>0</v>
          </cell>
          <cell r="R37">
            <v>0</v>
          </cell>
          <cell r="S37">
            <v>18</v>
          </cell>
          <cell r="T37">
            <v>-62</v>
          </cell>
          <cell r="U37">
            <v>0</v>
          </cell>
          <cell r="V37">
            <v>75</v>
          </cell>
          <cell r="W37">
            <v>0</v>
          </cell>
          <cell r="X37">
            <v>0</v>
          </cell>
          <cell r="Y37">
            <v>95</v>
          </cell>
          <cell r="Z37">
            <v>0</v>
          </cell>
          <cell r="AB37">
            <v>11726</v>
          </cell>
          <cell r="AC37">
            <v>0</v>
          </cell>
          <cell r="AD37">
            <v>0</v>
          </cell>
          <cell r="AE37">
            <v>230</v>
          </cell>
          <cell r="AF37">
            <v>0</v>
          </cell>
          <cell r="AG37">
            <v>147</v>
          </cell>
          <cell r="AH37">
            <v>0</v>
          </cell>
          <cell r="AI37">
            <v>0</v>
          </cell>
          <cell r="AJ37">
            <v>0</v>
          </cell>
          <cell r="AK37">
            <v>-30</v>
          </cell>
          <cell r="AL37">
            <v>0</v>
          </cell>
          <cell r="AM37">
            <v>0</v>
          </cell>
          <cell r="AN37">
            <v>0</v>
          </cell>
          <cell r="AO37">
            <v>0</v>
          </cell>
          <cell r="AP37">
            <v>0</v>
          </cell>
          <cell r="AQ37">
            <v>12073</v>
          </cell>
          <cell r="AR37">
            <v>0</v>
          </cell>
          <cell r="AS37">
            <v>0</v>
          </cell>
          <cell r="AT37">
            <v>0</v>
          </cell>
          <cell r="AU37">
            <v>0</v>
          </cell>
          <cell r="AV37">
            <v>0</v>
          </cell>
          <cell r="AW37">
            <v>0</v>
          </cell>
          <cell r="AX37">
            <v>0</v>
          </cell>
          <cell r="AY37">
            <v>12073</v>
          </cell>
          <cell r="AZ37">
            <v>0</v>
          </cell>
          <cell r="BA37">
            <v>1170.6691778782078</v>
          </cell>
          <cell r="BB37">
            <v>13243.669177878208</v>
          </cell>
        </row>
        <row r="38">
          <cell r="A38">
            <v>19</v>
          </cell>
          <cell r="B38" t="str">
            <v xml:space="preserve">Customer Service &amp; Information  </v>
          </cell>
          <cell r="E38">
            <v>19433</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-17914</v>
          </cell>
          <cell r="U38">
            <v>0</v>
          </cell>
          <cell r="V38">
            <v>0</v>
          </cell>
          <cell r="W38">
            <v>0</v>
          </cell>
          <cell r="X38">
            <v>0</v>
          </cell>
          <cell r="Y38">
            <v>9</v>
          </cell>
          <cell r="Z38">
            <v>0</v>
          </cell>
          <cell r="AA38">
            <v>0</v>
          </cell>
          <cell r="AB38">
            <v>1528</v>
          </cell>
          <cell r="AC38">
            <v>0</v>
          </cell>
          <cell r="AD38">
            <v>0</v>
          </cell>
          <cell r="AE38">
            <v>21</v>
          </cell>
          <cell r="AF38">
            <v>0</v>
          </cell>
          <cell r="AG38">
            <v>14</v>
          </cell>
          <cell r="AH38">
            <v>0</v>
          </cell>
          <cell r="AI38">
            <v>0</v>
          </cell>
          <cell r="AJ38">
            <v>0</v>
          </cell>
          <cell r="AK38">
            <v>0</v>
          </cell>
          <cell r="AL38">
            <v>0</v>
          </cell>
          <cell r="AM38">
            <v>0</v>
          </cell>
          <cell r="AN38">
            <v>0</v>
          </cell>
          <cell r="AO38">
            <v>0</v>
          </cell>
          <cell r="AP38">
            <v>0</v>
          </cell>
          <cell r="AQ38">
            <v>1563</v>
          </cell>
          <cell r="AR38">
            <v>0</v>
          </cell>
          <cell r="AS38">
            <v>0</v>
          </cell>
          <cell r="AT38">
            <v>0</v>
          </cell>
          <cell r="AU38">
            <v>0</v>
          </cell>
          <cell r="AV38">
            <v>0</v>
          </cell>
          <cell r="AW38">
            <v>0</v>
          </cell>
          <cell r="AX38">
            <v>0</v>
          </cell>
          <cell r="AY38">
            <v>1563</v>
          </cell>
          <cell r="AZ38">
            <v>0</v>
          </cell>
          <cell r="BA38">
            <v>-9.5653945317126272</v>
          </cell>
          <cell r="BB38">
            <v>1553.4346054682874</v>
          </cell>
        </row>
        <row r="39">
          <cell r="A39">
            <v>20</v>
          </cell>
          <cell r="B39" t="str">
            <v xml:space="preserve">Sales Expenses  </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0.20499999999999999</v>
          </cell>
          <cell r="AF39">
            <v>0</v>
          </cell>
          <cell r="AG39">
            <v>0</v>
          </cell>
          <cell r="AH39">
            <v>0</v>
          </cell>
          <cell r="AI39">
            <v>0</v>
          </cell>
          <cell r="AJ39">
            <v>0</v>
          </cell>
          <cell r="AK39">
            <v>0</v>
          </cell>
          <cell r="AL39">
            <v>0</v>
          </cell>
          <cell r="AM39">
            <v>0</v>
          </cell>
          <cell r="AN39">
            <v>0</v>
          </cell>
          <cell r="AO39">
            <v>0</v>
          </cell>
          <cell r="AP39">
            <v>0</v>
          </cell>
          <cell r="AQ39">
            <v>0.20499999999999999</v>
          </cell>
          <cell r="AR39">
            <v>0</v>
          </cell>
          <cell r="AS39">
            <v>0</v>
          </cell>
          <cell r="AT39">
            <v>0</v>
          </cell>
          <cell r="AU39">
            <v>0</v>
          </cell>
          <cell r="AV39">
            <v>0</v>
          </cell>
          <cell r="AW39">
            <v>0</v>
          </cell>
          <cell r="AX39">
            <v>0</v>
          </cell>
          <cell r="AY39">
            <v>0.20499999999999999</v>
          </cell>
          <cell r="AZ39">
            <v>0</v>
          </cell>
          <cell r="BA39">
            <v>0</v>
          </cell>
          <cell r="BB39">
            <v>0.20499999999999999</v>
          </cell>
        </row>
        <row r="41">
          <cell r="B41" t="str">
            <v xml:space="preserve">Administrative &amp; General  </v>
          </cell>
        </row>
        <row r="42">
          <cell r="A42">
            <v>21</v>
          </cell>
          <cell r="C42" t="str">
            <v xml:space="preserve">Operating Expenses  </v>
          </cell>
          <cell r="E42">
            <v>49315</v>
          </cell>
          <cell r="F42">
            <v>0</v>
          </cell>
          <cell r="G42">
            <v>0</v>
          </cell>
          <cell r="H42">
            <v>0</v>
          </cell>
          <cell r="I42">
            <v>0</v>
          </cell>
          <cell r="J42">
            <v>0</v>
          </cell>
          <cell r="K42">
            <v>0</v>
          </cell>
          <cell r="L42">
            <v>0</v>
          </cell>
          <cell r="M42">
            <v>18</v>
          </cell>
          <cell r="N42">
            <v>181</v>
          </cell>
          <cell r="O42">
            <v>0</v>
          </cell>
          <cell r="P42">
            <v>-33</v>
          </cell>
          <cell r="Q42">
            <v>0</v>
          </cell>
          <cell r="R42">
            <v>0</v>
          </cell>
          <cell r="S42">
            <v>6</v>
          </cell>
          <cell r="T42">
            <v>-21</v>
          </cell>
          <cell r="U42">
            <v>-816</v>
          </cell>
          <cell r="V42">
            <v>26</v>
          </cell>
          <cell r="W42">
            <v>0</v>
          </cell>
          <cell r="X42">
            <v>0</v>
          </cell>
          <cell r="Y42">
            <v>255</v>
          </cell>
          <cell r="Z42">
            <v>0</v>
          </cell>
          <cell r="AA42">
            <v>0</v>
          </cell>
          <cell r="AB42">
            <v>48931</v>
          </cell>
          <cell r="AC42">
            <v>0</v>
          </cell>
          <cell r="AD42">
            <v>0</v>
          </cell>
          <cell r="AE42">
            <v>619</v>
          </cell>
          <cell r="AF42">
            <v>85</v>
          </cell>
          <cell r="AG42">
            <v>396</v>
          </cell>
          <cell r="AH42">
            <v>0</v>
          </cell>
          <cell r="AI42">
            <v>0</v>
          </cell>
          <cell r="AJ42">
            <v>0</v>
          </cell>
          <cell r="AK42">
            <v>-10</v>
          </cell>
          <cell r="AL42">
            <v>0</v>
          </cell>
          <cell r="AM42">
            <v>0</v>
          </cell>
          <cell r="AN42">
            <v>0</v>
          </cell>
          <cell r="AO42">
            <v>0</v>
          </cell>
          <cell r="AP42">
            <v>0</v>
          </cell>
          <cell r="AQ42">
            <v>50021</v>
          </cell>
          <cell r="AR42">
            <v>0</v>
          </cell>
          <cell r="AS42">
            <v>0</v>
          </cell>
          <cell r="AT42">
            <v>0</v>
          </cell>
          <cell r="AU42">
            <v>0</v>
          </cell>
          <cell r="AV42">
            <v>0</v>
          </cell>
          <cell r="AW42">
            <v>0</v>
          </cell>
          <cell r="AX42">
            <v>0</v>
          </cell>
          <cell r="AY42">
            <v>50021</v>
          </cell>
          <cell r="AZ42">
            <v>0</v>
          </cell>
          <cell r="BA42">
            <v>2679.3339049772767</v>
          </cell>
          <cell r="BB42">
            <v>52700.333904977277</v>
          </cell>
        </row>
        <row r="43">
          <cell r="A43">
            <v>22</v>
          </cell>
          <cell r="C43" t="str">
            <v>Depreciation/Amortization</v>
          </cell>
          <cell r="E43">
            <v>20268</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20268</v>
          </cell>
          <cell r="AC43">
            <v>0</v>
          </cell>
          <cell r="AD43">
            <v>0</v>
          </cell>
          <cell r="AE43">
            <v>0</v>
          </cell>
          <cell r="AF43">
            <v>0</v>
          </cell>
          <cell r="AG43">
            <v>0</v>
          </cell>
          <cell r="AH43">
            <v>0</v>
          </cell>
          <cell r="AI43">
            <v>0</v>
          </cell>
          <cell r="AJ43">
            <v>0</v>
          </cell>
          <cell r="AK43">
            <v>0</v>
          </cell>
          <cell r="AL43">
            <v>1255</v>
          </cell>
          <cell r="AM43">
            <v>429</v>
          </cell>
          <cell r="AN43">
            <v>0</v>
          </cell>
          <cell r="AO43">
            <v>0</v>
          </cell>
          <cell r="AQ43">
            <v>21952</v>
          </cell>
          <cell r="AR43">
            <v>0</v>
          </cell>
          <cell r="AS43">
            <v>0</v>
          </cell>
          <cell r="AT43">
            <v>0</v>
          </cell>
          <cell r="AU43">
            <v>0</v>
          </cell>
          <cell r="AV43">
            <v>0</v>
          </cell>
          <cell r="AW43">
            <v>0</v>
          </cell>
          <cell r="AX43">
            <v>0</v>
          </cell>
          <cell r="AY43">
            <v>21952</v>
          </cell>
          <cell r="AZ43">
            <v>0</v>
          </cell>
          <cell r="BA43">
            <v>1814.4595038215775</v>
          </cell>
          <cell r="BB43">
            <v>23766.459503821578</v>
          </cell>
        </row>
        <row r="44">
          <cell r="A44">
            <v>23</v>
          </cell>
          <cell r="C44" t="str">
            <v xml:space="preserve">Taxes  </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row>
        <row r="45">
          <cell r="A45">
            <v>24</v>
          </cell>
          <cell r="B45" t="str">
            <v xml:space="preserve">Total Admin. &amp; General  </v>
          </cell>
          <cell r="E45">
            <v>69583</v>
          </cell>
          <cell r="F45">
            <v>0</v>
          </cell>
          <cell r="G45">
            <v>0</v>
          </cell>
          <cell r="H45">
            <v>0</v>
          </cell>
          <cell r="I45">
            <v>0</v>
          </cell>
          <cell r="J45">
            <v>0</v>
          </cell>
          <cell r="K45">
            <v>0</v>
          </cell>
          <cell r="L45">
            <v>0</v>
          </cell>
          <cell r="M45">
            <v>18</v>
          </cell>
          <cell r="N45">
            <v>181</v>
          </cell>
          <cell r="O45">
            <v>0</v>
          </cell>
          <cell r="P45">
            <v>-33</v>
          </cell>
          <cell r="Q45">
            <v>0</v>
          </cell>
          <cell r="R45">
            <v>0</v>
          </cell>
          <cell r="S45">
            <v>6</v>
          </cell>
          <cell r="T45">
            <v>-21</v>
          </cell>
          <cell r="U45">
            <v>-816</v>
          </cell>
          <cell r="V45">
            <v>26</v>
          </cell>
          <cell r="W45">
            <v>0</v>
          </cell>
          <cell r="X45">
            <v>0</v>
          </cell>
          <cell r="Y45">
            <v>255</v>
          </cell>
          <cell r="Z45">
            <v>0</v>
          </cell>
          <cell r="AA45">
            <v>0</v>
          </cell>
          <cell r="AB45">
            <v>69199</v>
          </cell>
          <cell r="AC45">
            <v>0</v>
          </cell>
          <cell r="AD45">
            <v>0</v>
          </cell>
          <cell r="AE45">
            <v>619</v>
          </cell>
          <cell r="AF45">
            <v>85</v>
          </cell>
          <cell r="AG45">
            <v>396</v>
          </cell>
          <cell r="AH45">
            <v>0</v>
          </cell>
          <cell r="AI45">
            <v>0</v>
          </cell>
          <cell r="AJ45">
            <v>0</v>
          </cell>
          <cell r="AK45">
            <v>-10</v>
          </cell>
          <cell r="AL45">
            <v>1255</v>
          </cell>
          <cell r="AM45">
            <v>429</v>
          </cell>
          <cell r="AN45">
            <v>0</v>
          </cell>
          <cell r="AO45">
            <v>0</v>
          </cell>
          <cell r="AP45">
            <v>0</v>
          </cell>
          <cell r="AQ45">
            <v>71973</v>
          </cell>
          <cell r="AR45">
            <v>0</v>
          </cell>
          <cell r="AS45">
            <v>0</v>
          </cell>
          <cell r="AT45">
            <v>0</v>
          </cell>
          <cell r="AU45">
            <v>0</v>
          </cell>
          <cell r="AV45">
            <v>0</v>
          </cell>
          <cell r="AW45">
            <v>0</v>
          </cell>
          <cell r="AX45">
            <v>0</v>
          </cell>
          <cell r="AY45">
            <v>71973</v>
          </cell>
          <cell r="AZ45">
            <v>0</v>
          </cell>
          <cell r="BA45">
            <v>4493.7934087988542</v>
          </cell>
          <cell r="BB45">
            <v>76466.793408798854</v>
          </cell>
        </row>
        <row r="46">
          <cell r="A46">
            <v>25</v>
          </cell>
          <cell r="B46" t="str">
            <v xml:space="preserve">Total Electric Expenses  </v>
          </cell>
          <cell r="E46">
            <v>533464</v>
          </cell>
          <cell r="F46">
            <v>0</v>
          </cell>
          <cell r="G46">
            <v>-5082</v>
          </cell>
          <cell r="H46">
            <v>0</v>
          </cell>
          <cell r="I46">
            <v>0</v>
          </cell>
          <cell r="J46">
            <v>-18028</v>
          </cell>
          <cell r="K46">
            <v>-333</v>
          </cell>
          <cell r="L46">
            <v>1054</v>
          </cell>
          <cell r="M46">
            <v>18</v>
          </cell>
          <cell r="N46">
            <v>181</v>
          </cell>
          <cell r="O46">
            <v>0</v>
          </cell>
          <cell r="P46">
            <v>-33</v>
          </cell>
          <cell r="Q46">
            <v>-333</v>
          </cell>
          <cell r="R46">
            <v>-79</v>
          </cell>
          <cell r="S46">
            <v>144</v>
          </cell>
          <cell r="T46">
            <v>-10581</v>
          </cell>
          <cell r="U46">
            <v>-818</v>
          </cell>
          <cell r="V46">
            <v>5154</v>
          </cell>
          <cell r="W46">
            <v>-9</v>
          </cell>
          <cell r="X46">
            <v>0</v>
          </cell>
          <cell r="Y46">
            <v>863</v>
          </cell>
          <cell r="Z46">
            <v>0</v>
          </cell>
          <cell r="AA46">
            <v>0</v>
          </cell>
          <cell r="AB46">
            <v>505581</v>
          </cell>
          <cell r="AC46">
            <v>-107896</v>
          </cell>
          <cell r="AD46">
            <v>155</v>
          </cell>
          <cell r="AE46">
            <v>2075.2049999999999</v>
          </cell>
          <cell r="AF46">
            <v>54</v>
          </cell>
          <cell r="AG46">
            <v>1340</v>
          </cell>
          <cell r="AH46">
            <v>-1705</v>
          </cell>
          <cell r="AI46">
            <v>1044</v>
          </cell>
          <cell r="AJ46">
            <v>0</v>
          </cell>
          <cell r="AK46">
            <v>-239</v>
          </cell>
          <cell r="AL46">
            <v>2231</v>
          </cell>
          <cell r="AM46">
            <v>876</v>
          </cell>
          <cell r="AN46">
            <v>0</v>
          </cell>
          <cell r="AO46">
            <v>822</v>
          </cell>
          <cell r="AP46">
            <v>0</v>
          </cell>
          <cell r="AQ46">
            <v>404338.20500000002</v>
          </cell>
          <cell r="AR46">
            <v>0</v>
          </cell>
          <cell r="AS46">
            <v>0</v>
          </cell>
          <cell r="AT46">
            <v>0</v>
          </cell>
          <cell r="AU46">
            <v>0</v>
          </cell>
          <cell r="AV46">
            <v>0</v>
          </cell>
          <cell r="AW46">
            <v>0</v>
          </cell>
          <cell r="AX46">
            <v>0</v>
          </cell>
          <cell r="AY46">
            <v>404338.20500000002</v>
          </cell>
          <cell r="AZ46">
            <v>0</v>
          </cell>
          <cell r="BA46">
            <v>27769.58580897361</v>
          </cell>
          <cell r="BB46">
            <v>432107.7908089736</v>
          </cell>
        </row>
        <row r="48">
          <cell r="A48">
            <v>26</v>
          </cell>
          <cell r="B48" t="str">
            <v xml:space="preserve">OPERATING INCOME BEFORE FIT  </v>
          </cell>
          <cell r="E48">
            <v>140653</v>
          </cell>
          <cell r="F48">
            <v>0</v>
          </cell>
          <cell r="G48">
            <v>5082</v>
          </cell>
          <cell r="H48">
            <v>0</v>
          </cell>
          <cell r="I48">
            <v>0</v>
          </cell>
          <cell r="J48">
            <v>-96</v>
          </cell>
          <cell r="K48">
            <v>333</v>
          </cell>
          <cell r="L48">
            <v>-1054</v>
          </cell>
          <cell r="M48">
            <v>-18</v>
          </cell>
          <cell r="N48">
            <v>-181</v>
          </cell>
          <cell r="O48">
            <v>0</v>
          </cell>
          <cell r="P48">
            <v>33</v>
          </cell>
          <cell r="Q48">
            <v>333</v>
          </cell>
          <cell r="R48">
            <v>79</v>
          </cell>
          <cell r="S48">
            <v>2964</v>
          </cell>
          <cell r="T48">
            <v>0</v>
          </cell>
          <cell r="U48">
            <v>818</v>
          </cell>
          <cell r="V48">
            <v>7732</v>
          </cell>
          <cell r="W48">
            <v>9</v>
          </cell>
          <cell r="X48">
            <v>0</v>
          </cell>
          <cell r="Y48">
            <v>-863</v>
          </cell>
          <cell r="Z48">
            <v>0</v>
          </cell>
          <cell r="AA48">
            <v>0</v>
          </cell>
          <cell r="AB48">
            <v>155825</v>
          </cell>
          <cell r="AC48">
            <v>-4982</v>
          </cell>
          <cell r="AD48">
            <v>-392</v>
          </cell>
          <cell r="AE48">
            <v>-2075.2049999999999</v>
          </cell>
          <cell r="AF48">
            <v>-54</v>
          </cell>
          <cell r="AG48">
            <v>-1340</v>
          </cell>
          <cell r="AH48">
            <v>1705</v>
          </cell>
          <cell r="AI48">
            <v>-1044</v>
          </cell>
          <cell r="AJ48">
            <v>0</v>
          </cell>
          <cell r="AK48">
            <v>-3058</v>
          </cell>
          <cell r="AL48">
            <v>-2231</v>
          </cell>
          <cell r="AM48">
            <v>-876</v>
          </cell>
          <cell r="AN48">
            <v>0</v>
          </cell>
          <cell r="AO48">
            <v>-822</v>
          </cell>
          <cell r="AP48">
            <v>0</v>
          </cell>
          <cell r="AQ48">
            <v>140655.79500000001</v>
          </cell>
          <cell r="AR48">
            <v>0</v>
          </cell>
          <cell r="AS48">
            <v>0</v>
          </cell>
          <cell r="AT48">
            <v>0</v>
          </cell>
          <cell r="AU48">
            <v>0</v>
          </cell>
          <cell r="AV48">
            <v>0</v>
          </cell>
          <cell r="AW48">
            <v>0</v>
          </cell>
          <cell r="AX48">
            <v>0</v>
          </cell>
          <cell r="AY48">
            <v>140655.79500000001</v>
          </cell>
          <cell r="AZ48">
            <v>0</v>
          </cell>
          <cell r="BA48">
            <v>-20810.117901485624</v>
          </cell>
          <cell r="BB48">
            <v>119845.6770985144</v>
          </cell>
        </row>
        <row r="50">
          <cell r="B50" t="str">
            <v xml:space="preserve">FEDERAL INCOME TAX  </v>
          </cell>
        </row>
        <row r="51">
          <cell r="A51">
            <v>27</v>
          </cell>
          <cell r="B51" t="str">
            <v xml:space="preserve">Current Accrual </v>
          </cell>
          <cell r="E51">
            <v>-7654</v>
          </cell>
          <cell r="F51">
            <v>0</v>
          </cell>
          <cell r="G51">
            <v>1778.6999999999998</v>
          </cell>
          <cell r="H51">
            <v>0</v>
          </cell>
          <cell r="I51">
            <v>0</v>
          </cell>
          <cell r="J51">
            <v>-33.599999999999994</v>
          </cell>
          <cell r="K51">
            <v>116.55</v>
          </cell>
          <cell r="L51">
            <v>-368.9</v>
          </cell>
          <cell r="M51">
            <v>-6.3</v>
          </cell>
          <cell r="N51">
            <v>-63.349999999999994</v>
          </cell>
          <cell r="O51">
            <v>-566</v>
          </cell>
          <cell r="P51">
            <v>11.549999999999999</v>
          </cell>
          <cell r="Q51">
            <v>116.55</v>
          </cell>
          <cell r="R51">
            <v>27.65</v>
          </cell>
          <cell r="S51">
            <v>1037.3999999999999</v>
          </cell>
          <cell r="T51">
            <v>0</v>
          </cell>
          <cell r="U51">
            <v>286.29999999999995</v>
          </cell>
          <cell r="V51">
            <v>4301</v>
          </cell>
          <cell r="W51">
            <v>3.15</v>
          </cell>
          <cell r="X51">
            <v>-430</v>
          </cell>
          <cell r="Y51">
            <v>-302.04999999999995</v>
          </cell>
          <cell r="Z51">
            <v>0</v>
          </cell>
          <cell r="AA51">
            <v>0</v>
          </cell>
          <cell r="AB51">
            <v>-1745.3500000000006</v>
          </cell>
          <cell r="AC51">
            <v>-1743.6999999999998</v>
          </cell>
          <cell r="AD51">
            <v>-137.19999999999999</v>
          </cell>
          <cell r="AE51">
            <v>-726.32174999999995</v>
          </cell>
          <cell r="AF51">
            <v>-18.899999999999999</v>
          </cell>
          <cell r="AG51">
            <v>-468.99999999999994</v>
          </cell>
          <cell r="AH51">
            <v>596.75</v>
          </cell>
          <cell r="AI51">
            <v>-365.4</v>
          </cell>
          <cell r="AJ51">
            <v>0</v>
          </cell>
          <cell r="AK51">
            <v>-1070.3</v>
          </cell>
          <cell r="AL51">
            <v>-780.84999999999991</v>
          </cell>
          <cell r="AM51">
            <v>-306.59999999999997</v>
          </cell>
          <cell r="AN51">
            <v>0</v>
          </cell>
          <cell r="AO51">
            <v>-287.7</v>
          </cell>
          <cell r="AP51">
            <v>0</v>
          </cell>
          <cell r="AQ51">
            <v>-7054.5717500000001</v>
          </cell>
          <cell r="AR51">
            <v>0</v>
          </cell>
          <cell r="AS51">
            <v>0</v>
          </cell>
          <cell r="AT51">
            <v>0</v>
          </cell>
          <cell r="AU51">
            <v>0</v>
          </cell>
          <cell r="AV51">
            <v>0</v>
          </cell>
          <cell r="AW51">
            <v>0</v>
          </cell>
          <cell r="AX51">
            <v>0</v>
          </cell>
          <cell r="AY51">
            <v>-7054.5717500000001</v>
          </cell>
          <cell r="AZ51">
            <v>0</v>
          </cell>
          <cell r="BA51">
            <v>8886.3304844800441</v>
          </cell>
          <cell r="BB51">
            <v>1831.758734480044</v>
          </cell>
        </row>
        <row r="52">
          <cell r="A52">
            <v>28</v>
          </cell>
          <cell r="B52" t="str">
            <v>Debt Interest</v>
          </cell>
          <cell r="E52">
            <v>0</v>
          </cell>
          <cell r="F52">
            <v>65.13934343839999</v>
          </cell>
          <cell r="G52">
            <v>62.615640992799996</v>
          </cell>
          <cell r="H52">
            <v>-43.240760012800003</v>
          </cell>
          <cell r="I52">
            <v>0</v>
          </cell>
          <cell r="J52">
            <v>0</v>
          </cell>
          <cell r="K52">
            <v>0</v>
          </cell>
          <cell r="L52">
            <v>0</v>
          </cell>
          <cell r="M52">
            <v>0</v>
          </cell>
          <cell r="N52">
            <v>0</v>
          </cell>
          <cell r="P52">
            <v>0</v>
          </cell>
          <cell r="Q52">
            <v>0</v>
          </cell>
          <cell r="R52">
            <v>0</v>
          </cell>
          <cell r="S52">
            <v>0</v>
          </cell>
          <cell r="T52">
            <v>0</v>
          </cell>
          <cell r="U52">
            <v>0</v>
          </cell>
          <cell r="V52">
            <v>0</v>
          </cell>
          <cell r="W52">
            <v>0</v>
          </cell>
          <cell r="Y52">
            <v>0</v>
          </cell>
          <cell r="Z52">
            <v>0</v>
          </cell>
          <cell r="AA52">
            <v>0</v>
          </cell>
          <cell r="AB52">
            <v>84.514224418399976</v>
          </cell>
          <cell r="AC52">
            <v>0</v>
          </cell>
          <cell r="AD52">
            <v>0</v>
          </cell>
          <cell r="AE52">
            <v>0</v>
          </cell>
          <cell r="AF52">
            <v>0</v>
          </cell>
          <cell r="AG52">
            <v>0</v>
          </cell>
          <cell r="AH52">
            <v>0</v>
          </cell>
          <cell r="AI52">
            <v>0</v>
          </cell>
          <cell r="AJ52">
            <v>0</v>
          </cell>
          <cell r="AK52">
            <v>0</v>
          </cell>
          <cell r="AL52">
            <v>-214.70348876759996</v>
          </cell>
          <cell r="AM52">
            <v>-604.40686404839994</v>
          </cell>
          <cell r="AN52">
            <v>0</v>
          </cell>
          <cell r="AO52">
            <v>0</v>
          </cell>
          <cell r="AQ52">
            <v>-734.59612839759995</v>
          </cell>
          <cell r="AR52">
            <v>0</v>
          </cell>
          <cell r="AS52">
            <v>0</v>
          </cell>
          <cell r="AT52">
            <v>0</v>
          </cell>
          <cell r="AU52">
            <v>0</v>
          </cell>
          <cell r="AV52">
            <v>0</v>
          </cell>
          <cell r="AW52">
            <v>0</v>
          </cell>
          <cell r="AX52">
            <v>0</v>
          </cell>
          <cell r="AY52">
            <v>-734.59612839759995</v>
          </cell>
          <cell r="AZ52">
            <v>0</v>
          </cell>
          <cell r="BA52">
            <v>-834.43070044906187</v>
          </cell>
          <cell r="BB52">
            <v>-1569.0268288466618</v>
          </cell>
        </row>
        <row r="53">
          <cell r="A53">
            <v>29</v>
          </cell>
          <cell r="B53" t="str">
            <v xml:space="preserve">Deferred Income Taxes  </v>
          </cell>
          <cell r="E53">
            <v>46391</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-1603</v>
          </cell>
          <cell r="W53">
            <v>0</v>
          </cell>
          <cell r="X53">
            <v>0</v>
          </cell>
          <cell r="Y53">
            <v>0</v>
          </cell>
          <cell r="Z53">
            <v>0</v>
          </cell>
          <cell r="AA53">
            <v>0</v>
          </cell>
          <cell r="AB53">
            <v>44788</v>
          </cell>
          <cell r="AC53">
            <v>0</v>
          </cell>
          <cell r="AD53">
            <v>0</v>
          </cell>
          <cell r="AE53">
            <v>0</v>
          </cell>
          <cell r="AF53">
            <v>0</v>
          </cell>
          <cell r="AG53">
            <v>0</v>
          </cell>
          <cell r="AH53">
            <v>0</v>
          </cell>
          <cell r="AI53">
            <v>0</v>
          </cell>
          <cell r="AJ53">
            <v>0</v>
          </cell>
          <cell r="AK53">
            <v>0</v>
          </cell>
          <cell r="AL53">
            <v>0</v>
          </cell>
          <cell r="AM53">
            <v>0</v>
          </cell>
          <cell r="AN53">
            <v>0</v>
          </cell>
          <cell r="AO53">
            <v>0</v>
          </cell>
          <cell r="AQ53">
            <v>44788</v>
          </cell>
          <cell r="AR53">
            <v>0</v>
          </cell>
          <cell r="AS53">
            <v>0</v>
          </cell>
          <cell r="AT53">
            <v>0</v>
          </cell>
          <cell r="AU53">
            <v>0</v>
          </cell>
          <cell r="AV53">
            <v>0</v>
          </cell>
          <cell r="AW53">
            <v>0</v>
          </cell>
          <cell r="AX53">
            <v>0</v>
          </cell>
          <cell r="AY53">
            <v>44788</v>
          </cell>
          <cell r="AZ53">
            <v>0</v>
          </cell>
          <cell r="BA53">
            <v>-15296</v>
          </cell>
          <cell r="BB53">
            <v>29492</v>
          </cell>
        </row>
        <row r="54">
          <cell r="A54">
            <v>30</v>
          </cell>
          <cell r="B54" t="str">
            <v>Amortized ITC - Noxon</v>
          </cell>
          <cell r="E54">
            <v>-127</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-127</v>
          </cell>
          <cell r="AC54">
            <v>0</v>
          </cell>
          <cell r="AD54">
            <v>0</v>
          </cell>
          <cell r="AE54">
            <v>0</v>
          </cell>
          <cell r="AF54">
            <v>0</v>
          </cell>
          <cell r="AG54">
            <v>0</v>
          </cell>
          <cell r="AH54">
            <v>0</v>
          </cell>
          <cell r="AI54">
            <v>0</v>
          </cell>
          <cell r="AJ54">
            <v>0</v>
          </cell>
          <cell r="AK54">
            <v>0</v>
          </cell>
          <cell r="AL54">
            <v>0</v>
          </cell>
          <cell r="AM54">
            <v>0</v>
          </cell>
          <cell r="AN54">
            <v>0</v>
          </cell>
          <cell r="AO54">
            <v>0</v>
          </cell>
          <cell r="AQ54">
            <v>-127</v>
          </cell>
          <cell r="AR54">
            <v>0</v>
          </cell>
          <cell r="AS54">
            <v>0</v>
          </cell>
          <cell r="AT54">
            <v>0</v>
          </cell>
          <cell r="AU54">
            <v>0</v>
          </cell>
          <cell r="AV54">
            <v>0</v>
          </cell>
          <cell r="AW54">
            <v>0</v>
          </cell>
          <cell r="AX54">
            <v>0</v>
          </cell>
          <cell r="AY54">
            <v>-127</v>
          </cell>
          <cell r="AZ54">
            <v>0</v>
          </cell>
          <cell r="BA54">
            <v>-24</v>
          </cell>
          <cell r="BB54">
            <v>-151</v>
          </cell>
        </row>
        <row r="56">
          <cell r="A56">
            <v>31</v>
          </cell>
          <cell r="B56" t="str">
            <v xml:space="preserve">NET OPERATING INCOME  </v>
          </cell>
          <cell r="E56">
            <v>102043</v>
          </cell>
          <cell r="F56">
            <v>-65.13934343839999</v>
          </cell>
          <cell r="G56">
            <v>3240.6843590072003</v>
          </cell>
          <cell r="H56">
            <v>43.240760012800003</v>
          </cell>
          <cell r="I56">
            <v>0</v>
          </cell>
          <cell r="J56">
            <v>-62.400000000000006</v>
          </cell>
          <cell r="K56">
            <v>216.45</v>
          </cell>
          <cell r="L56">
            <v>-685.1</v>
          </cell>
          <cell r="M56">
            <v>-11.7</v>
          </cell>
          <cell r="N56">
            <v>-117.65</v>
          </cell>
          <cell r="O56">
            <v>566</v>
          </cell>
          <cell r="P56">
            <v>21.450000000000003</v>
          </cell>
          <cell r="Q56">
            <v>216.45</v>
          </cell>
          <cell r="R56">
            <v>51.35</v>
          </cell>
          <cell r="S56">
            <v>1926.6000000000001</v>
          </cell>
          <cell r="T56">
            <v>0</v>
          </cell>
          <cell r="U56">
            <v>531.70000000000005</v>
          </cell>
          <cell r="V56">
            <v>5034</v>
          </cell>
          <cell r="W56">
            <v>5.85</v>
          </cell>
          <cell r="X56">
            <v>430</v>
          </cell>
          <cell r="Y56">
            <v>-559.95000000000005</v>
          </cell>
          <cell r="Z56">
            <v>0</v>
          </cell>
          <cell r="AA56">
            <v>0</v>
          </cell>
          <cell r="AB56">
            <v>112824.8357755816</v>
          </cell>
          <cell r="AC56">
            <v>-3238.3</v>
          </cell>
          <cell r="AD56">
            <v>-254.8</v>
          </cell>
          <cell r="AE56">
            <v>-1348.8832499999999</v>
          </cell>
          <cell r="AF56">
            <v>-35.1</v>
          </cell>
          <cell r="AG56">
            <v>-871</v>
          </cell>
          <cell r="AH56">
            <v>1108.25</v>
          </cell>
          <cell r="AI56">
            <v>-678.6</v>
          </cell>
          <cell r="AJ56">
            <v>0</v>
          </cell>
          <cell r="AK56">
            <v>-1987.7</v>
          </cell>
          <cell r="AL56">
            <v>-1235.4465112324001</v>
          </cell>
          <cell r="AM56">
            <v>35.006864048399848</v>
          </cell>
          <cell r="AN56">
            <v>0</v>
          </cell>
          <cell r="AO56">
            <v>-534.29999999999995</v>
          </cell>
          <cell r="AP56">
            <v>0</v>
          </cell>
          <cell r="AQ56">
            <v>103783.96287839758</v>
          </cell>
          <cell r="AR56">
            <v>0</v>
          </cell>
          <cell r="AS56">
            <v>0</v>
          </cell>
          <cell r="AT56">
            <v>0</v>
          </cell>
          <cell r="AU56">
            <v>0</v>
          </cell>
          <cell r="AV56">
            <v>0</v>
          </cell>
          <cell r="AW56">
            <v>0</v>
          </cell>
          <cell r="AX56">
            <v>0</v>
          </cell>
          <cell r="AY56">
            <v>103783.96287839758</v>
          </cell>
          <cell r="AZ56">
            <v>0</v>
          </cell>
          <cell r="BA56">
            <v>-13542.017685516606</v>
          </cell>
          <cell r="BB56">
            <v>90241.945192880972</v>
          </cell>
        </row>
        <row r="58">
          <cell r="B58" t="str">
            <v xml:space="preserve">RATE BASE  </v>
          </cell>
        </row>
        <row r="59">
          <cell r="B59" t="str">
            <v xml:space="preserve">PLANT IN SERVICE  </v>
          </cell>
        </row>
        <row r="60">
          <cell r="A60">
            <v>32</v>
          </cell>
          <cell r="C60" t="str">
            <v xml:space="preserve">Intangible  </v>
          </cell>
          <cell r="E60">
            <v>132877</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132877</v>
          </cell>
          <cell r="AC60">
            <v>0</v>
          </cell>
          <cell r="AD60">
            <v>0</v>
          </cell>
          <cell r="AE60">
            <v>0</v>
          </cell>
          <cell r="AF60">
            <v>0</v>
          </cell>
          <cell r="AG60">
            <v>0</v>
          </cell>
          <cell r="AH60">
            <v>0</v>
          </cell>
          <cell r="AI60">
            <v>0</v>
          </cell>
          <cell r="AJ60">
            <v>0</v>
          </cell>
          <cell r="AK60">
            <v>0</v>
          </cell>
          <cell r="AL60">
            <v>12093</v>
          </cell>
          <cell r="AM60">
            <v>4278</v>
          </cell>
          <cell r="AN60">
            <v>0</v>
          </cell>
          <cell r="AO60">
            <v>0</v>
          </cell>
          <cell r="AQ60">
            <v>149248</v>
          </cell>
          <cell r="AR60">
            <v>0</v>
          </cell>
          <cell r="AS60">
            <v>0</v>
          </cell>
          <cell r="AT60">
            <v>0</v>
          </cell>
          <cell r="AU60">
            <v>0</v>
          </cell>
          <cell r="AV60">
            <v>0</v>
          </cell>
          <cell r="AW60">
            <v>0</v>
          </cell>
          <cell r="AX60">
            <v>0</v>
          </cell>
          <cell r="AY60">
            <v>149248</v>
          </cell>
          <cell r="AZ60">
            <v>0</v>
          </cell>
          <cell r="BA60">
            <v>25993.537499999977</v>
          </cell>
          <cell r="BB60">
            <v>175241.53749999998</v>
          </cell>
        </row>
        <row r="61">
          <cell r="A61">
            <v>33</v>
          </cell>
          <cell r="C61" t="str">
            <v xml:space="preserve">Production  </v>
          </cell>
          <cell r="E61">
            <v>762834</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762834</v>
          </cell>
          <cell r="AC61">
            <v>0</v>
          </cell>
          <cell r="AD61">
            <v>0</v>
          </cell>
          <cell r="AE61">
            <v>0</v>
          </cell>
          <cell r="AF61">
            <v>0</v>
          </cell>
          <cell r="AG61">
            <v>0</v>
          </cell>
          <cell r="AH61">
            <v>0</v>
          </cell>
          <cell r="AI61">
            <v>0</v>
          </cell>
          <cell r="AJ61">
            <v>0</v>
          </cell>
          <cell r="AK61">
            <v>0</v>
          </cell>
          <cell r="AL61">
            <v>16608</v>
          </cell>
          <cell r="AM61">
            <v>72751</v>
          </cell>
          <cell r="AN61">
            <v>0</v>
          </cell>
          <cell r="AO61">
            <v>0</v>
          </cell>
          <cell r="AQ61">
            <v>852193</v>
          </cell>
          <cell r="AR61">
            <v>0</v>
          </cell>
          <cell r="AS61">
            <v>0</v>
          </cell>
          <cell r="AT61">
            <v>0</v>
          </cell>
          <cell r="AU61">
            <v>0</v>
          </cell>
          <cell r="AV61">
            <v>0</v>
          </cell>
          <cell r="AW61">
            <v>0</v>
          </cell>
          <cell r="AX61">
            <v>0</v>
          </cell>
          <cell r="AY61">
            <v>852193</v>
          </cell>
          <cell r="AZ61">
            <v>0</v>
          </cell>
          <cell r="BA61">
            <v>-19719.597465578699</v>
          </cell>
          <cell r="BB61">
            <v>832473.4025344213</v>
          </cell>
        </row>
        <row r="62">
          <cell r="A62">
            <v>34</v>
          </cell>
          <cell r="C62" t="str">
            <v xml:space="preserve">Transmission  </v>
          </cell>
          <cell r="E62">
            <v>390240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390240</v>
          </cell>
          <cell r="AC62">
            <v>0</v>
          </cell>
          <cell r="AD62">
            <v>0</v>
          </cell>
          <cell r="AE62">
            <v>0</v>
          </cell>
          <cell r="AF62">
            <v>0</v>
          </cell>
          <cell r="AG62">
            <v>0</v>
          </cell>
          <cell r="AH62">
            <v>0</v>
          </cell>
          <cell r="AI62">
            <v>0</v>
          </cell>
          <cell r="AJ62">
            <v>0</v>
          </cell>
          <cell r="AK62">
            <v>0</v>
          </cell>
          <cell r="AL62">
            <v>11460</v>
          </cell>
          <cell r="AM62">
            <v>756</v>
          </cell>
          <cell r="AN62">
            <v>0</v>
          </cell>
          <cell r="AO62">
            <v>0</v>
          </cell>
          <cell r="AQ62">
            <v>402456</v>
          </cell>
          <cell r="AR62">
            <v>0</v>
          </cell>
          <cell r="AS62">
            <v>0</v>
          </cell>
          <cell r="AT62">
            <v>0</v>
          </cell>
          <cell r="AU62">
            <v>0</v>
          </cell>
          <cell r="AV62">
            <v>0</v>
          </cell>
          <cell r="AW62">
            <v>0</v>
          </cell>
          <cell r="AX62">
            <v>0</v>
          </cell>
          <cell r="AY62">
            <v>402456</v>
          </cell>
          <cell r="AZ62">
            <v>0</v>
          </cell>
          <cell r="BA62">
            <v>35403.674999999988</v>
          </cell>
          <cell r="BB62">
            <v>437859.67499999999</v>
          </cell>
        </row>
        <row r="63">
          <cell r="A63">
            <v>35</v>
          </cell>
          <cell r="C63" t="str">
            <v xml:space="preserve">Distribution  </v>
          </cell>
          <cell r="E63">
            <v>880960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880960</v>
          </cell>
          <cell r="AC63">
            <v>0</v>
          </cell>
          <cell r="AD63">
            <v>0</v>
          </cell>
          <cell r="AE63">
            <v>0</v>
          </cell>
          <cell r="AF63">
            <v>0</v>
          </cell>
          <cell r="AG63">
            <v>0</v>
          </cell>
          <cell r="AH63">
            <v>0</v>
          </cell>
          <cell r="AI63">
            <v>0</v>
          </cell>
          <cell r="AJ63">
            <v>0</v>
          </cell>
          <cell r="AK63">
            <v>0</v>
          </cell>
          <cell r="AL63">
            <v>14092</v>
          </cell>
          <cell r="AM63">
            <v>0</v>
          </cell>
          <cell r="AN63">
            <v>0</v>
          </cell>
          <cell r="AO63">
            <v>0</v>
          </cell>
          <cell r="AQ63">
            <v>895052</v>
          </cell>
          <cell r="AR63">
            <v>0</v>
          </cell>
          <cell r="AS63">
            <v>0</v>
          </cell>
          <cell r="AT63">
            <v>0</v>
          </cell>
          <cell r="AU63">
            <v>0</v>
          </cell>
          <cell r="AV63">
            <v>0</v>
          </cell>
          <cell r="AW63">
            <v>0</v>
          </cell>
          <cell r="AX63">
            <v>0</v>
          </cell>
          <cell r="AY63">
            <v>895052</v>
          </cell>
          <cell r="AZ63">
            <v>0</v>
          </cell>
          <cell r="BA63">
            <v>104967.75</v>
          </cell>
          <cell r="BB63">
            <v>1000019.75</v>
          </cell>
        </row>
        <row r="64">
          <cell r="A64">
            <v>36</v>
          </cell>
          <cell r="C64" t="str">
            <v xml:space="preserve">General  </v>
          </cell>
          <cell r="E64">
            <v>207659</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207659</v>
          </cell>
          <cell r="AC64">
            <v>0</v>
          </cell>
          <cell r="AD64">
            <v>0</v>
          </cell>
          <cell r="AE64">
            <v>0</v>
          </cell>
          <cell r="AF64">
            <v>0</v>
          </cell>
          <cell r="AG64">
            <v>0</v>
          </cell>
          <cell r="AH64">
            <v>0</v>
          </cell>
          <cell r="AI64">
            <v>0</v>
          </cell>
          <cell r="AJ64">
            <v>0</v>
          </cell>
          <cell r="AK64">
            <v>0</v>
          </cell>
          <cell r="AL64">
            <v>5066</v>
          </cell>
          <cell r="AM64">
            <v>152</v>
          </cell>
          <cell r="AN64">
            <v>0</v>
          </cell>
          <cell r="AO64">
            <v>0</v>
          </cell>
          <cell r="AQ64">
            <v>212877</v>
          </cell>
          <cell r="AR64">
            <v>0</v>
          </cell>
          <cell r="AS64">
            <v>0</v>
          </cell>
          <cell r="AT64">
            <v>0</v>
          </cell>
          <cell r="AU64">
            <v>0</v>
          </cell>
          <cell r="AV64">
            <v>0</v>
          </cell>
          <cell r="AW64">
            <v>0</v>
          </cell>
          <cell r="AX64">
            <v>0</v>
          </cell>
          <cell r="AY64">
            <v>212877</v>
          </cell>
          <cell r="AZ64">
            <v>0</v>
          </cell>
          <cell r="BA64">
            <v>38749.25</v>
          </cell>
          <cell r="BB64">
            <v>251626.25</v>
          </cell>
        </row>
        <row r="65">
          <cell r="A65">
            <v>37</v>
          </cell>
          <cell r="B65" t="str">
            <v xml:space="preserve">Total Plant in Service  </v>
          </cell>
          <cell r="E65">
            <v>2374570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2374570</v>
          </cell>
          <cell r="AC65">
            <v>0</v>
          </cell>
          <cell r="AD65">
            <v>0</v>
          </cell>
          <cell r="AE65">
            <v>0</v>
          </cell>
          <cell r="AF65">
            <v>0</v>
          </cell>
          <cell r="AG65">
            <v>0</v>
          </cell>
          <cell r="AH65">
            <v>0</v>
          </cell>
          <cell r="AI65">
            <v>0</v>
          </cell>
          <cell r="AJ65">
            <v>0</v>
          </cell>
          <cell r="AK65">
            <v>0</v>
          </cell>
          <cell r="AL65">
            <v>59319</v>
          </cell>
          <cell r="AM65">
            <v>77937</v>
          </cell>
          <cell r="AN65">
            <v>0</v>
          </cell>
          <cell r="AO65">
            <v>0</v>
          </cell>
          <cell r="AP65">
            <v>0</v>
          </cell>
          <cell r="AQ65">
            <v>2511826</v>
          </cell>
          <cell r="AR65">
            <v>0</v>
          </cell>
          <cell r="AS65">
            <v>0</v>
          </cell>
          <cell r="AT65">
            <v>0</v>
          </cell>
          <cell r="AU65">
            <v>0</v>
          </cell>
          <cell r="AV65">
            <v>0</v>
          </cell>
          <cell r="AW65">
            <v>0</v>
          </cell>
          <cell r="AX65">
            <v>0</v>
          </cell>
          <cell r="AY65">
            <v>2511826</v>
          </cell>
          <cell r="AZ65">
            <v>0</v>
          </cell>
          <cell r="BA65">
            <v>185394.61503442127</v>
          </cell>
          <cell r="BB65">
            <v>2697220.6150344214</v>
          </cell>
        </row>
        <row r="66">
          <cell r="B66" t="str">
            <v>ACCUMULATED DEPRECIATION/AMORT</v>
          </cell>
          <cell r="AC66">
            <v>0</v>
          </cell>
          <cell r="AD66">
            <v>0</v>
          </cell>
          <cell r="AE66">
            <v>0</v>
          </cell>
          <cell r="AF66">
            <v>0</v>
          </cell>
          <cell r="AG66">
            <v>0</v>
          </cell>
        </row>
        <row r="67">
          <cell r="A67">
            <v>38</v>
          </cell>
          <cell r="C67" t="str">
            <v xml:space="preserve">Intangible  </v>
          </cell>
          <cell r="E67">
            <v>-23450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-23450</v>
          </cell>
          <cell r="AC67">
            <v>0</v>
          </cell>
          <cell r="AD67">
            <v>0</v>
          </cell>
          <cell r="AE67">
            <v>0</v>
          </cell>
          <cell r="AF67">
            <v>0</v>
          </cell>
          <cell r="AG67">
            <v>0</v>
          </cell>
          <cell r="AH67">
            <v>0</v>
          </cell>
          <cell r="AI67">
            <v>0</v>
          </cell>
          <cell r="AJ67">
            <v>0</v>
          </cell>
          <cell r="AK67">
            <v>0</v>
          </cell>
          <cell r="AL67">
            <v>-1496</v>
          </cell>
          <cell r="AM67">
            <v>-888</v>
          </cell>
          <cell r="AN67">
            <v>0</v>
          </cell>
          <cell r="AO67">
            <v>0</v>
          </cell>
          <cell r="AQ67">
            <v>-25834</v>
          </cell>
          <cell r="AR67">
            <v>0</v>
          </cell>
          <cell r="AS67">
            <v>0</v>
          </cell>
          <cell r="AT67">
            <v>0</v>
          </cell>
          <cell r="AU67">
            <v>0</v>
          </cell>
          <cell r="AV67">
            <v>0</v>
          </cell>
          <cell r="AW67">
            <v>0</v>
          </cell>
          <cell r="AX67">
            <v>0</v>
          </cell>
          <cell r="AY67">
            <v>-25834</v>
          </cell>
          <cell r="AZ67">
            <v>0</v>
          </cell>
          <cell r="BA67">
            <v>-3850.7458333333343</v>
          </cell>
          <cell r="BB67">
            <v>-29684.745833333334</v>
          </cell>
        </row>
        <row r="68">
          <cell r="A68">
            <v>39</v>
          </cell>
          <cell r="C68" t="str">
            <v xml:space="preserve">Production  </v>
          </cell>
          <cell r="E68">
            <v>-334622</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-334622</v>
          </cell>
          <cell r="AC68">
            <v>0</v>
          </cell>
          <cell r="AD68">
            <v>0</v>
          </cell>
          <cell r="AE68">
            <v>0</v>
          </cell>
          <cell r="AF68">
            <v>0</v>
          </cell>
          <cell r="AG68">
            <v>0</v>
          </cell>
          <cell r="AH68">
            <v>0</v>
          </cell>
          <cell r="AI68">
            <v>0</v>
          </cell>
          <cell r="AJ68">
            <v>0</v>
          </cell>
          <cell r="AK68">
            <v>0</v>
          </cell>
          <cell r="AL68">
            <v>-8277</v>
          </cell>
          <cell r="AM68">
            <v>-1127</v>
          </cell>
          <cell r="AN68">
            <v>0</v>
          </cell>
          <cell r="AO68">
            <v>0</v>
          </cell>
          <cell r="AQ68">
            <v>-344026</v>
          </cell>
          <cell r="AR68">
            <v>0</v>
          </cell>
          <cell r="AS68">
            <v>0</v>
          </cell>
          <cell r="AT68">
            <v>0</v>
          </cell>
          <cell r="AU68">
            <v>0</v>
          </cell>
          <cell r="AV68">
            <v>0</v>
          </cell>
          <cell r="AW68">
            <v>0</v>
          </cell>
          <cell r="AX68">
            <v>0</v>
          </cell>
          <cell r="AY68">
            <v>-344026</v>
          </cell>
          <cell r="AZ68">
            <v>0</v>
          </cell>
          <cell r="BA68">
            <v>-28267.326495035843</v>
          </cell>
          <cell r="BB68">
            <v>-372293.32649503584</v>
          </cell>
        </row>
        <row r="69">
          <cell r="A69">
            <v>40</v>
          </cell>
          <cell r="C69" t="str">
            <v xml:space="preserve">Transmission  </v>
          </cell>
          <cell r="E69">
            <v>-126839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-126839</v>
          </cell>
          <cell r="AC69">
            <v>0</v>
          </cell>
          <cell r="AD69">
            <v>0</v>
          </cell>
          <cell r="AE69">
            <v>0</v>
          </cell>
          <cell r="AF69">
            <v>0</v>
          </cell>
          <cell r="AG69">
            <v>0</v>
          </cell>
          <cell r="AH69">
            <v>0</v>
          </cell>
          <cell r="AI69">
            <v>0</v>
          </cell>
          <cell r="AJ69">
            <v>0</v>
          </cell>
          <cell r="AK69">
            <v>0</v>
          </cell>
          <cell r="AL69">
            <v>-3097</v>
          </cell>
          <cell r="AM69">
            <v>-8</v>
          </cell>
          <cell r="AN69">
            <v>0</v>
          </cell>
          <cell r="AO69">
            <v>0</v>
          </cell>
          <cell r="AQ69">
            <v>-129944</v>
          </cell>
          <cell r="AR69">
            <v>0</v>
          </cell>
          <cell r="AS69">
            <v>0</v>
          </cell>
          <cell r="AT69">
            <v>0</v>
          </cell>
          <cell r="AU69">
            <v>0</v>
          </cell>
          <cell r="AV69">
            <v>0</v>
          </cell>
          <cell r="AW69">
            <v>0</v>
          </cell>
          <cell r="AX69">
            <v>0</v>
          </cell>
          <cell r="AY69">
            <v>-129944</v>
          </cell>
          <cell r="AZ69">
            <v>0</v>
          </cell>
          <cell r="BA69">
            <v>-11215.975000000006</v>
          </cell>
          <cell r="BB69">
            <v>-141159.97500000001</v>
          </cell>
        </row>
        <row r="70">
          <cell r="A70">
            <v>41</v>
          </cell>
          <cell r="C70" t="str">
            <v xml:space="preserve">Distribution  </v>
          </cell>
          <cell r="E70">
            <v>-268267</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-268267</v>
          </cell>
          <cell r="AC70">
            <v>0</v>
          </cell>
          <cell r="AD70">
            <v>0</v>
          </cell>
          <cell r="AE70">
            <v>0</v>
          </cell>
          <cell r="AF70">
            <v>0</v>
          </cell>
          <cell r="AG70">
            <v>0</v>
          </cell>
          <cell r="AH70">
            <v>0</v>
          </cell>
          <cell r="AI70">
            <v>0</v>
          </cell>
          <cell r="AJ70">
            <v>0</v>
          </cell>
          <cell r="AK70">
            <v>0</v>
          </cell>
          <cell r="AL70">
            <v>-5311</v>
          </cell>
          <cell r="AM70">
            <v>0</v>
          </cell>
          <cell r="AN70">
            <v>0</v>
          </cell>
          <cell r="AO70">
            <v>0</v>
          </cell>
          <cell r="AQ70">
            <v>-273578</v>
          </cell>
          <cell r="AR70">
            <v>0</v>
          </cell>
          <cell r="AS70">
            <v>0</v>
          </cell>
          <cell r="AT70">
            <v>0</v>
          </cell>
          <cell r="AU70">
            <v>0</v>
          </cell>
          <cell r="AV70">
            <v>0</v>
          </cell>
          <cell r="AW70">
            <v>0</v>
          </cell>
          <cell r="AX70">
            <v>0</v>
          </cell>
          <cell r="AY70">
            <v>-273578</v>
          </cell>
          <cell r="AZ70">
            <v>0</v>
          </cell>
          <cell r="BA70">
            <v>-28351.721182167414</v>
          </cell>
          <cell r="BB70">
            <v>-301929.72118216741</v>
          </cell>
        </row>
        <row r="71">
          <cell r="A71">
            <v>42</v>
          </cell>
          <cell r="C71" t="str">
            <v xml:space="preserve">General  </v>
          </cell>
          <cell r="E71">
            <v>-70794</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-70794</v>
          </cell>
          <cell r="AC71">
            <v>0</v>
          </cell>
          <cell r="AD71">
            <v>0</v>
          </cell>
          <cell r="AE71">
            <v>0</v>
          </cell>
          <cell r="AF71">
            <v>0</v>
          </cell>
          <cell r="AG71">
            <v>0</v>
          </cell>
          <cell r="AH71">
            <v>0</v>
          </cell>
          <cell r="AI71">
            <v>0</v>
          </cell>
          <cell r="AJ71">
            <v>0</v>
          </cell>
          <cell r="AK71">
            <v>0</v>
          </cell>
          <cell r="AL71">
            <v>-2251</v>
          </cell>
          <cell r="AM71">
            <v>-5</v>
          </cell>
          <cell r="AN71">
            <v>0</v>
          </cell>
          <cell r="AO71">
            <v>0</v>
          </cell>
          <cell r="AQ71">
            <v>-73050</v>
          </cell>
          <cell r="AR71">
            <v>0</v>
          </cell>
          <cell r="AS71">
            <v>0</v>
          </cell>
          <cell r="AT71">
            <v>0</v>
          </cell>
          <cell r="AU71">
            <v>0</v>
          </cell>
          <cell r="AV71">
            <v>0</v>
          </cell>
          <cell r="AW71">
            <v>0</v>
          </cell>
          <cell r="AX71">
            <v>0</v>
          </cell>
          <cell r="AY71">
            <v>-73050</v>
          </cell>
          <cell r="BA71">
            <v>-10292.454166666663</v>
          </cell>
          <cell r="BB71">
            <v>-83342.454166666663</v>
          </cell>
        </row>
        <row r="72">
          <cell r="A72">
            <v>43</v>
          </cell>
          <cell r="B72" t="str">
            <v>Total Accumulated Depreciation</v>
          </cell>
          <cell r="E72">
            <v>-823972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-823972</v>
          </cell>
          <cell r="AC72">
            <v>0</v>
          </cell>
          <cell r="AD72">
            <v>0</v>
          </cell>
          <cell r="AE72">
            <v>0</v>
          </cell>
          <cell r="AF72">
            <v>0</v>
          </cell>
          <cell r="AG72">
            <v>0</v>
          </cell>
          <cell r="AH72">
            <v>0</v>
          </cell>
          <cell r="AI72">
            <v>0</v>
          </cell>
          <cell r="AJ72">
            <v>0</v>
          </cell>
          <cell r="AK72">
            <v>0</v>
          </cell>
          <cell r="AL72">
            <v>-20432</v>
          </cell>
          <cell r="AM72">
            <v>-2028</v>
          </cell>
          <cell r="AN72">
            <v>0</v>
          </cell>
          <cell r="AO72">
            <v>0</v>
          </cell>
          <cell r="AP72">
            <v>0</v>
          </cell>
          <cell r="AQ72">
            <v>-846432</v>
          </cell>
          <cell r="AR72">
            <v>0</v>
          </cell>
          <cell r="AS72">
            <v>0</v>
          </cell>
          <cell r="AT72">
            <v>0</v>
          </cell>
          <cell r="AU72">
            <v>0</v>
          </cell>
          <cell r="AV72">
            <v>0</v>
          </cell>
          <cell r="AW72">
            <v>0</v>
          </cell>
          <cell r="AX72">
            <v>0</v>
          </cell>
          <cell r="AY72">
            <v>-846432</v>
          </cell>
          <cell r="AZ72">
            <v>0</v>
          </cell>
          <cell r="BA72">
            <v>-81978.222677203259</v>
          </cell>
          <cell r="BB72">
            <v>-928410.22267720324</v>
          </cell>
        </row>
        <row r="73">
          <cell r="A73">
            <v>44</v>
          </cell>
          <cell r="B73" t="str">
            <v xml:space="preserve">NET PLANT </v>
          </cell>
          <cell r="E73">
            <v>1550598</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1550598</v>
          </cell>
          <cell r="AC73">
            <v>0</v>
          </cell>
          <cell r="AD73">
            <v>0</v>
          </cell>
          <cell r="AE73">
            <v>0</v>
          </cell>
          <cell r="AF73">
            <v>0</v>
          </cell>
          <cell r="AG73">
            <v>0</v>
          </cell>
          <cell r="AH73">
            <v>0</v>
          </cell>
          <cell r="AI73">
            <v>0</v>
          </cell>
          <cell r="AJ73">
            <v>0</v>
          </cell>
          <cell r="AK73">
            <v>0</v>
          </cell>
          <cell r="AL73">
            <v>38887</v>
          </cell>
          <cell r="AM73">
            <v>75909</v>
          </cell>
          <cell r="AN73">
            <v>0</v>
          </cell>
          <cell r="AO73">
            <v>0</v>
          </cell>
          <cell r="AP73">
            <v>0</v>
          </cell>
          <cell r="AQ73">
            <v>1665394</v>
          </cell>
          <cell r="AR73">
            <v>0</v>
          </cell>
          <cell r="AS73">
            <v>0</v>
          </cell>
          <cell r="AT73">
            <v>0</v>
          </cell>
          <cell r="AU73">
            <v>0</v>
          </cell>
          <cell r="AV73">
            <v>0</v>
          </cell>
          <cell r="AW73">
            <v>0</v>
          </cell>
          <cell r="AX73">
            <v>0</v>
          </cell>
          <cell r="AY73">
            <v>1665394</v>
          </cell>
          <cell r="AZ73">
            <v>0</v>
          </cell>
          <cell r="BA73">
            <v>103416.39235721801</v>
          </cell>
          <cell r="BB73">
            <v>1768810.3923572181</v>
          </cell>
        </row>
        <row r="74">
          <cell r="AQ74">
            <v>0</v>
          </cell>
        </row>
        <row r="75">
          <cell r="A75">
            <v>45</v>
          </cell>
          <cell r="B75" t="str">
            <v xml:space="preserve">DEFERRED TAXES  </v>
          </cell>
          <cell r="E75">
            <v>-294027</v>
          </cell>
          <cell r="F75">
            <v>-6556</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-300583</v>
          </cell>
          <cell r="AC75">
            <v>0</v>
          </cell>
          <cell r="AD75">
            <v>0</v>
          </cell>
          <cell r="AE75">
            <v>0</v>
          </cell>
          <cell r="AF75">
            <v>0</v>
          </cell>
          <cell r="AG75">
            <v>0</v>
          </cell>
          <cell r="AH75">
            <v>0</v>
          </cell>
          <cell r="AI75">
            <v>0</v>
          </cell>
          <cell r="AJ75">
            <v>0</v>
          </cell>
          <cell r="AK75">
            <v>0</v>
          </cell>
          <cell r="AL75">
            <v>-17278</v>
          </cell>
          <cell r="AM75">
            <v>-15078</v>
          </cell>
          <cell r="AN75">
            <v>0</v>
          </cell>
          <cell r="AO75">
            <v>0</v>
          </cell>
          <cell r="AQ75">
            <v>-332939</v>
          </cell>
          <cell r="AR75">
            <v>0</v>
          </cell>
          <cell r="AS75">
            <v>0</v>
          </cell>
          <cell r="AT75">
            <v>0</v>
          </cell>
          <cell r="AU75">
            <v>0</v>
          </cell>
          <cell r="AV75">
            <v>0</v>
          </cell>
          <cell r="AW75">
            <v>0</v>
          </cell>
          <cell r="AX75">
            <v>0</v>
          </cell>
          <cell r="AY75">
            <v>-332939</v>
          </cell>
          <cell r="AZ75">
            <v>0</v>
          </cell>
          <cell r="BA75">
            <v>-33005.894133207854</v>
          </cell>
          <cell r="BB75">
            <v>-365944.89413320785</v>
          </cell>
        </row>
        <row r="76">
          <cell r="A76">
            <v>46</v>
          </cell>
          <cell r="C76" t="str">
            <v>Net Plant After DFIT</v>
          </cell>
          <cell r="E76">
            <v>1256571</v>
          </cell>
          <cell r="F76">
            <v>-6556</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1250015</v>
          </cell>
          <cell r="AC76">
            <v>0</v>
          </cell>
          <cell r="AD76">
            <v>0</v>
          </cell>
          <cell r="AE76">
            <v>0</v>
          </cell>
          <cell r="AF76">
            <v>0</v>
          </cell>
          <cell r="AG76">
            <v>0</v>
          </cell>
          <cell r="AH76">
            <v>0</v>
          </cell>
          <cell r="AI76">
            <v>0</v>
          </cell>
          <cell r="AJ76">
            <v>0</v>
          </cell>
          <cell r="AK76">
            <v>0</v>
          </cell>
          <cell r="AL76">
            <v>21609</v>
          </cell>
          <cell r="AM76">
            <v>60831</v>
          </cell>
          <cell r="AN76">
            <v>0</v>
          </cell>
          <cell r="AO76">
            <v>0</v>
          </cell>
          <cell r="AP76">
            <v>0</v>
          </cell>
          <cell r="AQ76">
            <v>1332455</v>
          </cell>
          <cell r="AR76">
            <v>0</v>
          </cell>
          <cell r="AS76">
            <v>0</v>
          </cell>
          <cell r="AT76">
            <v>0</v>
          </cell>
          <cell r="AU76">
            <v>0</v>
          </cell>
          <cell r="AV76">
            <v>0</v>
          </cell>
          <cell r="AW76">
            <v>0</v>
          </cell>
          <cell r="AX76">
            <v>0</v>
          </cell>
          <cell r="AY76">
            <v>1332455</v>
          </cell>
          <cell r="AZ76">
            <v>0</v>
          </cell>
          <cell r="BA76">
            <v>70410.498224010153</v>
          </cell>
          <cell r="BB76">
            <v>1402865.4982240102</v>
          </cell>
        </row>
        <row r="77">
          <cell r="A77">
            <v>47</v>
          </cell>
          <cell r="B77" t="str">
            <v>DEFERRED DEBITS AND CREDITS &amp; OTHER</v>
          </cell>
          <cell r="E77">
            <v>8204</v>
          </cell>
          <cell r="F77">
            <v>0</v>
          </cell>
          <cell r="G77">
            <v>-6302</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1902</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1902</v>
          </cell>
          <cell r="AR77">
            <v>0</v>
          </cell>
          <cell r="AS77">
            <v>0</v>
          </cell>
          <cell r="AT77">
            <v>0</v>
          </cell>
          <cell r="AU77">
            <v>0</v>
          </cell>
          <cell r="AV77">
            <v>0</v>
          </cell>
          <cell r="AW77">
            <v>0</v>
          </cell>
          <cell r="AX77">
            <v>0</v>
          </cell>
          <cell r="AY77">
            <v>1902</v>
          </cell>
          <cell r="AZ77">
            <v>0</v>
          </cell>
          <cell r="BA77">
            <v>336</v>
          </cell>
          <cell r="BB77">
            <v>2238</v>
          </cell>
        </row>
        <row r="78">
          <cell r="A78">
            <v>48</v>
          </cell>
          <cell r="B78" t="str">
            <v xml:space="preserve">WORKING CAPITAL </v>
          </cell>
          <cell r="E78">
            <v>44420</v>
          </cell>
          <cell r="F78">
            <v>0</v>
          </cell>
          <cell r="G78">
            <v>0</v>
          </cell>
          <cell r="H78">
            <v>4352</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48772</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48772</v>
          </cell>
          <cell r="AR78">
            <v>0</v>
          </cell>
          <cell r="AS78">
            <v>0</v>
          </cell>
          <cell r="AT78">
            <v>0</v>
          </cell>
          <cell r="AU78">
            <v>0</v>
          </cell>
          <cell r="AV78">
            <v>0</v>
          </cell>
          <cell r="AW78">
            <v>0</v>
          </cell>
          <cell r="AX78">
            <v>0</v>
          </cell>
          <cell r="AY78">
            <v>48772</v>
          </cell>
          <cell r="AZ78">
            <v>0</v>
          </cell>
          <cell r="BA78">
            <v>-562</v>
          </cell>
          <cell r="BB78">
            <v>48210</v>
          </cell>
        </row>
        <row r="79">
          <cell r="AQ79">
            <v>0</v>
          </cell>
        </row>
        <row r="80">
          <cell r="A80">
            <v>49</v>
          </cell>
          <cell r="B80" t="str">
            <v xml:space="preserve">TOTAL RATE BASE  </v>
          </cell>
          <cell r="E80">
            <v>1309195</v>
          </cell>
          <cell r="F80">
            <v>-6556</v>
          </cell>
          <cell r="G80">
            <v>-6302</v>
          </cell>
          <cell r="H80">
            <v>4352</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1300689</v>
          </cell>
          <cell r="AC80">
            <v>0</v>
          </cell>
          <cell r="AD80">
            <v>0</v>
          </cell>
          <cell r="AE80">
            <v>0</v>
          </cell>
          <cell r="AF80">
            <v>0</v>
          </cell>
          <cell r="AG80">
            <v>0</v>
          </cell>
          <cell r="AH80">
            <v>0</v>
          </cell>
          <cell r="AI80">
            <v>0</v>
          </cell>
          <cell r="AJ80">
            <v>0</v>
          </cell>
          <cell r="AK80">
            <v>0</v>
          </cell>
          <cell r="AL80">
            <v>21609</v>
          </cell>
          <cell r="AM80">
            <v>60831</v>
          </cell>
          <cell r="AN80">
            <v>0</v>
          </cell>
          <cell r="AO80">
            <v>0</v>
          </cell>
          <cell r="AP80">
            <v>0</v>
          </cell>
          <cell r="AQ80">
            <v>1383129</v>
          </cell>
          <cell r="AR80">
            <v>0</v>
          </cell>
          <cell r="AS80">
            <v>0</v>
          </cell>
          <cell r="AT80">
            <v>0</v>
          </cell>
          <cell r="AU80">
            <v>0</v>
          </cell>
          <cell r="AV80">
            <v>0</v>
          </cell>
          <cell r="AW80">
            <v>0</v>
          </cell>
          <cell r="AX80">
            <v>0</v>
          </cell>
          <cell r="AY80">
            <v>1383129</v>
          </cell>
          <cell r="AZ80">
            <v>0</v>
          </cell>
          <cell r="BA80">
            <v>70184.498224010153</v>
          </cell>
          <cell r="BB80">
            <v>1453313.4982240102</v>
          </cell>
        </row>
        <row r="81">
          <cell r="A81">
            <v>50</v>
          </cell>
          <cell r="B81" t="str">
            <v xml:space="preserve">RATE OF RETURN  </v>
          </cell>
          <cell r="E81">
            <v>7.7899999999999997E-2</v>
          </cell>
          <cell r="AB81" t="str">
            <v>(1)</v>
          </cell>
          <cell r="AQ81">
            <v>0</v>
          </cell>
          <cell r="BB81">
            <v>6.2100000000000002E-2</v>
          </cell>
        </row>
        <row r="82">
          <cell r="A82">
            <v>51</v>
          </cell>
          <cell r="B82" t="str">
            <v xml:space="preserve">REVENUE REQUIREMENT </v>
          </cell>
          <cell r="E82">
            <v>-10440.620845862963</v>
          </cell>
          <cell r="F82">
            <v>-666.99898132751707</v>
          </cell>
          <cell r="G82">
            <v>-5970.2295326187686</v>
          </cell>
          <cell r="H82">
            <v>442.76686496908991</v>
          </cell>
          <cell r="I82">
            <v>0</v>
          </cell>
          <cell r="J82">
            <v>100.66724313720431</v>
          </cell>
          <cell r="K82">
            <v>-349.18949963217739</v>
          </cell>
          <cell r="L82">
            <v>1105.2424402772222</v>
          </cell>
          <cell r="M82">
            <v>18.875108088225804</v>
          </cell>
          <cell r="N82">
            <v>189.7996979982706</v>
          </cell>
          <cell r="O82">
            <v>-913.10351948169284</v>
          </cell>
          <cell r="P82">
            <v>-34.604364828413978</v>
          </cell>
          <cell r="Q82">
            <v>-349.18949963217739</v>
          </cell>
          <cell r="R82">
            <v>-82.840752164991031</v>
          </cell>
          <cell r="S82">
            <v>-3108.1011318611827</v>
          </cell>
          <cell r="T82">
            <v>0</v>
          </cell>
          <cell r="U82">
            <v>-857.7688008982617</v>
          </cell>
          <cell r="V82">
            <v>-8121.1362492417693</v>
          </cell>
          <cell r="W82">
            <v>-9.4375540441129022</v>
          </cell>
          <cell r="X82">
            <v>-693.70055366983729</v>
          </cell>
          <cell r="Y82">
            <v>903.34331401726843</v>
          </cell>
          <cell r="Z82">
            <v>0</v>
          </cell>
          <cell r="AA82">
            <v>0</v>
          </cell>
          <cell r="AB82">
            <v>-28836.226616776592</v>
          </cell>
          <cell r="AC82">
            <v>5224.2104719744984</v>
          </cell>
          <cell r="AD82">
            <v>411.05790947691753</v>
          </cell>
          <cell r="AE82">
            <v>2176.0954822348126</v>
          </cell>
          <cell r="AF82">
            <v>56.625324264677417</v>
          </cell>
          <cell r="AG82">
            <v>1405.1469354568098</v>
          </cell>
          <cell r="AH82">
            <v>-1787.8921828013888</v>
          </cell>
          <cell r="AI82">
            <v>1094.7562691170967</v>
          </cell>
          <cell r="AJ82">
            <v>0</v>
          </cell>
          <cell r="AK82">
            <v>3206.671140766362</v>
          </cell>
          <cell r="AL82">
            <v>4537.9365654924304</v>
          </cell>
          <cell r="AM82">
            <v>7107.4560483454434</v>
          </cell>
          <cell r="AN82">
            <v>0</v>
          </cell>
          <cell r="AO82">
            <v>861.96326936231173</v>
          </cell>
          <cell r="AP82">
            <v>0</v>
          </cell>
          <cell r="AQ82">
            <v>-4542.1993830866222</v>
          </cell>
          <cell r="AR82">
            <v>0</v>
          </cell>
          <cell r="AS82">
            <v>0</v>
          </cell>
          <cell r="AT82">
            <v>0</v>
          </cell>
          <cell r="AU82">
            <v>0</v>
          </cell>
          <cell r="AV82">
            <v>0</v>
          </cell>
          <cell r="AW82">
            <v>0</v>
          </cell>
          <cell r="AX82">
            <v>0</v>
          </cell>
          <cell r="AY82">
            <v>-4542.1993830865995</v>
          </cell>
          <cell r="AZ82">
            <v>0</v>
          </cell>
          <cell r="BA82">
            <v>30112.227933658589</v>
          </cell>
          <cell r="BB82">
            <v>25570.028550572013</v>
          </cell>
        </row>
        <row r="85">
          <cell r="E85">
            <v>7.2999999999999995E-2</v>
          </cell>
          <cell r="AO85">
            <v>5120</v>
          </cell>
          <cell r="AQ85">
            <v>5120</v>
          </cell>
          <cell r="AS85">
            <v>5120</v>
          </cell>
        </row>
        <row r="87">
          <cell r="D87" t="str">
            <v>Revenue Conversion Factor</v>
          </cell>
          <cell r="E87">
            <v>0.61986399999999997</v>
          </cell>
        </row>
        <row r="89">
          <cell r="D89" t="str">
            <v>NOI Requirement</v>
          </cell>
          <cell r="E89">
            <v>-6471.7649999999994</v>
          </cell>
          <cell r="F89">
            <v>-413.44865656159999</v>
          </cell>
          <cell r="G89">
            <v>-3700.7303590072001</v>
          </cell>
          <cell r="H89">
            <v>274.45523998719995</v>
          </cell>
          <cell r="I89">
            <v>0</v>
          </cell>
          <cell r="J89">
            <v>62.400000000000006</v>
          </cell>
          <cell r="K89">
            <v>-216.45</v>
          </cell>
          <cell r="L89">
            <v>685.1</v>
          </cell>
          <cell r="M89">
            <v>11.7</v>
          </cell>
          <cell r="N89">
            <v>117.65</v>
          </cell>
          <cell r="O89">
            <v>-566</v>
          </cell>
          <cell r="P89">
            <v>-21.450000000000003</v>
          </cell>
          <cell r="Q89">
            <v>-216.45</v>
          </cell>
          <cell r="R89">
            <v>-51.35</v>
          </cell>
          <cell r="S89">
            <v>-1926.6000000000001</v>
          </cell>
          <cell r="T89">
            <v>0</v>
          </cell>
          <cell r="U89">
            <v>-531.70000000000005</v>
          </cell>
          <cell r="V89">
            <v>-5034</v>
          </cell>
          <cell r="W89">
            <v>-5.85</v>
          </cell>
          <cell r="X89">
            <v>-430</v>
          </cell>
          <cell r="Y89">
            <v>559.95000000000005</v>
          </cell>
          <cell r="Z89">
            <v>0</v>
          </cell>
          <cell r="AA89">
            <v>0</v>
          </cell>
          <cell r="AB89">
            <v>-17874.538775581605</v>
          </cell>
          <cell r="AC89">
            <v>3238.3</v>
          </cell>
          <cell r="AD89">
            <v>254.8</v>
          </cell>
          <cell r="AE89">
            <v>1348.8832499999999</v>
          </cell>
          <cell r="AF89">
            <v>35.1</v>
          </cell>
          <cell r="AG89">
            <v>871</v>
          </cell>
          <cell r="AH89">
            <v>-1108.25</v>
          </cell>
          <cell r="AI89">
            <v>678.6</v>
          </cell>
          <cell r="AJ89">
            <v>0</v>
          </cell>
          <cell r="AK89">
            <v>1987.7</v>
          </cell>
          <cell r="AL89">
            <v>2812.9035112324</v>
          </cell>
          <cell r="AM89">
            <v>4405.6561359515999</v>
          </cell>
          <cell r="AN89">
            <v>0</v>
          </cell>
          <cell r="AO89">
            <v>534.29999999999995</v>
          </cell>
          <cell r="AP89">
            <v>0</v>
          </cell>
          <cell r="AQ89">
            <v>-2815.5458783976055</v>
          </cell>
          <cell r="AR89">
            <v>0</v>
          </cell>
          <cell r="AS89">
            <v>0</v>
          </cell>
          <cell r="AT89">
            <v>0</v>
          </cell>
          <cell r="AU89">
            <v>0</v>
          </cell>
          <cell r="AV89">
            <v>0</v>
          </cell>
          <cell r="AW89">
            <v>0</v>
          </cell>
          <cell r="AX89">
            <v>0</v>
          </cell>
          <cell r="AY89">
            <v>-2815.5458783975919</v>
          </cell>
          <cell r="AZ89">
            <v>0</v>
          </cell>
          <cell r="BA89">
            <v>18665.486055869347</v>
          </cell>
          <cell r="BB89">
            <v>15849.94017747177</v>
          </cell>
        </row>
        <row r="90">
          <cell r="D90" t="str">
            <v>Revenue Requirement</v>
          </cell>
          <cell r="E90">
            <v>-10440.620845862963</v>
          </cell>
          <cell r="F90">
            <v>-666.99898132751707</v>
          </cell>
          <cell r="G90">
            <v>-5970.2295326187686</v>
          </cell>
          <cell r="H90">
            <v>442.76686496908991</v>
          </cell>
          <cell r="I90">
            <v>0</v>
          </cell>
          <cell r="J90">
            <v>100.66724313720431</v>
          </cell>
          <cell r="K90">
            <v>-349.18949963217739</v>
          </cell>
          <cell r="L90">
            <v>1105.2424402772222</v>
          </cell>
          <cell r="M90">
            <v>18.875108088225804</v>
          </cell>
          <cell r="N90">
            <v>189.7996979982706</v>
          </cell>
          <cell r="O90">
            <v>-913.10351948169284</v>
          </cell>
          <cell r="P90">
            <v>-34.604364828413978</v>
          </cell>
          <cell r="Q90">
            <v>-349.18949963217739</v>
          </cell>
          <cell r="R90">
            <v>-82.840752164991031</v>
          </cell>
          <cell r="S90">
            <v>-3108.1011318611827</v>
          </cell>
          <cell r="T90">
            <v>0</v>
          </cell>
          <cell r="U90">
            <v>-857.7688008982617</v>
          </cell>
          <cell r="V90">
            <v>-8121.1362492417693</v>
          </cell>
          <cell r="W90">
            <v>-9.4375540441129022</v>
          </cell>
          <cell r="X90">
            <v>-693.70055366983729</v>
          </cell>
          <cell r="Y90">
            <v>903.34331401726843</v>
          </cell>
          <cell r="Z90">
            <v>0</v>
          </cell>
          <cell r="AA90">
            <v>0</v>
          </cell>
          <cell r="AB90">
            <v>-28836.226616776592</v>
          </cell>
          <cell r="AC90">
            <v>5224.2104719744984</v>
          </cell>
          <cell r="AD90">
            <v>411.05790947691753</v>
          </cell>
          <cell r="AE90">
            <v>2176.0954822348126</v>
          </cell>
          <cell r="AF90">
            <v>56.625324264677417</v>
          </cell>
          <cell r="AG90">
            <v>1405.1469354568098</v>
          </cell>
          <cell r="AH90">
            <v>-1787.8921828013888</v>
          </cell>
          <cell r="AI90">
            <v>1094.7562691170967</v>
          </cell>
          <cell r="AJ90">
            <v>0</v>
          </cell>
          <cell r="AK90">
            <v>3206.671140766362</v>
          </cell>
          <cell r="AL90">
            <v>4537.9365654924304</v>
          </cell>
          <cell r="AM90">
            <v>7107.4560483454434</v>
          </cell>
          <cell r="AN90">
            <v>0</v>
          </cell>
          <cell r="AO90">
            <v>861.96326936231173</v>
          </cell>
          <cell r="AP90">
            <v>0</v>
          </cell>
          <cell r="AQ90">
            <v>-4542.1993830866222</v>
          </cell>
          <cell r="AR90">
            <v>0</v>
          </cell>
          <cell r="AS90">
            <v>0</v>
          </cell>
          <cell r="AT90">
            <v>0</v>
          </cell>
          <cell r="AU90">
            <v>0</v>
          </cell>
          <cell r="AV90">
            <v>0</v>
          </cell>
          <cell r="AW90">
            <v>0</v>
          </cell>
          <cell r="AX90">
            <v>0</v>
          </cell>
          <cell r="AY90">
            <v>-4542.1993830865995</v>
          </cell>
          <cell r="AZ90">
            <v>0</v>
          </cell>
          <cell r="BA90">
            <v>30112.227933658589</v>
          </cell>
          <cell r="BB90">
            <v>25570.028550572013</v>
          </cell>
        </row>
        <row r="92">
          <cell r="D92" t="str">
            <v>Current authorizerd</v>
          </cell>
          <cell r="E92">
            <v>7.6399999999999996E-2</v>
          </cell>
        </row>
        <row r="93">
          <cell r="D93" t="str">
            <v>NOI Requirement</v>
          </cell>
          <cell r="E93">
            <v>-2020.5020000000077</v>
          </cell>
          <cell r="F93">
            <v>-435.73905656160002</v>
          </cell>
          <cell r="G93">
            <v>-3722.1571590072003</v>
          </cell>
          <cell r="H93">
            <v>289.25203998719996</v>
          </cell>
          <cell r="I93">
            <v>0</v>
          </cell>
          <cell r="J93">
            <v>62.400000000000006</v>
          </cell>
          <cell r="K93">
            <v>-216.45</v>
          </cell>
          <cell r="L93">
            <v>685.1</v>
          </cell>
          <cell r="M93">
            <v>11.7</v>
          </cell>
          <cell r="N93">
            <v>117.65</v>
          </cell>
          <cell r="O93">
            <v>-566</v>
          </cell>
          <cell r="P93">
            <v>-21.450000000000003</v>
          </cell>
          <cell r="Q93">
            <v>-216.45</v>
          </cell>
          <cell r="R93">
            <v>-51.35</v>
          </cell>
          <cell r="S93">
            <v>-1926.6000000000001</v>
          </cell>
          <cell r="T93">
            <v>0</v>
          </cell>
          <cell r="U93">
            <v>-531.70000000000005</v>
          </cell>
          <cell r="V93">
            <v>-5034</v>
          </cell>
          <cell r="W93">
            <v>-5.85</v>
          </cell>
          <cell r="X93">
            <v>-430</v>
          </cell>
          <cell r="Y93">
            <v>559.95000000000005</v>
          </cell>
          <cell r="Z93">
            <v>0</v>
          </cell>
          <cell r="AA93">
            <v>0</v>
          </cell>
          <cell r="AB93">
            <v>-13452.196175581601</v>
          </cell>
          <cell r="AC93">
            <v>3238.3</v>
          </cell>
          <cell r="AD93">
            <v>254.8</v>
          </cell>
          <cell r="AE93">
            <v>1348.8832499999999</v>
          </cell>
          <cell r="AF93">
            <v>35.1</v>
          </cell>
          <cell r="AG93">
            <v>871</v>
          </cell>
          <cell r="AH93">
            <v>-1108.25</v>
          </cell>
          <cell r="AI93">
            <v>678.6</v>
          </cell>
          <cell r="AJ93">
            <v>0</v>
          </cell>
          <cell r="AK93">
            <v>1987.7</v>
          </cell>
          <cell r="AL93">
            <v>2886.3741112324001</v>
          </cell>
          <cell r="AM93">
            <v>4612.4815359516006</v>
          </cell>
          <cell r="AN93">
            <v>0</v>
          </cell>
          <cell r="AO93">
            <v>534.29999999999995</v>
          </cell>
          <cell r="AP93">
            <v>0</v>
          </cell>
          <cell r="AQ93">
            <v>1887.0927216023977</v>
          </cell>
          <cell r="AR93">
            <v>0</v>
          </cell>
          <cell r="AS93">
            <v>0</v>
          </cell>
          <cell r="AT93">
            <v>0</v>
          </cell>
          <cell r="AU93">
            <v>0</v>
          </cell>
          <cell r="AV93">
            <v>0</v>
          </cell>
          <cell r="AW93">
            <v>0</v>
          </cell>
          <cell r="AX93">
            <v>0</v>
          </cell>
          <cell r="AY93">
            <v>1887.0927216024138</v>
          </cell>
          <cell r="AZ93">
            <v>0</v>
          </cell>
          <cell r="BA93">
            <v>18904.113349830983</v>
          </cell>
          <cell r="BB93">
            <v>20791.206071433407</v>
          </cell>
        </row>
        <row r="94">
          <cell r="D94" t="str">
            <v>Revenue Requirement</v>
          </cell>
          <cell r="E94">
            <v>-3259.5892002116721</v>
          </cell>
          <cell r="F94">
            <v>-702.95912742408018</v>
          </cell>
          <cell r="G94">
            <v>-6004.7964698824262</v>
          </cell>
          <cell r="H94">
            <v>466.63790764941984</v>
          </cell>
          <cell r="I94">
            <v>0</v>
          </cell>
          <cell r="J94">
            <v>100.66724313720431</v>
          </cell>
          <cell r="K94">
            <v>-349.18949963217739</v>
          </cell>
          <cell r="L94">
            <v>1105.2424402772222</v>
          </cell>
          <cell r="M94">
            <v>18.875108088225804</v>
          </cell>
          <cell r="N94">
            <v>189.7996979982706</v>
          </cell>
          <cell r="O94">
            <v>-913.10351948169284</v>
          </cell>
          <cell r="P94">
            <v>-34.604364828413978</v>
          </cell>
          <cell r="Q94">
            <v>-349.18949963217739</v>
          </cell>
          <cell r="R94">
            <v>-82.840752164991031</v>
          </cell>
          <cell r="S94">
            <v>-3108.1011318611827</v>
          </cell>
          <cell r="T94">
            <v>0</v>
          </cell>
          <cell r="U94">
            <v>-857.7688008982617</v>
          </cell>
          <cell r="V94">
            <v>-8121.1362492417693</v>
          </cell>
          <cell r="W94">
            <v>-9.4375540441129022</v>
          </cell>
          <cell r="X94">
            <v>-693.70055366983729</v>
          </cell>
          <cell r="Y94">
            <v>903.34331401726843</v>
          </cell>
          <cell r="Z94">
            <v>0</v>
          </cell>
          <cell r="AA94">
            <v>0</v>
          </cell>
          <cell r="AB94">
            <v>-21701.851011805174</v>
          </cell>
          <cell r="AC94">
            <v>5224.2104719744984</v>
          </cell>
          <cell r="AD94">
            <v>411.05790947691753</v>
          </cell>
          <cell r="AE94">
            <v>2176.0954822348126</v>
          </cell>
          <cell r="AF94">
            <v>56.625324264677417</v>
          </cell>
          <cell r="AG94">
            <v>1405.1469354568098</v>
          </cell>
          <cell r="AH94">
            <v>-1787.8921828013888</v>
          </cell>
          <cell r="AI94">
            <v>1094.7562691170967</v>
          </cell>
          <cell r="AJ94">
            <v>0</v>
          </cell>
          <cell r="AK94">
            <v>3206.671140766362</v>
          </cell>
          <cell r="AL94">
            <v>4656.4635326981406</v>
          </cell>
          <cell r="AM94">
            <v>7441.1185936779693</v>
          </cell>
          <cell r="AN94">
            <v>0</v>
          </cell>
          <cell r="AO94">
            <v>861.96326936231173</v>
          </cell>
          <cell r="AP94">
            <v>0</v>
          </cell>
          <cell r="AQ94">
            <v>3044.3657344230378</v>
          </cell>
          <cell r="AR94">
            <v>0</v>
          </cell>
          <cell r="AS94">
            <v>0</v>
          </cell>
          <cell r="AT94">
            <v>0</v>
          </cell>
          <cell r="AU94">
            <v>0</v>
          </cell>
          <cell r="AV94">
            <v>0</v>
          </cell>
          <cell r="AW94">
            <v>0</v>
          </cell>
          <cell r="AX94">
            <v>0</v>
          </cell>
          <cell r="AY94">
            <v>3044.3657344230573</v>
          </cell>
          <cell r="AZ94">
            <v>0</v>
          </cell>
          <cell r="BA94">
            <v>30497.195110267709</v>
          </cell>
          <cell r="BB94">
            <v>33541.560844690786</v>
          </cell>
        </row>
        <row r="95">
          <cell r="E95">
            <v>-7181.0316456512901</v>
          </cell>
          <cell r="F95">
            <v>35.960146096563108</v>
          </cell>
          <cell r="G95">
            <v>34.566937263657564</v>
          </cell>
          <cell r="H95">
            <v>-23.871042680329936</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-7134.3756049714175</v>
          </cell>
          <cell r="AC95">
            <v>0</v>
          </cell>
          <cell r="AD95">
            <v>0</v>
          </cell>
          <cell r="AE95">
            <v>0</v>
          </cell>
          <cell r="AF95">
            <v>0</v>
          </cell>
          <cell r="AG95">
            <v>0</v>
          </cell>
          <cell r="AH95">
            <v>0</v>
          </cell>
          <cell r="AI95">
            <v>0</v>
          </cell>
          <cell r="AJ95">
            <v>0</v>
          </cell>
          <cell r="AK95">
            <v>0</v>
          </cell>
          <cell r="AL95">
            <v>-118.52696720571021</v>
          </cell>
          <cell r="AM95">
            <v>-333.66254533252595</v>
          </cell>
          <cell r="AN95">
            <v>0</v>
          </cell>
          <cell r="AO95">
            <v>0</v>
          </cell>
          <cell r="AP95">
            <v>0</v>
          </cell>
          <cell r="AQ95">
            <v>-7586.5651175096536</v>
          </cell>
          <cell r="AR95">
            <v>0</v>
          </cell>
          <cell r="AS95">
            <v>0</v>
          </cell>
          <cell r="AT95">
            <v>0</v>
          </cell>
          <cell r="AU95">
            <v>0</v>
          </cell>
          <cell r="AV95">
            <v>0</v>
          </cell>
          <cell r="AW95">
            <v>0</v>
          </cell>
          <cell r="AX95">
            <v>0</v>
          </cell>
          <cell r="AY95">
            <v>-7586.5651175096573</v>
          </cell>
          <cell r="AZ95">
            <v>0</v>
          </cell>
          <cell r="BA95">
            <v>-384.96717660911963</v>
          </cell>
          <cell r="BB95">
            <v>-7971.5322941187733</v>
          </cell>
        </row>
        <row r="109">
          <cell r="AZ109" t="str">
            <v>`</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2017"/>
      <sheetName val="PROPOSED RATES-2008 6-months"/>
      <sheetName val="RR SUMMARY"/>
      <sheetName val="CF "/>
      <sheetName val="ADJ DETAIL-INPUT"/>
      <sheetName val="LEAD SHEETS-DO NOT ENTER"/>
      <sheetName val="ADJ SUMMARY"/>
      <sheetName val="ROO INPUT"/>
      <sheetName val="DEBT CALC"/>
      <sheetName val="COMPARISON"/>
    </sheetNames>
    <sheetDataSet>
      <sheetData sheetId="0"/>
      <sheetData sheetId="1"/>
      <sheetData sheetId="2">
        <row r="14">
          <cell r="P14">
            <v>7.6399999999999996E-2</v>
          </cell>
        </row>
      </sheetData>
      <sheetData sheetId="3"/>
      <sheetData sheetId="4">
        <row r="82">
          <cell r="AP82">
            <v>11843.072087855824</v>
          </cell>
        </row>
      </sheetData>
      <sheetData sheetId="5"/>
      <sheetData sheetId="6"/>
      <sheetData sheetId="7"/>
      <sheetData sheetId="8">
        <row r="55">
          <cell r="F55">
            <v>166277</v>
          </cell>
          <cell r="G55">
            <v>1475472</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BOD-1"/>
      <sheetName val="MR_BOD-2"/>
      <sheetName val="MR-BOD-3"/>
      <sheetName val="MR_BOD-4"/>
      <sheetName val="MR_BOD-5"/>
      <sheetName val="Transaction Detail"/>
      <sheetName val="Macro1"/>
    </sheetNames>
    <sheetDataSet>
      <sheetData sheetId="0"/>
      <sheetData sheetId="1"/>
      <sheetData sheetId="2">
        <row r="12">
          <cell r="L12">
            <v>330473</v>
          </cell>
        </row>
      </sheetData>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BGM-1"/>
      <sheetName val="Table BGM-2"/>
      <sheetName val="Table BGM-3"/>
      <sheetName val="Table BGM-4"/>
      <sheetName val="Table BGM-5"/>
      <sheetName val="2016"/>
      <sheetName val="Table BGM-6"/>
      <sheetName val="Table BGM-7"/>
      <sheetName val="Figure BGM-1"/>
    </sheetNames>
    <sheetDataSet>
      <sheetData sheetId="0"/>
      <sheetData sheetId="1"/>
      <sheetData sheetId="2"/>
      <sheetData sheetId="3"/>
      <sheetData sheetId="4"/>
      <sheetData sheetId="5"/>
      <sheetData sheetId="6"/>
      <sheetData sheetId="7">
        <row r="3">
          <cell r="G3">
            <v>-580.24598709999998</v>
          </cell>
        </row>
        <row r="4">
          <cell r="G4">
            <v>-472.536</v>
          </cell>
        </row>
        <row r="5">
          <cell r="G5">
            <v>-428.68531549999994</v>
          </cell>
        </row>
        <row r="6">
          <cell r="G6">
            <v>-267.113</v>
          </cell>
        </row>
        <row r="7">
          <cell r="G7">
            <v>-404.45800000000003</v>
          </cell>
        </row>
      </sheetData>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sheetName val="AN Electric"/>
      <sheetName val="Washington Electric"/>
      <sheetName val="Idaho Electric"/>
      <sheetName val="AN Gas"/>
      <sheetName val="Washington Gas"/>
      <sheetName val="Idaho Gas"/>
      <sheetName val="Pro-Forma Increases"/>
      <sheetName val="Total Electric Download"/>
      <sheetName val="Gas North Download"/>
    </sheetNames>
    <sheetDataSet>
      <sheetData sheetId="0"/>
      <sheetData sheetId="1"/>
      <sheetData sheetId="2">
        <row r="131">
          <cell r="K131">
            <v>840127</v>
          </cell>
        </row>
        <row r="137">
          <cell r="L137">
            <v>285.419444</v>
          </cell>
        </row>
        <row r="138">
          <cell r="L138">
            <v>211.93628899999999</v>
          </cell>
        </row>
        <row r="139">
          <cell r="L139">
            <v>90.654234000000002</v>
          </cell>
        </row>
        <row r="140">
          <cell r="L140">
            <v>8.3332200000000007</v>
          </cell>
        </row>
        <row r="141">
          <cell r="L141">
            <v>243.78381300000001</v>
          </cell>
        </row>
      </sheetData>
      <sheetData sheetId="3"/>
      <sheetData sheetId="4"/>
      <sheetData sheetId="5">
        <row r="83">
          <cell r="K83">
            <v>250008</v>
          </cell>
        </row>
      </sheetData>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6"/>
      <sheetName val="Exh. No. BGM-6 -2"/>
      <sheetName val="Exh. No. BGM-6 -3"/>
      <sheetName val="Exh. No. BGM-6 -4"/>
      <sheetName val="Exh. No. BGM-6 -5"/>
      <sheetName val="LEAD SHEETS-DO NOT ENTER"/>
      <sheetName val="DEBT CALC"/>
      <sheetName val="ADJ SUMMARY"/>
      <sheetName val="ROO INPUT"/>
      <sheetName val="Recap Summary"/>
    </sheetNames>
    <sheetDataSet>
      <sheetData sheetId="0"/>
      <sheetData sheetId="1"/>
      <sheetData sheetId="2"/>
      <sheetData sheetId="3"/>
      <sheetData sheetId="4"/>
      <sheetData sheetId="5"/>
      <sheetData sheetId="6"/>
      <sheetData sheetId="7"/>
      <sheetData sheetId="8">
        <row r="3">
          <cell r="A3" t="str">
            <v>Traditional Revenue Requirement Calculations for Avista Corporation</v>
          </cell>
        </row>
        <row r="5">
          <cell r="A5" t="str">
            <v>Twelve Months Ended September 31, 2015</v>
          </cell>
        </row>
        <row r="6">
          <cell r="A6" t="str">
            <v xml:space="preserve">($000)   </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tabSelected="1" zoomScaleNormal="100" zoomScaleSheetLayoutView="70" workbookViewId="0"/>
  </sheetViews>
  <sheetFormatPr defaultRowHeight="12.75"/>
  <cols>
    <col min="1" max="1" width="1.42578125" style="25" customWidth="1"/>
    <col min="2" max="2" width="5.7109375" style="25" customWidth="1"/>
    <col min="3" max="3" width="1.42578125" style="25" customWidth="1"/>
    <col min="4" max="4" width="5.7109375" style="25" customWidth="1"/>
    <col min="5" max="5" width="1.42578125" style="25" customWidth="1"/>
    <col min="6" max="6" width="41.42578125" style="25" customWidth="1"/>
    <col min="7" max="7" width="1.42578125" style="97" customWidth="1"/>
    <col min="8" max="8" width="1.42578125" style="176" customWidth="1"/>
    <col min="9" max="9" width="10.42578125" style="25" customWidth="1"/>
    <col min="10" max="10" width="1.42578125" style="25" customWidth="1"/>
    <col min="11" max="11" width="10.42578125" style="25" customWidth="1"/>
    <col min="12" max="12" width="1.42578125" style="25" customWidth="1"/>
    <col min="13" max="13" width="10.42578125" style="25" customWidth="1"/>
    <col min="14" max="14" width="1.42578125" style="97" customWidth="1"/>
    <col min="15" max="15" width="1.42578125" style="27" customWidth="1"/>
    <col min="16" max="16" width="10.42578125" style="25" customWidth="1"/>
    <col min="17" max="17" width="1.42578125" style="25" customWidth="1"/>
    <col min="18" max="18" width="10.42578125" style="25" customWidth="1"/>
    <col min="19" max="19" width="1.42578125" style="25" customWidth="1"/>
    <col min="20" max="20" width="10.42578125" style="25" customWidth="1"/>
    <col min="21" max="21" width="1.42578125" style="25" customWidth="1"/>
    <col min="22" max="22" width="1.42578125" style="27" customWidth="1"/>
    <col min="23" max="23" width="10.42578125" style="97" customWidth="1"/>
    <col min="24" max="24" width="1.42578125" style="97" customWidth="1"/>
    <col min="25" max="25" width="10.42578125" style="97" customWidth="1"/>
    <col min="26" max="26" width="2.7109375" style="97" customWidth="1"/>
    <col min="27" max="27" width="10.42578125" style="97" customWidth="1"/>
    <col min="28" max="28" width="1.42578125" style="97" customWidth="1"/>
    <col min="29" max="29" width="10.42578125" style="97" customWidth="1"/>
    <col min="30" max="30" width="1.42578125" style="97" customWidth="1"/>
    <col min="31" max="31" width="20.85546875" style="97" customWidth="1"/>
    <col min="32" max="33" width="2.7109375" style="97" customWidth="1"/>
    <col min="34" max="34" width="21.140625" style="97" customWidth="1"/>
    <col min="35" max="37" width="11.85546875" style="25" customWidth="1"/>
    <col min="38" max="16384" width="9.140625" style="25"/>
  </cols>
  <sheetData>
    <row r="1" spans="1:39">
      <c r="A1" s="105" t="s">
        <v>830</v>
      </c>
      <c r="B1" s="105"/>
      <c r="C1" s="105"/>
      <c r="E1" s="105"/>
      <c r="F1" s="105"/>
      <c r="G1" s="831"/>
      <c r="I1" s="176"/>
      <c r="J1" s="813"/>
      <c r="K1" s="813"/>
      <c r="L1" s="813"/>
      <c r="M1" s="813"/>
      <c r="N1" s="831"/>
      <c r="O1" s="813"/>
      <c r="P1" s="105"/>
      <c r="Q1" s="105"/>
      <c r="R1" s="105"/>
      <c r="S1" s="105"/>
      <c r="T1" s="105"/>
      <c r="U1" s="145"/>
      <c r="W1" s="176"/>
      <c r="X1" s="799"/>
      <c r="Y1" s="176"/>
      <c r="Z1" s="176"/>
      <c r="AA1" s="176"/>
      <c r="AB1" s="176"/>
      <c r="AC1" s="176"/>
      <c r="AD1" s="176"/>
      <c r="AE1" s="176"/>
      <c r="AG1" s="803"/>
      <c r="AH1" s="814"/>
      <c r="AI1" s="176"/>
      <c r="AJ1" s="176"/>
      <c r="AK1" s="176"/>
      <c r="AL1" s="97"/>
      <c r="AM1" s="97"/>
    </row>
    <row r="2" spans="1:39">
      <c r="B2" s="105"/>
      <c r="C2" s="105"/>
      <c r="D2" s="105"/>
      <c r="E2" s="105"/>
      <c r="F2" s="105"/>
      <c r="G2" s="831"/>
      <c r="H2" s="832"/>
      <c r="I2" s="31" t="s">
        <v>824</v>
      </c>
      <c r="J2" s="834"/>
      <c r="K2" s="834"/>
      <c r="L2" s="834"/>
      <c r="M2" s="834"/>
      <c r="N2" s="831"/>
      <c r="O2" s="813"/>
      <c r="P2" s="31" t="s">
        <v>859</v>
      </c>
      <c r="Q2" s="792"/>
      <c r="R2" s="792"/>
      <c r="S2" s="792"/>
      <c r="T2" s="792"/>
      <c r="U2" s="145"/>
      <c r="W2" s="31" t="s">
        <v>849</v>
      </c>
      <c r="X2" s="835"/>
      <c r="Y2" s="833"/>
      <c r="Z2" s="833"/>
      <c r="AA2" s="833"/>
      <c r="AB2" s="833"/>
      <c r="AC2" s="833"/>
      <c r="AD2" s="546"/>
      <c r="AE2" s="546"/>
      <c r="AG2" s="803"/>
      <c r="AH2" s="804" t="s">
        <v>825</v>
      </c>
      <c r="AI2" s="782"/>
      <c r="AJ2" s="782"/>
      <c r="AK2" s="782"/>
      <c r="AL2" s="97"/>
      <c r="AM2" s="97"/>
    </row>
    <row r="3" spans="1:39">
      <c r="B3" s="105"/>
      <c r="C3" s="105"/>
      <c r="D3" s="105"/>
      <c r="E3" s="105"/>
      <c r="F3" s="105"/>
      <c r="G3" s="831"/>
      <c r="I3" s="800"/>
      <c r="J3" s="800"/>
      <c r="K3" s="800"/>
      <c r="L3" s="800"/>
      <c r="M3" s="864" t="s">
        <v>815</v>
      </c>
      <c r="N3" s="831"/>
      <c r="P3" s="800"/>
      <c r="Q3" s="800"/>
      <c r="R3" s="800"/>
      <c r="S3" s="800"/>
      <c r="T3" s="864" t="s">
        <v>815</v>
      </c>
      <c r="U3" s="145"/>
      <c r="W3" s="800" t="s">
        <v>816</v>
      </c>
      <c r="X3" s="800"/>
      <c r="Y3" s="800"/>
      <c r="Z3" s="800"/>
      <c r="AA3" s="800"/>
      <c r="AB3" s="30"/>
      <c r="AC3" s="864" t="s">
        <v>815</v>
      </c>
      <c r="AD3" s="546"/>
      <c r="AE3" s="546"/>
      <c r="AG3" s="803"/>
      <c r="AH3" s="805"/>
    </row>
    <row r="4" spans="1:39">
      <c r="B4" s="105"/>
      <c r="C4" s="105"/>
      <c r="D4" s="794" t="s">
        <v>809</v>
      </c>
      <c r="E4" s="105"/>
      <c r="F4" s="105"/>
      <c r="G4" s="831"/>
      <c r="I4" s="800" t="s">
        <v>812</v>
      </c>
      <c r="J4" s="800"/>
      <c r="K4" s="800"/>
      <c r="L4" s="800"/>
      <c r="M4" s="865" t="s">
        <v>855</v>
      </c>
      <c r="N4" s="831"/>
      <c r="P4" s="800" t="s">
        <v>812</v>
      </c>
      <c r="Q4" s="800"/>
      <c r="R4" s="800"/>
      <c r="S4" s="800"/>
      <c r="T4" s="865" t="s">
        <v>855</v>
      </c>
      <c r="U4" s="145"/>
      <c r="W4" s="800" t="s">
        <v>812</v>
      </c>
      <c r="X4" s="800"/>
      <c r="Y4" s="800" t="s">
        <v>812</v>
      </c>
      <c r="Z4" s="800"/>
      <c r="AA4" s="800"/>
      <c r="AB4" s="800"/>
      <c r="AC4" s="865" t="s">
        <v>855</v>
      </c>
      <c r="AD4" s="546"/>
      <c r="AE4" s="546"/>
      <c r="AG4" s="803"/>
      <c r="AH4" s="805" t="s">
        <v>823</v>
      </c>
      <c r="AI4" s="784">
        <f>+'Exh. No. BGM-13R -4'!E24</f>
        <v>0.61986399999999997</v>
      </c>
    </row>
    <row r="5" spans="1:39">
      <c r="B5" s="792" t="s">
        <v>7</v>
      </c>
      <c r="C5" s="105"/>
      <c r="D5" s="104" t="s">
        <v>810</v>
      </c>
      <c r="E5" s="105"/>
      <c r="F5" s="792" t="s">
        <v>77</v>
      </c>
      <c r="G5" s="831"/>
      <c r="I5" s="801" t="s">
        <v>811</v>
      </c>
      <c r="J5" s="800"/>
      <c r="K5" s="801" t="s">
        <v>21</v>
      </c>
      <c r="L5" s="800"/>
      <c r="M5" s="866" t="s">
        <v>856</v>
      </c>
      <c r="N5" s="831"/>
      <c r="P5" s="801" t="s">
        <v>811</v>
      </c>
      <c r="Q5" s="800"/>
      <c r="R5" s="801" t="s">
        <v>21</v>
      </c>
      <c r="S5" s="800"/>
      <c r="T5" s="866" t="s">
        <v>856</v>
      </c>
      <c r="U5" s="145"/>
      <c r="W5" s="801" t="s">
        <v>811</v>
      </c>
      <c r="X5" s="800"/>
      <c r="Y5" s="801" t="s">
        <v>811</v>
      </c>
      <c r="Z5" s="800"/>
      <c r="AA5" s="801" t="s">
        <v>21</v>
      </c>
      <c r="AB5" s="30"/>
      <c r="AC5" s="866" t="s">
        <v>856</v>
      </c>
      <c r="AD5" s="30"/>
      <c r="AE5" s="801" t="s">
        <v>848</v>
      </c>
      <c r="AG5" s="803"/>
      <c r="AH5" s="805" t="s">
        <v>817</v>
      </c>
      <c r="AI5" s="783">
        <v>0.35</v>
      </c>
    </row>
    <row r="6" spans="1:39">
      <c r="G6" s="176"/>
      <c r="AG6" s="803"/>
      <c r="AH6" s="805"/>
    </row>
    <row r="7" spans="1:39">
      <c r="B7" s="25">
        <v>1</v>
      </c>
      <c r="D7" s="786">
        <v>1</v>
      </c>
      <c r="E7" s="105"/>
      <c r="F7" s="105" t="s">
        <v>850</v>
      </c>
      <c r="G7" s="176"/>
      <c r="I7" s="787">
        <f>+INDEX('Exh. No. BGM-13R -3'!$57:$57,1,MATCH($D7,'Exh. No. BGM-13R -3'!$11:$11,0))</f>
        <v>102043</v>
      </c>
      <c r="J7" s="787"/>
      <c r="K7" s="787">
        <f>+INDEX('Exh. No. BGM-13R -3'!$81:$81,1,MATCH($D7,'Exh. No. BGM-13R -3'!$11:$11,0))</f>
        <v>1309195</v>
      </c>
      <c r="L7" s="787"/>
      <c r="M7" s="787">
        <f>+($R7*$AK$12-$P7)/$AI$4</f>
        <v>-11496.654911399903</v>
      </c>
      <c r="O7" s="813"/>
      <c r="P7" s="787">
        <f>+INDEX('Exh. No. BGM-13R -3'!$57:$57,1,MATCH($D7,'Exh. No. BGM-13R -3'!$11:$11,0))</f>
        <v>102043</v>
      </c>
      <c r="Q7" s="787"/>
      <c r="R7" s="787">
        <f>+INDEX('Exh. No. BGM-13R -3'!$81:$81,1,MATCH($D7,'Exh. No. BGM-13R -3'!$11:$11,0))</f>
        <v>1309195</v>
      </c>
      <c r="S7" s="787"/>
      <c r="T7" s="787">
        <f>+($R7*$AK$12-$P7)/$AI$4</f>
        <v>-11496.654911399903</v>
      </c>
      <c r="AG7" s="803"/>
      <c r="AH7" s="805"/>
    </row>
    <row r="8" spans="1:39">
      <c r="D8" s="383"/>
      <c r="G8" s="176"/>
      <c r="I8" s="289"/>
      <c r="J8" s="289"/>
      <c r="K8" s="289"/>
      <c r="L8" s="289"/>
      <c r="M8" s="289"/>
      <c r="P8" s="289"/>
      <c r="Q8" s="289"/>
      <c r="R8" s="289"/>
      <c r="S8" s="289"/>
      <c r="T8" s="289"/>
      <c r="AE8" s="25"/>
      <c r="AG8" s="803"/>
      <c r="AH8" s="805" t="s">
        <v>818</v>
      </c>
      <c r="AI8" s="25" t="s">
        <v>118</v>
      </c>
      <c r="AK8" s="25" t="s">
        <v>119</v>
      </c>
    </row>
    <row r="9" spans="1:39">
      <c r="B9" s="785" t="s">
        <v>813</v>
      </c>
      <c r="D9" s="383"/>
      <c r="G9" s="176"/>
      <c r="I9" s="289"/>
      <c r="J9" s="289"/>
      <c r="K9" s="289"/>
      <c r="L9" s="289"/>
      <c r="M9" s="289"/>
      <c r="P9" s="289"/>
      <c r="Q9" s="289"/>
      <c r="R9" s="289"/>
      <c r="S9" s="289"/>
      <c r="T9" s="289"/>
      <c r="AE9" s="25"/>
      <c r="AG9" s="803"/>
      <c r="AH9" s="806" t="s">
        <v>121</v>
      </c>
      <c r="AI9" s="31" t="s">
        <v>123</v>
      </c>
      <c r="AJ9" s="31" t="s">
        <v>124</v>
      </c>
      <c r="AK9" s="31" t="s">
        <v>124</v>
      </c>
    </row>
    <row r="10" spans="1:39">
      <c r="B10" s="25">
        <f ca="1">+MAX(OFFSET($B$7,0,0,ROW($B10)-ROW($B$7),1))+1</f>
        <v>2</v>
      </c>
      <c r="D10" s="383">
        <f ca="1">+MAX(OFFSET($D$7,0,0,ROW($D10)-ROW($D$7),1))+0.01</f>
        <v>1.01</v>
      </c>
      <c r="F10" s="25" t="str">
        <f ca="1">+INDEX('Exh. No. BGM-13R -3'!$8:$8&amp;" "&amp;'Exh. No. BGM-13R -3'!$9:$9&amp;" "&amp;'Exh. No. BGM-13R -3'!$10:$10,1,MATCH(D10,'Exh. No. BGM-13R -3'!$11:$11,0))</f>
        <v>Deferred  FIT Rate Base</v>
      </c>
      <c r="G10" s="176"/>
      <c r="I10" s="289">
        <v>-65.166640000000001</v>
      </c>
      <c r="J10" s="289"/>
      <c r="K10" s="289">
        <v>-6556</v>
      </c>
      <c r="L10" s="289"/>
      <c r="M10" s="548">
        <f>+($K10*$AK$12-$I10)/$AI$4</f>
        <v>-661.66668817676145</v>
      </c>
      <c r="P10" s="289">
        <f t="shared" ref="P10:P29" si="0">+I10+Y10</f>
        <v>-65.166640000000001</v>
      </c>
      <c r="Q10" s="289"/>
      <c r="R10" s="289">
        <f t="shared" ref="R10:R29" si="1">+K10+AA10</f>
        <v>-6556</v>
      </c>
      <c r="S10" s="289"/>
      <c r="T10" s="289">
        <f t="shared" ref="T10:T29" si="2">+($R10*$AK$12-$P10)/$AI$4</f>
        <v>-661.66668817676145</v>
      </c>
      <c r="W10" s="289"/>
      <c r="X10" s="289"/>
      <c r="Y10" s="289">
        <f t="shared" ref="Y10:Y27" si="3">+W10*(1-$AI$5)</f>
        <v>0</v>
      </c>
      <c r="Z10" s="289"/>
      <c r="AA10" s="289">
        <v>0</v>
      </c>
      <c r="AB10" s="790"/>
      <c r="AC10" s="289">
        <f t="shared" ref="AC10:AC29" si="4">+($AA10*$AK$12-$Y10)/$AI$4</f>
        <v>0</v>
      </c>
      <c r="AE10" s="25" t="s">
        <v>845</v>
      </c>
      <c r="AG10" s="803"/>
      <c r="AH10" s="805" t="s">
        <v>612</v>
      </c>
      <c r="AI10" s="25">
        <f>100%-AI11</f>
        <v>0.51500000000000001</v>
      </c>
      <c r="AJ10" s="150">
        <v>5.5100000000000003E-2</v>
      </c>
      <c r="AK10" s="157">
        <f>ROUND(AI10*AJ10,4)</f>
        <v>2.8400000000000002E-2</v>
      </c>
    </row>
    <row r="11" spans="1:39">
      <c r="B11" s="25">
        <f t="shared" ref="B11:B48" ca="1" si="5">+MAX(OFFSET($B$7,0,0,ROW($B11)-ROW($B$7),1))+1</f>
        <v>3</v>
      </c>
      <c r="D11" s="383">
        <f t="shared" ref="D11:D29" ca="1" si="6">+MAX(OFFSET($D$7,0,0,ROW($D11)-ROW($D$7),1))+0.01</f>
        <v>1.02</v>
      </c>
      <c r="F11" s="25" t="str">
        <f ca="1">+INDEX('Exh. No. BGM-13R -3'!$8:$8&amp;" "&amp;'Exh. No. BGM-13R -3'!$9:$9&amp;" "&amp;'Exh. No. BGM-13R -3'!$10:$10,1,MATCH(D11,'Exh. No. BGM-13R -3'!$11:$11,0))</f>
        <v>Deferred  Debits and  Credits</v>
      </c>
      <c r="G11" s="176"/>
      <c r="I11" s="289">
        <v>1055.3581199999999</v>
      </c>
      <c r="J11" s="289"/>
      <c r="K11" s="289">
        <v>-6302</v>
      </c>
      <c r="L11" s="289"/>
      <c r="M11" s="548">
        <f t="shared" ref="M11:M29" si="7">+($K11*$AK$12-$I11)/$AI$4</f>
        <v>-2439.653085192881</v>
      </c>
      <c r="P11" s="289">
        <f t="shared" ca="1" si="0"/>
        <v>3240.6843590072003</v>
      </c>
      <c r="Q11" s="289"/>
      <c r="R11" s="289">
        <f t="shared" ca="1" si="1"/>
        <v>-6302</v>
      </c>
      <c r="S11" s="289"/>
      <c r="T11" s="289">
        <f t="shared" ca="1" si="2"/>
        <v>-5965.14615949176</v>
      </c>
      <c r="W11" s="289">
        <f ca="1">+Y11/(1-$AI$5)</f>
        <v>3362.0403677033851</v>
      </c>
      <c r="X11" s="289"/>
      <c r="Y11" s="862">
        <f ca="1">+INDEX('[2]ADJ DETAIL-INPUT'!$56:$56,1,MATCH(D11,'[2]ADJ DETAIL-INPUT'!$10:$10,0))-I11</f>
        <v>2185.3262390072005</v>
      </c>
      <c r="Z11" s="289"/>
      <c r="AA11" s="862">
        <f ca="1">+INDEX('[2]ADJ DETAIL-INPUT'!$80:$80,1,MATCH(D11,'[2]ADJ DETAIL-INPUT'!$10:$10,0))-K11</f>
        <v>0</v>
      </c>
      <c r="AB11" s="790"/>
      <c r="AC11" s="289">
        <f t="shared" ca="1" si="4"/>
        <v>-3525.4930742988795</v>
      </c>
      <c r="AE11" s="25" t="s">
        <v>857</v>
      </c>
      <c r="AG11" s="803"/>
      <c r="AH11" s="805" t="s">
        <v>9</v>
      </c>
      <c r="AI11" s="25">
        <v>0.48499999999999999</v>
      </c>
      <c r="AJ11" s="150">
        <v>9.0999999999999998E-2</v>
      </c>
      <c r="AK11" s="301">
        <f>ROUND(AI11*AJ11,4)</f>
        <v>4.41E-2</v>
      </c>
    </row>
    <row r="12" spans="1:39">
      <c r="B12" s="25">
        <f t="shared" ca="1" si="5"/>
        <v>4</v>
      </c>
      <c r="D12" s="383">
        <f t="shared" ca="1" si="6"/>
        <v>1.03</v>
      </c>
      <c r="F12" s="25" t="str">
        <f ca="1">+INDEX('Exh. No. BGM-13R -3'!$8:$8&amp;" "&amp;'Exh. No. BGM-13R -3'!$9:$9&amp;" "&amp;'Exh. No. BGM-13R -3'!$10:$10,1,MATCH(D12,'Exh. No. BGM-13R -3'!$11:$11,0))</f>
        <v xml:space="preserve">Working Capital  </v>
      </c>
      <c r="G12" s="176"/>
      <c r="I12" s="289">
        <v>43.258879999999998</v>
      </c>
      <c r="J12" s="289"/>
      <c r="K12" s="289">
        <v>4352</v>
      </c>
      <c r="L12" s="289"/>
      <c r="M12" s="548">
        <f t="shared" si="7"/>
        <v>439.22718531806987</v>
      </c>
      <c r="P12" s="289">
        <f t="shared" si="0"/>
        <v>43.258879999999998</v>
      </c>
      <c r="Q12" s="289"/>
      <c r="R12" s="289">
        <f t="shared" si="1"/>
        <v>4352</v>
      </c>
      <c r="S12" s="289"/>
      <c r="T12" s="289">
        <f t="shared" si="2"/>
        <v>439.22718531806987</v>
      </c>
      <c r="W12" s="289">
        <v>0</v>
      </c>
      <c r="X12" s="289"/>
      <c r="Y12" s="289">
        <f t="shared" si="3"/>
        <v>0</v>
      </c>
      <c r="Z12" s="289"/>
      <c r="AA12" s="289">
        <v>0</v>
      </c>
      <c r="AB12" s="790"/>
      <c r="AC12" s="289">
        <f t="shared" si="4"/>
        <v>0</v>
      </c>
      <c r="AE12" s="25" t="s">
        <v>845</v>
      </c>
      <c r="AG12" s="803"/>
      <c r="AH12" s="805" t="s">
        <v>133</v>
      </c>
      <c r="AI12" s="789">
        <f>SUM(AI10:AI11)</f>
        <v>1</v>
      </c>
      <c r="AK12" s="157">
        <f>SUM(AK10:AK11)</f>
        <v>7.2500000000000009E-2</v>
      </c>
    </row>
    <row r="13" spans="1:39">
      <c r="B13" s="25">
        <f t="shared" ca="1" si="5"/>
        <v>5</v>
      </c>
      <c r="D13" s="383">
        <f t="shared" ca="1" si="6"/>
        <v>1.04</v>
      </c>
      <c r="F13" s="25" t="str">
        <f ca="1">+INDEX('Exh. No. BGM-13R -3'!$8:$8&amp;" "&amp;'Exh. No. BGM-13R -3'!$9:$9&amp;" "&amp;'Exh. No. BGM-13R -3'!$10:$10,1,MATCH(D13,'Exh. No. BGM-13R -3'!$11:$11,0))</f>
        <v>Plant Held For Future Use</v>
      </c>
      <c r="G13" s="176"/>
      <c r="I13" s="289">
        <v>53.984140000000004</v>
      </c>
      <c r="J13" s="289"/>
      <c r="K13" s="289">
        <v>5431</v>
      </c>
      <c r="L13" s="289"/>
      <c r="M13" s="548">
        <f t="shared" si="7"/>
        <v>548.12565336912621</v>
      </c>
      <c r="P13" s="289">
        <f t="shared" si="0"/>
        <v>0</v>
      </c>
      <c r="Q13" s="289"/>
      <c r="R13" s="289">
        <f t="shared" si="1"/>
        <v>0</v>
      </c>
      <c r="S13" s="289"/>
      <c r="T13" s="289">
        <f t="shared" si="2"/>
        <v>0</v>
      </c>
      <c r="W13" s="289">
        <f>+Y13/(1-AI7)</f>
        <v>-53.984139999999996</v>
      </c>
      <c r="X13" s="289"/>
      <c r="Y13" s="289">
        <v>-53.984139999999996</v>
      </c>
      <c r="Z13" s="289"/>
      <c r="AA13" s="289">
        <v>-5431</v>
      </c>
      <c r="AB13" s="790"/>
      <c r="AC13" s="289">
        <f t="shared" si="4"/>
        <v>-548.12565336912621</v>
      </c>
      <c r="AE13" s="25" t="s">
        <v>846</v>
      </c>
      <c r="AG13" s="803"/>
      <c r="AH13" s="176"/>
      <c r="AK13" s="150"/>
    </row>
    <row r="14" spans="1:39">
      <c r="B14" s="25">
        <f t="shared" ca="1" si="5"/>
        <v>6</v>
      </c>
      <c r="D14" s="383">
        <v>2.0099999999999998</v>
      </c>
      <c r="F14" s="25" t="str">
        <f>+INDEX('Exh. No. BGM-13R -3'!$8:$8&amp;" "&amp;'Exh. No. BGM-13R -3'!$9:$9&amp;" "&amp;'Exh. No. BGM-13R -3'!$10:$10,1,MATCH(D14,'Exh. No. BGM-13R -3'!$11:$11,0))</f>
        <v>Eliminate B &amp; O Taxes</v>
      </c>
      <c r="G14" s="176"/>
      <c r="I14" s="289">
        <v>-62.400000000000006</v>
      </c>
      <c r="J14" s="289"/>
      <c r="K14" s="289">
        <v>0</v>
      </c>
      <c r="L14" s="289"/>
      <c r="M14" s="548">
        <f t="shared" si="7"/>
        <v>100.66724313720431</v>
      </c>
      <c r="P14" s="289">
        <f t="shared" si="0"/>
        <v>-62.400000000000006</v>
      </c>
      <c r="Q14" s="289"/>
      <c r="R14" s="289">
        <f t="shared" si="1"/>
        <v>0</v>
      </c>
      <c r="S14" s="289"/>
      <c r="T14" s="289">
        <f t="shared" si="2"/>
        <v>100.66724313720431</v>
      </c>
      <c r="W14" s="289">
        <v>0</v>
      </c>
      <c r="X14" s="289"/>
      <c r="Y14" s="289">
        <f t="shared" si="3"/>
        <v>0</v>
      </c>
      <c r="Z14" s="289"/>
      <c r="AA14" s="289">
        <v>0</v>
      </c>
      <c r="AB14" s="790"/>
      <c r="AC14" s="289">
        <f t="shared" si="4"/>
        <v>0</v>
      </c>
      <c r="AE14" s="25" t="s">
        <v>845</v>
      </c>
      <c r="AG14" s="803"/>
      <c r="AH14" s="176"/>
      <c r="AJ14" s="438" t="s">
        <v>820</v>
      </c>
      <c r="AK14" s="150">
        <f>+'[3]RR SUMMARY'!$P$14</f>
        <v>7.6399999999999996E-2</v>
      </c>
    </row>
    <row r="15" spans="1:39">
      <c r="B15" s="25">
        <f t="shared" ca="1" si="5"/>
        <v>7</v>
      </c>
      <c r="D15" s="383">
        <f t="shared" ca="1" si="6"/>
        <v>2.0199999999999996</v>
      </c>
      <c r="F15" s="25" t="str">
        <f ca="1">+INDEX('Exh. No. BGM-13R -3'!$8:$8&amp;" "&amp;'Exh. No. BGM-13R -3'!$9:$9&amp;" "&amp;'Exh. No. BGM-13R -3'!$10:$10,1,MATCH(D15,'Exh. No. BGM-13R -3'!$11:$11,0))</f>
        <v>Restate Property Tax</v>
      </c>
      <c r="G15" s="176"/>
      <c r="I15" s="289">
        <v>-282.75</v>
      </c>
      <c r="J15" s="289"/>
      <c r="K15" s="289">
        <v>0</v>
      </c>
      <c r="L15" s="289"/>
      <c r="M15" s="548">
        <f t="shared" si="7"/>
        <v>456.14844546545697</v>
      </c>
      <c r="P15" s="289">
        <f t="shared" ca="1" si="0"/>
        <v>216.45</v>
      </c>
      <c r="Q15" s="289"/>
      <c r="R15" s="289">
        <f t="shared" ca="1" si="1"/>
        <v>0</v>
      </c>
      <c r="S15" s="289"/>
      <c r="T15" s="289">
        <f t="shared" ca="1" si="2"/>
        <v>-349.18949963217739</v>
      </c>
      <c r="W15" s="289">
        <f ca="1">+Y15/(1-$AI$5)</f>
        <v>768</v>
      </c>
      <c r="X15" s="289"/>
      <c r="Y15" s="862">
        <f ca="1">+INDEX('[2]ADJ DETAIL-INPUT'!$56:$56,1,MATCH(D15,'[2]ADJ DETAIL-INPUT'!$10:$10,0))-I15</f>
        <v>499.2</v>
      </c>
      <c r="Z15" s="289"/>
      <c r="AA15" s="862">
        <f ca="1">+INDEX('[2]ADJ DETAIL-INPUT'!$80:$80,1,MATCH(D15,'[2]ADJ DETAIL-INPUT'!$10:$10,0))-K15</f>
        <v>0</v>
      </c>
      <c r="AB15" s="790"/>
      <c r="AC15" s="289">
        <f t="shared" ca="1" si="4"/>
        <v>-805.33794509763436</v>
      </c>
      <c r="AE15" s="25" t="s">
        <v>857</v>
      </c>
      <c r="AG15" s="803"/>
      <c r="AH15" s="176"/>
      <c r="AJ15" s="438"/>
      <c r="AK15" s="150"/>
    </row>
    <row r="16" spans="1:39">
      <c r="B16" s="25">
        <f t="shared" ca="1" si="5"/>
        <v>8</v>
      </c>
      <c r="D16" s="383">
        <f t="shared" ca="1" si="6"/>
        <v>2.0299999999999994</v>
      </c>
      <c r="F16" s="25" t="str">
        <f ca="1">+INDEX('Exh. No. BGM-13R -3'!$8:$8&amp;" "&amp;'Exh. No. BGM-13R -3'!$9:$9&amp;" "&amp;'Exh. No. BGM-13R -3'!$10:$10,1,MATCH(D16,'Exh. No. BGM-13R -3'!$11:$11,0))</f>
        <v xml:space="preserve">Uncollect. Expense  </v>
      </c>
      <c r="G16" s="176"/>
      <c r="I16" s="289">
        <v>-685.1</v>
      </c>
      <c r="J16" s="289"/>
      <c r="K16" s="289">
        <v>0</v>
      </c>
      <c r="L16" s="289"/>
      <c r="M16" s="548">
        <f t="shared" si="7"/>
        <v>1105.2424402772222</v>
      </c>
      <c r="P16" s="289">
        <f t="shared" si="0"/>
        <v>-685.1</v>
      </c>
      <c r="Q16" s="289"/>
      <c r="R16" s="289">
        <f t="shared" si="1"/>
        <v>0</v>
      </c>
      <c r="S16" s="289"/>
      <c r="T16" s="289">
        <f t="shared" si="2"/>
        <v>1105.2424402772222</v>
      </c>
      <c r="W16" s="289">
        <v>0</v>
      </c>
      <c r="X16" s="289"/>
      <c r="Y16" s="289">
        <f t="shared" si="3"/>
        <v>0</v>
      </c>
      <c r="Z16" s="289"/>
      <c r="AA16" s="289">
        <v>0</v>
      </c>
      <c r="AB16" s="790"/>
      <c r="AC16" s="289">
        <f t="shared" si="4"/>
        <v>0</v>
      </c>
      <c r="AE16" s="25" t="s">
        <v>845</v>
      </c>
      <c r="AG16" s="803"/>
      <c r="AH16" s="176"/>
      <c r="AJ16" s="438" t="s">
        <v>819</v>
      </c>
      <c r="AK16" s="289">
        <f>+K48</f>
        <v>1411117</v>
      </c>
    </row>
    <row r="17" spans="2:37">
      <c r="B17" s="25">
        <f t="shared" ca="1" si="5"/>
        <v>9</v>
      </c>
      <c r="D17" s="383">
        <f t="shared" ca="1" si="6"/>
        <v>2.0399999999999991</v>
      </c>
      <c r="F17" s="25" t="str">
        <f ca="1">+INDEX('Exh. No. BGM-13R -3'!$8:$8&amp;" "&amp;'Exh. No. BGM-13R -3'!$9:$9&amp;" "&amp;'Exh. No. BGM-13R -3'!$10:$10,1,MATCH(D17,'Exh. No. BGM-13R -3'!$11:$11,0))</f>
        <v xml:space="preserve">Regulatory Expense  </v>
      </c>
      <c r="G17" s="176"/>
      <c r="I17" s="289">
        <v>-11.7</v>
      </c>
      <c r="J17" s="289"/>
      <c r="K17" s="289">
        <v>0</v>
      </c>
      <c r="L17" s="289"/>
      <c r="M17" s="548">
        <f t="shared" si="7"/>
        <v>18.875108088225804</v>
      </c>
      <c r="P17" s="289">
        <f t="shared" si="0"/>
        <v>-11.7</v>
      </c>
      <c r="Q17" s="289"/>
      <c r="R17" s="289">
        <f t="shared" si="1"/>
        <v>0</v>
      </c>
      <c r="S17" s="289"/>
      <c r="T17" s="289">
        <f t="shared" si="2"/>
        <v>18.875108088225804</v>
      </c>
      <c r="W17" s="289">
        <v>0</v>
      </c>
      <c r="X17" s="289"/>
      <c r="Y17" s="289">
        <f t="shared" si="3"/>
        <v>0</v>
      </c>
      <c r="Z17" s="289"/>
      <c r="AA17" s="289">
        <v>0</v>
      </c>
      <c r="AB17" s="790"/>
      <c r="AC17" s="289">
        <f t="shared" si="4"/>
        <v>0</v>
      </c>
      <c r="AE17" s="25" t="s">
        <v>845</v>
      </c>
      <c r="AG17" s="803"/>
      <c r="AH17" s="176"/>
      <c r="AJ17" s="438"/>
    </row>
    <row r="18" spans="2:37">
      <c r="B18" s="25">
        <f t="shared" ca="1" si="5"/>
        <v>10</v>
      </c>
      <c r="D18" s="383">
        <f t="shared" ca="1" si="6"/>
        <v>2.0499999999999989</v>
      </c>
      <c r="F18" s="25" t="str">
        <f ca="1">+INDEX('Exh. No. BGM-13R -3'!$8:$8&amp;" "&amp;'Exh. No. BGM-13R -3'!$9:$9&amp;" "&amp;'Exh. No. BGM-13R -3'!$10:$10,1,MATCH(D18,'Exh. No. BGM-13R -3'!$11:$11,0))</f>
        <v>Injuries and  Damages</v>
      </c>
      <c r="G18" s="176"/>
      <c r="I18" s="289">
        <v>-117.65</v>
      </c>
      <c r="J18" s="289"/>
      <c r="K18" s="289">
        <v>0</v>
      </c>
      <c r="L18" s="289"/>
      <c r="M18" s="548">
        <f t="shared" si="7"/>
        <v>189.7996979982706</v>
      </c>
      <c r="P18" s="289">
        <f t="shared" si="0"/>
        <v>-117.65</v>
      </c>
      <c r="Q18" s="289"/>
      <c r="R18" s="289">
        <f t="shared" si="1"/>
        <v>0</v>
      </c>
      <c r="S18" s="289"/>
      <c r="T18" s="289">
        <f t="shared" si="2"/>
        <v>189.7996979982706</v>
      </c>
      <c r="W18" s="289">
        <v>0</v>
      </c>
      <c r="X18" s="289"/>
      <c r="Y18" s="289">
        <f t="shared" si="3"/>
        <v>0</v>
      </c>
      <c r="Z18" s="289"/>
      <c r="AA18" s="289">
        <v>0</v>
      </c>
      <c r="AB18" s="790"/>
      <c r="AC18" s="289">
        <f t="shared" si="4"/>
        <v>0</v>
      </c>
      <c r="AE18" s="25" t="s">
        <v>845</v>
      </c>
      <c r="AG18" s="803"/>
      <c r="AH18" s="176"/>
      <c r="AJ18" s="438" t="s">
        <v>821</v>
      </c>
      <c r="AK18" s="791">
        <f>-((AK16*AK14)-(AK16*AK12))/AI4</f>
        <v>-8878.3286333776196</v>
      </c>
    </row>
    <row r="19" spans="2:37">
      <c r="B19" s="25">
        <f t="shared" ca="1" si="5"/>
        <v>11</v>
      </c>
      <c r="D19" s="383">
        <f t="shared" ca="1" si="6"/>
        <v>2.0599999999999987</v>
      </c>
      <c r="F19" s="25" t="str">
        <f ca="1">+INDEX('Exh. No. BGM-13R -3'!$8:$8&amp;" "&amp;'Exh. No. BGM-13R -3'!$9:$9&amp;" "&amp;'Exh. No. BGM-13R -3'!$10:$10,1,MATCH(D19,'Exh. No. BGM-13R -3'!$11:$11,0))</f>
        <v>FIT/DFIT/ ITC/PTC Expense</v>
      </c>
      <c r="G19" s="176"/>
      <c r="I19" s="289">
        <v>566</v>
      </c>
      <c r="J19" s="289"/>
      <c r="K19" s="289">
        <v>0</v>
      </c>
      <c r="L19" s="289"/>
      <c r="M19" s="548">
        <f t="shared" si="7"/>
        <v>-913.10351948169284</v>
      </c>
      <c r="P19" s="289">
        <f t="shared" si="0"/>
        <v>566</v>
      </c>
      <c r="Q19" s="289"/>
      <c r="R19" s="289">
        <f t="shared" si="1"/>
        <v>0</v>
      </c>
      <c r="S19" s="289"/>
      <c r="T19" s="289">
        <f t="shared" si="2"/>
        <v>-913.10351948169284</v>
      </c>
      <c r="W19" s="289">
        <v>0</v>
      </c>
      <c r="X19" s="289"/>
      <c r="Y19" s="289">
        <f t="shared" si="3"/>
        <v>0</v>
      </c>
      <c r="Z19" s="289"/>
      <c r="AA19" s="289">
        <v>0</v>
      </c>
      <c r="AB19" s="790"/>
      <c r="AC19" s="289">
        <f t="shared" si="4"/>
        <v>0</v>
      </c>
      <c r="AE19" s="25" t="s">
        <v>845</v>
      </c>
      <c r="AG19" s="803"/>
      <c r="AH19" s="176"/>
      <c r="AJ19" s="438"/>
      <c r="AK19" s="791"/>
    </row>
    <row r="20" spans="2:37">
      <c r="B20" s="25">
        <f t="shared" ca="1" si="5"/>
        <v>12</v>
      </c>
      <c r="D20" s="383">
        <f t="shared" ca="1" si="6"/>
        <v>2.0699999999999985</v>
      </c>
      <c r="F20" s="25" t="str">
        <f ca="1">+INDEX('Exh. No. BGM-13R -3'!$8:$8&amp;" "&amp;'Exh. No. BGM-13R -3'!$9:$9&amp;" "&amp;'Exh. No. BGM-13R -3'!$10:$10,1,MATCH(D20,'Exh. No. BGM-13R -3'!$11:$11,0))</f>
        <v>Office Space Charges to Non-Utility</v>
      </c>
      <c r="G20" s="176"/>
      <c r="I20" s="289">
        <v>21.450000000000003</v>
      </c>
      <c r="J20" s="289"/>
      <c r="K20" s="289">
        <v>0</v>
      </c>
      <c r="L20" s="289"/>
      <c r="M20" s="548">
        <f t="shared" si="7"/>
        <v>-34.604364828413978</v>
      </c>
      <c r="P20" s="289">
        <f t="shared" si="0"/>
        <v>21.450000000000003</v>
      </c>
      <c r="Q20" s="289"/>
      <c r="R20" s="289">
        <f t="shared" si="1"/>
        <v>0</v>
      </c>
      <c r="S20" s="289"/>
      <c r="T20" s="289">
        <f t="shared" si="2"/>
        <v>-34.604364828413978</v>
      </c>
      <c r="W20" s="289">
        <v>0</v>
      </c>
      <c r="X20" s="289"/>
      <c r="Y20" s="289">
        <f t="shared" si="3"/>
        <v>0</v>
      </c>
      <c r="Z20" s="289"/>
      <c r="AA20" s="289">
        <v>0</v>
      </c>
      <c r="AB20" s="790"/>
      <c r="AC20" s="289">
        <f t="shared" si="4"/>
        <v>0</v>
      </c>
      <c r="AE20" s="25" t="s">
        <v>845</v>
      </c>
      <c r="AG20" s="803"/>
      <c r="AH20" s="176"/>
      <c r="AJ20" s="438" t="s">
        <v>89</v>
      </c>
      <c r="AK20" s="791">
        <f>-('[3]ADJ DETAIL-INPUT'!$AP$82-M48)</f>
        <v>-8878.328633377645</v>
      </c>
    </row>
    <row r="21" spans="2:37">
      <c r="B21" s="25">
        <f t="shared" ca="1" si="5"/>
        <v>13</v>
      </c>
      <c r="D21" s="383">
        <f t="shared" ca="1" si="6"/>
        <v>2.0799999999999983</v>
      </c>
      <c r="F21" s="25" t="str">
        <f ca="1">+INDEX('Exh. No. BGM-13R -3'!$8:$8&amp;" "&amp;'Exh. No. BGM-13R -3'!$9:$9&amp;" "&amp;'Exh. No. BGM-13R -3'!$10:$10,1,MATCH(D21,'Exh. No. BGM-13R -3'!$11:$11,0))</f>
        <v>Restate Excise Taxes</v>
      </c>
      <c r="G21" s="176"/>
      <c r="I21" s="289">
        <v>216.45</v>
      </c>
      <c r="J21" s="289"/>
      <c r="K21" s="289">
        <v>0</v>
      </c>
      <c r="L21" s="289"/>
      <c r="M21" s="548">
        <f t="shared" si="7"/>
        <v>-349.18949963217739</v>
      </c>
      <c r="P21" s="289">
        <f t="shared" si="0"/>
        <v>216.45</v>
      </c>
      <c r="Q21" s="289"/>
      <c r="R21" s="289">
        <f t="shared" si="1"/>
        <v>0</v>
      </c>
      <c r="S21" s="289"/>
      <c r="T21" s="289">
        <f t="shared" si="2"/>
        <v>-349.18949963217739</v>
      </c>
      <c r="W21" s="289">
        <v>0</v>
      </c>
      <c r="X21" s="289"/>
      <c r="Y21" s="289">
        <f t="shared" si="3"/>
        <v>0</v>
      </c>
      <c r="Z21" s="289"/>
      <c r="AA21" s="289">
        <v>0</v>
      </c>
      <c r="AB21" s="790"/>
      <c r="AC21" s="289">
        <f t="shared" si="4"/>
        <v>0</v>
      </c>
      <c r="AE21" s="25" t="s">
        <v>845</v>
      </c>
      <c r="AG21" s="803"/>
      <c r="AH21" s="176"/>
    </row>
    <row r="22" spans="2:37">
      <c r="B22" s="25">
        <f t="shared" ca="1" si="5"/>
        <v>14</v>
      </c>
      <c r="D22" s="383">
        <f t="shared" ca="1" si="6"/>
        <v>2.0899999999999981</v>
      </c>
      <c r="F22" s="25" t="str">
        <f ca="1">+INDEX('Exh. No. BGM-13R -3'!$8:$8&amp;" "&amp;'Exh. No. BGM-13R -3'!$9:$9&amp;" "&amp;'Exh. No. BGM-13R -3'!$10:$10,1,MATCH(D22,'Exh. No. BGM-13R -3'!$11:$11,0))</f>
        <v>Net Gains /  Losses</v>
      </c>
      <c r="G22" s="176"/>
      <c r="I22" s="289">
        <v>51.35</v>
      </c>
      <c r="J22" s="289"/>
      <c r="K22" s="289">
        <v>0</v>
      </c>
      <c r="L22" s="289"/>
      <c r="M22" s="548">
        <f t="shared" si="7"/>
        <v>-82.840752164991031</v>
      </c>
      <c r="P22" s="289">
        <f t="shared" si="0"/>
        <v>51.35</v>
      </c>
      <c r="Q22" s="289"/>
      <c r="R22" s="289">
        <f t="shared" si="1"/>
        <v>0</v>
      </c>
      <c r="S22" s="289"/>
      <c r="T22" s="289">
        <f t="shared" si="2"/>
        <v>-82.840752164991031</v>
      </c>
      <c r="W22" s="289">
        <v>0</v>
      </c>
      <c r="X22" s="289"/>
      <c r="Y22" s="289">
        <f t="shared" si="3"/>
        <v>0</v>
      </c>
      <c r="Z22" s="289"/>
      <c r="AA22" s="289">
        <v>0</v>
      </c>
      <c r="AB22" s="790"/>
      <c r="AC22" s="289">
        <f t="shared" si="4"/>
        <v>0</v>
      </c>
      <c r="AE22" s="25" t="s">
        <v>845</v>
      </c>
      <c r="AG22" s="803"/>
      <c r="AH22" s="176"/>
    </row>
    <row r="23" spans="2:37">
      <c r="B23" s="25">
        <f t="shared" ca="1" si="5"/>
        <v>15</v>
      </c>
      <c r="D23" s="383">
        <f t="shared" ca="1" si="6"/>
        <v>2.0999999999999979</v>
      </c>
      <c r="F23" s="25" t="str">
        <f ca="1">+INDEX('Exh. No. BGM-13R -3'!$8:$8&amp;" "&amp;'Exh. No. BGM-13R -3'!$9:$9&amp;" "&amp;'Exh. No. BGM-13R -3'!$10:$10,1,MATCH(D23,'Exh. No. BGM-13R -3'!$11:$11,0))</f>
        <v xml:space="preserve">Weather  Normalization  </v>
      </c>
      <c r="G23" s="176"/>
      <c r="I23" s="289">
        <v>1926.6000000000001</v>
      </c>
      <c r="J23" s="289"/>
      <c r="K23" s="289">
        <v>0</v>
      </c>
      <c r="L23" s="289"/>
      <c r="M23" s="548">
        <f t="shared" si="7"/>
        <v>-3108.1011318611827</v>
      </c>
      <c r="P23" s="289">
        <f t="shared" si="0"/>
        <v>1926.6000000000001</v>
      </c>
      <c r="Q23" s="289"/>
      <c r="R23" s="289">
        <f t="shared" si="1"/>
        <v>0</v>
      </c>
      <c r="S23" s="289"/>
      <c r="T23" s="289">
        <f t="shared" si="2"/>
        <v>-3108.1011318611827</v>
      </c>
      <c r="W23" s="289">
        <v>0</v>
      </c>
      <c r="X23" s="289"/>
      <c r="Y23" s="289">
        <f t="shared" si="3"/>
        <v>0</v>
      </c>
      <c r="Z23" s="289"/>
      <c r="AA23" s="289">
        <v>0</v>
      </c>
      <c r="AB23" s="790"/>
      <c r="AC23" s="289">
        <f t="shared" si="4"/>
        <v>0</v>
      </c>
      <c r="AE23" s="25" t="s">
        <v>845</v>
      </c>
      <c r="AG23" s="803"/>
      <c r="AH23" s="176"/>
    </row>
    <row r="24" spans="2:37">
      <c r="B24" s="25">
        <f t="shared" ca="1" si="5"/>
        <v>16</v>
      </c>
      <c r="D24" s="383">
        <f t="shared" ca="1" si="6"/>
        <v>2.1099999999999977</v>
      </c>
      <c r="F24" s="25" t="str">
        <f ca="1">+INDEX('Exh. No. BGM-13R -3'!$8:$8&amp;" "&amp;'Exh. No. BGM-13R -3'!$9:$9&amp;" "&amp;'Exh. No. BGM-13R -3'!$10:$10,1,MATCH(D24,'Exh. No. BGM-13R -3'!$11:$11,0))</f>
        <v>Eliminate Adder Schedules</v>
      </c>
      <c r="G24" s="176"/>
      <c r="I24" s="289">
        <v>0</v>
      </c>
      <c r="J24" s="289"/>
      <c r="K24" s="289">
        <v>0</v>
      </c>
      <c r="L24" s="289"/>
      <c r="M24" s="548">
        <f t="shared" si="7"/>
        <v>0</v>
      </c>
      <c r="P24" s="289">
        <f t="shared" si="0"/>
        <v>0</v>
      </c>
      <c r="Q24" s="289"/>
      <c r="R24" s="289">
        <f t="shared" si="1"/>
        <v>0</v>
      </c>
      <c r="S24" s="289"/>
      <c r="T24" s="289">
        <f t="shared" si="2"/>
        <v>0</v>
      </c>
      <c r="W24" s="289">
        <v>0</v>
      </c>
      <c r="X24" s="289"/>
      <c r="Y24" s="289">
        <f t="shared" si="3"/>
        <v>0</v>
      </c>
      <c r="Z24" s="289"/>
      <c r="AA24" s="289">
        <v>0</v>
      </c>
      <c r="AB24" s="790"/>
      <c r="AC24" s="289">
        <f t="shared" si="4"/>
        <v>0</v>
      </c>
      <c r="AE24" s="25" t="s">
        <v>845</v>
      </c>
      <c r="AG24" s="803"/>
      <c r="AH24" s="176"/>
    </row>
    <row r="25" spans="2:37">
      <c r="B25" s="25">
        <f t="shared" ca="1" si="5"/>
        <v>17</v>
      </c>
      <c r="D25" s="383">
        <f t="shared" ca="1" si="6"/>
        <v>2.1199999999999974</v>
      </c>
      <c r="F25" s="25" t="str">
        <f ca="1">+INDEX('Exh. No. BGM-13R -3'!$8:$8&amp;" "&amp;'Exh. No. BGM-13R -3'!$9:$9&amp;" "&amp;'Exh. No. BGM-13R -3'!$10:$10,1,MATCH(D25,'Exh. No. BGM-13R -3'!$11:$11,0))</f>
        <v>Misc. Restating Non-Util / Non-Recurring Expenses</v>
      </c>
      <c r="G25" s="176"/>
      <c r="I25" s="289">
        <v>531.70000000000005</v>
      </c>
      <c r="J25" s="289"/>
      <c r="K25" s="289">
        <v>0</v>
      </c>
      <c r="L25" s="289"/>
      <c r="M25" s="548">
        <f t="shared" si="7"/>
        <v>-857.7688008982617</v>
      </c>
      <c r="P25" s="289">
        <f t="shared" si="0"/>
        <v>746.50745000000006</v>
      </c>
      <c r="Q25" s="289"/>
      <c r="R25" s="289">
        <f t="shared" si="1"/>
        <v>0</v>
      </c>
      <c r="S25" s="289"/>
      <c r="T25" s="289">
        <f t="shared" si="2"/>
        <v>-1204.3084450782753</v>
      </c>
      <c r="W25" s="289">
        <f>+'[4]MR-BOD-3'!$L$12/1000</f>
        <v>330.47300000000001</v>
      </c>
      <c r="X25" s="289"/>
      <c r="Y25" s="289">
        <f t="shared" si="3"/>
        <v>214.80745000000002</v>
      </c>
      <c r="Z25" s="289"/>
      <c r="AA25" s="289">
        <v>0</v>
      </c>
      <c r="AB25" s="790"/>
      <c r="AC25" s="289">
        <f t="shared" si="4"/>
        <v>-346.53964418001374</v>
      </c>
      <c r="AE25" s="25" t="s">
        <v>847</v>
      </c>
      <c r="AG25" s="803"/>
      <c r="AH25" s="176"/>
    </row>
    <row r="26" spans="2:37">
      <c r="B26" s="25">
        <f t="shared" ca="1" si="5"/>
        <v>18</v>
      </c>
      <c r="D26" s="383">
        <f t="shared" ca="1" si="6"/>
        <v>2.1299999999999972</v>
      </c>
      <c r="F26" s="25" t="str">
        <f ca="1">+INDEX('Exh. No. BGM-13R -3'!$8:$8&amp;" "&amp;'Exh. No. BGM-13R -3'!$9:$9&amp;" "&amp;'Exh. No. BGM-13R -3'!$10:$10,1,MATCH(D26,'Exh. No. BGM-13R -3'!$11:$11,0))</f>
        <v>Eliminate WA Power Cost Defer</v>
      </c>
      <c r="G26" s="176"/>
      <c r="I26" s="289">
        <v>5034</v>
      </c>
      <c r="J26" s="289"/>
      <c r="K26" s="289">
        <v>0</v>
      </c>
      <c r="L26" s="289"/>
      <c r="M26" s="548">
        <f t="shared" si="7"/>
        <v>-8121.1362492417693</v>
      </c>
      <c r="P26" s="289">
        <f t="shared" si="0"/>
        <v>5034</v>
      </c>
      <c r="Q26" s="289"/>
      <c r="R26" s="289">
        <f t="shared" si="1"/>
        <v>0</v>
      </c>
      <c r="S26" s="289"/>
      <c r="T26" s="289">
        <f t="shared" si="2"/>
        <v>-8121.1362492417693</v>
      </c>
      <c r="W26" s="289">
        <v>0</v>
      </c>
      <c r="X26" s="289"/>
      <c r="Y26" s="289">
        <f t="shared" si="3"/>
        <v>0</v>
      </c>
      <c r="Z26" s="289"/>
      <c r="AA26" s="289">
        <v>0</v>
      </c>
      <c r="AB26" s="790"/>
      <c r="AC26" s="289">
        <f t="shared" si="4"/>
        <v>0</v>
      </c>
      <c r="AE26" s="25" t="s">
        <v>845</v>
      </c>
      <c r="AG26" s="803"/>
      <c r="AH26" s="176"/>
    </row>
    <row r="27" spans="2:37">
      <c r="B27" s="25">
        <f t="shared" ca="1" si="5"/>
        <v>19</v>
      </c>
      <c r="D27" s="383">
        <f t="shared" ca="1" si="6"/>
        <v>2.139999999999997</v>
      </c>
      <c r="F27" s="25" t="str">
        <f ca="1">+INDEX('Exh. No. BGM-13R -3'!$8:$8&amp;" "&amp;'Exh. No. BGM-13R -3'!$9:$9&amp;" "&amp;'Exh. No. BGM-13R -3'!$10:$10,1,MATCH(D27,'Exh. No. BGM-13R -3'!$11:$11,0))</f>
        <v>Nez Perce Settlement Adjustment</v>
      </c>
      <c r="G27" s="176"/>
      <c r="I27" s="289">
        <v>5.85</v>
      </c>
      <c r="J27" s="289"/>
      <c r="K27" s="289">
        <v>0</v>
      </c>
      <c r="L27" s="289"/>
      <c r="M27" s="548">
        <f t="shared" si="7"/>
        <v>-9.4375540441129022</v>
      </c>
      <c r="P27" s="289">
        <f t="shared" si="0"/>
        <v>5.85</v>
      </c>
      <c r="Q27" s="289"/>
      <c r="R27" s="289">
        <f t="shared" si="1"/>
        <v>0</v>
      </c>
      <c r="S27" s="289"/>
      <c r="T27" s="289">
        <f t="shared" si="2"/>
        <v>-9.4375540441129022</v>
      </c>
      <c r="W27" s="289">
        <v>0</v>
      </c>
      <c r="X27" s="289"/>
      <c r="Y27" s="289">
        <f t="shared" si="3"/>
        <v>0</v>
      </c>
      <c r="Z27" s="289"/>
      <c r="AA27" s="289">
        <v>0</v>
      </c>
      <c r="AB27" s="790"/>
      <c r="AC27" s="289">
        <f t="shared" si="4"/>
        <v>0</v>
      </c>
      <c r="AE27" s="25" t="s">
        <v>845</v>
      </c>
      <c r="AG27" s="803"/>
      <c r="AH27" s="176"/>
    </row>
    <row r="28" spans="2:37">
      <c r="B28" s="25">
        <f t="shared" ca="1" si="5"/>
        <v>20</v>
      </c>
      <c r="D28" s="383">
        <f t="shared" ca="1" si="6"/>
        <v>2.1499999999999968</v>
      </c>
      <c r="F28" s="25" t="str">
        <f ca="1">+INDEX('Exh. No. BGM-13R -3'!$8:$8&amp;" "&amp;'Exh. No. BGM-13R -3'!$9:$9&amp;" "&amp;'Exh. No. BGM-13R -3'!$10:$10,1,MATCH(D28,'Exh. No. BGM-13R -3'!$11:$11,0))</f>
        <v>Restate Debt Interest</v>
      </c>
      <c r="G28" s="176"/>
      <c r="I28" s="289">
        <v>435</v>
      </c>
      <c r="J28" s="289"/>
      <c r="K28" s="289">
        <v>0</v>
      </c>
      <c r="L28" s="289"/>
      <c r="M28" s="548">
        <f t="shared" si="7"/>
        <v>-701.76683917762614</v>
      </c>
      <c r="P28" s="289">
        <f t="shared" ca="1" si="0"/>
        <v>156.79928000000001</v>
      </c>
      <c r="Q28" s="289"/>
      <c r="R28" s="289">
        <f t="shared" si="1"/>
        <v>0</v>
      </c>
      <c r="S28" s="289"/>
      <c r="T28" s="289">
        <f t="shared" ca="1" si="2"/>
        <v>-252.95755197914383</v>
      </c>
      <c r="W28" s="289">
        <v>0</v>
      </c>
      <c r="X28" s="289"/>
      <c r="Y28" s="289">
        <f ca="1">+SUM(AA10:AA27,AA29,AA34:AA46)*AK10*AI5</f>
        <v>-278.20071999999999</v>
      </c>
      <c r="Z28" s="289"/>
      <c r="AA28" s="289">
        <v>0</v>
      </c>
      <c r="AB28" s="790"/>
      <c r="AC28" s="289">
        <f t="shared" ca="1" si="4"/>
        <v>448.80928719848225</v>
      </c>
      <c r="AE28" s="25" t="s">
        <v>847</v>
      </c>
      <c r="AG28" s="803"/>
      <c r="AH28" s="176"/>
    </row>
    <row r="29" spans="2:37">
      <c r="B29" s="25">
        <f t="shared" ca="1" si="5"/>
        <v>21</v>
      </c>
      <c r="D29" s="383">
        <f t="shared" ca="1" si="6"/>
        <v>2.1599999999999966</v>
      </c>
      <c r="F29" s="25" t="str">
        <f ca="1">+INDEX('Exh. No. BGM-13R -3'!$8:$8&amp;" "&amp;'Exh. No. BGM-13R -3'!$9:$9&amp;" "&amp;'Exh. No. BGM-13R -3'!$10:$10,1,MATCH(D29,'Exh. No. BGM-13R -3'!$11:$11,0))</f>
        <v>Restate Incentive Expenses</v>
      </c>
      <c r="G29" s="176"/>
      <c r="I29" s="290">
        <v>800.15000000000009</v>
      </c>
      <c r="J29" s="289"/>
      <c r="K29" s="290">
        <v>0</v>
      </c>
      <c r="L29" s="289"/>
      <c r="M29" s="290">
        <f t="shared" si="7"/>
        <v>-1290.8476698114428</v>
      </c>
      <c r="P29" s="290">
        <f t="shared" ca="1" si="0"/>
        <v>-559.95000000000005</v>
      </c>
      <c r="Q29" s="289"/>
      <c r="R29" s="290">
        <f t="shared" ca="1" si="1"/>
        <v>0</v>
      </c>
      <c r="S29" s="289"/>
      <c r="T29" s="290">
        <f t="shared" ca="1" si="2"/>
        <v>903.34331401726843</v>
      </c>
      <c r="W29" s="290">
        <f ca="1">+Y29/(1-$AI$5)</f>
        <v>-2092.4615384615386</v>
      </c>
      <c r="X29" s="289"/>
      <c r="Y29" s="863">
        <f ca="1">+INDEX('[2]ADJ DETAIL-INPUT'!$56:$56,1,MATCH(D29,'[2]ADJ DETAIL-INPUT'!$10:$10,0))-I29</f>
        <v>-1360.1000000000001</v>
      </c>
      <c r="Z29" s="289"/>
      <c r="AA29" s="863">
        <f ca="1">+INDEX('[2]ADJ DETAIL-INPUT'!$80:$80,1,MATCH(D29,'[2]ADJ DETAIL-INPUT'!$10:$10,0))-K29</f>
        <v>0</v>
      </c>
      <c r="AB29" s="790"/>
      <c r="AC29" s="290">
        <f t="shared" ca="1" si="4"/>
        <v>2194.1909838287111</v>
      </c>
      <c r="AE29" s="25" t="s">
        <v>857</v>
      </c>
      <c r="AG29" s="803"/>
      <c r="AH29" s="176"/>
    </row>
    <row r="30" spans="2:37">
      <c r="C30" s="105"/>
      <c r="D30" s="105"/>
      <c r="E30" s="105"/>
      <c r="F30" s="105"/>
      <c r="G30" s="176"/>
      <c r="I30" s="787"/>
      <c r="J30" s="787"/>
      <c r="K30" s="787"/>
      <c r="L30" s="787"/>
      <c r="M30" s="289"/>
      <c r="O30" s="813"/>
      <c r="P30" s="787"/>
      <c r="Q30" s="787"/>
      <c r="R30" s="787"/>
      <c r="S30" s="787"/>
      <c r="T30" s="289"/>
      <c r="W30" s="787"/>
      <c r="X30" s="25"/>
      <c r="Y30" s="787"/>
      <c r="Z30" s="787"/>
      <c r="AA30" s="787"/>
      <c r="AB30" s="787"/>
      <c r="AC30" s="289"/>
      <c r="AE30" s="25"/>
      <c r="AG30" s="803"/>
      <c r="AH30" s="176"/>
    </row>
    <row r="31" spans="2:37">
      <c r="B31" s="25">
        <f t="shared" ca="1" si="5"/>
        <v>22</v>
      </c>
      <c r="C31" s="105"/>
      <c r="D31" s="105"/>
      <c r="E31" s="105"/>
      <c r="F31" s="105" t="s">
        <v>814</v>
      </c>
      <c r="G31" s="176"/>
      <c r="I31" s="787">
        <f>+SUM(I$7:I$29)</f>
        <v>111559.38450000001</v>
      </c>
      <c r="J31" s="787"/>
      <c r="K31" s="787">
        <f>+SUM(K$7:K$29)</f>
        <v>1306120</v>
      </c>
      <c r="L31" s="787"/>
      <c r="M31" s="787">
        <f>+($K31*$AK$12-$I31)/$AI$4</f>
        <v>-27208.685292257662</v>
      </c>
      <c r="O31" s="813"/>
      <c r="P31" s="787">
        <f ca="1">+SUM(P$7:P$29)</f>
        <v>112766.43332900722</v>
      </c>
      <c r="Q31" s="787"/>
      <c r="R31" s="787">
        <f ca="1">+SUM(R$7:R$29)</f>
        <v>1300689</v>
      </c>
      <c r="S31" s="787"/>
      <c r="T31" s="787">
        <f ca="1">+($R31*$AK$12-$P31)/$AI$4</f>
        <v>-29791.181338176135</v>
      </c>
      <c r="W31" s="787">
        <f ca="1">+SUM(W$7:W$29)</f>
        <v>2314.0676892418464</v>
      </c>
      <c r="X31" s="787"/>
      <c r="Y31" s="787">
        <f ca="1">+SUM(Y$7:Y$29)</f>
        <v>1207.0488290072001</v>
      </c>
      <c r="Z31" s="787"/>
      <c r="AA31" s="787">
        <f ca="1">+SUM(AA$7:AA$29)</f>
        <v>-5431</v>
      </c>
      <c r="AB31" s="787"/>
      <c r="AC31" s="787">
        <f ca="1">+SUM(AC$7:AC$29)</f>
        <v>-2582.4960459184613</v>
      </c>
      <c r="AE31" s="25"/>
      <c r="AG31" s="803"/>
      <c r="AH31" s="176"/>
    </row>
    <row r="32" spans="2:37">
      <c r="G32" s="176"/>
      <c r="W32" s="25"/>
      <c r="X32" s="25"/>
      <c r="Y32" s="25"/>
      <c r="Z32" s="25"/>
      <c r="AA32" s="25"/>
      <c r="AE32" s="25"/>
      <c r="AG32" s="803"/>
      <c r="AH32" s="176"/>
    </row>
    <row r="33" spans="2:34">
      <c r="B33" s="785" t="s">
        <v>286</v>
      </c>
      <c r="D33" s="383"/>
      <c r="G33" s="176"/>
      <c r="W33" s="289"/>
      <c r="X33" s="289"/>
      <c r="Y33" s="289"/>
      <c r="Z33" s="289"/>
      <c r="AA33" s="289"/>
      <c r="AB33" s="790"/>
      <c r="AC33" s="790"/>
      <c r="AE33" s="25"/>
      <c r="AG33" s="803"/>
      <c r="AH33" s="176"/>
    </row>
    <row r="34" spans="2:34">
      <c r="B34" s="25">
        <f t="shared" ca="1" si="5"/>
        <v>23</v>
      </c>
      <c r="D34" s="383">
        <v>3</v>
      </c>
      <c r="F34" s="25" t="str">
        <f>+INDEX('Exh. No. BGM-13R -3'!$8:$8&amp;" "&amp;'Exh. No. BGM-13R -3'!$9:$9&amp;" "&amp;'Exh. No. BGM-13R -3'!$10:$10,1,MATCH(D34,'Exh. No. BGM-13R -3'!$11:$11,0))</f>
        <v>Pro Forma  Power Supply</v>
      </c>
      <c r="G34" s="176"/>
      <c r="I34" s="289">
        <v>-3591.9</v>
      </c>
      <c r="J34" s="289"/>
      <c r="K34" s="289">
        <v>0</v>
      </c>
      <c r="L34" s="289"/>
      <c r="M34" s="548">
        <f t="shared" ref="M34:M46" si="8">+($K34*$AK$12-$I34)/$AI$4</f>
        <v>5794.658183085322</v>
      </c>
      <c r="P34" s="289">
        <f t="shared" ref="P34:P46" si="9">+I34+Y34</f>
        <v>-2778.218958385</v>
      </c>
      <c r="Q34" s="289"/>
      <c r="R34" s="289">
        <f t="shared" ref="R34:R46" si="10">+K34+AA34</f>
        <v>0</v>
      </c>
      <c r="S34" s="289"/>
      <c r="T34" s="289">
        <f t="shared" ref="T34:T46" si="11">+($R34*$AK$12-$P34)/$AI$4</f>
        <v>4481.9814642970068</v>
      </c>
      <c r="W34" s="289">
        <f>-('[5]Table BGM-7'!$G$3+'[5]Table BGM-7'!$G$6+'[5]Table BGM-7'!$G$7)</f>
        <v>1251.8169871</v>
      </c>
      <c r="X34" s="289"/>
      <c r="Y34" s="289">
        <f>+W34*(1-$AI$5)</f>
        <v>813.68104161500003</v>
      </c>
      <c r="Z34" s="289"/>
      <c r="AA34" s="289">
        <v>0</v>
      </c>
      <c r="AB34" s="790"/>
      <c r="AC34" s="289">
        <f t="shared" ref="AC34:AC46" si="12">+($AA34*$AK$12-$Y34)/$AI$4</f>
        <v>-1312.6767187883149</v>
      </c>
      <c r="AE34" s="25" t="s">
        <v>847</v>
      </c>
      <c r="AG34" s="803"/>
      <c r="AH34" s="176"/>
    </row>
    <row r="35" spans="2:34">
      <c r="B35" s="25">
        <f t="shared" ca="1" si="5"/>
        <v>24</v>
      </c>
      <c r="D35" s="383">
        <f t="shared" ref="D35:D46" ca="1" si="13">+MAX(OFFSET($D$7,0,0,ROW($D35)-ROW($D$7),1))+0.01</f>
        <v>3.01</v>
      </c>
      <c r="F35" s="25" t="str">
        <f ca="1">+INDEX('Exh. No. BGM-13R -3'!$8:$8&amp;" "&amp;'Exh. No. BGM-13R -3'!$9:$9&amp;" "&amp;'Exh. No. BGM-13R -3'!$10:$10,1,MATCH(D35,'Exh. No. BGM-13R -3'!$11:$11,0))</f>
        <v>Pro Forma  Transmission Rev/Exp</v>
      </c>
      <c r="G35" s="176"/>
      <c r="I35" s="289">
        <v>-369.20000000000005</v>
      </c>
      <c r="J35" s="289"/>
      <c r="K35" s="289">
        <v>0</v>
      </c>
      <c r="L35" s="289"/>
      <c r="M35" s="548">
        <f t="shared" si="8"/>
        <v>595.61452189512545</v>
      </c>
      <c r="P35" s="289">
        <f t="shared" si="9"/>
        <v>216.59385507499996</v>
      </c>
      <c r="Q35" s="289"/>
      <c r="R35" s="289">
        <f t="shared" si="10"/>
        <v>0</v>
      </c>
      <c r="S35" s="289"/>
      <c r="T35" s="289">
        <f t="shared" si="11"/>
        <v>-349.42157485351623</v>
      </c>
      <c r="W35" s="289">
        <f>-('[5]Table BGM-7'!$G$4+'[5]Table BGM-7'!$G$5)</f>
        <v>901.22131549999995</v>
      </c>
      <c r="X35" s="289"/>
      <c r="Y35" s="289">
        <f>+W35*(1-$AI$5)</f>
        <v>585.79385507500001</v>
      </c>
      <c r="Z35" s="289"/>
      <c r="AA35" s="289">
        <v>0</v>
      </c>
      <c r="AB35" s="790"/>
      <c r="AC35" s="289">
        <f t="shared" si="12"/>
        <v>-945.03609674864174</v>
      </c>
      <c r="AE35" s="25" t="s">
        <v>847</v>
      </c>
      <c r="AG35" s="803"/>
      <c r="AH35" s="176"/>
    </row>
    <row r="36" spans="2:34">
      <c r="B36" s="25">
        <f t="shared" ca="1" si="5"/>
        <v>25</v>
      </c>
      <c r="D36" s="383">
        <f t="shared" ca="1" si="13"/>
        <v>3.0199999999999996</v>
      </c>
      <c r="F36" s="25" t="str">
        <f ca="1">+INDEX('Exh. No. BGM-13R -3'!$8:$8&amp;" "&amp;'Exh. No. BGM-13R -3'!$9:$9&amp;" "&amp;'Exh. No. BGM-13R -3'!$10:$10,1,MATCH(D36,'Exh. No. BGM-13R -3'!$11:$11,0))</f>
        <v>Pro Forma  Labor Non-Exec</v>
      </c>
      <c r="G36" s="176"/>
      <c r="I36" s="289">
        <v>-1348.8832499999999</v>
      </c>
      <c r="J36" s="289"/>
      <c r="K36" s="289">
        <v>0</v>
      </c>
      <c r="L36" s="289"/>
      <c r="M36" s="548">
        <f t="shared" si="8"/>
        <v>2176.0954822348126</v>
      </c>
      <c r="P36" s="289">
        <f t="shared" si="9"/>
        <v>-802.80069999999989</v>
      </c>
      <c r="Q36" s="289"/>
      <c r="R36" s="289">
        <f t="shared" si="10"/>
        <v>0</v>
      </c>
      <c r="S36" s="289"/>
      <c r="T36" s="289">
        <f t="shared" si="11"/>
        <v>1295.1239304105416</v>
      </c>
      <c r="W36" s="289">
        <f>+'[6]Washington Electric'!$K$131/1000</f>
        <v>840.12699999999995</v>
      </c>
      <c r="X36" s="289"/>
      <c r="Y36" s="289">
        <f t="shared" ref="Y36:Y46" si="14">+W36*(1-$AI$5)</f>
        <v>546.08254999999997</v>
      </c>
      <c r="Z36" s="289"/>
      <c r="AA36" s="289">
        <v>0</v>
      </c>
      <c r="AB36" s="790"/>
      <c r="AC36" s="289">
        <f t="shared" si="12"/>
        <v>-880.97155182427116</v>
      </c>
      <c r="AE36" s="25" t="s">
        <v>847</v>
      </c>
      <c r="AG36" s="803"/>
      <c r="AH36" s="176"/>
    </row>
    <row r="37" spans="2:34">
      <c r="B37" s="25">
        <f t="shared" ca="1" si="5"/>
        <v>26</v>
      </c>
      <c r="D37" s="383">
        <f t="shared" ca="1" si="13"/>
        <v>3.0299999999999994</v>
      </c>
      <c r="F37" s="25" t="str">
        <f ca="1">+INDEX('Exh. No. BGM-13R -3'!$8:$8&amp;" "&amp;'Exh. No. BGM-13R -3'!$9:$9&amp;" "&amp;'Exh. No. BGM-13R -3'!$10:$10,1,MATCH(D37,'Exh. No. BGM-13R -3'!$11:$11,0))</f>
        <v>Pro Forma  Labor Exec</v>
      </c>
      <c r="G37" s="176"/>
      <c r="I37" s="289">
        <v>-35.1</v>
      </c>
      <c r="J37" s="289"/>
      <c r="K37" s="289">
        <v>0</v>
      </c>
      <c r="L37" s="289"/>
      <c r="M37" s="548">
        <f t="shared" si="8"/>
        <v>56.625324264677417</v>
      </c>
      <c r="P37" s="289">
        <f t="shared" si="9"/>
        <v>-35.1</v>
      </c>
      <c r="Q37" s="289"/>
      <c r="R37" s="289">
        <f t="shared" si="10"/>
        <v>0</v>
      </c>
      <c r="S37" s="289"/>
      <c r="T37" s="289">
        <f t="shared" si="11"/>
        <v>56.625324264677417</v>
      </c>
      <c r="W37" s="289">
        <v>0</v>
      </c>
      <c r="X37" s="289"/>
      <c r="Y37" s="289">
        <f t="shared" si="14"/>
        <v>0</v>
      </c>
      <c r="Z37" s="289"/>
      <c r="AA37" s="289">
        <v>0</v>
      </c>
      <c r="AB37" s="790"/>
      <c r="AC37" s="289">
        <f t="shared" si="12"/>
        <v>0</v>
      </c>
      <c r="AE37" s="25" t="s">
        <v>845</v>
      </c>
      <c r="AG37" s="803"/>
      <c r="AH37" s="176"/>
    </row>
    <row r="38" spans="2:34">
      <c r="B38" s="25">
        <f t="shared" ca="1" si="5"/>
        <v>27</v>
      </c>
      <c r="D38" s="383">
        <f t="shared" ca="1" si="13"/>
        <v>3.0399999999999991</v>
      </c>
      <c r="F38" s="25" t="str">
        <f ca="1">+INDEX('Exh. No. BGM-13R -3'!$8:$8&amp;" "&amp;'Exh. No. BGM-13R -3'!$9:$9&amp;" "&amp;'Exh. No. BGM-13R -3'!$10:$10,1,MATCH(D38,'Exh. No. BGM-13R -3'!$11:$11,0))</f>
        <v>Pro Forma  Employee  Benefits</v>
      </c>
      <c r="G38" s="176"/>
      <c r="I38" s="289">
        <v>-750.1</v>
      </c>
      <c r="J38" s="289"/>
      <c r="K38" s="289">
        <v>0</v>
      </c>
      <c r="L38" s="289"/>
      <c r="M38" s="548">
        <f t="shared" si="8"/>
        <v>1210.1041518784766</v>
      </c>
      <c r="P38" s="289">
        <f t="shared" si="9"/>
        <v>-750.1</v>
      </c>
      <c r="Q38" s="289"/>
      <c r="R38" s="289">
        <f t="shared" si="10"/>
        <v>0</v>
      </c>
      <c r="S38" s="289"/>
      <c r="T38" s="289">
        <f t="shared" si="11"/>
        <v>1210.1041518784766</v>
      </c>
      <c r="W38" s="289">
        <v>0</v>
      </c>
      <c r="X38" s="289"/>
      <c r="Y38" s="289">
        <f t="shared" si="14"/>
        <v>0</v>
      </c>
      <c r="Z38" s="289"/>
      <c r="AA38" s="289">
        <v>0</v>
      </c>
      <c r="AB38" s="790"/>
      <c r="AC38" s="289">
        <f t="shared" si="12"/>
        <v>0</v>
      </c>
      <c r="AE38" s="25" t="s">
        <v>845</v>
      </c>
      <c r="AG38" s="803"/>
      <c r="AH38" s="176"/>
    </row>
    <row r="39" spans="2:34">
      <c r="B39" s="25">
        <f t="shared" ca="1" si="5"/>
        <v>28</v>
      </c>
      <c r="D39" s="383">
        <f t="shared" ca="1" si="13"/>
        <v>3.0499999999999989</v>
      </c>
      <c r="F39" s="25" t="str">
        <f ca="1">+INDEX('Exh. No. BGM-13R -3'!$8:$8&amp;" "&amp;'Exh. No. BGM-13R -3'!$9:$9&amp;" "&amp;'Exh. No. BGM-13R -3'!$10:$10,1,MATCH(D39,'Exh. No. BGM-13R -3'!$11:$11,0))</f>
        <v>Pro Forma  Regulatory  Amortization Adj</v>
      </c>
      <c r="G39" s="176"/>
      <c r="I39" s="289">
        <v>255.45000000000002</v>
      </c>
      <c r="J39" s="289"/>
      <c r="K39" s="289">
        <v>0</v>
      </c>
      <c r="L39" s="289"/>
      <c r="M39" s="548">
        <f t="shared" si="8"/>
        <v>-412.10652659293009</v>
      </c>
      <c r="P39" s="289">
        <f t="shared" ca="1" si="9"/>
        <v>1108.25</v>
      </c>
      <c r="Q39" s="289"/>
      <c r="R39" s="289">
        <f t="shared" ca="1" si="10"/>
        <v>0</v>
      </c>
      <c r="S39" s="289"/>
      <c r="T39" s="289">
        <f t="shared" ca="1" si="11"/>
        <v>-1787.8921828013888</v>
      </c>
      <c r="W39" s="289">
        <f t="shared" ref="W39:W41" ca="1" si="15">+Y39/(1-$AI$5)</f>
        <v>1311.9999999999998</v>
      </c>
      <c r="X39" s="289"/>
      <c r="Y39" s="862">
        <f ca="1">+INDEX('[2]ADJ DETAIL-INPUT'!$56:$56,1,MATCH(D39,'[2]ADJ DETAIL-INPUT'!$10:$10,0))-I39</f>
        <v>852.8</v>
      </c>
      <c r="Z39" s="289"/>
      <c r="AA39" s="862">
        <f ca="1">+INDEX('[2]ADJ DETAIL-INPUT'!$80:$80,1,MATCH(D39,'[2]ADJ DETAIL-INPUT'!$10:$10,0))-K39</f>
        <v>0</v>
      </c>
      <c r="AB39" s="790"/>
      <c r="AC39" s="289">
        <f t="shared" ca="1" si="12"/>
        <v>-1375.7856562084587</v>
      </c>
      <c r="AE39" s="25" t="s">
        <v>857</v>
      </c>
      <c r="AG39" s="803"/>
      <c r="AH39" s="176"/>
    </row>
    <row r="40" spans="2:34">
      <c r="B40" s="25">
        <f t="shared" ca="1" si="5"/>
        <v>29</v>
      </c>
      <c r="D40" s="383">
        <f t="shared" ca="1" si="13"/>
        <v>3.0599999999999987</v>
      </c>
      <c r="F40" s="25" t="str">
        <f ca="1">+INDEX('Exh. No. BGM-13R -3'!$8:$8&amp;" "&amp;'Exh. No. BGM-13R -3'!$9:$9&amp;" "&amp;'Exh. No. BGM-13R -3'!$10:$10,1,MATCH(D40,'Exh. No. BGM-13R -3'!$11:$11,0))</f>
        <v>Pro Forma  Property Tax</v>
      </c>
      <c r="G40" s="176"/>
      <c r="I40" s="289">
        <v>-703.95</v>
      </c>
      <c r="J40" s="289"/>
      <c r="K40" s="289">
        <v>0</v>
      </c>
      <c r="L40" s="289"/>
      <c r="M40" s="548">
        <f t="shared" si="8"/>
        <v>1135.6523366415861</v>
      </c>
      <c r="P40" s="289">
        <f t="shared" ca="1" si="9"/>
        <v>-678.6</v>
      </c>
      <c r="Q40" s="289"/>
      <c r="R40" s="289">
        <f t="shared" ca="1" si="10"/>
        <v>0</v>
      </c>
      <c r="S40" s="289"/>
      <c r="T40" s="289">
        <f t="shared" ca="1" si="11"/>
        <v>1094.7562691170967</v>
      </c>
      <c r="W40" s="289">
        <f t="shared" ca="1" si="15"/>
        <v>39.000000000000036</v>
      </c>
      <c r="X40" s="289"/>
      <c r="Y40" s="862">
        <f ca="1">+INDEX('[2]ADJ DETAIL-INPUT'!$56:$56,1,MATCH(D40,'[2]ADJ DETAIL-INPUT'!$10:$10,0))-I40</f>
        <v>25.350000000000023</v>
      </c>
      <c r="Z40" s="289"/>
      <c r="AA40" s="862">
        <f ca="1">+INDEX('[2]ADJ DETAIL-INPUT'!$80:$80,1,MATCH(D40,'[2]ADJ DETAIL-INPUT'!$10:$10,0))-K40</f>
        <v>0</v>
      </c>
      <c r="AB40" s="790"/>
      <c r="AC40" s="289">
        <f t="shared" ca="1" si="12"/>
        <v>-40.896067524489283</v>
      </c>
      <c r="AE40" s="25" t="s">
        <v>857</v>
      </c>
      <c r="AG40" s="803"/>
      <c r="AH40" s="176"/>
    </row>
    <row r="41" spans="2:34">
      <c r="B41" s="25">
        <f t="shared" ca="1" si="5"/>
        <v>30</v>
      </c>
      <c r="D41" s="383">
        <f t="shared" ca="1" si="13"/>
        <v>3.0699999999999985</v>
      </c>
      <c r="F41" s="25" t="str">
        <f ca="1">+INDEX('Exh. No. BGM-13R -3'!$8:$8&amp;" "&amp;'Exh. No. BGM-13R -3'!$9:$9&amp;" "&amp;'Exh. No. BGM-13R -3'!$10:$10,1,MATCH(D41,'Exh. No. BGM-13R -3'!$11:$11,0))</f>
        <v>Pro Forma   Meter Deferral &amp; Amortization</v>
      </c>
      <c r="G41" s="176"/>
      <c r="I41" s="289">
        <v>-749.27666666666664</v>
      </c>
      <c r="J41" s="289"/>
      <c r="K41" s="289">
        <v>0</v>
      </c>
      <c r="L41" s="289"/>
      <c r="M41" s="548">
        <f t="shared" si="8"/>
        <v>1208.7759035315273</v>
      </c>
      <c r="P41" s="289">
        <f t="shared" si="9"/>
        <v>0</v>
      </c>
      <c r="Q41" s="289"/>
      <c r="R41" s="289">
        <f t="shared" si="10"/>
        <v>0</v>
      </c>
      <c r="S41" s="289"/>
      <c r="T41" s="289">
        <f t="shared" si="11"/>
        <v>0</v>
      </c>
      <c r="W41" s="289">
        <f t="shared" si="15"/>
        <v>1152.7333333333338</v>
      </c>
      <c r="X41" s="289"/>
      <c r="Y41" s="289">
        <v>749.27666666666698</v>
      </c>
      <c r="Z41" s="289"/>
      <c r="AA41" s="289">
        <v>0</v>
      </c>
      <c r="AB41" s="790"/>
      <c r="AC41" s="289">
        <f t="shared" si="12"/>
        <v>-1208.775903531528</v>
      </c>
      <c r="AE41" s="25" t="s">
        <v>847</v>
      </c>
      <c r="AG41" s="803"/>
      <c r="AH41" s="176"/>
    </row>
    <row r="42" spans="2:34">
      <c r="B42" s="25">
        <f t="shared" ca="1" si="5"/>
        <v>31</v>
      </c>
      <c r="D42" s="383">
        <f t="shared" ca="1" si="13"/>
        <v>3.0799999999999983</v>
      </c>
      <c r="F42" s="25" t="str">
        <f ca="1">+INDEX('Exh. No. BGM-13R -3'!$8:$8&amp;" "&amp;'Exh. No. BGM-13R -3'!$9:$9&amp;" "&amp;'Exh. No. BGM-13R -3'!$10:$10,1,MATCH(D42,'Exh. No. BGM-13R -3'!$11:$11,0))</f>
        <v>Pro Forma Revenue  Normalization</v>
      </c>
      <c r="G42" s="176"/>
      <c r="I42" s="289">
        <v>-1987.7</v>
      </c>
      <c r="J42" s="289"/>
      <c r="K42" s="289">
        <v>0</v>
      </c>
      <c r="L42" s="289"/>
      <c r="M42" s="548">
        <f t="shared" si="8"/>
        <v>3206.671140766362</v>
      </c>
      <c r="P42" s="289">
        <f t="shared" si="9"/>
        <v>-1987.7</v>
      </c>
      <c r="Q42" s="289"/>
      <c r="R42" s="289">
        <f t="shared" si="10"/>
        <v>0</v>
      </c>
      <c r="S42" s="289"/>
      <c r="T42" s="289">
        <f t="shared" si="11"/>
        <v>3206.671140766362</v>
      </c>
      <c r="W42" s="289">
        <v>0</v>
      </c>
      <c r="X42" s="289"/>
      <c r="Y42" s="289">
        <f t="shared" si="14"/>
        <v>0</v>
      </c>
      <c r="Z42" s="289"/>
      <c r="AA42" s="289">
        <v>0</v>
      </c>
      <c r="AB42" s="790"/>
      <c r="AC42" s="289">
        <f t="shared" si="12"/>
        <v>0</v>
      </c>
      <c r="AE42" s="25" t="s">
        <v>845</v>
      </c>
      <c r="AG42" s="803"/>
      <c r="AH42" s="176"/>
    </row>
    <row r="43" spans="2:34">
      <c r="B43" s="25">
        <f t="shared" ca="1" si="5"/>
        <v>32</v>
      </c>
      <c r="D43" s="383">
        <f t="shared" ca="1" si="13"/>
        <v>3.0899999999999981</v>
      </c>
      <c r="F43" s="25" t="str">
        <f ca="1">+INDEX('Exh. No. BGM-13R -3'!$8:$8&amp;" "&amp;'Exh. No. BGM-13R -3'!$9:$9&amp;" "&amp;'Exh. No. BGM-13R -3'!$10:$10,1,MATCH(D43,'Exh. No. BGM-13R -3'!$11:$11,0))</f>
        <v>Pro Forma  Capital Add Dec 2015 AMA</v>
      </c>
      <c r="G43" s="176"/>
      <c r="I43" s="289">
        <v>-1062.12842</v>
      </c>
      <c r="J43" s="289"/>
      <c r="K43" s="289">
        <v>18307</v>
      </c>
      <c r="L43" s="289"/>
      <c r="M43" s="548">
        <f t="shared" si="8"/>
        <v>3854.6938038021249</v>
      </c>
      <c r="P43" s="289">
        <f t="shared" ca="1" si="9"/>
        <v>-1235.4465112324001</v>
      </c>
      <c r="Q43" s="289"/>
      <c r="R43" s="289">
        <f t="shared" ca="1" si="10"/>
        <v>21609</v>
      </c>
      <c r="S43" s="289"/>
      <c r="T43" s="289">
        <f t="shared" ca="1" si="11"/>
        <v>4520.5061291386501</v>
      </c>
      <c r="W43" s="289">
        <f ca="1">+Y43/(1-$AI$5)</f>
        <v>-266.64321728061554</v>
      </c>
      <c r="X43" s="289"/>
      <c r="Y43" s="862">
        <f ca="1">+INDEX('[2]ADJ DETAIL-INPUT'!$56:$56,1,MATCH(D43,'[2]ADJ DETAIL-INPUT'!$10:$10,0))-I43</f>
        <v>-173.31809123240009</v>
      </c>
      <c r="Z43" s="289"/>
      <c r="AA43" s="862">
        <f ca="1">+INDEX('[2]ADJ DETAIL-INPUT'!$80:$80,1,MATCH(D43,'[2]ADJ DETAIL-INPUT'!$10:$10,0))-K43</f>
        <v>3302</v>
      </c>
      <c r="AB43" s="790"/>
      <c r="AC43" s="289">
        <f t="shared" ca="1" si="12"/>
        <v>665.81232533652565</v>
      </c>
      <c r="AE43" s="25" t="s">
        <v>857</v>
      </c>
      <c r="AG43" s="803"/>
      <c r="AH43" s="176"/>
    </row>
    <row r="44" spans="2:34">
      <c r="B44" s="25">
        <f t="shared" ca="1" si="5"/>
        <v>33</v>
      </c>
      <c r="D44" s="383">
        <f t="shared" ca="1" si="13"/>
        <v>3.0999999999999979</v>
      </c>
      <c r="F44" s="25" t="str">
        <f ca="1">+INDEX('Exh. No. BGM-13R -3'!$8:$8&amp;" "&amp;'Exh. No. BGM-13R -3'!$9:$9&amp;" "&amp;'Exh. No. BGM-13R -3'!$10:$10,1,MATCH(D44,'Exh. No. BGM-13R -3'!$11:$11,0))</f>
        <v>Pro Forma  2016 Limited Capital Adds</v>
      </c>
      <c r="G44" s="176"/>
      <c r="I44" s="289">
        <v>-346.65140000000019</v>
      </c>
      <c r="J44" s="289"/>
      <c r="K44" s="289">
        <v>86690</v>
      </c>
      <c r="L44" s="289"/>
      <c r="M44" s="548">
        <f t="shared" si="8"/>
        <v>10698.599047533009</v>
      </c>
      <c r="P44" s="289">
        <f t="shared" ca="1" si="9"/>
        <v>35.006864048399848</v>
      </c>
      <c r="Q44" s="289"/>
      <c r="R44" s="289">
        <f t="shared" ca="1" si="10"/>
        <v>60831</v>
      </c>
      <c r="S44" s="289"/>
      <c r="T44" s="289">
        <f t="shared" ca="1" si="11"/>
        <v>7058.3880269730153</v>
      </c>
      <c r="W44" s="289">
        <f t="shared" ref="W44:W45" ca="1" si="16">+Y44/(1-$AI$5)</f>
        <v>587.16656007446159</v>
      </c>
      <c r="X44" s="289"/>
      <c r="Y44" s="862">
        <f ca="1">+INDEX('[2]ADJ DETAIL-INPUT'!$56:$56,1,MATCH(D44,'[2]ADJ DETAIL-INPUT'!$10:$10,0))-I44</f>
        <v>381.65826404840004</v>
      </c>
      <c r="Z44" s="289"/>
      <c r="AA44" s="862">
        <f ca="1">+INDEX('[2]ADJ DETAIL-INPUT'!$80:$80,1,MATCH(D44,'[2]ADJ DETAIL-INPUT'!$10:$10,0))-K44</f>
        <v>-25859</v>
      </c>
      <c r="AB44" s="790"/>
      <c r="AC44" s="289">
        <f t="shared" ca="1" si="12"/>
        <v>-3640.2110205599947</v>
      </c>
      <c r="AE44" s="25" t="s">
        <v>857</v>
      </c>
      <c r="AG44" s="803"/>
      <c r="AH44" s="176"/>
    </row>
    <row r="45" spans="2:34">
      <c r="B45" s="25">
        <f t="shared" ca="1" si="5"/>
        <v>34</v>
      </c>
      <c r="D45" s="383">
        <f t="shared" ca="1" si="13"/>
        <v>3.1099999999999977</v>
      </c>
      <c r="F45" s="25" t="str">
        <f ca="1">+INDEX('Exh. No. BGM-13R -3'!$8:$8&amp;" "&amp;'Exh. No. BGM-13R -3'!$9:$9&amp;" "&amp;'Exh. No. BGM-13R -3'!$10:$10,1,MATCH(D45,'Exh. No. BGM-13R -3'!$11:$11,0))</f>
        <v>Pro Forma  O&amp;M   Offsets</v>
      </c>
      <c r="G45" s="176"/>
      <c r="I45" s="289">
        <v>132.60000000000002</v>
      </c>
      <c r="J45" s="289"/>
      <c r="K45" s="289">
        <v>0</v>
      </c>
      <c r="L45" s="289"/>
      <c r="M45" s="548">
        <f t="shared" si="8"/>
        <v>-213.91789166655917</v>
      </c>
      <c r="P45" s="289">
        <f t="shared" ca="1" si="9"/>
        <v>0</v>
      </c>
      <c r="Q45" s="289"/>
      <c r="R45" s="289">
        <f t="shared" ca="1" si="10"/>
        <v>0</v>
      </c>
      <c r="S45" s="289"/>
      <c r="T45" s="289">
        <f t="shared" ca="1" si="11"/>
        <v>0</v>
      </c>
      <c r="W45" s="289">
        <f t="shared" ca="1" si="16"/>
        <v>-204.00000000000003</v>
      </c>
      <c r="X45" s="289"/>
      <c r="Y45" s="862">
        <f ca="1">+INDEX('[2]ADJ DETAIL-INPUT'!$56:$56,1,MATCH(D45,'[2]ADJ DETAIL-INPUT'!$10:$10,0))-I45</f>
        <v>-132.60000000000002</v>
      </c>
      <c r="Z45" s="289"/>
      <c r="AA45" s="862">
        <f ca="1">+INDEX('[2]ADJ DETAIL-INPUT'!$80:$80,1,MATCH(D45,'[2]ADJ DETAIL-INPUT'!$10:$10,0))-K45</f>
        <v>0</v>
      </c>
      <c r="AB45" s="790"/>
      <c r="AC45" s="289">
        <f t="shared" ca="1" si="12"/>
        <v>213.91789166655917</v>
      </c>
      <c r="AE45" s="25" t="s">
        <v>857</v>
      </c>
      <c r="AG45" s="803"/>
      <c r="AH45" s="176"/>
    </row>
    <row r="46" spans="2:34">
      <c r="B46" s="25">
        <f t="shared" ca="1" si="5"/>
        <v>35</v>
      </c>
      <c r="D46" s="383">
        <f t="shared" ca="1" si="13"/>
        <v>3.1199999999999974</v>
      </c>
      <c r="F46" s="25" t="str">
        <f ca="1">+INDEX('Exh. No. BGM-13R -3'!$8:$8&amp;" "&amp;'Exh. No. BGM-13R -3'!$9:$9&amp;" "&amp;'Exh. No. BGM-13R -3'!$10:$10,1,MATCH(D46,'Exh. No. BGM-13R -3'!$11:$11,0))</f>
        <v>PF Major Maint Normalize CS2/Colstrip</v>
      </c>
      <c r="G46" s="176"/>
      <c r="I46" s="290">
        <v>-534.29999999999995</v>
      </c>
      <c r="J46" s="289"/>
      <c r="K46" s="290">
        <v>0</v>
      </c>
      <c r="L46" s="289"/>
      <c r="M46" s="290">
        <f t="shared" si="8"/>
        <v>861.96326936231173</v>
      </c>
      <c r="P46" s="290">
        <f t="shared" si="9"/>
        <v>-534.29999999999995</v>
      </c>
      <c r="Q46" s="289"/>
      <c r="R46" s="290">
        <f t="shared" si="10"/>
        <v>0</v>
      </c>
      <c r="S46" s="289"/>
      <c r="T46" s="290">
        <f t="shared" si="11"/>
        <v>861.96326936231173</v>
      </c>
      <c r="W46" s="290">
        <v>0</v>
      </c>
      <c r="X46" s="289"/>
      <c r="Y46" s="290">
        <f t="shared" si="14"/>
        <v>0</v>
      </c>
      <c r="Z46" s="289"/>
      <c r="AA46" s="290">
        <v>0</v>
      </c>
      <c r="AB46" s="790"/>
      <c r="AC46" s="290">
        <f t="shared" si="12"/>
        <v>0</v>
      </c>
      <c r="AE46" s="25" t="s">
        <v>845</v>
      </c>
      <c r="AG46" s="803"/>
      <c r="AH46" s="176"/>
    </row>
    <row r="47" spans="2:34">
      <c r="D47" s="383"/>
      <c r="G47" s="176"/>
      <c r="I47" s="289"/>
      <c r="J47" s="289"/>
      <c r="K47" s="289"/>
      <c r="L47" s="289"/>
      <c r="M47" s="289"/>
      <c r="P47" s="289"/>
      <c r="Q47" s="289"/>
      <c r="R47" s="289"/>
      <c r="S47" s="289"/>
      <c r="T47" s="289"/>
      <c r="W47" s="790"/>
      <c r="X47" s="790"/>
      <c r="Y47" s="790"/>
      <c r="Z47" s="790"/>
      <c r="AA47" s="790"/>
      <c r="AB47" s="790"/>
      <c r="AC47" s="790"/>
      <c r="AG47" s="803"/>
      <c r="AH47" s="176"/>
    </row>
    <row r="48" spans="2:34" ht="13.5" thickBot="1">
      <c r="B48" s="25">
        <f t="shared" ca="1" si="5"/>
        <v>36</v>
      </c>
      <c r="D48" s="383"/>
      <c r="F48" s="105" t="s">
        <v>822</v>
      </c>
      <c r="G48" s="176"/>
      <c r="I48" s="788">
        <f>+SUM(I$31:I$47)</f>
        <v>100468.24476333335</v>
      </c>
      <c r="J48" s="289"/>
      <c r="K48" s="788">
        <f>+SUM(K$31:K$47)</f>
        <v>1411117</v>
      </c>
      <c r="L48" s="289"/>
      <c r="M48" s="788">
        <f>+($K48*$AK$12-$I48)/$AI$4</f>
        <v>2964.74345447818</v>
      </c>
      <c r="P48" s="788">
        <f ca="1">+SUM(P$31:P$47)</f>
        <v>105324.0178785132</v>
      </c>
      <c r="Q48" s="289"/>
      <c r="R48" s="788">
        <f ca="1">+SUM(R$31:R$47)</f>
        <v>1383129</v>
      </c>
      <c r="S48" s="289"/>
      <c r="T48" s="788">
        <f ca="1">+($R48*$AK$12-$P48)/$AI$4</f>
        <v>-8142.3753896228745</v>
      </c>
      <c r="W48" s="788">
        <f ca="1">+SUM(W$31:W$47)</f>
        <v>7927.4896679690273</v>
      </c>
      <c r="X48" s="790"/>
      <c r="Y48" s="788">
        <f ca="1">+SUM(Y$31:Y$47)</f>
        <v>4855.7731151798662</v>
      </c>
      <c r="Z48" s="289"/>
      <c r="AA48" s="788">
        <f ca="1">+SUM(AA$31:AA$47)</f>
        <v>-27988</v>
      </c>
      <c r="AB48" s="289"/>
      <c r="AC48" s="788">
        <f ca="1">+($AA48*$AK$12-$Y48)/$AI$4</f>
        <v>-11107.118844101071</v>
      </c>
      <c r="AG48" s="803"/>
      <c r="AH48" s="176"/>
    </row>
    <row r="49" spans="20:29" ht="13.5" thickTop="1">
      <c r="W49" s="790"/>
      <c r="X49" s="790"/>
      <c r="Y49" s="790"/>
      <c r="Z49" s="790"/>
      <c r="AA49" s="790"/>
      <c r="AB49" s="790"/>
      <c r="AC49" s="790"/>
    </row>
    <row r="50" spans="20:29">
      <c r="T50" s="289"/>
    </row>
    <row r="51" spans="20:29">
      <c r="T51" s="289"/>
    </row>
  </sheetData>
  <pageMargins left="0.25" right="0.25" top="1.5" bottom="0.75" header="0.8" footer="0.3"/>
  <pageSetup scale="75" orientation="portrait" r:id="rId1"/>
  <colBreaks count="1" manualBreakCount="1">
    <brk id="20"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A91"/>
  <sheetViews>
    <sheetView topLeftCell="A52" zoomScaleNormal="100" zoomScaleSheetLayoutView="55" workbookViewId="0"/>
  </sheetViews>
  <sheetFormatPr defaultColWidth="9.140625" defaultRowHeight="12.75"/>
  <cols>
    <col min="1" max="1" width="4.7109375" style="3" customWidth="1"/>
    <col min="2" max="3" width="1.7109375" style="2" customWidth="1"/>
    <col min="4" max="4" width="38.28515625" style="2" customWidth="1"/>
    <col min="5" max="11" width="12.5703125" style="262" customWidth="1"/>
    <col min="12" max="12" width="9.140625" style="25"/>
    <col min="13" max="13" width="10.5703125" style="25" customWidth="1"/>
    <col min="14" max="14" width="9.140625" style="25"/>
    <col min="15" max="15" width="11.140625" style="25" bestFit="1" customWidth="1"/>
    <col min="16" max="17" width="9.140625" style="25"/>
    <col min="18" max="18" width="11.140625" style="25" bestFit="1" customWidth="1"/>
    <col min="19" max="19" width="9.140625" style="51"/>
    <col min="20" max="38" width="9.140625" style="25"/>
    <col min="39" max="39" width="14.7109375" style="25" customWidth="1"/>
    <col min="40" max="16384" width="9.140625" style="25"/>
  </cols>
  <sheetData>
    <row r="1" spans="1:24">
      <c r="A1" s="827" t="str">
        <f>'Exh. No. BGM-13R -3'!A2</f>
        <v>Traditional Revenue Requirement Calculations for Avista Corporation</v>
      </c>
      <c r="D1" s="3"/>
    </row>
    <row r="2" spans="1:24">
      <c r="A2" s="1" t="str">
        <f>'Exh. No. BGM-13R -3'!A3</f>
        <v>Washington Electric Pro Forma Revenue Requirement</v>
      </c>
      <c r="D2" s="3"/>
    </row>
    <row r="3" spans="1:24">
      <c r="A3" s="1" t="str">
        <f>'Exh. No. BGM-13R -3'!A5</f>
        <v>Twelve Months Ended September 31, 2015</v>
      </c>
      <c r="D3" s="3"/>
    </row>
    <row r="4" spans="1:24">
      <c r="A4" s="1" t="str">
        <f>'Exh. No. BGM-13R -3'!A6</f>
        <v xml:space="preserve">($000)   </v>
      </c>
      <c r="B4" s="574"/>
      <c r="C4" s="574"/>
      <c r="D4" s="575"/>
      <c r="E4" s="25"/>
      <c r="F4" s="25"/>
      <c r="G4" s="25"/>
      <c r="H4" s="25"/>
      <c r="I4" s="25"/>
      <c r="J4" s="25"/>
      <c r="K4" s="25"/>
    </row>
    <row r="5" spans="1:24">
      <c r="D5" s="3"/>
      <c r="E5" s="25"/>
      <c r="F5" s="25"/>
      <c r="G5" s="25"/>
      <c r="H5" s="25"/>
      <c r="I5" s="25"/>
      <c r="J5" s="25"/>
      <c r="K5" s="25"/>
    </row>
    <row r="6" spans="1:24">
      <c r="A6" s="25"/>
      <c r="B6" s="5"/>
      <c r="C6" s="5"/>
      <c r="D6" s="4"/>
      <c r="E6" s="283" t="s">
        <v>166</v>
      </c>
      <c r="F6" s="284"/>
      <c r="G6" s="284"/>
      <c r="H6" s="284"/>
      <c r="I6" s="285"/>
      <c r="J6" s="283" t="s">
        <v>852</v>
      </c>
      <c r="K6" s="285"/>
      <c r="X6" s="529"/>
    </row>
    <row r="7" spans="1:24">
      <c r="A7" s="6"/>
      <c r="B7" s="7"/>
      <c r="C7" s="8"/>
      <c r="D7" s="9"/>
      <c r="E7" s="815" t="s">
        <v>167</v>
      </c>
      <c r="F7" s="815" t="s">
        <v>831</v>
      </c>
      <c r="G7" s="815"/>
      <c r="H7" s="815" t="s">
        <v>831</v>
      </c>
      <c r="I7" s="816"/>
      <c r="J7" s="815" t="s">
        <v>168</v>
      </c>
      <c r="K7" s="816"/>
    </row>
    <row r="8" spans="1:24">
      <c r="A8" s="10" t="s">
        <v>7</v>
      </c>
      <c r="B8" s="11"/>
      <c r="C8" s="12"/>
      <c r="D8" s="13"/>
      <c r="E8" s="817" t="s">
        <v>832</v>
      </c>
      <c r="F8" s="817" t="s">
        <v>833</v>
      </c>
      <c r="G8" s="817" t="s">
        <v>834</v>
      </c>
      <c r="H8" s="817" t="s">
        <v>232</v>
      </c>
      <c r="I8" s="817" t="s">
        <v>835</v>
      </c>
      <c r="J8" s="817" t="s">
        <v>169</v>
      </c>
      <c r="K8" s="817" t="s">
        <v>168</v>
      </c>
    </row>
    <row r="9" spans="1:24">
      <c r="A9" s="14" t="s">
        <v>19</v>
      </c>
      <c r="B9" s="15"/>
      <c r="C9" s="16"/>
      <c r="D9" s="17" t="s">
        <v>20</v>
      </c>
      <c r="E9" s="818" t="s">
        <v>851</v>
      </c>
      <c r="F9" s="819" t="s">
        <v>144</v>
      </c>
      <c r="G9" s="819" t="s">
        <v>133</v>
      </c>
      <c r="H9" s="819" t="s">
        <v>144</v>
      </c>
      <c r="I9" s="819" t="s">
        <v>133</v>
      </c>
      <c r="J9" s="819" t="s">
        <v>170</v>
      </c>
      <c r="K9" s="819" t="s">
        <v>133</v>
      </c>
    </row>
    <row r="10" spans="1:24">
      <c r="A10" s="18"/>
      <c r="B10" s="19"/>
      <c r="C10" s="19"/>
      <c r="D10" s="19" t="s">
        <v>31</v>
      </c>
      <c r="E10" s="820" t="s">
        <v>32</v>
      </c>
      <c r="F10" s="820" t="s">
        <v>33</v>
      </c>
      <c r="G10" s="820" t="s">
        <v>34</v>
      </c>
      <c r="H10" s="820" t="s">
        <v>35</v>
      </c>
      <c r="I10" s="820" t="s">
        <v>36</v>
      </c>
      <c r="J10" s="820" t="s">
        <v>791</v>
      </c>
      <c r="K10" s="820" t="s">
        <v>836</v>
      </c>
    </row>
    <row r="11" spans="1:24" ht="5.25" customHeight="1"/>
    <row r="12" spans="1:24" ht="5.25" customHeight="1"/>
    <row r="13" spans="1:24" ht="1.5" customHeight="1"/>
    <row r="14" spans="1:24">
      <c r="B14" s="2" t="s">
        <v>37</v>
      </c>
    </row>
    <row r="15" spans="1:24">
      <c r="A15" s="587">
        <v>1</v>
      </c>
      <c r="B15" s="21" t="s">
        <v>38</v>
      </c>
      <c r="C15" s="21"/>
      <c r="D15" s="21"/>
      <c r="E15" s="21">
        <f>'Exh. No. BGM-13R -3'!E15</f>
        <v>512020</v>
      </c>
      <c r="F15" s="588">
        <f>+SUM('Exh. No. BGM-13R -3'!F15:Y15)</f>
        <v>-12697</v>
      </c>
      <c r="G15" s="588">
        <f>+E15+F15</f>
        <v>499323</v>
      </c>
      <c r="H15" s="588">
        <f>+SUM('Exh. No. BGM-13R -3'!AC15:AO15)</f>
        <v>-5179</v>
      </c>
      <c r="I15" s="588">
        <f>+G15+H15</f>
        <v>494144</v>
      </c>
      <c r="J15" s="588">
        <f ca="1">'Exh. No. BGM-13R -4'!J9</f>
        <v>-8142</v>
      </c>
      <c r="K15" s="588">
        <f ca="1">I15+J15</f>
        <v>486002</v>
      </c>
    </row>
    <row r="16" spans="1:24">
      <c r="A16" s="587">
        <v>2</v>
      </c>
      <c r="B16" s="22" t="s">
        <v>39</v>
      </c>
      <c r="C16" s="22"/>
      <c r="D16" s="22"/>
      <c r="E16" s="264">
        <f>'Exh. No. BGM-13R -3'!E16</f>
        <v>920</v>
      </c>
      <c r="F16" s="601">
        <f>+SUM('Exh. No. BGM-13R -3'!F16:Y16)</f>
        <v>0</v>
      </c>
      <c r="G16" s="601">
        <f t="shared" ref="G16:G17" si="0">+E16+F16</f>
        <v>920</v>
      </c>
      <c r="H16" s="601">
        <f>+SUM('Exh. No. BGM-13R -3'!AC16:AO16)</f>
        <v>0</v>
      </c>
      <c r="I16" s="601">
        <f t="shared" ref="I16:I17" si="1">+G16+H16</f>
        <v>920</v>
      </c>
      <c r="J16" s="601"/>
      <c r="K16" s="601">
        <f t="shared" ref="K16:K17" si="2">I16+J16</f>
        <v>920</v>
      </c>
    </row>
    <row r="17" spans="1:14">
      <c r="A17" s="587">
        <v>3</v>
      </c>
      <c r="B17" s="22" t="s">
        <v>40</v>
      </c>
      <c r="C17" s="22"/>
      <c r="D17" s="22"/>
      <c r="E17" s="276">
        <f>'Exh. No. BGM-13R -3'!E17</f>
        <v>84664</v>
      </c>
      <c r="F17" s="614">
        <f>+SUM('Exh. No. BGM-13R -3'!F17:Y17)</f>
        <v>0</v>
      </c>
      <c r="G17" s="614">
        <f t="shared" si="0"/>
        <v>84664</v>
      </c>
      <c r="H17" s="614">
        <f>+SUM('Exh. No. BGM-13R -3'!AC17:AO17)</f>
        <v>-47454</v>
      </c>
      <c r="I17" s="614">
        <f t="shared" si="1"/>
        <v>37210</v>
      </c>
      <c r="J17" s="614"/>
      <c r="K17" s="614">
        <f t="shared" si="2"/>
        <v>37210</v>
      </c>
    </row>
    <row r="18" spans="1:14">
      <c r="A18" s="587">
        <v>4</v>
      </c>
      <c r="B18" s="22"/>
      <c r="C18" s="22" t="s">
        <v>41</v>
      </c>
      <c r="D18" s="22"/>
      <c r="E18" s="264">
        <f>SUM(E15:E17)</f>
        <v>597604</v>
      </c>
      <c r="F18" s="601"/>
      <c r="G18" s="601">
        <f>SUM(G15:G17)</f>
        <v>584907</v>
      </c>
      <c r="H18" s="601"/>
      <c r="I18" s="601">
        <f t="shared" ref="I18:K18" si="3">SUM(I15:I17)</f>
        <v>532274</v>
      </c>
      <c r="J18" s="601">
        <f t="shared" ca="1" si="3"/>
        <v>-8142</v>
      </c>
      <c r="K18" s="601">
        <f t="shared" ca="1" si="3"/>
        <v>524132</v>
      </c>
    </row>
    <row r="19" spans="1:14">
      <c r="A19" s="587">
        <v>5</v>
      </c>
      <c r="B19" s="22" t="s">
        <v>42</v>
      </c>
      <c r="C19" s="22"/>
      <c r="D19" s="22"/>
      <c r="E19" s="276">
        <f>'Exh. No. BGM-13R -3'!E19</f>
        <v>76513</v>
      </c>
      <c r="F19" s="614">
        <f>+SUM('Exh. No. BGM-13R -3'!F19:Y19)</f>
        <v>-14</v>
      </c>
      <c r="G19" s="614">
        <f>+E19+F19</f>
        <v>76499</v>
      </c>
      <c r="H19" s="614">
        <f>+SUM('Exh. No. BGM-13R -3'!AC19:AO19)</f>
        <v>-61475.778684500001</v>
      </c>
      <c r="I19" s="614">
        <f>+G19+H19</f>
        <v>15023.221315499999</v>
      </c>
      <c r="J19" s="614"/>
      <c r="K19" s="614">
        <f>I19+J19</f>
        <v>15023.221315499999</v>
      </c>
    </row>
    <row r="20" spans="1:14">
      <c r="A20" s="587">
        <v>6</v>
      </c>
      <c r="B20" s="22"/>
      <c r="C20" s="22" t="s">
        <v>43</v>
      </c>
      <c r="D20" s="22"/>
      <c r="E20" s="264">
        <f>SUM(E18:E19)</f>
        <v>674117</v>
      </c>
      <c r="F20" s="601"/>
      <c r="G20" s="601">
        <f t="shared" ref="G20:K20" si="4">SUM(G18:G19)</f>
        <v>661406</v>
      </c>
      <c r="H20" s="601"/>
      <c r="I20" s="601">
        <f t="shared" si="4"/>
        <v>547297.22131549998</v>
      </c>
      <c r="J20" s="601">
        <f t="shared" ca="1" si="4"/>
        <v>-8142</v>
      </c>
      <c r="K20" s="601">
        <f t="shared" ca="1" si="4"/>
        <v>539155.22131549998</v>
      </c>
    </row>
    <row r="21" spans="1:14" ht="5.25" customHeight="1">
      <c r="A21" s="587"/>
      <c r="B21" s="22"/>
      <c r="C21" s="22"/>
      <c r="D21" s="22"/>
      <c r="E21" s="264"/>
      <c r="F21" s="601"/>
      <c r="G21" s="601"/>
      <c r="H21" s="601"/>
      <c r="I21" s="601"/>
      <c r="J21" s="601"/>
      <c r="K21" s="601"/>
    </row>
    <row r="22" spans="1:14">
      <c r="A22" s="587"/>
      <c r="B22" s="22" t="s">
        <v>44</v>
      </c>
      <c r="C22" s="22"/>
      <c r="D22" s="22"/>
      <c r="E22" s="264"/>
      <c r="F22" s="601"/>
      <c r="G22" s="601"/>
      <c r="H22" s="601"/>
      <c r="I22" s="601"/>
      <c r="J22" s="601"/>
      <c r="K22" s="601"/>
      <c r="N22" s="289"/>
    </row>
    <row r="23" spans="1:14">
      <c r="A23" s="587"/>
      <c r="B23" s="22" t="s">
        <v>45</v>
      </c>
      <c r="C23" s="22"/>
      <c r="D23" s="22"/>
      <c r="E23" s="264"/>
      <c r="F23" s="601"/>
      <c r="G23" s="601"/>
      <c r="H23" s="601"/>
      <c r="I23" s="601"/>
      <c r="J23" s="601"/>
      <c r="K23" s="601"/>
    </row>
    <row r="24" spans="1:14">
      <c r="A24" s="587">
        <v>7</v>
      </c>
      <c r="B24" s="22"/>
      <c r="C24" s="22" t="s">
        <v>46</v>
      </c>
      <c r="D24" s="22"/>
      <c r="E24" s="264">
        <f>'Exh. No. BGM-13R -3'!E24</f>
        <v>189010</v>
      </c>
      <c r="F24" s="601">
        <f>+SUM('Exh. No. BGM-13R -3'!F24:Y24)</f>
        <v>906</v>
      </c>
      <c r="G24" s="601">
        <f t="shared" ref="G24:G28" si="5">+E24+F24</f>
        <v>189916</v>
      </c>
      <c r="H24" s="601">
        <f>+SUM('Exh. No. BGM-13R -3'!AC24:AO24)</f>
        <v>-60621.665431100002</v>
      </c>
      <c r="I24" s="601">
        <f t="shared" ref="I24:I28" si="6">+G24+H24</f>
        <v>129294.3345689</v>
      </c>
      <c r="J24" s="601"/>
      <c r="K24" s="601">
        <f>I24+J24</f>
        <v>129294.3345689</v>
      </c>
    </row>
    <row r="25" spans="1:14">
      <c r="A25" s="587">
        <v>8</v>
      </c>
      <c r="B25" s="22"/>
      <c r="C25" s="22" t="s">
        <v>47</v>
      </c>
      <c r="D25" s="22"/>
      <c r="E25" s="264">
        <f>'Exh. No. BGM-13R -3'!E25</f>
        <v>115031</v>
      </c>
      <c r="F25" s="601">
        <f>+SUM('Exh. No. BGM-13R -3'!F25:Y25)</f>
        <v>0</v>
      </c>
      <c r="G25" s="601">
        <f t="shared" si="5"/>
        <v>115031</v>
      </c>
      <c r="H25" s="601">
        <f>+SUM('Exh. No. BGM-13R -3'!AC25:AO25)</f>
        <v>-44662.570999999996</v>
      </c>
      <c r="I25" s="601">
        <f t="shared" si="6"/>
        <v>70368.429000000004</v>
      </c>
      <c r="J25" s="601"/>
      <c r="K25" s="601">
        <f t="shared" ref="K25:K28" si="7">I25+J25</f>
        <v>70368.429000000004</v>
      </c>
    </row>
    <row r="26" spans="1:14">
      <c r="A26" s="587">
        <v>9</v>
      </c>
      <c r="B26" s="22"/>
      <c r="C26" s="22" t="s">
        <v>564</v>
      </c>
      <c r="D26" s="22"/>
      <c r="E26" s="264">
        <f>'Exh. No. BGM-13R -3'!E26</f>
        <v>24379</v>
      </c>
      <c r="F26" s="601">
        <f>+SUM('Exh. No. BGM-13R -3'!F26:Y26)</f>
        <v>0</v>
      </c>
      <c r="G26" s="601">
        <f t="shared" si="5"/>
        <v>24379</v>
      </c>
      <c r="H26" s="601">
        <f>+SUM('Exh. No. BGM-13R -3'!AC26:AO26)</f>
        <v>993</v>
      </c>
      <c r="I26" s="601">
        <f t="shared" si="6"/>
        <v>25372</v>
      </c>
      <c r="J26" s="601"/>
      <c r="K26" s="601">
        <f t="shared" si="7"/>
        <v>25372</v>
      </c>
      <c r="N26" s="264"/>
    </row>
    <row r="27" spans="1:14">
      <c r="A27" s="587">
        <v>10</v>
      </c>
      <c r="B27" s="22"/>
      <c r="C27" s="22" t="s">
        <v>561</v>
      </c>
      <c r="D27" s="22"/>
      <c r="E27" s="264">
        <f>'Exh. No. BGM-13R -3'!E27</f>
        <v>-1445</v>
      </c>
      <c r="F27" s="601">
        <f>+SUM('Exh. No. BGM-13R -3'!F27:Y27)</f>
        <v>6669</v>
      </c>
      <c r="G27" s="601">
        <f t="shared" si="5"/>
        <v>5224</v>
      </c>
      <c r="H27" s="601">
        <f>+SUM('Exh. No. BGM-13R -3'!AC27:AO27)</f>
        <v>-1705</v>
      </c>
      <c r="I27" s="601">
        <f t="shared" si="6"/>
        <v>3519</v>
      </c>
      <c r="J27" s="601"/>
      <c r="K27" s="601">
        <f t="shared" si="7"/>
        <v>3519</v>
      </c>
    </row>
    <row r="28" spans="1:14">
      <c r="A28" s="587">
        <v>11</v>
      </c>
      <c r="B28" s="22"/>
      <c r="C28" s="22" t="s">
        <v>24</v>
      </c>
      <c r="D28" s="22"/>
      <c r="E28" s="276">
        <f>'Exh. No. BGM-13R -3'!E28</f>
        <v>13890</v>
      </c>
      <c r="F28" s="614">
        <f>+SUM('Exh. No. BGM-13R -3'!F28:Y28)</f>
        <v>-454</v>
      </c>
      <c r="G28" s="614">
        <f t="shared" si="5"/>
        <v>13436</v>
      </c>
      <c r="H28" s="614">
        <f>+SUM('Exh. No. BGM-13R -3'!AC28:AO28)</f>
        <v>637</v>
      </c>
      <c r="I28" s="614">
        <f t="shared" si="6"/>
        <v>14073</v>
      </c>
      <c r="J28" s="614"/>
      <c r="K28" s="614">
        <f t="shared" si="7"/>
        <v>14073</v>
      </c>
    </row>
    <row r="29" spans="1:14">
      <c r="A29" s="587">
        <v>12</v>
      </c>
      <c r="B29" s="22"/>
      <c r="C29" s="22"/>
      <c r="D29" s="22" t="s">
        <v>48</v>
      </c>
      <c r="E29" s="264">
        <f>SUM(E24:E28)</f>
        <v>340865</v>
      </c>
      <c r="F29" s="601">
        <f t="shared" ref="F29:I29" si="8">SUM(F24:F28)</f>
        <v>7121</v>
      </c>
      <c r="G29" s="601">
        <f t="shared" si="8"/>
        <v>347986</v>
      </c>
      <c r="H29" s="601">
        <f t="shared" si="8"/>
        <v>-105359.2364311</v>
      </c>
      <c r="I29" s="601">
        <f t="shared" si="8"/>
        <v>242626.7635689</v>
      </c>
      <c r="J29" s="601">
        <f t="shared" ref="J29:K29" si="9">SUM(J24:J28)</f>
        <v>0</v>
      </c>
      <c r="K29" s="601">
        <f t="shared" si="9"/>
        <v>242626.7635689</v>
      </c>
    </row>
    <row r="30" spans="1:14" ht="7.5" customHeight="1">
      <c r="A30" s="587"/>
      <c r="B30" s="22"/>
      <c r="C30" s="22"/>
      <c r="D30" s="22"/>
      <c r="E30" s="264"/>
      <c r="F30" s="601"/>
      <c r="G30" s="601"/>
      <c r="H30" s="601"/>
      <c r="I30" s="601"/>
      <c r="J30" s="601"/>
      <c r="K30" s="601"/>
    </row>
    <row r="31" spans="1:14">
      <c r="A31" s="587"/>
      <c r="B31" s="22" t="s">
        <v>49</v>
      </c>
      <c r="C31" s="22"/>
      <c r="D31" s="22"/>
      <c r="E31" s="264"/>
      <c r="F31" s="601"/>
      <c r="G31" s="601"/>
      <c r="H31" s="601"/>
      <c r="I31" s="601"/>
      <c r="J31" s="601"/>
      <c r="K31" s="601"/>
    </row>
    <row r="32" spans="1:14">
      <c r="A32" s="587">
        <v>13</v>
      </c>
      <c r="B32" s="22"/>
      <c r="C32" s="22" t="s">
        <v>46</v>
      </c>
      <c r="D32" s="22"/>
      <c r="E32" s="264">
        <f>'Exh. No. BGM-13R -3'!E32</f>
        <v>22961</v>
      </c>
      <c r="F32" s="601">
        <f>+SUM('Exh. No. BGM-13R -3'!F32:Y32)</f>
        <v>212</v>
      </c>
      <c r="G32" s="601">
        <f>+E32+F32</f>
        <v>23173</v>
      </c>
      <c r="H32" s="601">
        <f>+SUM('Exh. No. BGM-13R -3'!AC32:AO32)</f>
        <v>564.06371100000001</v>
      </c>
      <c r="I32" s="601">
        <f>+G32+H32</f>
        <v>23737.063710999999</v>
      </c>
      <c r="J32" s="601"/>
      <c r="K32" s="601">
        <f>I32+J32</f>
        <v>23737.063710999999</v>
      </c>
    </row>
    <row r="33" spans="1:11">
      <c r="A33" s="587">
        <v>14</v>
      </c>
      <c r="B33" s="22"/>
      <c r="C33" s="22" t="s">
        <v>564</v>
      </c>
      <c r="D33" s="22"/>
      <c r="E33" s="264">
        <f>'Exh. No. BGM-13R -3'!E33</f>
        <v>25024</v>
      </c>
      <c r="F33" s="601">
        <f>+SUM('Exh. No. BGM-13R -3'!F33:Y33)</f>
        <v>-79</v>
      </c>
      <c r="G33" s="601">
        <f t="shared" ref="G33:G35" si="10">+E33+F33</f>
        <v>24945</v>
      </c>
      <c r="H33" s="601">
        <f>+SUM('Exh. No. BGM-13R -3'!AC33:AO33)</f>
        <v>430</v>
      </c>
      <c r="I33" s="601">
        <f t="shared" ref="I33:I35" si="11">+G33+H33</f>
        <v>25375</v>
      </c>
      <c r="J33" s="601"/>
      <c r="K33" s="601">
        <f t="shared" ref="K33:K35" si="12">I33+J33</f>
        <v>25375</v>
      </c>
    </row>
    <row r="34" spans="1:11">
      <c r="A34" s="587">
        <v>15</v>
      </c>
      <c r="B34" s="589"/>
      <c r="C34" s="589" t="s">
        <v>561</v>
      </c>
      <c r="D34" s="589"/>
      <c r="E34" s="601">
        <f>'Exh. No. BGM-13R -3'!E34</f>
        <v>0</v>
      </c>
      <c r="F34" s="601">
        <f>+SUM('Exh. No. BGM-13R -3'!F34:Y34)</f>
        <v>0</v>
      </c>
      <c r="G34" s="601">
        <f t="shared" si="10"/>
        <v>0</v>
      </c>
      <c r="H34" s="601">
        <f>+SUM('Exh. No. BGM-13R -3'!AC34:AO34)</f>
        <v>0</v>
      </c>
      <c r="I34" s="601">
        <f t="shared" si="11"/>
        <v>0</v>
      </c>
      <c r="J34" s="601"/>
      <c r="K34" s="601">
        <f t="shared" ref="K34" si="13">I34+J34</f>
        <v>0</v>
      </c>
    </row>
    <row r="35" spans="1:11">
      <c r="A35" s="587">
        <v>16</v>
      </c>
      <c r="B35" s="22"/>
      <c r="C35" s="22" t="s">
        <v>24</v>
      </c>
      <c r="D35" s="22"/>
      <c r="E35" s="276">
        <f>'Exh. No. BGM-13R -3'!E35</f>
        <v>45055</v>
      </c>
      <c r="F35" s="614">
        <f>+SUM('Exh. No. BGM-13R -3'!F35:Y35)</f>
        <v>-18031</v>
      </c>
      <c r="G35" s="614">
        <f t="shared" si="10"/>
        <v>27024</v>
      </c>
      <c r="H35" s="614">
        <f>+SUM('Exh. No. BGM-13R -3'!AC35:AO35)</f>
        <v>208</v>
      </c>
      <c r="I35" s="614">
        <f t="shared" si="11"/>
        <v>27232</v>
      </c>
      <c r="J35" s="614">
        <f ca="1">'Exh. No. BGM-13R -4'!J16</f>
        <v>-314</v>
      </c>
      <c r="K35" s="614">
        <f t="shared" ca="1" si="12"/>
        <v>26918</v>
      </c>
    </row>
    <row r="36" spans="1:11">
      <c r="A36" s="587">
        <v>17</v>
      </c>
      <c r="B36" s="22"/>
      <c r="C36" s="22"/>
      <c r="D36" s="22" t="s">
        <v>50</v>
      </c>
      <c r="E36" s="264">
        <f>SUM(E32:E35)</f>
        <v>93040</v>
      </c>
      <c r="F36" s="601">
        <f t="shared" ref="F36:I36" si="14">SUM(F32:F35)</f>
        <v>-17898</v>
      </c>
      <c r="G36" s="601">
        <f t="shared" si="14"/>
        <v>75142</v>
      </c>
      <c r="H36" s="601">
        <f t="shared" si="14"/>
        <v>1202.063711</v>
      </c>
      <c r="I36" s="601">
        <f t="shared" si="14"/>
        <v>76344.063710999995</v>
      </c>
      <c r="J36" s="601">
        <f t="shared" ref="J36:K36" ca="1" si="15">SUM(J32:J35)</f>
        <v>-314</v>
      </c>
      <c r="K36" s="601">
        <f t="shared" ca="1" si="15"/>
        <v>76030.063710999995</v>
      </c>
    </row>
    <row r="37" spans="1:11" ht="6.75" customHeight="1">
      <c r="A37" s="587"/>
      <c r="B37" s="22"/>
      <c r="C37" s="22"/>
      <c r="D37" s="22"/>
      <c r="E37" s="264"/>
      <c r="F37" s="601"/>
      <c r="G37" s="601"/>
      <c r="H37" s="601"/>
      <c r="I37" s="601"/>
      <c r="J37" s="601"/>
      <c r="K37" s="601"/>
    </row>
    <row r="38" spans="1:11">
      <c r="A38" s="587">
        <v>18</v>
      </c>
      <c r="B38" s="22" t="s">
        <v>51</v>
      </c>
      <c r="C38" s="22"/>
      <c r="D38" s="22"/>
      <c r="E38" s="264">
        <f>'Exh. No. BGM-13R -3'!E38</f>
        <v>10543</v>
      </c>
      <c r="F38" s="601">
        <f>+SUM('Exh. No. BGM-13R -3'!F38:Y38)</f>
        <v>1183</v>
      </c>
      <c r="G38" s="601">
        <f t="shared" ref="G38:G40" si="16">+E38+F38</f>
        <v>11726</v>
      </c>
      <c r="H38" s="601">
        <f>+SUM('Exh. No. BGM-13R -3'!AC38:AO38)</f>
        <v>239.34576600000003</v>
      </c>
      <c r="I38" s="601">
        <f t="shared" ref="I38:I40" si="17">+G38+H38</f>
        <v>11965.345766</v>
      </c>
      <c r="J38" s="601">
        <f ca="1">'Exh. No. BGM-13R -4'!J12</f>
        <v>-48</v>
      </c>
      <c r="K38" s="601">
        <f ca="1">I38+J38</f>
        <v>11917.345766</v>
      </c>
    </row>
    <row r="39" spans="1:11">
      <c r="A39" s="587">
        <v>19</v>
      </c>
      <c r="B39" s="22" t="s">
        <v>52</v>
      </c>
      <c r="C39" s="22"/>
      <c r="D39" s="22"/>
      <c r="E39" s="264">
        <f>'Exh. No. BGM-13R -3'!E39</f>
        <v>19433</v>
      </c>
      <c r="F39" s="601">
        <f>+SUM('Exh. No. BGM-13R -3'!F39:Y39)</f>
        <v>-17905</v>
      </c>
      <c r="G39" s="601">
        <f t="shared" si="16"/>
        <v>1528</v>
      </c>
      <c r="H39" s="601">
        <f>+SUM('Exh. No. BGM-13R -3'!AC39:AO39)</f>
        <v>24.666779999999999</v>
      </c>
      <c r="I39" s="601">
        <f t="shared" si="17"/>
        <v>1552.66678</v>
      </c>
      <c r="J39" s="601"/>
      <c r="K39" s="601">
        <f t="shared" ref="K39:K40" si="18">I39+J39</f>
        <v>1552.66678</v>
      </c>
    </row>
    <row r="40" spans="1:11">
      <c r="A40" s="587">
        <v>20</v>
      </c>
      <c r="B40" s="22" t="s">
        <v>53</v>
      </c>
      <c r="C40" s="22"/>
      <c r="D40" s="22"/>
      <c r="E40" s="264">
        <f>'Exh. No. BGM-13R -3'!E40</f>
        <v>0</v>
      </c>
      <c r="F40" s="601">
        <f>+SUM('Exh. No. BGM-13R -3'!F40:Y40)</f>
        <v>0</v>
      </c>
      <c r="G40" s="601">
        <f t="shared" si="16"/>
        <v>0</v>
      </c>
      <c r="H40" s="601">
        <f>+SUM('Exh. No. BGM-13R -3'!AC40:AO40)</f>
        <v>0.20499999999999999</v>
      </c>
      <c r="I40" s="601">
        <f t="shared" si="17"/>
        <v>0.20499999999999999</v>
      </c>
      <c r="J40" s="601"/>
      <c r="K40" s="601">
        <f t="shared" si="18"/>
        <v>0.20499999999999999</v>
      </c>
    </row>
    <row r="41" spans="1:11" ht="6.75" customHeight="1">
      <c r="A41" s="587"/>
      <c r="B41" s="22"/>
      <c r="C41" s="22"/>
      <c r="D41" s="22"/>
      <c r="E41" s="264"/>
      <c r="F41" s="601"/>
      <c r="G41" s="601"/>
      <c r="H41" s="601"/>
      <c r="I41" s="601"/>
      <c r="J41" s="601"/>
      <c r="K41" s="601"/>
    </row>
    <row r="42" spans="1:11">
      <c r="A42" s="587"/>
      <c r="B42" s="22" t="s">
        <v>54</v>
      </c>
      <c r="C42" s="22"/>
      <c r="D42" s="22"/>
      <c r="E42" s="264"/>
      <c r="F42" s="601"/>
      <c r="G42" s="601"/>
      <c r="H42" s="601"/>
      <c r="I42" s="601"/>
      <c r="J42" s="601"/>
      <c r="K42" s="601"/>
    </row>
    <row r="43" spans="1:11">
      <c r="A43" s="587">
        <v>21</v>
      </c>
      <c r="B43" s="22"/>
      <c r="C43" s="22" t="s">
        <v>46</v>
      </c>
      <c r="D43" s="22"/>
      <c r="E43" s="264">
        <f>'Exh. No. BGM-13R -3'!E43</f>
        <v>49315</v>
      </c>
      <c r="F43" s="601">
        <f>+SUM('Exh. No. BGM-13R -3'!F43:Y43)</f>
        <v>-714.47299999999996</v>
      </c>
      <c r="G43" s="601">
        <f t="shared" ref="G43:G45" si="19">+E43+F43</f>
        <v>48600.527000000002</v>
      </c>
      <c r="H43" s="601">
        <f>+SUM('Exh. No. BGM-13R -3'!AC43:AO43)</f>
        <v>810.21618699999999</v>
      </c>
      <c r="I43" s="601">
        <f t="shared" ref="I43:I45" si="20">+G43+H43</f>
        <v>49410.743187</v>
      </c>
      <c r="J43" s="601">
        <f ca="1">'Exh. No. BGM-13R -4'!J14</f>
        <v>-16</v>
      </c>
      <c r="K43" s="601">
        <f t="shared" ref="K43:K45" ca="1" si="21">I43+J43</f>
        <v>49394.743187</v>
      </c>
    </row>
    <row r="44" spans="1:11">
      <c r="A44" s="587">
        <v>22</v>
      </c>
      <c r="B44" s="22"/>
      <c r="C44" s="22" t="s">
        <v>564</v>
      </c>
      <c r="D44" s="22"/>
      <c r="E44" s="264">
        <f>'Exh. No. BGM-13R -3'!E44</f>
        <v>20268</v>
      </c>
      <c r="F44" s="601">
        <f>+SUM('Exh. No. BGM-13R -3'!F44:Y44)</f>
        <v>0</v>
      </c>
      <c r="G44" s="601">
        <f t="shared" si="19"/>
        <v>20268</v>
      </c>
      <c r="H44" s="601">
        <f>+SUM('Exh. No. BGM-13R -3'!AC44:AO44)</f>
        <v>1684</v>
      </c>
      <c r="I44" s="601">
        <f t="shared" si="20"/>
        <v>21952</v>
      </c>
      <c r="J44" s="601"/>
      <c r="K44" s="601">
        <f t="shared" si="21"/>
        <v>21952</v>
      </c>
    </row>
    <row r="45" spans="1:11">
      <c r="A45" s="618">
        <v>23</v>
      </c>
      <c r="B45" s="22"/>
      <c r="C45" s="22" t="s">
        <v>24</v>
      </c>
      <c r="D45" s="22"/>
      <c r="E45" s="276">
        <f>'Exh. No. BGM-13R -3'!E45</f>
        <v>0</v>
      </c>
      <c r="F45" s="614">
        <f>+SUM('Exh. No. BGM-13R -3'!F45:Y45)</f>
        <v>0</v>
      </c>
      <c r="G45" s="614">
        <f t="shared" si="19"/>
        <v>0</v>
      </c>
      <c r="H45" s="614">
        <f>+SUM('Exh. No. BGM-13R -3'!AC45:AO45)</f>
        <v>0</v>
      </c>
      <c r="I45" s="614">
        <f t="shared" si="20"/>
        <v>0</v>
      </c>
      <c r="J45" s="614"/>
      <c r="K45" s="614">
        <f t="shared" si="21"/>
        <v>0</v>
      </c>
    </row>
    <row r="46" spans="1:11">
      <c r="A46" s="587">
        <v>24</v>
      </c>
      <c r="B46" s="22"/>
      <c r="C46" s="22"/>
      <c r="D46" s="22" t="s">
        <v>55</v>
      </c>
      <c r="E46" s="276">
        <f>SUM(E43:E45)</f>
        <v>69583</v>
      </c>
      <c r="F46" s="614">
        <f t="shared" ref="F46:H46" si="22">SUM(F43:F45)</f>
        <v>-714.47299999999996</v>
      </c>
      <c r="G46" s="614">
        <f t="shared" si="22"/>
        <v>68868.527000000002</v>
      </c>
      <c r="H46" s="614">
        <f t="shared" si="22"/>
        <v>2494.216187</v>
      </c>
      <c r="I46" s="614">
        <f>SUM(I43:I45)</f>
        <v>71362.743187</v>
      </c>
      <c r="J46" s="614">
        <f ca="1">SUM(J43:J45)</f>
        <v>-16</v>
      </c>
      <c r="K46" s="614">
        <f ca="1">SUM(K43:K45)</f>
        <v>71346.743187</v>
      </c>
    </row>
    <row r="47" spans="1:11">
      <c r="A47" s="587">
        <v>25</v>
      </c>
      <c r="B47" s="22" t="s">
        <v>56</v>
      </c>
      <c r="C47" s="22"/>
      <c r="D47" s="22"/>
      <c r="E47" s="276">
        <f>E29+E36+E38+E39+E40+E46</f>
        <v>533464</v>
      </c>
      <c r="F47" s="614">
        <f t="shared" ref="F47:H47" si="23">F29+F36+F38+F39+F40+F46</f>
        <v>-28213.472999999998</v>
      </c>
      <c r="G47" s="614">
        <f t="shared" si="23"/>
        <v>505250.527</v>
      </c>
      <c r="H47" s="614">
        <f t="shared" si="23"/>
        <v>-101398.73898710001</v>
      </c>
      <c r="I47" s="614">
        <f>I29+I36+I38+I39+I40+I46</f>
        <v>403851.78801289998</v>
      </c>
      <c r="J47" s="614">
        <f ca="1">J29+J36+J38+J39+J40+J46</f>
        <v>-378</v>
      </c>
      <c r="K47" s="614">
        <f ca="1">K29+K36+K38+K39+K40+K46</f>
        <v>403473.78801289998</v>
      </c>
    </row>
    <row r="48" spans="1:11" ht="7.5" customHeight="1">
      <c r="A48" s="587"/>
      <c r="B48" s="22"/>
      <c r="C48" s="22"/>
      <c r="D48" s="22"/>
      <c r="E48" s="264"/>
      <c r="F48" s="601"/>
      <c r="G48" s="601"/>
      <c r="H48" s="601"/>
      <c r="I48" s="601"/>
      <c r="J48" s="601"/>
      <c r="K48" s="601"/>
    </row>
    <row r="49" spans="1:27">
      <c r="A49" s="587">
        <v>26</v>
      </c>
      <c r="B49" s="22" t="s">
        <v>57</v>
      </c>
      <c r="C49" s="22"/>
      <c r="D49" s="22"/>
      <c r="E49" s="264">
        <f>E20-E47</f>
        <v>140653</v>
      </c>
      <c r="F49" s="601">
        <f t="shared" ref="F49:H49" si="24">F20-F47</f>
        <v>28213.472999999998</v>
      </c>
      <c r="G49" s="601">
        <f t="shared" si="24"/>
        <v>156155.473</v>
      </c>
      <c r="H49" s="601">
        <f t="shared" si="24"/>
        <v>101398.73898710001</v>
      </c>
      <c r="I49" s="601">
        <f>I20-I47</f>
        <v>143445.43330259999</v>
      </c>
      <c r="J49" s="601">
        <f ca="1">J20-J47</f>
        <v>-7764</v>
      </c>
      <c r="K49" s="601">
        <f ca="1">K20-K47</f>
        <v>135681.43330259999</v>
      </c>
    </row>
    <row r="50" spans="1:27" ht="5.25" customHeight="1">
      <c r="A50" s="587"/>
      <c r="B50" s="22"/>
      <c r="C50" s="22"/>
      <c r="D50" s="22"/>
      <c r="E50" s="264"/>
      <c r="F50" s="601"/>
      <c r="G50" s="601"/>
      <c r="H50" s="601"/>
      <c r="I50" s="601"/>
      <c r="J50" s="601"/>
      <c r="K50" s="601"/>
    </row>
    <row r="51" spans="1:27">
      <c r="A51" s="587"/>
      <c r="B51" s="22" t="s">
        <v>58</v>
      </c>
      <c r="C51" s="22"/>
      <c r="D51" s="22"/>
      <c r="E51" s="264"/>
      <c r="F51" s="601"/>
      <c r="G51" s="601"/>
      <c r="H51" s="601"/>
      <c r="I51" s="601"/>
      <c r="J51" s="601"/>
      <c r="K51" s="601"/>
    </row>
    <row r="52" spans="1:27">
      <c r="A52" s="587">
        <v>27</v>
      </c>
      <c r="B52" s="22" t="s">
        <v>59</v>
      </c>
      <c r="C52" s="22"/>
      <c r="D52" s="22"/>
      <c r="E52" s="264">
        <f>'Exh. No. BGM-13R -3'!E52</f>
        <v>-7654</v>
      </c>
      <c r="F52" s="601">
        <f ca="1">+SUM('Exh. No. BGM-13R -3'!F52:Y52)</f>
        <v>6297.5162699999992</v>
      </c>
      <c r="G52" s="601">
        <f t="shared" ref="G52:G55" ca="1" si="25">+E52+F52</f>
        <v>-1356.4837300000008</v>
      </c>
      <c r="H52" s="601">
        <f>+SUM('Exh. No. BGM-13R -3'!AC52:AO52)</f>
        <v>-4448.5138940899997</v>
      </c>
      <c r="I52" s="601">
        <f t="shared" ref="I52:I55" ca="1" si="26">+G52+H52</f>
        <v>-5804.9976240900005</v>
      </c>
      <c r="J52" s="601">
        <f ca="1">'Exh. No. BGM-13R -4'!J22</f>
        <v>-2717</v>
      </c>
      <c r="K52" s="601">
        <f ca="1">I52+J52</f>
        <v>-8521.9976240899996</v>
      </c>
      <c r="O52" s="156"/>
      <c r="P52" s="156"/>
      <c r="AA52" s="156"/>
    </row>
    <row r="53" spans="1:27">
      <c r="A53" s="587">
        <v>28</v>
      </c>
      <c r="B53" s="2" t="s">
        <v>275</v>
      </c>
      <c r="E53" s="264">
        <f>'Exh. No. BGM-13R -3'!E53</f>
        <v>0</v>
      </c>
      <c r="F53" s="601">
        <f>+SUM('Exh. No. BGM-13R -3'!F53:Y53)</f>
        <v>84.523400992799992</v>
      </c>
      <c r="G53" s="601">
        <f t="shared" si="25"/>
        <v>84.523400992799992</v>
      </c>
      <c r="H53" s="601">
        <f>+SUM('Exh. No. BGM-13R -3'!AC53:AO53)</f>
        <v>-819.11035281599993</v>
      </c>
      <c r="I53" s="601">
        <f t="shared" si="26"/>
        <v>-734.58695182319991</v>
      </c>
      <c r="J53" s="601"/>
      <c r="K53" s="601">
        <f>I53+J53</f>
        <v>-734.58695182319991</v>
      </c>
    </row>
    <row r="54" spans="1:27">
      <c r="A54" s="587">
        <v>29</v>
      </c>
      <c r="B54" s="22" t="s">
        <v>60</v>
      </c>
      <c r="C54" s="22"/>
      <c r="D54" s="22"/>
      <c r="E54" s="264">
        <f>'Exh. No. BGM-13R -3'!E54</f>
        <v>46391</v>
      </c>
      <c r="F54" s="601">
        <f>+SUM('Exh. No. BGM-13R -3'!F54:Y54)</f>
        <v>-1603</v>
      </c>
      <c r="G54" s="601">
        <f t="shared" si="25"/>
        <v>44788</v>
      </c>
      <c r="H54" s="601">
        <f>+SUM('Exh. No. BGM-13R -3'!AC54:AO54)</f>
        <v>0</v>
      </c>
      <c r="I54" s="601">
        <f t="shared" si="26"/>
        <v>44788</v>
      </c>
      <c r="J54" s="601"/>
      <c r="K54" s="601">
        <f>I54+J54</f>
        <v>44788</v>
      </c>
      <c r="P54" s="156"/>
    </row>
    <row r="55" spans="1:27">
      <c r="A55" s="587">
        <v>30</v>
      </c>
      <c r="B55" s="22" t="s">
        <v>61</v>
      </c>
      <c r="C55" s="22"/>
      <c r="D55" s="22"/>
      <c r="E55" s="276">
        <f>'Exh. No. BGM-13R -3'!E55</f>
        <v>-127</v>
      </c>
      <c r="F55" s="614">
        <f>+SUM('Exh. No. BGM-13R -3'!F55:Y55)</f>
        <v>0</v>
      </c>
      <c r="G55" s="614">
        <f t="shared" si="25"/>
        <v>-127</v>
      </c>
      <c r="H55" s="614">
        <f>+SUM('Exh. No. BGM-13R -3'!AC55:AO55)</f>
        <v>0</v>
      </c>
      <c r="I55" s="614">
        <f t="shared" si="26"/>
        <v>-127</v>
      </c>
      <c r="J55" s="614"/>
      <c r="K55" s="614">
        <f>I55+J55</f>
        <v>-127</v>
      </c>
    </row>
    <row r="56" spans="1:27" ht="6.75" customHeight="1">
      <c r="A56" s="587"/>
      <c r="E56" s="264"/>
      <c r="F56" s="601"/>
      <c r="G56" s="601"/>
      <c r="H56" s="601"/>
      <c r="I56" s="601"/>
      <c r="J56" s="601"/>
      <c r="K56" s="601"/>
    </row>
    <row r="57" spans="1:27" ht="13.5" thickBot="1">
      <c r="A57" s="575">
        <v>31</v>
      </c>
      <c r="B57" s="21" t="s">
        <v>62</v>
      </c>
      <c r="C57" s="21"/>
      <c r="D57" s="21"/>
      <c r="E57" s="394">
        <f>E49-SUM(E52:E55)</f>
        <v>102043</v>
      </c>
      <c r="F57" s="631">
        <f t="shared" ref="F57:I57" ca="1" si="27">F49-SUM(F52:F55)</f>
        <v>23434.433329007199</v>
      </c>
      <c r="G57" s="631">
        <f t="shared" ca="1" si="27"/>
        <v>112766.4333290072</v>
      </c>
      <c r="H57" s="631">
        <f t="shared" si="27"/>
        <v>106666.363234006</v>
      </c>
      <c r="I57" s="631">
        <f t="shared" ca="1" si="27"/>
        <v>105324.0178785132</v>
      </c>
      <c r="J57" s="631">
        <f ca="1">J49-SUM(J52:J55)</f>
        <v>-5047</v>
      </c>
      <c r="K57" s="631">
        <f ca="1">K49-SUM(K52:K55)</f>
        <v>100277.0178785132</v>
      </c>
      <c r="O57" s="37"/>
    </row>
    <row r="58" spans="1:27" ht="5.25" customHeight="1" thickTop="1">
      <c r="A58" s="575"/>
      <c r="E58" s="264"/>
      <c r="F58" s="601"/>
      <c r="G58" s="601"/>
      <c r="H58" s="601"/>
      <c r="I58" s="601"/>
      <c r="J58" s="601"/>
      <c r="K58" s="601"/>
      <c r="O58" s="102"/>
      <c r="R58" s="102"/>
    </row>
    <row r="59" spans="1:27">
      <c r="A59" s="575"/>
      <c r="B59" s="2" t="s">
        <v>63</v>
      </c>
      <c r="E59" s="264"/>
      <c r="F59" s="601"/>
      <c r="G59" s="601"/>
      <c r="H59" s="601"/>
      <c r="I59" s="601"/>
      <c r="J59" s="601"/>
      <c r="K59" s="601"/>
      <c r="O59" s="37"/>
    </row>
    <row r="60" spans="1:27">
      <c r="A60" s="587"/>
      <c r="B60" s="2" t="s">
        <v>64</v>
      </c>
      <c r="E60" s="264"/>
      <c r="F60" s="601">
        <f>+SUM('Exh. No. BGM-13R -3'!F60:Y60)</f>
        <v>0</v>
      </c>
      <c r="G60" s="601">
        <f t="shared" ref="G60:G65" si="28">+E60+F60</f>
        <v>0</v>
      </c>
      <c r="H60" s="601">
        <f>+SUM('Exh. No. BGM-13R -3'!AC60:AO60)</f>
        <v>0</v>
      </c>
      <c r="I60" s="601">
        <f t="shared" ref="I60:I65" si="29">+G60+H60</f>
        <v>0</v>
      </c>
      <c r="J60" s="601"/>
      <c r="K60" s="601"/>
      <c r="O60" s="37"/>
    </row>
    <row r="61" spans="1:27">
      <c r="A61" s="587">
        <v>32</v>
      </c>
      <c r="B61" s="21"/>
      <c r="C61" s="21" t="s">
        <v>65</v>
      </c>
      <c r="D61" s="21"/>
      <c r="E61" s="21">
        <f>'Exh. No. BGM-13R -3'!E61</f>
        <v>132877</v>
      </c>
      <c r="F61" s="588">
        <f>+SUM('Exh. No. BGM-13R -3'!F61:Y61)</f>
        <v>0</v>
      </c>
      <c r="G61" s="588">
        <f t="shared" si="28"/>
        <v>132877</v>
      </c>
      <c r="H61" s="588">
        <f>+SUM('Exh. No. BGM-13R -3'!AC61:AO61)</f>
        <v>16371</v>
      </c>
      <c r="I61" s="588">
        <f t="shared" si="29"/>
        <v>149248</v>
      </c>
      <c r="J61" s="588"/>
      <c r="K61" s="588">
        <f>I61+J61</f>
        <v>149248</v>
      </c>
    </row>
    <row r="62" spans="1:27">
      <c r="A62" s="587">
        <v>33</v>
      </c>
      <c r="B62" s="22"/>
      <c r="C62" s="22" t="s">
        <v>66</v>
      </c>
      <c r="D62" s="22"/>
      <c r="E62" s="264">
        <f>'Exh. No. BGM-13R -3'!E62</f>
        <v>762834</v>
      </c>
      <c r="F62" s="601">
        <f>+SUM('Exh. No. BGM-13R -3'!F62:Y62)</f>
        <v>0</v>
      </c>
      <c r="G62" s="601">
        <f t="shared" si="28"/>
        <v>762834</v>
      </c>
      <c r="H62" s="601">
        <f>+SUM('Exh. No. BGM-13R -3'!AC62:AO62)</f>
        <v>89359</v>
      </c>
      <c r="I62" s="601">
        <f t="shared" si="29"/>
        <v>852193</v>
      </c>
      <c r="J62" s="601"/>
      <c r="K62" s="601">
        <f t="shared" ref="K62:K65" si="30">I62+J62</f>
        <v>852193</v>
      </c>
      <c r="O62" s="157"/>
    </row>
    <row r="63" spans="1:27">
      <c r="A63" s="587">
        <v>34</v>
      </c>
      <c r="B63" s="22"/>
      <c r="C63" s="22" t="s">
        <v>67</v>
      </c>
      <c r="D63" s="22"/>
      <c r="E63" s="264">
        <f>'Exh. No. BGM-13R -3'!E63</f>
        <v>390240</v>
      </c>
      <c r="F63" s="601">
        <f>+SUM('Exh. No. BGM-13R -3'!F63:Y63)</f>
        <v>0</v>
      </c>
      <c r="G63" s="601">
        <f t="shared" si="28"/>
        <v>390240</v>
      </c>
      <c r="H63" s="601">
        <f>+SUM('Exh. No. BGM-13R -3'!AC63:AO63)</f>
        <v>12216</v>
      </c>
      <c r="I63" s="601">
        <f t="shared" si="29"/>
        <v>402456</v>
      </c>
      <c r="J63" s="601"/>
      <c r="K63" s="601">
        <f t="shared" si="30"/>
        <v>402456</v>
      </c>
    </row>
    <row r="64" spans="1:27">
      <c r="A64" s="587">
        <v>35</v>
      </c>
      <c r="B64" s="22"/>
      <c r="C64" s="22" t="s">
        <v>49</v>
      </c>
      <c r="D64" s="22"/>
      <c r="E64" s="264">
        <f>'Exh. No. BGM-13R -3'!E64</f>
        <v>880960</v>
      </c>
      <c r="F64" s="601">
        <f>+SUM('Exh. No. BGM-13R -3'!F64:Y64)</f>
        <v>0</v>
      </c>
      <c r="G64" s="601">
        <f t="shared" si="28"/>
        <v>880960</v>
      </c>
      <c r="H64" s="601">
        <f>+SUM('Exh. No. BGM-13R -3'!AC64:AO64)</f>
        <v>14092</v>
      </c>
      <c r="I64" s="601">
        <f t="shared" si="29"/>
        <v>895052</v>
      </c>
      <c r="J64" s="601"/>
      <c r="K64" s="601">
        <f t="shared" si="30"/>
        <v>895052</v>
      </c>
    </row>
    <row r="65" spans="1:11">
      <c r="A65" s="587">
        <v>36</v>
      </c>
      <c r="B65" s="22"/>
      <c r="C65" s="22" t="s">
        <v>68</v>
      </c>
      <c r="D65" s="22"/>
      <c r="E65" s="276">
        <f>'Exh. No. BGM-13R -3'!E65</f>
        <v>207659</v>
      </c>
      <c r="F65" s="614">
        <f>+SUM('Exh. No. BGM-13R -3'!F65:Y65)</f>
        <v>0</v>
      </c>
      <c r="G65" s="614">
        <f t="shared" si="28"/>
        <v>207659</v>
      </c>
      <c r="H65" s="614">
        <f>+SUM('Exh. No. BGM-13R -3'!AC65:AO65)</f>
        <v>5218</v>
      </c>
      <c r="I65" s="614">
        <f t="shared" si="29"/>
        <v>212877</v>
      </c>
      <c r="J65" s="614"/>
      <c r="K65" s="614">
        <f t="shared" si="30"/>
        <v>212877</v>
      </c>
    </row>
    <row r="66" spans="1:11">
      <c r="A66" s="587">
        <v>37</v>
      </c>
      <c r="B66" s="22"/>
      <c r="C66" s="22"/>
      <c r="D66" s="22" t="s">
        <v>69</v>
      </c>
      <c r="E66" s="264">
        <f>SUM(E61:E65)</f>
        <v>2374570</v>
      </c>
      <c r="F66" s="601">
        <f t="shared" ref="F66:I66" si="31">SUM(F61:F65)</f>
        <v>0</v>
      </c>
      <c r="G66" s="601">
        <f t="shared" si="31"/>
        <v>2374570</v>
      </c>
      <c r="H66" s="601">
        <f t="shared" si="31"/>
        <v>137256</v>
      </c>
      <c r="I66" s="601">
        <f t="shared" si="31"/>
        <v>2511826</v>
      </c>
      <c r="J66" s="601">
        <f t="shared" ref="J66" si="32">SUM(J61:J65)</f>
        <v>0</v>
      </c>
      <c r="K66" s="601">
        <f>SUM(K61:K65)</f>
        <v>2511826</v>
      </c>
    </row>
    <row r="67" spans="1:11">
      <c r="A67" s="590"/>
      <c r="B67" s="22" t="s">
        <v>218</v>
      </c>
      <c r="C67" s="22"/>
      <c r="D67" s="22"/>
      <c r="E67" s="264"/>
      <c r="F67" s="601"/>
      <c r="G67" s="601"/>
      <c r="H67" s="601"/>
      <c r="I67" s="601"/>
      <c r="J67" s="601"/>
      <c r="K67" s="601"/>
    </row>
    <row r="68" spans="1:11">
      <c r="A68" s="590">
        <v>38</v>
      </c>
      <c r="B68" s="22"/>
      <c r="C68" s="21" t="s">
        <v>213</v>
      </c>
      <c r="D68" s="22"/>
      <c r="E68" s="264">
        <f>'Exh. No. BGM-13R -3'!E68</f>
        <v>-23450</v>
      </c>
      <c r="F68" s="601">
        <f>+SUM('Exh. No. BGM-13R -3'!F68:Y68)</f>
        <v>0</v>
      </c>
      <c r="G68" s="601">
        <f t="shared" ref="G68:G72" si="33">+E68+F68</f>
        <v>-23450</v>
      </c>
      <c r="H68" s="601">
        <f>+SUM('Exh. No. BGM-13R -3'!AC68:AO68)</f>
        <v>-2384</v>
      </c>
      <c r="I68" s="601">
        <f t="shared" ref="I68:I72" si="34">+G68+H68</f>
        <v>-25834</v>
      </c>
      <c r="J68" s="601"/>
      <c r="K68" s="601">
        <f>I68+J68</f>
        <v>-25834</v>
      </c>
    </row>
    <row r="69" spans="1:11">
      <c r="A69" s="590">
        <v>39</v>
      </c>
      <c r="B69" s="22"/>
      <c r="C69" s="22" t="s">
        <v>214</v>
      </c>
      <c r="D69" s="22"/>
      <c r="E69" s="264">
        <f>'Exh. No. BGM-13R -3'!E69</f>
        <v>-334622</v>
      </c>
      <c r="F69" s="601">
        <f>+SUM('Exh. No. BGM-13R -3'!F69:Y69)</f>
        <v>0</v>
      </c>
      <c r="G69" s="601">
        <f t="shared" si="33"/>
        <v>-334622</v>
      </c>
      <c r="H69" s="601">
        <f>+SUM('Exh. No. BGM-13R -3'!AC69:AO69)</f>
        <v>-9404</v>
      </c>
      <c r="I69" s="601">
        <f t="shared" si="34"/>
        <v>-344026</v>
      </c>
      <c r="J69" s="601"/>
      <c r="K69" s="601">
        <f t="shared" ref="K69:K72" si="35">I69+J69</f>
        <v>-344026</v>
      </c>
    </row>
    <row r="70" spans="1:11">
      <c r="A70" s="590">
        <v>40</v>
      </c>
      <c r="B70" s="22"/>
      <c r="C70" s="22" t="s">
        <v>215</v>
      </c>
      <c r="D70" s="22"/>
      <c r="E70" s="264">
        <f>'Exh. No. BGM-13R -3'!E70</f>
        <v>-126839</v>
      </c>
      <c r="F70" s="601">
        <f>+SUM('Exh. No. BGM-13R -3'!F70:Y70)</f>
        <v>0</v>
      </c>
      <c r="G70" s="601">
        <f t="shared" si="33"/>
        <v>-126839</v>
      </c>
      <c r="H70" s="601">
        <f>+SUM('Exh. No. BGM-13R -3'!AC70:AO70)</f>
        <v>-3105</v>
      </c>
      <c r="I70" s="601">
        <f t="shared" si="34"/>
        <v>-129944</v>
      </c>
      <c r="J70" s="601"/>
      <c r="K70" s="601">
        <f t="shared" si="35"/>
        <v>-129944</v>
      </c>
    </row>
    <row r="71" spans="1:11">
      <c r="A71" s="590">
        <v>41</v>
      </c>
      <c r="B71" s="22"/>
      <c r="C71" s="22" t="s">
        <v>199</v>
      </c>
      <c r="D71" s="22"/>
      <c r="E71" s="264">
        <f>'Exh. No. BGM-13R -3'!E71</f>
        <v>-268267</v>
      </c>
      <c r="F71" s="601">
        <f>+SUM('Exh. No. BGM-13R -3'!F71:Y71)</f>
        <v>0</v>
      </c>
      <c r="G71" s="601">
        <f t="shared" si="33"/>
        <v>-268267</v>
      </c>
      <c r="H71" s="601">
        <f>+SUM('Exh. No. BGM-13R -3'!AC71:AO71)</f>
        <v>-5311</v>
      </c>
      <c r="I71" s="601">
        <f t="shared" si="34"/>
        <v>-273578</v>
      </c>
      <c r="J71" s="601"/>
      <c r="K71" s="601">
        <f t="shared" si="35"/>
        <v>-273578</v>
      </c>
    </row>
    <row r="72" spans="1:11">
      <c r="A72" s="590">
        <v>42</v>
      </c>
      <c r="B72" s="22"/>
      <c r="C72" s="22" t="s">
        <v>216</v>
      </c>
      <c r="D72" s="22"/>
      <c r="E72" s="264">
        <f>'Exh. No. BGM-13R -3'!E72</f>
        <v>-70794</v>
      </c>
      <c r="F72" s="601">
        <f>+SUM('Exh. No. BGM-13R -3'!F72:Y72)</f>
        <v>0</v>
      </c>
      <c r="G72" s="601">
        <f t="shared" si="33"/>
        <v>-70794</v>
      </c>
      <c r="H72" s="601">
        <f>+SUM('Exh. No. BGM-13R -3'!AC72:AO72)</f>
        <v>-2256</v>
      </c>
      <c r="I72" s="601">
        <f t="shared" si="34"/>
        <v>-73050</v>
      </c>
      <c r="J72" s="601"/>
      <c r="K72" s="601">
        <f t="shared" si="35"/>
        <v>-73050</v>
      </c>
    </row>
    <row r="73" spans="1:11">
      <c r="A73" s="590">
        <v>43</v>
      </c>
      <c r="B73" s="22" t="s">
        <v>280</v>
      </c>
      <c r="C73" s="22"/>
      <c r="D73" s="22"/>
      <c r="E73" s="317">
        <f>SUM(E68:E72)</f>
        <v>-823972</v>
      </c>
      <c r="F73" s="317">
        <f t="shared" ref="F73:I73" si="36">SUM(F68:F72)</f>
        <v>0</v>
      </c>
      <c r="G73" s="317">
        <f t="shared" si="36"/>
        <v>-823972</v>
      </c>
      <c r="H73" s="317">
        <f t="shared" si="36"/>
        <v>-22460</v>
      </c>
      <c r="I73" s="317">
        <f t="shared" si="36"/>
        <v>-846432</v>
      </c>
      <c r="J73" s="317">
        <f>SUM(J68:J72)</f>
        <v>0</v>
      </c>
      <c r="K73" s="317">
        <f>SUM(K68:K72)</f>
        <v>-846432</v>
      </c>
    </row>
    <row r="74" spans="1:11">
      <c r="A74" s="590">
        <v>44</v>
      </c>
      <c r="B74" s="22" t="s">
        <v>569</v>
      </c>
      <c r="C74" s="22"/>
      <c r="D74" s="21"/>
      <c r="E74" s="278">
        <f>E66+E73</f>
        <v>1550598</v>
      </c>
      <c r="F74" s="616"/>
      <c r="G74" s="616">
        <f t="shared" ref="G74:K74" si="37">G66+G73</f>
        <v>1550598</v>
      </c>
      <c r="H74" s="616"/>
      <c r="I74" s="616">
        <f t="shared" si="37"/>
        <v>1665394</v>
      </c>
      <c r="J74" s="616">
        <f t="shared" si="37"/>
        <v>0</v>
      </c>
      <c r="K74" s="616">
        <f t="shared" si="37"/>
        <v>1665394</v>
      </c>
    </row>
    <row r="75" spans="1:11" ht="5.25" customHeight="1">
      <c r="A75" s="590"/>
      <c r="B75" s="22"/>
      <c r="C75" s="22"/>
      <c r="E75" s="393"/>
      <c r="F75" s="393"/>
      <c r="G75" s="393"/>
      <c r="H75" s="393"/>
      <c r="I75" s="393"/>
      <c r="J75" s="393"/>
      <c r="K75" s="393"/>
    </row>
    <row r="76" spans="1:11">
      <c r="A76" s="591">
        <v>45</v>
      </c>
      <c r="B76" s="22" t="s">
        <v>219</v>
      </c>
      <c r="C76" s="22"/>
      <c r="D76" s="22"/>
      <c r="E76" s="276">
        <f>'Exh. No. BGM-13R -3'!E76</f>
        <v>-294027</v>
      </c>
      <c r="F76" s="614">
        <f>+SUM('Exh. No. BGM-13R -3'!F76:Y76)</f>
        <v>-6556</v>
      </c>
      <c r="G76" s="614">
        <f>+E76+F76</f>
        <v>-300583</v>
      </c>
      <c r="H76" s="614">
        <f>+SUM('Exh. No. BGM-13R -3'!AC76:AO76)</f>
        <v>-32356</v>
      </c>
      <c r="I76" s="614">
        <f>+G76+H76</f>
        <v>-332939</v>
      </c>
      <c r="J76" s="614"/>
      <c r="K76" s="614">
        <f t="shared" ref="K76" si="38">I76+J76</f>
        <v>-332939</v>
      </c>
    </row>
    <row r="77" spans="1:11">
      <c r="A77" s="591">
        <v>46</v>
      </c>
      <c r="B77" s="22"/>
      <c r="C77" s="22" t="s">
        <v>568</v>
      </c>
      <c r="D77" s="22"/>
      <c r="E77" s="278">
        <f>SUM(E74:E76)</f>
        <v>1256571</v>
      </c>
      <c r="F77" s="616">
        <f t="shared" ref="F77:I77" si="39">SUM(F74:F76)</f>
        <v>-6556</v>
      </c>
      <c r="G77" s="616">
        <f t="shared" si="39"/>
        <v>1250015</v>
      </c>
      <c r="H77" s="616">
        <f t="shared" si="39"/>
        <v>-32356</v>
      </c>
      <c r="I77" s="616">
        <f t="shared" si="39"/>
        <v>1332455</v>
      </c>
      <c r="J77" s="616">
        <f t="shared" ref="J77:K77" si="40">SUM(J74:J76)</f>
        <v>0</v>
      </c>
      <c r="K77" s="616">
        <f t="shared" si="40"/>
        <v>1332455</v>
      </c>
    </row>
    <row r="78" spans="1:11">
      <c r="A78" s="590">
        <v>47</v>
      </c>
      <c r="B78" s="22" t="s">
        <v>282</v>
      </c>
      <c r="C78" s="22"/>
      <c r="E78" s="264">
        <f>'Exh. No. BGM-13R -3'!E78</f>
        <v>8204</v>
      </c>
      <c r="F78" s="601">
        <f>+SUM('Exh. No. BGM-13R -3'!F78:Y78)</f>
        <v>-6302</v>
      </c>
      <c r="G78" s="601">
        <f t="shared" ref="G78:G79" si="41">+E78+F78</f>
        <v>1902</v>
      </c>
      <c r="H78" s="601">
        <f>+SUM('Exh. No. BGM-13R -3'!AC78:AO78)</f>
        <v>0</v>
      </c>
      <c r="I78" s="601">
        <f t="shared" ref="I78:I79" si="42">+G78+H78</f>
        <v>1902</v>
      </c>
      <c r="J78" s="601"/>
      <c r="K78" s="601">
        <f t="shared" ref="K78:K79" si="43">I78+J78</f>
        <v>1902</v>
      </c>
    </row>
    <row r="79" spans="1:11">
      <c r="A79" s="590">
        <v>48</v>
      </c>
      <c r="B79" s="22" t="s">
        <v>265</v>
      </c>
      <c r="C79" s="22"/>
      <c r="E79" s="276">
        <f>'Exh. No. BGM-13R -3'!E79</f>
        <v>44420</v>
      </c>
      <c r="F79" s="614">
        <f>+SUM('Exh. No. BGM-13R -3'!F79:Y79)</f>
        <v>4352</v>
      </c>
      <c r="G79" s="614">
        <f t="shared" si="41"/>
        <v>48772</v>
      </c>
      <c r="H79" s="614">
        <f>+SUM('Exh. No. BGM-13R -3'!AC79:AO79)</f>
        <v>0</v>
      </c>
      <c r="I79" s="614">
        <f t="shared" si="42"/>
        <v>48772</v>
      </c>
      <c r="J79" s="614"/>
      <c r="K79" s="614">
        <f t="shared" si="43"/>
        <v>48772</v>
      </c>
    </row>
    <row r="80" spans="1:11" ht="2.25" customHeight="1">
      <c r="A80" s="591">
        <v>49</v>
      </c>
      <c r="B80" s="22"/>
      <c r="C80" s="22"/>
      <c r="D80" s="22"/>
    </row>
    <row r="81" spans="1:11" ht="13.5" thickBot="1">
      <c r="A81" s="587">
        <v>50</v>
      </c>
      <c r="B81" s="21" t="s">
        <v>220</v>
      </c>
      <c r="C81" s="21"/>
      <c r="D81" s="21"/>
      <c r="E81" s="397">
        <f>SUM(E77:E79)</f>
        <v>1309195</v>
      </c>
      <c r="F81" s="397">
        <f t="shared" ref="F81:I81" si="44">SUM(F77:F79)</f>
        <v>-8506</v>
      </c>
      <c r="G81" s="397">
        <f t="shared" si="44"/>
        <v>1300689</v>
      </c>
      <c r="H81" s="397">
        <f t="shared" si="44"/>
        <v>-32356</v>
      </c>
      <c r="I81" s="397">
        <f t="shared" si="44"/>
        <v>1383129</v>
      </c>
      <c r="J81" s="397">
        <f t="shared" ref="J81:K81" si="45">SUM(J77:J79)</f>
        <v>0</v>
      </c>
      <c r="K81" s="397">
        <f t="shared" si="45"/>
        <v>1383129</v>
      </c>
    </row>
    <row r="82" spans="1:11" ht="13.5" thickTop="1">
      <c r="A82" s="587">
        <v>51</v>
      </c>
      <c r="B82" s="2" t="s">
        <v>672</v>
      </c>
      <c r="E82" s="312">
        <f>ROUND(E57/E81,4)</f>
        <v>7.7899999999999997E-2</v>
      </c>
      <c r="F82" s="312"/>
      <c r="G82" s="312">
        <f ca="1">ROUND(G57/G81,4)</f>
        <v>8.6699999999999999E-2</v>
      </c>
      <c r="I82" s="312">
        <f ca="1">ROUND(I57/I81,4)</f>
        <v>7.6100000000000001E-2</v>
      </c>
      <c r="K82" s="312">
        <f ca="1">ROUND(K57/K81,4)</f>
        <v>7.2499999999999995E-2</v>
      </c>
    </row>
    <row r="83" spans="1:11">
      <c r="A83" s="575">
        <v>52</v>
      </c>
      <c r="B83" s="2" t="s">
        <v>246</v>
      </c>
      <c r="E83" s="262">
        <f>+'Exh. No. BGM-13R -3'!E83</f>
        <v>-11496.654911399903</v>
      </c>
      <c r="G83" s="262">
        <f ca="1">+'Exh. No. BGM-13R'!T31</f>
        <v>-29791.181338176135</v>
      </c>
      <c r="I83" s="262">
        <f ca="1">+'Exh. No. BGM-13R'!T48</f>
        <v>-8142.3753896228745</v>
      </c>
    </row>
    <row r="84" spans="1:11">
      <c r="E84" s="477"/>
      <c r="F84" s="477"/>
    </row>
    <row r="85" spans="1:11">
      <c r="E85" s="477"/>
      <c r="F85" s="477"/>
    </row>
    <row r="89" spans="1:11">
      <c r="K89" s="449"/>
    </row>
    <row r="90" spans="1:11">
      <c r="K90" s="449"/>
    </row>
    <row r="91" spans="1:11">
      <c r="K91" s="449"/>
    </row>
  </sheetData>
  <phoneticPr fontId="0" type="noConversion"/>
  <printOptions verticalCentered="1"/>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R110"/>
  <sheetViews>
    <sheetView zoomScaleNormal="100" zoomScaleSheetLayoutView="40" workbookViewId="0">
      <pane xSplit="5" ySplit="12" topLeftCell="P24" activePane="bottomRight" state="frozen"/>
      <selection pane="topRight"/>
      <selection pane="bottomLeft"/>
      <selection pane="bottomRight"/>
    </sheetView>
  </sheetViews>
  <sheetFormatPr defaultColWidth="10.7109375" defaultRowHeight="12"/>
  <cols>
    <col min="1" max="1" width="4.7109375" style="575" customWidth="1"/>
    <col min="2" max="3" width="1.7109375" style="574" customWidth="1"/>
    <col min="4" max="4" width="35.42578125" style="574" customWidth="1"/>
    <col min="5" max="5" width="12.28515625" style="602" customWidth="1"/>
    <col min="6" max="6" width="10.5703125" style="601" customWidth="1"/>
    <col min="7" max="7" width="11.85546875" style="601" customWidth="1"/>
    <col min="8" max="17" width="13.28515625" style="601" customWidth="1"/>
    <col min="18" max="18" width="11.42578125" style="601" customWidth="1"/>
    <col min="19" max="19" width="11.5703125" style="601" customWidth="1"/>
    <col min="20" max="20" width="11.42578125" style="602" customWidth="1"/>
    <col min="21" max="21" width="20.7109375" style="602" customWidth="1"/>
    <col min="22" max="22" width="21.7109375" style="601" customWidth="1"/>
    <col min="23" max="23" width="13.7109375" style="601" customWidth="1"/>
    <col min="24" max="24" width="15.140625" style="602" customWidth="1"/>
    <col min="25" max="25" width="15.42578125" style="601" customWidth="1"/>
    <col min="26" max="26" width="13.7109375" style="602" hidden="1" customWidth="1"/>
    <col min="27" max="27" width="13.7109375" style="601" hidden="1" customWidth="1"/>
    <col min="28" max="28" width="15.140625" style="600" customWidth="1"/>
    <col min="29" max="29" width="10.42578125" style="602" customWidth="1"/>
    <col min="30" max="30" width="13.7109375" style="602" customWidth="1"/>
    <col min="31" max="32" width="13.7109375" style="601" customWidth="1"/>
    <col min="33" max="33" width="10.42578125" style="601" bestFit="1" customWidth="1"/>
    <col min="34" max="34" width="15.28515625" style="601" bestFit="1" customWidth="1"/>
    <col min="35" max="35" width="10.42578125" style="601" bestFit="1" customWidth="1"/>
    <col min="36" max="36" width="14.42578125" style="602" customWidth="1"/>
    <col min="37" max="37" width="13.140625" style="602" bestFit="1" customWidth="1"/>
    <col min="38" max="38" width="13.5703125" style="602" bestFit="1" customWidth="1"/>
    <col min="39" max="39" width="11.85546875" style="602" bestFit="1" customWidth="1"/>
    <col min="40" max="40" width="10.42578125" style="602" bestFit="1" customWidth="1"/>
    <col min="41" max="41" width="13.5703125" style="602" customWidth="1"/>
    <col min="42" max="42" width="10.42578125" style="603" bestFit="1" customWidth="1"/>
    <col min="43" max="43" width="13.42578125" style="602" customWidth="1"/>
    <col min="44" max="45" width="12.5703125" style="602" customWidth="1"/>
    <col min="46" max="46" width="16" style="602" customWidth="1"/>
    <col min="47" max="47" width="13.7109375" style="601" customWidth="1"/>
    <col min="48" max="48" width="12.5703125" style="601" customWidth="1"/>
    <col min="49" max="49" width="16.5703125" style="601" customWidth="1"/>
    <col min="50" max="50" width="16.5703125" style="603" customWidth="1"/>
    <col min="51" max="51" width="17.85546875" style="602" customWidth="1"/>
    <col min="52" max="52" width="15" style="603" customWidth="1"/>
    <col min="53" max="53" width="35.85546875" style="600" customWidth="1"/>
    <col min="54" max="54" width="9.140625" style="612" customWidth="1"/>
    <col min="55" max="55" width="8" style="612" customWidth="1"/>
    <col min="56" max="56" width="16.85546875" style="603" customWidth="1"/>
    <col min="57" max="57" width="13.42578125" style="602" customWidth="1"/>
    <col min="58" max="58" width="13.7109375" style="602" customWidth="1"/>
    <col min="59" max="59" width="12.5703125" style="602" customWidth="1"/>
    <col min="60" max="60" width="14.7109375" style="601" customWidth="1"/>
    <col min="61" max="61" width="16.28515625" style="601" customWidth="1"/>
    <col min="62" max="62" width="12" style="601" customWidth="1"/>
    <col min="63" max="63" width="12.28515625" style="601" customWidth="1"/>
    <col min="64" max="64" width="11.5703125" style="603" customWidth="1"/>
    <col min="65" max="65" width="13.42578125" style="602" customWidth="1"/>
    <col min="66" max="66" width="15.28515625" style="603" customWidth="1"/>
    <col min="67" max="67" width="15.140625" style="603" customWidth="1"/>
    <col min="68" max="68" width="19.5703125" style="612" customWidth="1"/>
    <col min="69" max="69" width="9.85546875" style="612" customWidth="1"/>
    <col min="70" max="70" width="6.28515625" style="574" bestFit="1" customWidth="1"/>
    <col min="71" max="16384" width="10.7109375" style="574"/>
  </cols>
  <sheetData>
    <row r="1" spans="1:69">
      <c r="F1" s="602"/>
      <c r="G1" s="602"/>
      <c r="H1" s="602"/>
      <c r="I1" s="602"/>
      <c r="J1" s="602"/>
      <c r="K1" s="602"/>
      <c r="L1" s="602"/>
      <c r="M1" s="602"/>
      <c r="N1" s="602"/>
      <c r="O1" s="602"/>
      <c r="P1" s="602"/>
      <c r="Q1" s="602"/>
      <c r="R1" s="602"/>
    </row>
    <row r="2" spans="1:69" ht="12.75" customHeight="1">
      <c r="A2" s="823" t="str">
        <f>'[7]ROO INPUT'!A3:C3</f>
        <v>Traditional Revenue Requirement Calculations for Avista Corporation</v>
      </c>
      <c r="D2" s="575"/>
      <c r="E2" s="600"/>
      <c r="F2" s="600"/>
      <c r="G2" s="600"/>
      <c r="H2" s="600"/>
      <c r="I2" s="600"/>
      <c r="J2" s="600"/>
      <c r="K2" s="600"/>
      <c r="L2" s="600"/>
      <c r="M2" s="600"/>
      <c r="N2" s="600"/>
      <c r="O2" s="600"/>
      <c r="P2" s="600"/>
      <c r="Q2" s="600"/>
      <c r="R2" s="600"/>
      <c r="AJ2" s="684"/>
      <c r="AN2" s="684"/>
      <c r="AO2" s="684"/>
      <c r="AP2" s="617"/>
      <c r="AQ2" s="684"/>
      <c r="AR2" s="684"/>
      <c r="AX2" s="684"/>
      <c r="AY2" s="684"/>
      <c r="AZ2" s="684"/>
      <c r="BA2" s="684"/>
      <c r="BD2" s="573" t="s">
        <v>725</v>
      </c>
      <c r="BE2" s="556" t="s">
        <v>760</v>
      </c>
      <c r="BG2" s="684"/>
      <c r="BL2" s="684"/>
      <c r="BN2" s="684"/>
      <c r="BO2" s="684"/>
    </row>
    <row r="3" spans="1:69" ht="14.25" customHeight="1">
      <c r="A3" s="793" t="s">
        <v>842</v>
      </c>
      <c r="D3" s="575"/>
      <c r="E3" s="574"/>
      <c r="G3" s="603"/>
      <c r="H3" s="603"/>
      <c r="I3" s="603"/>
      <c r="J3" s="603"/>
      <c r="K3" s="603"/>
      <c r="L3" s="603"/>
      <c r="M3" s="603"/>
      <c r="N3" s="603"/>
      <c r="O3" s="603"/>
      <c r="P3" s="603"/>
      <c r="Q3" s="603"/>
      <c r="R3" s="603"/>
      <c r="AH3" s="602"/>
      <c r="AJ3" s="684"/>
      <c r="AK3" s="521"/>
      <c r="AN3" s="684"/>
      <c r="AO3" s="684"/>
      <c r="AP3" s="617"/>
      <c r="AQ3" s="556" t="s">
        <v>740</v>
      </c>
      <c r="AR3" s="684"/>
      <c r="AS3" s="521"/>
      <c r="AT3" s="521"/>
      <c r="AX3" s="684"/>
      <c r="AY3" s="684"/>
      <c r="AZ3" s="684"/>
      <c r="BA3" s="684"/>
      <c r="BD3" s="572">
        <v>43101</v>
      </c>
      <c r="BE3" s="556" t="s">
        <v>726</v>
      </c>
      <c r="BG3" s="684"/>
      <c r="BL3" s="684"/>
      <c r="BM3" s="521"/>
      <c r="BN3" s="684"/>
      <c r="BO3" s="684"/>
    </row>
    <row r="4" spans="1:69" ht="12.75" customHeight="1">
      <c r="A4" s="824" t="s">
        <v>840</v>
      </c>
      <c r="D4" s="575"/>
      <c r="E4" s="647"/>
      <c r="G4" s="602"/>
      <c r="H4" s="602"/>
      <c r="I4" s="602"/>
      <c r="J4" s="602"/>
      <c r="K4" s="602"/>
      <c r="L4" s="602"/>
      <c r="M4" s="602"/>
      <c r="N4" s="602"/>
      <c r="O4" s="602"/>
      <c r="P4" s="602"/>
      <c r="Q4" s="602"/>
      <c r="R4" s="602"/>
      <c r="S4" s="605"/>
      <c r="T4" s="605"/>
      <c r="U4" s="605"/>
      <c r="V4" s="605"/>
      <c r="W4" s="605"/>
      <c r="Y4" s="605"/>
      <c r="AA4" s="602"/>
      <c r="AD4" s="605"/>
      <c r="AE4" s="605"/>
      <c r="AF4" s="605"/>
      <c r="AG4" s="605"/>
      <c r="AH4" s="605"/>
      <c r="AI4" s="605"/>
      <c r="AJ4" s="706"/>
      <c r="AK4" s="693"/>
      <c r="AO4" s="706"/>
      <c r="AP4" s="617"/>
      <c r="AS4" s="687"/>
      <c r="AT4" s="687"/>
      <c r="AU4" s="605"/>
      <c r="AV4" s="605"/>
      <c r="AW4" s="605"/>
      <c r="AX4" s="602"/>
      <c r="AY4" s="720"/>
      <c r="AZ4" s="425"/>
      <c r="BA4" s="425"/>
      <c r="BD4" s="425"/>
      <c r="BF4" s="605"/>
      <c r="BH4" s="605"/>
      <c r="BI4" s="605"/>
      <c r="BJ4" s="605"/>
      <c r="BK4" s="605"/>
      <c r="BL4" s="602"/>
      <c r="BM4" s="687"/>
      <c r="BN4" s="602"/>
      <c r="BO4" s="602"/>
    </row>
    <row r="5" spans="1:69" ht="12.75" customHeight="1">
      <c r="A5" s="824" t="str">
        <f>'[7]ROO INPUT'!A5:C5</f>
        <v>Twelve Months Ended September 31, 2015</v>
      </c>
      <c r="D5" s="575"/>
      <c r="E5" s="647"/>
      <c r="G5" s="647"/>
      <c r="H5" s="647"/>
      <c r="I5" s="647"/>
      <c r="J5" s="647"/>
      <c r="K5" s="691"/>
      <c r="L5" s="647"/>
      <c r="M5" s="647"/>
      <c r="N5" s="647"/>
      <c r="O5" s="647"/>
      <c r="P5" s="647"/>
      <c r="Q5" s="647"/>
      <c r="R5" s="647"/>
      <c r="S5" s="647"/>
      <c r="T5" s="647"/>
      <c r="U5" s="691"/>
      <c r="V5" s="647"/>
      <c r="W5" s="647"/>
      <c r="X5" s="691"/>
      <c r="Y5" s="647"/>
      <c r="Z5" s="647"/>
      <c r="AA5" s="647"/>
      <c r="AB5" s="647"/>
      <c r="AC5" s="647"/>
      <c r="AD5" s="691"/>
      <c r="AE5" s="647"/>
      <c r="AF5" s="647"/>
      <c r="AG5" s="647"/>
      <c r="AH5" s="647"/>
      <c r="AI5" s="647"/>
      <c r="AJ5" s="647"/>
      <c r="AK5" s="647"/>
      <c r="AL5" s="647"/>
      <c r="AM5" s="647"/>
      <c r="AN5" s="647"/>
      <c r="AO5" s="647"/>
      <c r="AP5" s="647"/>
      <c r="AQ5" s="647"/>
      <c r="AR5" s="647"/>
      <c r="AS5" s="647"/>
      <c r="AT5" s="647"/>
      <c r="AU5" s="647"/>
      <c r="AV5" s="647"/>
      <c r="AW5" s="647"/>
      <c r="AX5" s="677"/>
      <c r="AY5" s="647"/>
      <c r="AZ5" s="825"/>
      <c r="BA5" s="699"/>
      <c r="BD5" s="825"/>
      <c r="BE5" s="647"/>
      <c r="BF5" s="691"/>
      <c r="BG5" s="647"/>
      <c r="BH5" s="691"/>
      <c r="BI5" s="691"/>
      <c r="BJ5" s="647"/>
      <c r="BK5" s="647"/>
      <c r="BL5" s="658"/>
      <c r="BM5" s="691"/>
      <c r="BN5" s="825"/>
      <c r="BO5" s="826"/>
    </row>
    <row r="6" spans="1:69" ht="12.75" customHeight="1">
      <c r="A6" s="824" t="str">
        <f>'[7]ROO INPUT'!A6:C6</f>
        <v xml:space="preserve">($000)   </v>
      </c>
      <c r="D6" s="575"/>
      <c r="E6" s="647"/>
      <c r="F6" s="556" t="s">
        <v>841</v>
      </c>
      <c r="G6" s="647"/>
      <c r="H6" s="647"/>
      <c r="I6" s="647"/>
      <c r="J6" s="647"/>
      <c r="K6" s="691"/>
      <c r="L6" s="647"/>
      <c r="M6" s="647"/>
      <c r="N6" s="647"/>
      <c r="O6" s="647"/>
      <c r="P6" s="647"/>
      <c r="Q6" s="647"/>
      <c r="R6" s="647"/>
      <c r="S6" s="647"/>
      <c r="T6" s="647"/>
      <c r="U6" s="691"/>
      <c r="V6" s="647"/>
      <c r="W6" s="647"/>
      <c r="X6" s="691"/>
      <c r="Y6" s="647"/>
      <c r="Z6" s="647" t="s">
        <v>255</v>
      </c>
      <c r="AA6" s="647" t="s">
        <v>255</v>
      </c>
      <c r="AB6" s="647"/>
      <c r="AC6" s="556" t="s">
        <v>286</v>
      </c>
      <c r="AD6" s="691"/>
      <c r="AE6" s="647"/>
      <c r="AF6" s="647"/>
      <c r="AG6" s="647"/>
      <c r="AH6" s="647"/>
      <c r="AI6" s="647"/>
      <c r="AJ6" s="647"/>
      <c r="AK6" s="647"/>
      <c r="AL6" s="647"/>
      <c r="AM6" s="647"/>
      <c r="AN6" s="647"/>
      <c r="AO6" s="647"/>
      <c r="AP6" s="647"/>
      <c r="AQ6" s="647"/>
      <c r="AR6" s="647"/>
      <c r="AS6" s="647"/>
      <c r="AT6" s="647"/>
      <c r="AU6" s="647"/>
      <c r="AV6" s="647"/>
      <c r="AW6" s="647"/>
      <c r="AX6" s="677"/>
      <c r="AY6" s="647"/>
      <c r="AZ6" s="661" t="s">
        <v>724</v>
      </c>
      <c r="BA6" s="699"/>
      <c r="BD6" s="661" t="s">
        <v>724</v>
      </c>
      <c r="BE6" s="647"/>
      <c r="BF6" s="691"/>
      <c r="BG6" s="647"/>
      <c r="BH6" s="691"/>
      <c r="BI6" s="691"/>
      <c r="BJ6" s="647"/>
      <c r="BK6" s="647"/>
      <c r="BL6" s="658"/>
      <c r="BM6" s="691"/>
      <c r="BN6" s="661" t="s">
        <v>743</v>
      </c>
      <c r="BO6" s="769" t="s">
        <v>788</v>
      </c>
    </row>
    <row r="7" spans="1:69" s="577" customFormat="1" ht="24">
      <c r="D7" s="576"/>
      <c r="E7" s="605"/>
      <c r="F7" s="856"/>
      <c r="G7" s="857" t="s">
        <v>858</v>
      </c>
      <c r="H7" s="856"/>
      <c r="I7" s="858" t="s">
        <v>826</v>
      </c>
      <c r="J7" s="856"/>
      <c r="K7" s="857" t="s">
        <v>858</v>
      </c>
      <c r="L7" s="856"/>
      <c r="M7" s="856"/>
      <c r="N7" s="856"/>
      <c r="O7" s="856"/>
      <c r="P7" s="856"/>
      <c r="Q7" s="856"/>
      <c r="R7" s="856"/>
      <c r="S7" s="856"/>
      <c r="T7" s="856"/>
      <c r="U7" s="858" t="s">
        <v>826</v>
      </c>
      <c r="V7" s="856"/>
      <c r="W7" s="856"/>
      <c r="X7" s="858" t="s">
        <v>827</v>
      </c>
      <c r="Y7" s="857" t="s">
        <v>858</v>
      </c>
      <c r="Z7" s="859"/>
      <c r="AA7" s="860"/>
      <c r="AB7" s="861"/>
      <c r="AC7" s="858" t="s">
        <v>826</v>
      </c>
      <c r="AD7" s="858" t="s">
        <v>826</v>
      </c>
      <c r="AE7" s="858" t="s">
        <v>826</v>
      </c>
      <c r="AF7" s="856"/>
      <c r="AG7" s="856"/>
      <c r="AH7" s="857" t="s">
        <v>858</v>
      </c>
      <c r="AI7" s="857" t="s">
        <v>858</v>
      </c>
      <c r="AJ7" s="857" t="s">
        <v>826</v>
      </c>
      <c r="AK7" s="856"/>
      <c r="AL7" s="857" t="s">
        <v>858</v>
      </c>
      <c r="AM7" s="857" t="s">
        <v>858</v>
      </c>
      <c r="AN7" s="857" t="s">
        <v>858</v>
      </c>
      <c r="AO7" s="695"/>
      <c r="AP7" s="425"/>
      <c r="AQ7" s="811" t="s">
        <v>826</v>
      </c>
      <c r="AR7" s="810" t="s">
        <v>828</v>
      </c>
      <c r="AS7" s="810" t="s">
        <v>828</v>
      </c>
      <c r="AT7" s="810" t="s">
        <v>828</v>
      </c>
      <c r="AU7" s="810" t="s">
        <v>828</v>
      </c>
      <c r="AV7" s="810" t="s">
        <v>828</v>
      </c>
      <c r="AW7" s="810" t="s">
        <v>828</v>
      </c>
      <c r="AX7" s="810" t="s">
        <v>828</v>
      </c>
      <c r="AY7" s="809" t="s">
        <v>829</v>
      </c>
      <c r="AZ7" s="648" t="s">
        <v>739</v>
      </c>
      <c r="BA7" s="425"/>
      <c r="BB7" s="425"/>
      <c r="BC7" s="425"/>
      <c r="BD7" s="648" t="s">
        <v>739</v>
      </c>
      <c r="BF7" s="681"/>
      <c r="BH7" s="731"/>
      <c r="BI7" s="731"/>
      <c r="BJ7" s="606"/>
      <c r="BK7" s="606"/>
      <c r="BL7" s="658"/>
      <c r="BM7" s="731"/>
      <c r="BN7" s="648" t="s">
        <v>739</v>
      </c>
      <c r="BO7" s="648" t="s">
        <v>789</v>
      </c>
      <c r="BP7" s="425"/>
      <c r="BQ7" s="425"/>
    </row>
    <row r="8" spans="1:69" s="577" customFormat="1" ht="12" customHeight="1">
      <c r="A8" s="578"/>
      <c r="B8" s="579"/>
      <c r="C8" s="580"/>
      <c r="D8" s="580"/>
      <c r="E8" s="664"/>
      <c r="F8" s="665" t="s">
        <v>0</v>
      </c>
      <c r="G8" s="665" t="s">
        <v>0</v>
      </c>
      <c r="H8" s="665" t="s">
        <v>266</v>
      </c>
      <c r="I8" s="665" t="s">
        <v>755</v>
      </c>
      <c r="J8" s="665" t="s">
        <v>2</v>
      </c>
      <c r="K8" s="696" t="s">
        <v>4</v>
      </c>
      <c r="L8" s="665" t="s">
        <v>13</v>
      </c>
      <c r="M8" s="665" t="s">
        <v>14</v>
      </c>
      <c r="N8" s="665" t="s">
        <v>3</v>
      </c>
      <c r="O8" s="665" t="s">
        <v>613</v>
      </c>
      <c r="P8" s="665" t="s">
        <v>5</v>
      </c>
      <c r="Q8" s="665" t="s">
        <v>4</v>
      </c>
      <c r="R8" s="665" t="s">
        <v>225</v>
      </c>
      <c r="S8" s="607" t="s">
        <v>673</v>
      </c>
      <c r="T8" s="607" t="s">
        <v>2</v>
      </c>
      <c r="U8" s="607" t="s">
        <v>761</v>
      </c>
      <c r="V8" s="270" t="s">
        <v>2</v>
      </c>
      <c r="W8" s="270" t="s">
        <v>115</v>
      </c>
      <c r="X8" s="270" t="s">
        <v>4</v>
      </c>
      <c r="Y8" s="270" t="s">
        <v>4</v>
      </c>
      <c r="Z8" s="607" t="s">
        <v>631</v>
      </c>
      <c r="AA8" s="271" t="s">
        <v>631</v>
      </c>
      <c r="AB8" s="270" t="s">
        <v>18</v>
      </c>
      <c r="AC8" s="682" t="s">
        <v>232</v>
      </c>
      <c r="AD8" s="270" t="s">
        <v>232</v>
      </c>
      <c r="AE8" s="270" t="s">
        <v>232</v>
      </c>
      <c r="AF8" s="270" t="s">
        <v>232</v>
      </c>
      <c r="AG8" s="270" t="s">
        <v>232</v>
      </c>
      <c r="AH8" s="270" t="s">
        <v>232</v>
      </c>
      <c r="AI8" s="270" t="s">
        <v>232</v>
      </c>
      <c r="AJ8" s="682" t="s">
        <v>710</v>
      </c>
      <c r="AK8" s="682" t="s">
        <v>6</v>
      </c>
      <c r="AL8" s="682" t="s">
        <v>232</v>
      </c>
      <c r="AM8" s="270" t="s">
        <v>232</v>
      </c>
      <c r="AN8" s="270" t="s">
        <v>232</v>
      </c>
      <c r="AO8" s="682" t="s">
        <v>766</v>
      </c>
      <c r="AP8" s="557" t="s">
        <v>232</v>
      </c>
      <c r="AQ8" s="682" t="s">
        <v>707</v>
      </c>
      <c r="AR8" s="682" t="s">
        <v>707</v>
      </c>
      <c r="AS8" s="682" t="s">
        <v>707</v>
      </c>
      <c r="AT8" s="682" t="s">
        <v>707</v>
      </c>
      <c r="AU8" s="270" t="s">
        <v>707</v>
      </c>
      <c r="AV8" s="682" t="s">
        <v>707</v>
      </c>
      <c r="AW8" s="270" t="s">
        <v>707</v>
      </c>
      <c r="AX8" s="661" t="s">
        <v>724</v>
      </c>
      <c r="AY8" s="688" t="s">
        <v>749</v>
      </c>
      <c r="AZ8" s="648" t="s">
        <v>679</v>
      </c>
      <c r="BA8" s="425"/>
      <c r="BB8" s="527"/>
      <c r="BC8" s="527"/>
      <c r="BD8" s="648" t="s">
        <v>679</v>
      </c>
      <c r="BE8" s="688" t="s">
        <v>707</v>
      </c>
      <c r="BF8" s="270" t="s">
        <v>707</v>
      </c>
      <c r="BG8" s="682" t="s">
        <v>707</v>
      </c>
      <c r="BH8" s="732" t="s">
        <v>707</v>
      </c>
      <c r="BI8" s="682" t="s">
        <v>707</v>
      </c>
      <c r="BJ8" s="270" t="s">
        <v>707</v>
      </c>
      <c r="BK8" s="270" t="s">
        <v>707</v>
      </c>
      <c r="BL8" s="661" t="s">
        <v>743</v>
      </c>
      <c r="BM8" s="688" t="s">
        <v>741</v>
      </c>
      <c r="BN8" s="648" t="s">
        <v>679</v>
      </c>
      <c r="BO8" s="648" t="s">
        <v>679</v>
      </c>
      <c r="BP8" s="527"/>
      <c r="BQ8" s="527"/>
    </row>
    <row r="9" spans="1:69" s="577" customFormat="1">
      <c r="A9" s="581" t="s">
        <v>7</v>
      </c>
      <c r="B9" s="582"/>
      <c r="C9" s="583"/>
      <c r="D9" s="583"/>
      <c r="E9" s="608" t="s">
        <v>273</v>
      </c>
      <c r="F9" s="666" t="s">
        <v>8</v>
      </c>
      <c r="G9" s="666" t="s">
        <v>271</v>
      </c>
      <c r="H9" s="666" t="s">
        <v>118</v>
      </c>
      <c r="I9" s="666" t="s">
        <v>756</v>
      </c>
      <c r="J9" s="666" t="s">
        <v>11</v>
      </c>
      <c r="K9" s="689" t="s">
        <v>12</v>
      </c>
      <c r="L9" s="666" t="s">
        <v>26</v>
      </c>
      <c r="M9" s="666" t="s">
        <v>26</v>
      </c>
      <c r="N9" s="666" t="s">
        <v>15</v>
      </c>
      <c r="O9" s="666" t="s">
        <v>614</v>
      </c>
      <c r="P9" s="666" t="s">
        <v>17</v>
      </c>
      <c r="Q9" s="666" t="s">
        <v>226</v>
      </c>
      <c r="R9" s="666" t="s">
        <v>268</v>
      </c>
      <c r="S9" s="608" t="s">
        <v>183</v>
      </c>
      <c r="T9" s="609" t="s">
        <v>675</v>
      </c>
      <c r="U9" s="609" t="s">
        <v>762</v>
      </c>
      <c r="V9" s="608" t="s">
        <v>113</v>
      </c>
      <c r="W9" s="608" t="s">
        <v>1</v>
      </c>
      <c r="X9" s="608" t="s">
        <v>16</v>
      </c>
      <c r="Y9" s="608" t="s">
        <v>662</v>
      </c>
      <c r="Z9" s="609"/>
      <c r="AA9" s="272"/>
      <c r="AB9" s="608" t="s">
        <v>30</v>
      </c>
      <c r="AC9" s="683" t="s">
        <v>10</v>
      </c>
      <c r="AD9" s="608" t="s">
        <v>67</v>
      </c>
      <c r="AE9" s="608" t="s">
        <v>221</v>
      </c>
      <c r="AF9" s="608" t="s">
        <v>221</v>
      </c>
      <c r="AG9" s="608" t="s">
        <v>240</v>
      </c>
      <c r="AH9" s="608" t="s">
        <v>759</v>
      </c>
      <c r="AI9" s="608" t="s">
        <v>12</v>
      </c>
      <c r="AJ9" s="608" t="s">
        <v>771</v>
      </c>
      <c r="AK9" s="608" t="s">
        <v>677</v>
      </c>
      <c r="AL9" s="608" t="s">
        <v>224</v>
      </c>
      <c r="AM9" s="689" t="s">
        <v>703</v>
      </c>
      <c r="AN9" s="608" t="s">
        <v>609</v>
      </c>
      <c r="AO9" s="608" t="s">
        <v>764</v>
      </c>
      <c r="AP9" s="648" t="s">
        <v>658</v>
      </c>
      <c r="AQ9" s="608" t="s">
        <v>224</v>
      </c>
      <c r="AR9" s="608" t="s">
        <v>224</v>
      </c>
      <c r="AS9" s="608" t="s">
        <v>221</v>
      </c>
      <c r="AT9" s="709" t="s">
        <v>775</v>
      </c>
      <c r="AU9" s="608" t="s">
        <v>656</v>
      </c>
      <c r="AV9" s="608" t="s">
        <v>12</v>
      </c>
      <c r="AW9" s="608" t="s">
        <v>767</v>
      </c>
      <c r="AX9" s="648" t="s">
        <v>668</v>
      </c>
      <c r="AY9" s="608" t="s">
        <v>706</v>
      </c>
      <c r="AZ9" s="648" t="s">
        <v>742</v>
      </c>
      <c r="BA9" s="425"/>
      <c r="BB9" s="527"/>
      <c r="BC9" s="527"/>
      <c r="BD9" s="648" t="s">
        <v>742</v>
      </c>
      <c r="BE9" s="689" t="s">
        <v>727</v>
      </c>
      <c r="BF9" s="608" t="s">
        <v>728</v>
      </c>
      <c r="BG9" s="608" t="s">
        <v>221</v>
      </c>
      <c r="BH9" s="608" t="s">
        <v>730</v>
      </c>
      <c r="BI9" s="608" t="s">
        <v>777</v>
      </c>
      <c r="BJ9" s="608" t="s">
        <v>767</v>
      </c>
      <c r="BK9" s="608" t="s">
        <v>656</v>
      </c>
      <c r="BL9" s="648" t="s">
        <v>668</v>
      </c>
      <c r="BM9" s="608" t="s">
        <v>706</v>
      </c>
      <c r="BN9" s="648" t="s">
        <v>742</v>
      </c>
      <c r="BO9" s="648" t="s">
        <v>742</v>
      </c>
      <c r="BP9" s="527"/>
      <c r="BQ9" s="527"/>
    </row>
    <row r="10" spans="1:69" s="577" customFormat="1">
      <c r="A10" s="584" t="s">
        <v>19</v>
      </c>
      <c r="B10" s="585"/>
      <c r="C10" s="586"/>
      <c r="D10" s="586" t="s">
        <v>20</v>
      </c>
      <c r="E10" s="610" t="s">
        <v>274</v>
      </c>
      <c r="F10" s="667" t="s">
        <v>21</v>
      </c>
      <c r="G10" s="667" t="s">
        <v>272</v>
      </c>
      <c r="H10" s="667" t="s">
        <v>73</v>
      </c>
      <c r="I10" s="667" t="s">
        <v>757</v>
      </c>
      <c r="J10" s="667" t="s">
        <v>24</v>
      </c>
      <c r="K10" s="690" t="s">
        <v>25</v>
      </c>
      <c r="L10" s="667" t="s">
        <v>73</v>
      </c>
      <c r="M10" s="667" t="s">
        <v>73</v>
      </c>
      <c r="N10" s="667" t="s">
        <v>27</v>
      </c>
      <c r="O10" s="667" t="s">
        <v>26</v>
      </c>
      <c r="P10" s="667" t="s">
        <v>723</v>
      </c>
      <c r="Q10" s="667" t="s">
        <v>24</v>
      </c>
      <c r="R10" s="667" t="s">
        <v>269</v>
      </c>
      <c r="S10" s="610" t="s">
        <v>73</v>
      </c>
      <c r="T10" s="611" t="s">
        <v>676</v>
      </c>
      <c r="U10" s="611" t="s">
        <v>661</v>
      </c>
      <c r="V10" s="610" t="s">
        <v>114</v>
      </c>
      <c r="W10" s="610" t="s">
        <v>22</v>
      </c>
      <c r="X10" s="610" t="s">
        <v>28</v>
      </c>
      <c r="Y10" s="610" t="s">
        <v>661</v>
      </c>
      <c r="Z10" s="611"/>
      <c r="AA10" s="273"/>
      <c r="AB10" s="610" t="s">
        <v>73</v>
      </c>
      <c r="AC10" s="610" t="s">
        <v>23</v>
      </c>
      <c r="AD10" s="610" t="s">
        <v>223</v>
      </c>
      <c r="AE10" s="610" t="s">
        <v>239</v>
      </c>
      <c r="AF10" s="610" t="s">
        <v>222</v>
      </c>
      <c r="AG10" s="610" t="s">
        <v>241</v>
      </c>
      <c r="AH10" s="610" t="s">
        <v>701</v>
      </c>
      <c r="AI10" s="610" t="s">
        <v>25</v>
      </c>
      <c r="AJ10" s="610" t="s">
        <v>772</v>
      </c>
      <c r="AK10" s="610" t="s">
        <v>183</v>
      </c>
      <c r="AL10" s="610" t="s">
        <v>702</v>
      </c>
      <c r="AM10" s="690" t="s">
        <v>704</v>
      </c>
      <c r="AN10" s="610" t="s">
        <v>709</v>
      </c>
      <c r="AO10" s="610" t="s">
        <v>765</v>
      </c>
      <c r="AP10" s="649"/>
      <c r="AQ10" s="610" t="s">
        <v>708</v>
      </c>
      <c r="AR10" s="610" t="s">
        <v>705</v>
      </c>
      <c r="AS10" s="610" t="s">
        <v>239</v>
      </c>
      <c r="AT10" s="610" t="s">
        <v>776</v>
      </c>
      <c r="AU10" s="610" t="s">
        <v>657</v>
      </c>
      <c r="AV10" s="610" t="s">
        <v>25</v>
      </c>
      <c r="AW10" s="610" t="s">
        <v>26</v>
      </c>
      <c r="AX10" s="649" t="s">
        <v>133</v>
      </c>
      <c r="AY10" s="610" t="s">
        <v>732</v>
      </c>
      <c r="AZ10" s="649" t="s">
        <v>664</v>
      </c>
      <c r="BA10" s="425"/>
      <c r="BB10" s="527"/>
      <c r="BC10" s="527"/>
      <c r="BD10" s="649" t="s">
        <v>133</v>
      </c>
      <c r="BE10" s="690" t="s">
        <v>22</v>
      </c>
      <c r="BF10" s="610" t="s">
        <v>729</v>
      </c>
      <c r="BG10" s="610" t="s">
        <v>239</v>
      </c>
      <c r="BH10" s="610" t="s">
        <v>731</v>
      </c>
      <c r="BI10" s="610" t="s">
        <v>776</v>
      </c>
      <c r="BJ10" s="610" t="s">
        <v>26</v>
      </c>
      <c r="BK10" s="610" t="s">
        <v>657</v>
      </c>
      <c r="BL10" s="649" t="s">
        <v>133</v>
      </c>
      <c r="BM10" s="610" t="s">
        <v>732</v>
      </c>
      <c r="BN10" s="649" t="s">
        <v>133</v>
      </c>
      <c r="BO10" s="649" t="s">
        <v>133</v>
      </c>
      <c r="BP10" s="527"/>
      <c r="BQ10" s="527"/>
    </row>
    <row r="11" spans="1:69" s="634" customFormat="1">
      <c r="B11" s="638" t="s">
        <v>579</v>
      </c>
      <c r="E11" s="635">
        <v>1</v>
      </c>
      <c r="F11" s="635">
        <f>1+0.01</f>
        <v>1.01</v>
      </c>
      <c r="G11" s="635">
        <f>F11+0.01</f>
        <v>1.02</v>
      </c>
      <c r="H11" s="635">
        <f>G11+0.01</f>
        <v>1.03</v>
      </c>
      <c r="I11" s="635">
        <f>H11+0.01</f>
        <v>1.04</v>
      </c>
      <c r="J11" s="635">
        <v>2.0099999999999998</v>
      </c>
      <c r="K11" s="637">
        <f>J11+0.01</f>
        <v>2.0199999999999996</v>
      </c>
      <c r="L11" s="635">
        <f t="shared" ref="L11:S11" si="0">K11+0.01</f>
        <v>2.0299999999999994</v>
      </c>
      <c r="M11" s="635">
        <f t="shared" si="0"/>
        <v>2.0399999999999991</v>
      </c>
      <c r="N11" s="635">
        <f t="shared" si="0"/>
        <v>2.0499999999999989</v>
      </c>
      <c r="O11" s="635">
        <f t="shared" si="0"/>
        <v>2.0599999999999987</v>
      </c>
      <c r="P11" s="635">
        <f t="shared" si="0"/>
        <v>2.0699999999999985</v>
      </c>
      <c r="Q11" s="635">
        <f t="shared" si="0"/>
        <v>2.0799999999999983</v>
      </c>
      <c r="R11" s="635">
        <f t="shared" si="0"/>
        <v>2.0899999999999981</v>
      </c>
      <c r="S11" s="637">
        <f t="shared" si="0"/>
        <v>2.0999999999999979</v>
      </c>
      <c r="T11" s="637">
        <f t="shared" ref="T11" si="1">S11+0.01</f>
        <v>2.1099999999999977</v>
      </c>
      <c r="U11" s="637">
        <f t="shared" ref="U11" si="2">T11+0.01</f>
        <v>2.1199999999999974</v>
      </c>
      <c r="V11" s="637">
        <f t="shared" ref="V11" si="3">U11+0.01</f>
        <v>2.1299999999999972</v>
      </c>
      <c r="W11" s="637">
        <f t="shared" ref="W11" si="4">V11+0.01</f>
        <v>2.139999999999997</v>
      </c>
      <c r="X11" s="637">
        <f t="shared" ref="X11" si="5">W11+0.01</f>
        <v>2.1499999999999968</v>
      </c>
      <c r="Y11" s="637">
        <f t="shared" ref="Y11" si="6">X11+0.01</f>
        <v>2.1599999999999966</v>
      </c>
      <c r="Z11" s="637">
        <f>X11+0.01</f>
        <v>2.1599999999999966</v>
      </c>
      <c r="AA11" s="637">
        <f t="shared" ref="AA11" si="7">Z11+0.01</f>
        <v>2.1699999999999964</v>
      </c>
      <c r="AB11" s="637" t="s">
        <v>610</v>
      </c>
      <c r="AC11" s="637">
        <v>3</v>
      </c>
      <c r="AD11" s="637">
        <f t="shared" ref="AD11:AH11" si="8">AC11+0.01</f>
        <v>3.01</v>
      </c>
      <c r="AE11" s="637">
        <f t="shared" si="8"/>
        <v>3.0199999999999996</v>
      </c>
      <c r="AF11" s="637">
        <f t="shared" si="8"/>
        <v>3.0299999999999994</v>
      </c>
      <c r="AG11" s="637">
        <f t="shared" si="8"/>
        <v>3.0399999999999991</v>
      </c>
      <c r="AH11" s="637">
        <f t="shared" si="8"/>
        <v>3.0499999999999989</v>
      </c>
      <c r="AI11" s="637">
        <f>AH11+0.01</f>
        <v>3.0599999999999987</v>
      </c>
      <c r="AJ11" s="637">
        <f t="shared" ref="AJ11:AO11" si="9">AI11+0.01</f>
        <v>3.0699999999999985</v>
      </c>
      <c r="AK11" s="637">
        <f t="shared" si="9"/>
        <v>3.0799999999999983</v>
      </c>
      <c r="AL11" s="637">
        <f t="shared" si="9"/>
        <v>3.0899999999999981</v>
      </c>
      <c r="AM11" s="637">
        <f t="shared" si="9"/>
        <v>3.0999999999999979</v>
      </c>
      <c r="AN11" s="637">
        <f t="shared" si="9"/>
        <v>3.1099999999999977</v>
      </c>
      <c r="AO11" s="637">
        <f t="shared" si="9"/>
        <v>3.1199999999999974</v>
      </c>
      <c r="AP11" s="650" t="s">
        <v>617</v>
      </c>
      <c r="AQ11" s="401">
        <f>4</f>
        <v>4</v>
      </c>
      <c r="AR11" s="401">
        <f>AQ11+0.01</f>
        <v>4.01</v>
      </c>
      <c r="AS11" s="401">
        <f t="shared" ref="AS11:AT11" si="10">AR11+0.01</f>
        <v>4.0199999999999996</v>
      </c>
      <c r="AT11" s="401">
        <f t="shared" si="10"/>
        <v>4.0299999999999994</v>
      </c>
      <c r="AU11" s="401">
        <f>AT11+0.01</f>
        <v>4.0399999999999991</v>
      </c>
      <c r="AV11" s="401">
        <f t="shared" ref="AV11:AW11" si="11">AU11+0.01</f>
        <v>4.0499999999999989</v>
      </c>
      <c r="AW11" s="401">
        <f t="shared" si="11"/>
        <v>4.0599999999999987</v>
      </c>
      <c r="AX11" s="650" t="s">
        <v>746</v>
      </c>
      <c r="AY11" s="401">
        <f>AW11+0.01</f>
        <v>4.0699999999999985</v>
      </c>
      <c r="AZ11" s="650" t="s">
        <v>744</v>
      </c>
      <c r="BA11" s="700"/>
      <c r="BB11" s="401"/>
      <c r="BC11" s="401"/>
      <c r="BD11" s="650" t="s">
        <v>744</v>
      </c>
      <c r="BE11" s="401">
        <v>18.010000000000002</v>
      </c>
      <c r="BF11" s="637">
        <f t="shared" ref="BF11:BG11" si="12">BE11+0.01</f>
        <v>18.020000000000003</v>
      </c>
      <c r="BG11" s="401">
        <f t="shared" si="12"/>
        <v>18.030000000000005</v>
      </c>
      <c r="BH11" s="401">
        <f t="shared" ref="BH11" si="13">BG11+0.01</f>
        <v>18.040000000000006</v>
      </c>
      <c r="BI11" s="401">
        <f t="shared" ref="BI11" si="14">BH11+0.01</f>
        <v>18.050000000000008</v>
      </c>
      <c r="BJ11" s="401">
        <f t="shared" ref="BJ11" si="15">BI11+0.01</f>
        <v>18.060000000000009</v>
      </c>
      <c r="BK11" s="401">
        <f>BJ11+0.01</f>
        <v>18.070000000000011</v>
      </c>
      <c r="BL11" s="650" t="s">
        <v>747</v>
      </c>
      <c r="BM11" s="401">
        <f>BK11+0.01</f>
        <v>18.080000000000013</v>
      </c>
      <c r="BN11" s="650" t="s">
        <v>745</v>
      </c>
      <c r="BO11" s="650" t="s">
        <v>745</v>
      </c>
      <c r="BP11" s="401"/>
      <c r="BQ11" s="401"/>
    </row>
    <row r="12" spans="1:69" s="634" customFormat="1">
      <c r="B12" s="638" t="s">
        <v>580</v>
      </c>
      <c r="E12" s="635" t="s">
        <v>581</v>
      </c>
      <c r="F12" s="635" t="s">
        <v>582</v>
      </c>
      <c r="G12" s="635" t="s">
        <v>583</v>
      </c>
      <c r="H12" s="635" t="s">
        <v>584</v>
      </c>
      <c r="I12" s="635" t="s">
        <v>758</v>
      </c>
      <c r="J12" s="635" t="s">
        <v>585</v>
      </c>
      <c r="K12" s="637" t="s">
        <v>635</v>
      </c>
      <c r="L12" s="635" t="s">
        <v>586</v>
      </c>
      <c r="M12" s="635" t="s">
        <v>587</v>
      </c>
      <c r="N12" s="635" t="s">
        <v>588</v>
      </c>
      <c r="O12" s="635" t="s">
        <v>589</v>
      </c>
      <c r="P12" s="635" t="s">
        <v>633</v>
      </c>
      <c r="Q12" s="635" t="s">
        <v>592</v>
      </c>
      <c r="R12" s="635" t="s">
        <v>593</v>
      </c>
      <c r="S12" s="635" t="s">
        <v>674</v>
      </c>
      <c r="T12" s="637" t="s">
        <v>680</v>
      </c>
      <c r="U12" s="637" t="s">
        <v>594</v>
      </c>
      <c r="V12" s="635" t="s">
        <v>590</v>
      </c>
      <c r="W12" s="635" t="s">
        <v>591</v>
      </c>
      <c r="X12" s="637" t="s">
        <v>596</v>
      </c>
      <c r="Y12" s="635" t="s">
        <v>595</v>
      </c>
      <c r="Z12" s="635" t="s">
        <v>631</v>
      </c>
      <c r="AA12" s="635" t="s">
        <v>631</v>
      </c>
      <c r="AB12" s="637"/>
      <c r="AC12" s="637" t="s">
        <v>597</v>
      </c>
      <c r="AD12" s="637" t="s">
        <v>598</v>
      </c>
      <c r="AE12" s="635" t="s">
        <v>599</v>
      </c>
      <c r="AF12" s="635" t="s">
        <v>600</v>
      </c>
      <c r="AG12" s="635" t="s">
        <v>601</v>
      </c>
      <c r="AH12" s="637" t="s">
        <v>711</v>
      </c>
      <c r="AI12" s="635" t="s">
        <v>634</v>
      </c>
      <c r="AJ12" s="401" t="s">
        <v>715</v>
      </c>
      <c r="AK12" s="637" t="s">
        <v>678</v>
      </c>
      <c r="AL12" s="637" t="s">
        <v>712</v>
      </c>
      <c r="AM12" s="401" t="s">
        <v>713</v>
      </c>
      <c r="AN12" s="401" t="s">
        <v>714</v>
      </c>
      <c r="AO12" s="401" t="s">
        <v>688</v>
      </c>
      <c r="AP12" s="650"/>
      <c r="AQ12" s="401" t="s">
        <v>716</v>
      </c>
      <c r="AR12" s="401" t="s">
        <v>717</v>
      </c>
      <c r="AS12" s="637" t="s">
        <v>763</v>
      </c>
      <c r="AT12" s="637" t="s">
        <v>720</v>
      </c>
      <c r="AU12" s="635" t="s">
        <v>719</v>
      </c>
      <c r="AV12" s="635" t="s">
        <v>718</v>
      </c>
      <c r="AW12" s="635" t="s">
        <v>769</v>
      </c>
      <c r="AX12" s="650"/>
      <c r="AY12" s="401" t="s">
        <v>721</v>
      </c>
      <c r="AZ12" s="650"/>
      <c r="BA12" s="700"/>
      <c r="BB12" s="534"/>
      <c r="BC12" s="534"/>
      <c r="BD12" s="663"/>
      <c r="BE12" s="401" t="s">
        <v>733</v>
      </c>
      <c r="BF12" s="637" t="s">
        <v>734</v>
      </c>
      <c r="BG12" s="401" t="s">
        <v>735</v>
      </c>
      <c r="BH12" s="637" t="s">
        <v>753</v>
      </c>
      <c r="BI12" s="637" t="s">
        <v>737</v>
      </c>
      <c r="BJ12" s="635" t="s">
        <v>768</v>
      </c>
      <c r="BK12" s="635" t="s">
        <v>736</v>
      </c>
      <c r="BL12" s="650"/>
      <c r="BM12" s="637" t="s">
        <v>738</v>
      </c>
      <c r="BN12" s="650"/>
      <c r="BO12" s="650"/>
      <c r="BP12" s="534"/>
      <c r="BQ12" s="534"/>
    </row>
    <row r="13" spans="1:69" s="634" customFormat="1">
      <c r="B13" s="638"/>
      <c r="E13" s="635"/>
      <c r="F13" s="635"/>
      <c r="G13" s="635"/>
      <c r="H13" s="635"/>
      <c r="I13" s="635"/>
      <c r="J13" s="635"/>
      <c r="K13" s="637"/>
      <c r="L13" s="635"/>
      <c r="M13" s="635"/>
      <c r="N13" s="635"/>
      <c r="O13" s="635"/>
      <c r="P13" s="635"/>
      <c r="Q13" s="635"/>
      <c r="R13" s="635"/>
      <c r="S13" s="635"/>
      <c r="T13" s="637"/>
      <c r="U13" s="637"/>
      <c r="V13" s="635"/>
      <c r="W13" s="635"/>
      <c r="X13" s="635"/>
      <c r="Y13" s="635"/>
      <c r="Z13" s="635"/>
      <c r="AA13" s="635"/>
      <c r="AB13" s="637"/>
      <c r="AC13" s="637"/>
      <c r="AD13" s="637"/>
      <c r="AE13" s="635"/>
      <c r="AF13" s="635"/>
      <c r="AG13" s="635"/>
      <c r="AH13" s="635"/>
      <c r="AI13" s="635"/>
      <c r="AJ13" s="401"/>
      <c r="AK13" s="637"/>
      <c r="AL13" s="401"/>
      <c r="AM13" s="401"/>
      <c r="AN13" s="401"/>
      <c r="AO13" s="401"/>
      <c r="AP13" s="650"/>
      <c r="AQ13" s="401"/>
      <c r="AR13" s="401"/>
      <c r="AS13" s="637"/>
      <c r="AT13" s="637"/>
      <c r="AU13" s="635"/>
      <c r="AV13" s="635"/>
      <c r="AW13" s="635"/>
      <c r="AX13" s="650"/>
      <c r="AY13" s="401"/>
      <c r="AZ13" s="650"/>
      <c r="BA13" s="700"/>
      <c r="BB13" s="534"/>
      <c r="BC13" s="534"/>
      <c r="BD13" s="650"/>
      <c r="BE13" s="401"/>
      <c r="BF13" s="637"/>
      <c r="BG13" s="401"/>
      <c r="BH13" s="635"/>
      <c r="BI13" s="635"/>
      <c r="BJ13" s="635"/>
      <c r="BK13" s="635"/>
      <c r="BL13" s="650"/>
      <c r="BM13" s="637"/>
      <c r="BN13" s="650"/>
      <c r="BO13" s="650"/>
      <c r="BP13" s="534"/>
      <c r="BQ13" s="534"/>
    </row>
    <row r="14" spans="1:69">
      <c r="B14" s="574" t="s">
        <v>186</v>
      </c>
      <c r="X14" s="612"/>
      <c r="AC14" s="612"/>
      <c r="AJ14" s="612"/>
      <c r="AL14" s="612"/>
      <c r="AM14" s="612"/>
      <c r="AN14" s="612"/>
      <c r="AO14" s="612"/>
      <c r="AP14" s="651"/>
      <c r="AQ14" s="612"/>
      <c r="AR14" s="612"/>
      <c r="AX14" s="651"/>
      <c r="AY14" s="612"/>
      <c r="AZ14" s="651"/>
      <c r="BA14" s="698"/>
      <c r="BD14" s="651"/>
      <c r="BE14" s="612"/>
      <c r="BG14" s="612"/>
      <c r="BL14" s="651"/>
      <c r="BN14" s="651"/>
      <c r="BO14" s="651"/>
    </row>
    <row r="15" spans="1:69" s="588" customFormat="1">
      <c r="A15" s="587">
        <v>1</v>
      </c>
      <c r="B15" s="588" t="s">
        <v>187</v>
      </c>
      <c r="E15" s="619">
        <f>'ROO INPUT'!F14</f>
        <v>512020</v>
      </c>
      <c r="F15" s="633">
        <v>0</v>
      </c>
      <c r="G15" s="807">
        <f>+INDEX('[2]ADJ DETAIL-INPUT'!$1:$1048576,MATCH($A15,'[2]ADJ DETAIL-INPUT'!$A:$A,0),MATCH(G$11,'[2]ADJ DETAIL-INPUT'!$10:$10,0))</f>
        <v>0</v>
      </c>
      <c r="H15" s="633">
        <v>0</v>
      </c>
      <c r="I15" s="633">
        <v>0</v>
      </c>
      <c r="J15" s="633">
        <v>-18110</v>
      </c>
      <c r="K15" s="807">
        <f>+INDEX('[2]ADJ DETAIL-INPUT'!$1:$1048576,MATCH($A15,'[2]ADJ DETAIL-INPUT'!$A:$A,0),MATCH(K$11,'[2]ADJ DETAIL-INPUT'!$10:$10,0))</f>
        <v>0</v>
      </c>
      <c r="L15" s="633">
        <v>0</v>
      </c>
      <c r="M15" s="633">
        <v>0</v>
      </c>
      <c r="N15" s="633">
        <v>0</v>
      </c>
      <c r="O15" s="633">
        <v>0</v>
      </c>
      <c r="P15" s="633">
        <v>0</v>
      </c>
      <c r="Q15" s="633">
        <v>0</v>
      </c>
      <c r="R15" s="633">
        <v>0</v>
      </c>
      <c r="S15" s="633">
        <v>3108</v>
      </c>
      <c r="T15" s="633">
        <v>-10581</v>
      </c>
      <c r="U15" s="633">
        <v>0</v>
      </c>
      <c r="V15" s="633">
        <v>12886</v>
      </c>
      <c r="W15" s="633">
        <v>0</v>
      </c>
      <c r="X15" s="633">
        <v>0</v>
      </c>
      <c r="Y15" s="807">
        <f>+INDEX('[2]ADJ DETAIL-INPUT'!$1:$1048576,MATCH($A15,'[2]ADJ DETAIL-INPUT'!$A:$A,0),MATCH(Y$11,'[2]ADJ DETAIL-INPUT'!$10:$10,0))</f>
        <v>0</v>
      </c>
      <c r="Z15" s="633">
        <v>0</v>
      </c>
      <c r="AA15" s="633">
        <v>0</v>
      </c>
      <c r="AB15" s="348">
        <f>SUM(E15:AA15)</f>
        <v>499323</v>
      </c>
      <c r="AC15" s="633">
        <v>0</v>
      </c>
      <c r="AD15" s="633">
        <v>0</v>
      </c>
      <c r="AE15" s="633">
        <v>0</v>
      </c>
      <c r="AF15" s="633">
        <v>0</v>
      </c>
      <c r="AG15" s="633">
        <v>0</v>
      </c>
      <c r="AH15" s="807">
        <f>+INDEX('[2]ADJ DETAIL-INPUT'!$1:$1048576,MATCH($A15,'[2]ADJ DETAIL-INPUT'!$A:$A,0),MATCH(AH$11,'[2]ADJ DETAIL-INPUT'!$10:$10,0))</f>
        <v>0</v>
      </c>
      <c r="AI15" s="807">
        <f>+INDEX('[2]ADJ DETAIL-INPUT'!$1:$1048576,MATCH($A15,'[2]ADJ DETAIL-INPUT'!$A:$A,0),MATCH(AI$11,'[2]ADJ DETAIL-INPUT'!$10:$10,0))</f>
        <v>0</v>
      </c>
      <c r="AJ15" s="633">
        <v>0</v>
      </c>
      <c r="AK15" s="633">
        <v>-5179</v>
      </c>
      <c r="AL15" s="807">
        <f>+INDEX('[2]ADJ DETAIL-INPUT'!$1:$1048576,MATCH($A15,'[2]ADJ DETAIL-INPUT'!$A:$A,0),MATCH(AL$11,'[2]ADJ DETAIL-INPUT'!$10:$10,0))</f>
        <v>0</v>
      </c>
      <c r="AM15" s="807">
        <f>+INDEX('[2]ADJ DETAIL-INPUT'!$1:$1048576,MATCH($A15,'[2]ADJ DETAIL-INPUT'!$A:$A,0),MATCH(AM$11,'[2]ADJ DETAIL-INPUT'!$10:$10,0))</f>
        <v>0</v>
      </c>
      <c r="AN15" s="807">
        <f>+INDEX('[2]ADJ DETAIL-INPUT'!$1:$1048576,MATCH($A15,'[2]ADJ DETAIL-INPUT'!$A:$A,0),MATCH(AN$11,'[2]ADJ DETAIL-INPUT'!$10:$10,0))</f>
        <v>0</v>
      </c>
      <c r="AO15" s="633">
        <v>0</v>
      </c>
      <c r="AP15" s="652">
        <f t="shared" ref="AP15:AP20" si="16">SUM(AB15:AO15)</f>
        <v>494144</v>
      </c>
      <c r="AQ15" s="633">
        <v>0</v>
      </c>
      <c r="AR15" s="633">
        <v>0</v>
      </c>
      <c r="AS15" s="633">
        <v>0</v>
      </c>
      <c r="AT15" s="633">
        <v>0</v>
      </c>
      <c r="AU15" s="633">
        <v>0</v>
      </c>
      <c r="AV15" s="633">
        <v>0</v>
      </c>
      <c r="AW15" s="633">
        <v>0</v>
      </c>
      <c r="AX15" s="652">
        <f t="shared" ref="AX15:AX20" si="17">SUM(AP15:AW15)</f>
        <v>494144</v>
      </c>
      <c r="AY15" s="633">
        <v>0</v>
      </c>
      <c r="AZ15" s="652">
        <f>SUM(AX15:AY15)</f>
        <v>494144</v>
      </c>
      <c r="BA15" s="701"/>
      <c r="BB15" s="633"/>
      <c r="BC15" s="633"/>
      <c r="BD15" s="652">
        <f>AZ15</f>
        <v>494144</v>
      </c>
      <c r="BE15" s="633">
        <v>0</v>
      </c>
      <c r="BF15" s="633">
        <v>0</v>
      </c>
      <c r="BG15" s="633">
        <v>0</v>
      </c>
      <c r="BH15" s="633">
        <v>0</v>
      </c>
      <c r="BI15" s="633">
        <v>0</v>
      </c>
      <c r="BJ15" s="633">
        <v>0</v>
      </c>
      <c r="BK15" s="633">
        <v>0</v>
      </c>
      <c r="BL15" s="652">
        <f t="shared" ref="BL15:BL20" si="18">SUM(BD15:BK15)</f>
        <v>494144</v>
      </c>
      <c r="BM15" s="633">
        <v>0</v>
      </c>
      <c r="BN15" s="652">
        <f t="shared" ref="BN15:BN20" si="19">SUM(BL15:BM15)</f>
        <v>494144</v>
      </c>
      <c r="BO15" s="652">
        <f t="shared" ref="BO15:BO20" si="20">BN15-AZ15</f>
        <v>0</v>
      </c>
      <c r="BP15" s="633"/>
      <c r="BQ15" s="633"/>
    </row>
    <row r="16" spans="1:69" s="589" customFormat="1">
      <c r="A16" s="587">
        <v>2</v>
      </c>
      <c r="B16" s="589" t="s">
        <v>188</v>
      </c>
      <c r="E16" s="592">
        <f>'ROO INPUT'!F15</f>
        <v>920</v>
      </c>
      <c r="F16" s="601">
        <v>0</v>
      </c>
      <c r="G16" s="807">
        <f>+INDEX('[2]ADJ DETAIL-INPUT'!$1:$1048576,MATCH($A16,'[2]ADJ DETAIL-INPUT'!$A:$A,0),MATCH(G$11,'[2]ADJ DETAIL-INPUT'!$10:$10,0))</f>
        <v>0</v>
      </c>
      <c r="H16" s="601">
        <v>0</v>
      </c>
      <c r="I16" s="601">
        <v>0</v>
      </c>
      <c r="J16" s="601">
        <v>0</v>
      </c>
      <c r="K16" s="807">
        <f>+INDEX('[2]ADJ DETAIL-INPUT'!$1:$1048576,MATCH($A16,'[2]ADJ DETAIL-INPUT'!$A:$A,0),MATCH(K$11,'[2]ADJ DETAIL-INPUT'!$10:$10,0))</f>
        <v>0</v>
      </c>
      <c r="L16" s="601">
        <v>0</v>
      </c>
      <c r="M16" s="601">
        <v>0</v>
      </c>
      <c r="N16" s="601">
        <v>0</v>
      </c>
      <c r="O16" s="601">
        <v>0</v>
      </c>
      <c r="P16" s="601">
        <v>0</v>
      </c>
      <c r="Q16" s="601">
        <v>0</v>
      </c>
      <c r="R16" s="601">
        <v>0</v>
      </c>
      <c r="S16" s="601">
        <v>0</v>
      </c>
      <c r="T16" s="602">
        <v>0</v>
      </c>
      <c r="U16" s="602">
        <v>0</v>
      </c>
      <c r="V16" s="601" t="s">
        <v>615</v>
      </c>
      <c r="W16" s="601">
        <v>0</v>
      </c>
      <c r="X16" s="602">
        <v>0</v>
      </c>
      <c r="Y16" s="807">
        <f>+INDEX('[2]ADJ DETAIL-INPUT'!$1:$1048576,MATCH($A16,'[2]ADJ DETAIL-INPUT'!$A:$A,0),MATCH(Y$11,'[2]ADJ DETAIL-INPUT'!$10:$10,0))</f>
        <v>0</v>
      </c>
      <c r="Z16" s="602">
        <v>0</v>
      </c>
      <c r="AA16" s="601">
        <v>0</v>
      </c>
      <c r="AB16" s="600">
        <f>SUM(E16:AA16)</f>
        <v>920</v>
      </c>
      <c r="AC16" s="602">
        <v>0</v>
      </c>
      <c r="AD16" s="602">
        <v>0</v>
      </c>
      <c r="AE16" s="601">
        <v>0</v>
      </c>
      <c r="AF16" s="601">
        <v>0</v>
      </c>
      <c r="AG16" s="601">
        <v>0</v>
      </c>
      <c r="AH16" s="807">
        <f>+INDEX('[2]ADJ DETAIL-INPUT'!$1:$1048576,MATCH($A16,'[2]ADJ DETAIL-INPUT'!$A:$A,0),MATCH(AH$11,'[2]ADJ DETAIL-INPUT'!$10:$10,0))</f>
        <v>0</v>
      </c>
      <c r="AI16" s="807">
        <f>+INDEX('[2]ADJ DETAIL-INPUT'!$1:$1048576,MATCH($A16,'[2]ADJ DETAIL-INPUT'!$A:$A,0),MATCH(AI$11,'[2]ADJ DETAIL-INPUT'!$10:$10,0))</f>
        <v>0</v>
      </c>
      <c r="AJ16" s="612">
        <v>0</v>
      </c>
      <c r="AK16" s="602">
        <v>0</v>
      </c>
      <c r="AL16" s="807">
        <f>+INDEX('[2]ADJ DETAIL-INPUT'!$1:$1048576,MATCH($A16,'[2]ADJ DETAIL-INPUT'!$A:$A,0),MATCH(AL$11,'[2]ADJ DETAIL-INPUT'!$10:$10,0))</f>
        <v>0</v>
      </c>
      <c r="AM16" s="807">
        <f>+INDEX('[2]ADJ DETAIL-INPUT'!$1:$1048576,MATCH($A16,'[2]ADJ DETAIL-INPUT'!$A:$A,0),MATCH(AM$11,'[2]ADJ DETAIL-INPUT'!$10:$10,0))</f>
        <v>0</v>
      </c>
      <c r="AN16" s="807">
        <f>+INDEX('[2]ADJ DETAIL-INPUT'!$1:$1048576,MATCH($A16,'[2]ADJ DETAIL-INPUT'!$A:$A,0),MATCH(AN$11,'[2]ADJ DETAIL-INPUT'!$10:$10,0))</f>
        <v>0</v>
      </c>
      <c r="AO16" s="612">
        <v>0</v>
      </c>
      <c r="AP16" s="651">
        <f t="shared" si="16"/>
        <v>920</v>
      </c>
      <c r="AQ16" s="612">
        <v>0</v>
      </c>
      <c r="AR16" s="612">
        <v>0</v>
      </c>
      <c r="AS16" s="602">
        <v>0</v>
      </c>
      <c r="AT16" s="602">
        <v>0</v>
      </c>
      <c r="AU16" s="601">
        <v>0</v>
      </c>
      <c r="AV16" s="601">
        <v>0</v>
      </c>
      <c r="AW16" s="601">
        <v>0</v>
      </c>
      <c r="AX16" s="651">
        <f t="shared" si="17"/>
        <v>920</v>
      </c>
      <c r="AY16" s="612">
        <v>0</v>
      </c>
      <c r="AZ16" s="651">
        <f t="shared" ref="AZ16:AZ20" si="21">SUM(AX16:AY16)</f>
        <v>920</v>
      </c>
      <c r="BA16" s="698"/>
      <c r="BB16" s="612"/>
      <c r="BC16" s="612"/>
      <c r="BD16" s="651">
        <f>AZ16</f>
        <v>920</v>
      </c>
      <c r="BE16" s="612">
        <v>0</v>
      </c>
      <c r="BF16" s="602">
        <v>0</v>
      </c>
      <c r="BG16" s="612">
        <v>0</v>
      </c>
      <c r="BH16" s="601">
        <v>0</v>
      </c>
      <c r="BI16" s="601">
        <v>0</v>
      </c>
      <c r="BJ16" s="601">
        <v>0</v>
      </c>
      <c r="BK16" s="601">
        <v>0</v>
      </c>
      <c r="BL16" s="651">
        <f t="shared" si="18"/>
        <v>920</v>
      </c>
      <c r="BM16" s="602">
        <v>0</v>
      </c>
      <c r="BN16" s="651">
        <f t="shared" si="19"/>
        <v>920</v>
      </c>
      <c r="BO16" s="651">
        <f t="shared" si="20"/>
        <v>0</v>
      </c>
      <c r="BP16" s="612"/>
      <c r="BQ16" s="612"/>
    </row>
    <row r="17" spans="1:69" s="589" customFormat="1">
      <c r="A17" s="587">
        <v>3</v>
      </c>
      <c r="B17" s="589" t="s">
        <v>189</v>
      </c>
      <c r="E17" s="628">
        <f>'ROO INPUT'!F16</f>
        <v>84664</v>
      </c>
      <c r="F17" s="614">
        <v>0</v>
      </c>
      <c r="G17" s="808">
        <f>+INDEX('[2]ADJ DETAIL-INPUT'!$1:$1048576,MATCH($A17,'[2]ADJ DETAIL-INPUT'!$A:$A,0),MATCH(G$11,'[2]ADJ DETAIL-INPUT'!$10:$10,0))</f>
        <v>0</v>
      </c>
      <c r="H17" s="614">
        <v>0</v>
      </c>
      <c r="I17" s="614">
        <v>0</v>
      </c>
      <c r="J17" s="614">
        <v>0</v>
      </c>
      <c r="K17" s="808">
        <f>+INDEX('[2]ADJ DETAIL-INPUT'!$1:$1048576,MATCH($A17,'[2]ADJ DETAIL-INPUT'!$A:$A,0),MATCH(K$11,'[2]ADJ DETAIL-INPUT'!$10:$10,0))</f>
        <v>0</v>
      </c>
      <c r="L17" s="614">
        <v>0</v>
      </c>
      <c r="M17" s="614">
        <v>0</v>
      </c>
      <c r="N17" s="614">
        <v>0</v>
      </c>
      <c r="O17" s="614">
        <v>0</v>
      </c>
      <c r="P17" s="614">
        <v>0</v>
      </c>
      <c r="Q17" s="614">
        <v>0</v>
      </c>
      <c r="R17" s="614">
        <v>0</v>
      </c>
      <c r="S17" s="614">
        <v>0</v>
      </c>
      <c r="T17" s="613">
        <v>0</v>
      </c>
      <c r="U17" s="613">
        <v>0</v>
      </c>
      <c r="V17" s="614">
        <v>0</v>
      </c>
      <c r="W17" s="614">
        <v>0</v>
      </c>
      <c r="X17" s="613">
        <v>0</v>
      </c>
      <c r="Y17" s="808">
        <f>+INDEX('[2]ADJ DETAIL-INPUT'!$1:$1048576,MATCH($A17,'[2]ADJ DETAIL-INPUT'!$A:$A,0),MATCH(Y$11,'[2]ADJ DETAIL-INPUT'!$10:$10,0))</f>
        <v>0</v>
      </c>
      <c r="Z17" s="613">
        <v>0</v>
      </c>
      <c r="AA17" s="614">
        <v>0</v>
      </c>
      <c r="AB17" s="277">
        <f>SUM(E17:AA17)</f>
        <v>84664</v>
      </c>
      <c r="AC17" s="613">
        <v>-47454</v>
      </c>
      <c r="AD17" s="613">
        <v>0</v>
      </c>
      <c r="AE17" s="614">
        <v>0</v>
      </c>
      <c r="AF17" s="614">
        <v>0</v>
      </c>
      <c r="AG17" s="614">
        <v>0</v>
      </c>
      <c r="AH17" s="808">
        <f>+INDEX('[2]ADJ DETAIL-INPUT'!$1:$1048576,MATCH($A17,'[2]ADJ DETAIL-INPUT'!$A:$A,0),MATCH(AH$11,'[2]ADJ DETAIL-INPUT'!$10:$10,0))</f>
        <v>0</v>
      </c>
      <c r="AI17" s="808">
        <f>+INDEX('[2]ADJ DETAIL-INPUT'!$1:$1048576,MATCH($A17,'[2]ADJ DETAIL-INPUT'!$A:$A,0),MATCH(AI$11,'[2]ADJ DETAIL-INPUT'!$10:$10,0))</f>
        <v>0</v>
      </c>
      <c r="AJ17" s="613">
        <v>0</v>
      </c>
      <c r="AK17" s="613">
        <v>0</v>
      </c>
      <c r="AL17" s="808">
        <f>+INDEX('[2]ADJ DETAIL-INPUT'!$1:$1048576,MATCH($A17,'[2]ADJ DETAIL-INPUT'!$A:$A,0),MATCH(AL$11,'[2]ADJ DETAIL-INPUT'!$10:$10,0))</f>
        <v>0</v>
      </c>
      <c r="AM17" s="808">
        <f>+INDEX('[2]ADJ DETAIL-INPUT'!$1:$1048576,MATCH($A17,'[2]ADJ DETAIL-INPUT'!$A:$A,0),MATCH(AM$11,'[2]ADJ DETAIL-INPUT'!$10:$10,0))</f>
        <v>0</v>
      </c>
      <c r="AN17" s="808">
        <f>+INDEX('[2]ADJ DETAIL-INPUT'!$1:$1048576,MATCH($A17,'[2]ADJ DETAIL-INPUT'!$A:$A,0),MATCH(AN$11,'[2]ADJ DETAIL-INPUT'!$10:$10,0))</f>
        <v>0</v>
      </c>
      <c r="AO17" s="613">
        <v>0</v>
      </c>
      <c r="AP17" s="653">
        <f t="shared" si="16"/>
        <v>37210</v>
      </c>
      <c r="AQ17" s="613">
        <v>0</v>
      </c>
      <c r="AR17" s="613">
        <v>0</v>
      </c>
      <c r="AS17" s="613">
        <v>0</v>
      </c>
      <c r="AT17" s="613">
        <v>0</v>
      </c>
      <c r="AU17" s="614">
        <v>0</v>
      </c>
      <c r="AV17" s="614">
        <v>0</v>
      </c>
      <c r="AW17" s="614">
        <v>0</v>
      </c>
      <c r="AX17" s="653">
        <f t="shared" si="17"/>
        <v>37210</v>
      </c>
      <c r="AY17" s="613">
        <v>0</v>
      </c>
      <c r="AZ17" s="653">
        <f t="shared" si="21"/>
        <v>37210</v>
      </c>
      <c r="BA17" s="698"/>
      <c r="BB17" s="612"/>
      <c r="BC17" s="612"/>
      <c r="BD17" s="653">
        <f>AZ17</f>
        <v>37210</v>
      </c>
      <c r="BE17" s="613">
        <v>0</v>
      </c>
      <c r="BF17" s="613">
        <v>0</v>
      </c>
      <c r="BG17" s="613">
        <v>0</v>
      </c>
      <c r="BH17" s="614">
        <v>0</v>
      </c>
      <c r="BI17" s="614">
        <v>0</v>
      </c>
      <c r="BJ17" s="614">
        <v>0</v>
      </c>
      <c r="BK17" s="614">
        <v>0</v>
      </c>
      <c r="BL17" s="653">
        <f t="shared" si="18"/>
        <v>37210</v>
      </c>
      <c r="BM17" s="613">
        <v>0</v>
      </c>
      <c r="BN17" s="653">
        <f t="shared" si="19"/>
        <v>37210</v>
      </c>
      <c r="BO17" s="653">
        <f t="shared" si="20"/>
        <v>0</v>
      </c>
      <c r="BP17" s="612"/>
      <c r="BQ17" s="612"/>
    </row>
    <row r="18" spans="1:69" s="589" customFormat="1">
      <c r="A18" s="587">
        <v>4</v>
      </c>
      <c r="B18" s="589" t="s">
        <v>190</v>
      </c>
      <c r="E18" s="592">
        <f t="shared" ref="E18:AJ18" si="22">SUM(E15:E17)</f>
        <v>597604</v>
      </c>
      <c r="F18" s="601">
        <f t="shared" si="22"/>
        <v>0</v>
      </c>
      <c r="G18" s="601">
        <f t="shared" si="22"/>
        <v>0</v>
      </c>
      <c r="H18" s="601">
        <f t="shared" si="22"/>
        <v>0</v>
      </c>
      <c r="I18" s="601">
        <f t="shared" ref="I18" si="23">SUM(I15:I17)</f>
        <v>0</v>
      </c>
      <c r="J18" s="601">
        <f t="shared" si="22"/>
        <v>-18110</v>
      </c>
      <c r="K18" s="601">
        <f t="shared" ref="K18" si="24">SUM(K15:K17)</f>
        <v>0</v>
      </c>
      <c r="L18" s="601">
        <f t="shared" si="22"/>
        <v>0</v>
      </c>
      <c r="M18" s="601">
        <f t="shared" si="22"/>
        <v>0</v>
      </c>
      <c r="N18" s="601">
        <f t="shared" si="22"/>
        <v>0</v>
      </c>
      <c r="O18" s="601">
        <f t="shared" si="22"/>
        <v>0</v>
      </c>
      <c r="P18" s="601">
        <f t="shared" si="22"/>
        <v>0</v>
      </c>
      <c r="Q18" s="601">
        <f t="shared" si="22"/>
        <v>0</v>
      </c>
      <c r="R18" s="601">
        <f t="shared" si="22"/>
        <v>0</v>
      </c>
      <c r="S18" s="601">
        <f t="shared" si="22"/>
        <v>3108</v>
      </c>
      <c r="T18" s="602">
        <f t="shared" ref="T18" si="25">SUM(T15:T17)</f>
        <v>-10581</v>
      </c>
      <c r="U18" s="602">
        <f>SUM(U15:U17)</f>
        <v>0</v>
      </c>
      <c r="V18" s="601">
        <f>SUM(V15:V17)</f>
        <v>12886</v>
      </c>
      <c r="W18" s="601">
        <f>SUM(W15:W17)</f>
        <v>0</v>
      </c>
      <c r="X18" s="602">
        <f>SUM(X15:X17)</f>
        <v>0</v>
      </c>
      <c r="Y18" s="601">
        <f t="shared" ref="Y18" si="26">SUM(Y15:Y17)</f>
        <v>0</v>
      </c>
      <c r="Z18" s="602">
        <f>SUM(Z15:Z17)</f>
        <v>0</v>
      </c>
      <c r="AA18" s="601">
        <f>SUM(AA15:AA17)</f>
        <v>0</v>
      </c>
      <c r="AB18" s="600">
        <f t="shared" si="22"/>
        <v>584907</v>
      </c>
      <c r="AC18" s="602">
        <f t="shared" si="22"/>
        <v>-47454</v>
      </c>
      <c r="AD18" s="602">
        <f t="shared" si="22"/>
        <v>0</v>
      </c>
      <c r="AE18" s="601">
        <f t="shared" si="22"/>
        <v>0</v>
      </c>
      <c r="AF18" s="601">
        <f t="shared" si="22"/>
        <v>0</v>
      </c>
      <c r="AG18" s="601">
        <f t="shared" si="22"/>
        <v>0</v>
      </c>
      <c r="AH18" s="601">
        <f t="shared" ref="AH18:AI18" si="27">SUM(AH15:AH17)</f>
        <v>0</v>
      </c>
      <c r="AI18" s="601">
        <f t="shared" si="27"/>
        <v>0</v>
      </c>
      <c r="AJ18" s="612">
        <f t="shared" si="22"/>
        <v>0</v>
      </c>
      <c r="AK18" s="602">
        <f>SUM(AK15:AK17)</f>
        <v>-5179</v>
      </c>
      <c r="AL18" s="601">
        <f t="shared" ref="AL18:AN18" si="28">SUM(AL15:AL17)</f>
        <v>0</v>
      </c>
      <c r="AM18" s="601">
        <f t="shared" si="28"/>
        <v>0</v>
      </c>
      <c r="AN18" s="601">
        <f t="shared" si="28"/>
        <v>0</v>
      </c>
      <c r="AO18" s="612">
        <f t="shared" ref="AO18" si="29">SUM(AO15:AO17)</f>
        <v>0</v>
      </c>
      <c r="AP18" s="651">
        <f t="shared" si="16"/>
        <v>532274</v>
      </c>
      <c r="AQ18" s="612">
        <f t="shared" ref="AQ18:AR18" si="30">SUM(AQ15:AQ17)</f>
        <v>0</v>
      </c>
      <c r="AR18" s="612">
        <f t="shared" si="30"/>
        <v>0</v>
      </c>
      <c r="AS18" s="602">
        <f>SUM(AS15:AS17)</f>
        <v>0</v>
      </c>
      <c r="AT18" s="602">
        <f>SUM(AT15:AT17)</f>
        <v>0</v>
      </c>
      <c r="AU18" s="601">
        <f t="shared" ref="AU18" si="31">SUM(AU15:AU17)</f>
        <v>0</v>
      </c>
      <c r="AV18" s="601">
        <f>SUM(AV15:AV17)</f>
        <v>0</v>
      </c>
      <c r="AW18" s="601">
        <f t="shared" ref="AW18" si="32">SUM(AW15:AW17)</f>
        <v>0</v>
      </c>
      <c r="AX18" s="651">
        <f t="shared" si="17"/>
        <v>532274</v>
      </c>
      <c r="AY18" s="612">
        <f>SUM(AY15:AY17)</f>
        <v>0</v>
      </c>
      <c r="AZ18" s="651">
        <f>SUM(AX18:AY18)</f>
        <v>532274</v>
      </c>
      <c r="BA18" s="698"/>
      <c r="BB18" s="612"/>
      <c r="BC18" s="612"/>
      <c r="BD18" s="651">
        <f>SUM(BD15:BD17)</f>
        <v>532274</v>
      </c>
      <c r="BE18" s="612">
        <f t="shared" ref="BE18:BF18" si="33">SUM(BE15:BE17)</f>
        <v>0</v>
      </c>
      <c r="BF18" s="602">
        <f t="shared" si="33"/>
        <v>0</v>
      </c>
      <c r="BG18" s="612">
        <f t="shared" ref="BG18:BI18" si="34">SUM(BG15:BG17)</f>
        <v>0</v>
      </c>
      <c r="BH18" s="601">
        <f t="shared" ref="BH18" si="35">SUM(BH15:BH17)</f>
        <v>0</v>
      </c>
      <c r="BI18" s="601">
        <f t="shared" si="34"/>
        <v>0</v>
      </c>
      <c r="BJ18" s="601">
        <f t="shared" ref="BJ18" si="36">SUM(BJ15:BJ17)</f>
        <v>0</v>
      </c>
      <c r="BK18" s="601">
        <f t="shared" ref="BK18" si="37">SUM(BK15:BK17)</f>
        <v>0</v>
      </c>
      <c r="BL18" s="651">
        <f t="shared" si="18"/>
        <v>532274</v>
      </c>
      <c r="BM18" s="602">
        <f>SUM(BM15:BM17)</f>
        <v>0</v>
      </c>
      <c r="BN18" s="651">
        <f t="shared" si="19"/>
        <v>532274</v>
      </c>
      <c r="BO18" s="651">
        <f t="shared" si="20"/>
        <v>0</v>
      </c>
      <c r="BP18" s="612"/>
      <c r="BQ18" s="612"/>
    </row>
    <row r="19" spans="1:69" s="589" customFormat="1">
      <c r="A19" s="587">
        <v>5</v>
      </c>
      <c r="B19" s="589" t="s">
        <v>191</v>
      </c>
      <c r="E19" s="628">
        <f>'ROO INPUT'!F18</f>
        <v>76513</v>
      </c>
      <c r="F19" s="614">
        <v>0</v>
      </c>
      <c r="G19" s="807">
        <f>+INDEX('[2]ADJ DETAIL-INPUT'!$1:$1048576,MATCH($A19,'[2]ADJ DETAIL-INPUT'!$A:$A,0),MATCH(G$11,'[2]ADJ DETAIL-INPUT'!$10:$10,0))</f>
        <v>0</v>
      </c>
      <c r="H19" s="614">
        <v>0</v>
      </c>
      <c r="I19" s="614">
        <v>0</v>
      </c>
      <c r="J19" s="614">
        <v>-14</v>
      </c>
      <c r="K19" s="807">
        <f>+INDEX('[2]ADJ DETAIL-INPUT'!$1:$1048576,MATCH($A19,'[2]ADJ DETAIL-INPUT'!$A:$A,0),MATCH(K$11,'[2]ADJ DETAIL-INPUT'!$10:$10,0))</f>
        <v>0</v>
      </c>
      <c r="L19" s="614">
        <v>0</v>
      </c>
      <c r="M19" s="614">
        <v>0</v>
      </c>
      <c r="N19" s="614">
        <v>0</v>
      </c>
      <c r="O19" s="614">
        <v>0</v>
      </c>
      <c r="P19" s="614">
        <v>0</v>
      </c>
      <c r="Q19" s="614">
        <v>0</v>
      </c>
      <c r="R19" s="614">
        <v>0</v>
      </c>
      <c r="S19" s="614">
        <v>0</v>
      </c>
      <c r="T19" s="613">
        <v>0</v>
      </c>
      <c r="U19" s="613">
        <v>0</v>
      </c>
      <c r="V19" s="614">
        <v>0</v>
      </c>
      <c r="W19" s="614">
        <v>0</v>
      </c>
      <c r="X19" s="613">
        <v>0</v>
      </c>
      <c r="Y19" s="807">
        <f>+INDEX('[2]ADJ DETAIL-INPUT'!$1:$1048576,MATCH($A19,'[2]ADJ DETAIL-INPUT'!$A:$A,0),MATCH(Y$11,'[2]ADJ DETAIL-INPUT'!$10:$10,0))</f>
        <v>0</v>
      </c>
      <c r="Z19" s="613">
        <v>0</v>
      </c>
      <c r="AA19" s="614">
        <v>0</v>
      </c>
      <c r="AB19" s="277">
        <f>SUM(E19:AA19)</f>
        <v>76499</v>
      </c>
      <c r="AC19" s="613">
        <f>-111298-AC17</f>
        <v>-63844</v>
      </c>
      <c r="AD19" s="808">
        <f>-415-'[5]Table BGM-7'!$G$4-'[5]Table BGM-7'!$G$5</f>
        <v>486.22131549999995</v>
      </c>
      <c r="AE19" s="614">
        <v>0</v>
      </c>
      <c r="AF19" s="614">
        <v>0</v>
      </c>
      <c r="AG19" s="614">
        <v>0</v>
      </c>
      <c r="AH19" s="807">
        <f>+INDEX('[2]ADJ DETAIL-INPUT'!$1:$1048576,MATCH($A19,'[2]ADJ DETAIL-INPUT'!$A:$A,0),MATCH(AH$11,'[2]ADJ DETAIL-INPUT'!$10:$10,0))</f>
        <v>0</v>
      </c>
      <c r="AI19" s="807">
        <f>+INDEX('[2]ADJ DETAIL-INPUT'!$1:$1048576,MATCH($A19,'[2]ADJ DETAIL-INPUT'!$A:$A,0),MATCH(AI$11,'[2]ADJ DETAIL-INPUT'!$10:$10,0))</f>
        <v>0</v>
      </c>
      <c r="AJ19" s="613">
        <v>0</v>
      </c>
      <c r="AK19" s="613">
        <f>1500-2604+2986</f>
        <v>1882</v>
      </c>
      <c r="AL19" s="807">
        <f>+INDEX('[2]ADJ DETAIL-INPUT'!$1:$1048576,MATCH($A19,'[2]ADJ DETAIL-INPUT'!$A:$A,0),MATCH(AL$11,'[2]ADJ DETAIL-INPUT'!$10:$10,0))</f>
        <v>0</v>
      </c>
      <c r="AM19" s="807">
        <f>+INDEX('[2]ADJ DETAIL-INPUT'!$1:$1048576,MATCH($A19,'[2]ADJ DETAIL-INPUT'!$A:$A,0),MATCH(AM$11,'[2]ADJ DETAIL-INPUT'!$10:$10,0))</f>
        <v>0</v>
      </c>
      <c r="AN19" s="807">
        <f>+INDEX('[2]ADJ DETAIL-INPUT'!$1:$1048576,MATCH($A19,'[2]ADJ DETAIL-INPUT'!$A:$A,0),MATCH(AN$11,'[2]ADJ DETAIL-INPUT'!$10:$10,0))</f>
        <v>0</v>
      </c>
      <c r="AO19" s="613">
        <v>0</v>
      </c>
      <c r="AP19" s="653">
        <f t="shared" si="16"/>
        <v>15023.221315499999</v>
      </c>
      <c r="AQ19" s="613">
        <v>0</v>
      </c>
      <c r="AR19" s="613">
        <v>0</v>
      </c>
      <c r="AS19" s="613">
        <v>0</v>
      </c>
      <c r="AT19" s="613">
        <v>0</v>
      </c>
      <c r="AU19" s="614">
        <v>0</v>
      </c>
      <c r="AV19" s="614">
        <v>0</v>
      </c>
      <c r="AW19" s="614">
        <v>0</v>
      </c>
      <c r="AX19" s="653">
        <f t="shared" si="17"/>
        <v>15023.221315499999</v>
      </c>
      <c r="AY19" s="613">
        <v>0</v>
      </c>
      <c r="AZ19" s="653">
        <f t="shared" si="21"/>
        <v>15023.221315499999</v>
      </c>
      <c r="BA19" s="698"/>
      <c r="BB19" s="612"/>
      <c r="BC19" s="612"/>
      <c r="BD19" s="653">
        <f>AZ19</f>
        <v>15023.221315499999</v>
      </c>
      <c r="BE19" s="613">
        <v>0</v>
      </c>
      <c r="BF19" s="613">
        <v>0</v>
      </c>
      <c r="BG19" s="613">
        <v>0</v>
      </c>
      <c r="BH19" s="614">
        <v>0</v>
      </c>
      <c r="BI19" s="614">
        <v>0</v>
      </c>
      <c r="BJ19" s="614">
        <v>0</v>
      </c>
      <c r="BK19" s="614">
        <v>0</v>
      </c>
      <c r="BL19" s="653">
        <f t="shared" si="18"/>
        <v>15023.221315499999</v>
      </c>
      <c r="BM19" s="613">
        <v>0</v>
      </c>
      <c r="BN19" s="653">
        <f t="shared" si="19"/>
        <v>15023.221315499999</v>
      </c>
      <c r="BO19" s="653">
        <f t="shared" si="20"/>
        <v>0</v>
      </c>
      <c r="BP19" s="612"/>
      <c r="BQ19" s="612"/>
    </row>
    <row r="20" spans="1:69" s="589" customFormat="1">
      <c r="A20" s="587">
        <v>6</v>
      </c>
      <c r="B20" s="589" t="s">
        <v>192</v>
      </c>
      <c r="E20" s="592">
        <f t="shared" ref="E20:AG20" si="38">SUM(E18:E19)</f>
        <v>674117</v>
      </c>
      <c r="F20" s="601">
        <f t="shared" si="38"/>
        <v>0</v>
      </c>
      <c r="G20" s="601">
        <f t="shared" si="38"/>
        <v>0</v>
      </c>
      <c r="H20" s="601">
        <f t="shared" si="38"/>
        <v>0</v>
      </c>
      <c r="I20" s="601">
        <f t="shared" ref="I20" si="39">SUM(I18:I19)</f>
        <v>0</v>
      </c>
      <c r="J20" s="601">
        <f t="shared" si="38"/>
        <v>-18124</v>
      </c>
      <c r="K20" s="601">
        <f t="shared" ref="K20" si="40">SUM(K18:K19)</f>
        <v>0</v>
      </c>
      <c r="L20" s="601">
        <f t="shared" si="38"/>
        <v>0</v>
      </c>
      <c r="M20" s="601">
        <f t="shared" si="38"/>
        <v>0</v>
      </c>
      <c r="N20" s="601">
        <f t="shared" si="38"/>
        <v>0</v>
      </c>
      <c r="O20" s="601">
        <f t="shared" si="38"/>
        <v>0</v>
      </c>
      <c r="P20" s="601">
        <f t="shared" si="38"/>
        <v>0</v>
      </c>
      <c r="Q20" s="601">
        <f t="shared" si="38"/>
        <v>0</v>
      </c>
      <c r="R20" s="601">
        <f t="shared" si="38"/>
        <v>0</v>
      </c>
      <c r="S20" s="601">
        <f t="shared" si="38"/>
        <v>3108</v>
      </c>
      <c r="T20" s="602">
        <f t="shared" ref="T20" si="41">SUM(T18:T19)</f>
        <v>-10581</v>
      </c>
      <c r="U20" s="602">
        <f>SUM(U18:U19)</f>
        <v>0</v>
      </c>
      <c r="V20" s="601">
        <f>SUM(V18:V19)</f>
        <v>12886</v>
      </c>
      <c r="W20" s="601">
        <f>SUM(W18:W19)</f>
        <v>0</v>
      </c>
      <c r="X20" s="602">
        <f>SUM(X18:X19)</f>
        <v>0</v>
      </c>
      <c r="Y20" s="601">
        <f t="shared" ref="Y20" si="42">SUM(Y18:Y19)</f>
        <v>0</v>
      </c>
      <c r="Z20" s="602">
        <f>SUM(Z18:Z19)</f>
        <v>0</v>
      </c>
      <c r="AA20" s="601">
        <f>SUM(AA18:AA19)</f>
        <v>0</v>
      </c>
      <c r="AB20" s="600">
        <f t="shared" si="38"/>
        <v>661406</v>
      </c>
      <c r="AC20" s="602">
        <f t="shared" si="38"/>
        <v>-111298</v>
      </c>
      <c r="AD20" s="602">
        <f t="shared" si="38"/>
        <v>486.22131549999995</v>
      </c>
      <c r="AE20" s="601">
        <f t="shared" si="38"/>
        <v>0</v>
      </c>
      <c r="AF20" s="601">
        <f t="shared" si="38"/>
        <v>0</v>
      </c>
      <c r="AG20" s="601">
        <f t="shared" si="38"/>
        <v>0</v>
      </c>
      <c r="AH20" s="601">
        <f t="shared" ref="AH20:AI20" si="43">SUM(AH18:AH19)</f>
        <v>0</v>
      </c>
      <c r="AI20" s="601">
        <f t="shared" si="43"/>
        <v>0</v>
      </c>
      <c r="AJ20" s="612">
        <f t="shared" ref="AJ20" si="44">SUM(AJ18:AJ19)</f>
        <v>0</v>
      </c>
      <c r="AK20" s="602">
        <f>SUM(AK18:AK19)</f>
        <v>-3297</v>
      </c>
      <c r="AL20" s="601">
        <f t="shared" ref="AL20:AN20" si="45">SUM(AL18:AL19)</f>
        <v>0</v>
      </c>
      <c r="AM20" s="601">
        <f t="shared" si="45"/>
        <v>0</v>
      </c>
      <c r="AN20" s="601">
        <f t="shared" si="45"/>
        <v>0</v>
      </c>
      <c r="AO20" s="612">
        <f t="shared" ref="AO20" si="46">SUM(AO18:AO19)</f>
        <v>0</v>
      </c>
      <c r="AP20" s="651">
        <f t="shared" si="16"/>
        <v>547297.22131549998</v>
      </c>
      <c r="AQ20" s="612">
        <f t="shared" ref="AQ20:AR20" si="47">SUM(AQ18:AQ19)</f>
        <v>0</v>
      </c>
      <c r="AR20" s="612">
        <f t="shared" si="47"/>
        <v>0</v>
      </c>
      <c r="AS20" s="602">
        <f>SUM(AS18:AS19)</f>
        <v>0</v>
      </c>
      <c r="AT20" s="602">
        <f>SUM(AT18:AT19)</f>
        <v>0</v>
      </c>
      <c r="AU20" s="601">
        <f>SUM(AU18:AU19)</f>
        <v>0</v>
      </c>
      <c r="AV20" s="601">
        <f t="shared" ref="AV20" si="48">SUM(AV18:AV19)</f>
        <v>0</v>
      </c>
      <c r="AW20" s="601">
        <f t="shared" ref="AW20" si="49">SUM(AW18:AW19)</f>
        <v>0</v>
      </c>
      <c r="AX20" s="651">
        <f t="shared" si="17"/>
        <v>547297.22131549998</v>
      </c>
      <c r="AY20" s="612">
        <f>SUM(AY18:AY19)</f>
        <v>0</v>
      </c>
      <c r="AZ20" s="651">
        <f t="shared" si="21"/>
        <v>547297.22131549998</v>
      </c>
      <c r="BA20" s="698"/>
      <c r="BB20" s="612"/>
      <c r="BC20" s="612"/>
      <c r="BD20" s="651">
        <f>SUM(BD18:BD19)</f>
        <v>547297.22131549998</v>
      </c>
      <c r="BE20" s="612">
        <f>SUM(BE18:BE19)</f>
        <v>0</v>
      </c>
      <c r="BF20" s="602">
        <f>SUM(BF18:BF19)</f>
        <v>0</v>
      </c>
      <c r="BG20" s="612">
        <f t="shared" ref="BG20:BI20" si="50">SUM(BG18:BG19)</f>
        <v>0</v>
      </c>
      <c r="BH20" s="601">
        <f t="shared" ref="BH20" si="51">SUM(BH18:BH19)</f>
        <v>0</v>
      </c>
      <c r="BI20" s="601">
        <f t="shared" si="50"/>
        <v>0</v>
      </c>
      <c r="BJ20" s="601">
        <f t="shared" ref="BJ20" si="52">SUM(BJ18:BJ19)</f>
        <v>0</v>
      </c>
      <c r="BK20" s="601">
        <f t="shared" ref="BK20" si="53">SUM(BK18:BK19)</f>
        <v>0</v>
      </c>
      <c r="BL20" s="651">
        <f t="shared" si="18"/>
        <v>547297.22131549998</v>
      </c>
      <c r="BM20" s="602">
        <f>SUM(BM18:BM19)</f>
        <v>0</v>
      </c>
      <c r="BN20" s="651">
        <f t="shared" si="19"/>
        <v>547297.22131549998</v>
      </c>
      <c r="BO20" s="651">
        <f t="shared" si="20"/>
        <v>0</v>
      </c>
      <c r="BP20" s="612"/>
      <c r="BQ20" s="612"/>
    </row>
    <row r="21" spans="1:69" s="589" customFormat="1">
      <c r="A21" s="587"/>
      <c r="E21" s="592"/>
      <c r="F21" s="601"/>
      <c r="G21" s="601"/>
      <c r="H21" s="601"/>
      <c r="I21" s="601"/>
      <c r="J21" s="601"/>
      <c r="K21" s="601"/>
      <c r="L21" s="601"/>
      <c r="M21" s="601"/>
      <c r="N21" s="601"/>
      <c r="O21" s="601"/>
      <c r="P21" s="601"/>
      <c r="Q21" s="601"/>
      <c r="R21" s="601"/>
      <c r="S21" s="601"/>
      <c r="T21" s="602"/>
      <c r="U21" s="602"/>
      <c r="V21" s="601"/>
      <c r="W21" s="601"/>
      <c r="X21" s="602"/>
      <c r="Y21" s="601"/>
      <c r="Z21" s="602"/>
      <c r="AA21" s="601"/>
      <c r="AB21" s="600"/>
      <c r="AC21" s="602"/>
      <c r="AD21" s="602"/>
      <c r="AE21" s="601"/>
      <c r="AF21" s="601"/>
      <c r="AG21" s="601"/>
      <c r="AH21" s="601"/>
      <c r="AI21" s="601"/>
      <c r="AJ21" s="612"/>
      <c r="AK21" s="602"/>
      <c r="AL21" s="601"/>
      <c r="AM21" s="601"/>
      <c r="AN21" s="601"/>
      <c r="AO21" s="612"/>
      <c r="AP21" s="651"/>
      <c r="AQ21" s="612"/>
      <c r="AR21" s="612"/>
      <c r="AS21" s="602"/>
      <c r="AT21" s="602"/>
      <c r="AU21" s="601"/>
      <c r="AV21" s="601"/>
      <c r="AW21" s="601"/>
      <c r="AX21" s="651"/>
      <c r="AY21" s="612"/>
      <c r="AZ21" s="651"/>
      <c r="BA21" s="698"/>
      <c r="BB21" s="612"/>
      <c r="BC21" s="612"/>
      <c r="BD21" s="651"/>
      <c r="BE21" s="612"/>
      <c r="BF21" s="602"/>
      <c r="BG21" s="612"/>
      <c r="BH21" s="601"/>
      <c r="BI21" s="601"/>
      <c r="BJ21" s="601"/>
      <c r="BK21" s="601"/>
      <c r="BL21" s="651"/>
      <c r="BM21" s="602"/>
      <c r="BN21" s="651"/>
      <c r="BO21" s="651"/>
      <c r="BP21" s="612"/>
      <c r="BQ21" s="612"/>
    </row>
    <row r="22" spans="1:69" s="589" customFormat="1">
      <c r="A22" s="587"/>
      <c r="B22" s="589" t="s">
        <v>193</v>
      </c>
      <c r="E22" s="592"/>
      <c r="F22" s="601"/>
      <c r="G22" s="601"/>
      <c r="H22" s="601"/>
      <c r="I22" s="601"/>
      <c r="J22" s="601"/>
      <c r="K22" s="601"/>
      <c r="L22" s="601"/>
      <c r="M22" s="601"/>
      <c r="N22" s="601"/>
      <c r="O22" s="601"/>
      <c r="P22" s="601"/>
      <c r="Q22" s="601"/>
      <c r="R22" s="601"/>
      <c r="S22" s="601"/>
      <c r="T22" s="602"/>
      <c r="U22" s="602"/>
      <c r="V22" s="601"/>
      <c r="W22" s="601"/>
      <c r="X22" s="602"/>
      <c r="Y22" s="601"/>
      <c r="Z22" s="602"/>
      <c r="AA22" s="601"/>
      <c r="AB22" s="600"/>
      <c r="AC22" s="602"/>
      <c r="AD22" s="602"/>
      <c r="AE22" s="601"/>
      <c r="AF22" s="601"/>
      <c r="AG22" s="601"/>
      <c r="AH22" s="601"/>
      <c r="AI22" s="601"/>
      <c r="AJ22" s="612"/>
      <c r="AK22" s="602"/>
      <c r="AL22" s="601"/>
      <c r="AM22" s="601"/>
      <c r="AN22" s="601"/>
      <c r="AO22" s="612"/>
      <c r="AP22" s="651"/>
      <c r="AQ22" s="612"/>
      <c r="AR22" s="612"/>
      <c r="AS22" s="602"/>
      <c r="AT22" s="602"/>
      <c r="AU22" s="601"/>
      <c r="AV22" s="601"/>
      <c r="AW22" s="601"/>
      <c r="AX22" s="651"/>
      <c r="AY22" s="612"/>
      <c r="AZ22" s="651"/>
      <c r="BA22" s="698"/>
      <c r="BB22" s="612"/>
      <c r="BC22" s="612"/>
      <c r="BD22" s="651"/>
      <c r="BE22" s="612"/>
      <c r="BF22" s="602"/>
      <c r="BG22" s="612"/>
      <c r="BH22" s="601"/>
      <c r="BI22" s="601"/>
      <c r="BJ22" s="601"/>
      <c r="BK22" s="601"/>
      <c r="BL22" s="651"/>
      <c r="BM22" s="602"/>
      <c r="BN22" s="651"/>
      <c r="BO22" s="651"/>
      <c r="BP22" s="612"/>
      <c r="BQ22" s="612"/>
    </row>
    <row r="23" spans="1:69" s="589" customFormat="1">
      <c r="A23" s="587"/>
      <c r="B23" s="589" t="s">
        <v>194</v>
      </c>
      <c r="E23" s="592"/>
      <c r="F23" s="601"/>
      <c r="G23" s="601"/>
      <c r="H23" s="601"/>
      <c r="I23" s="601"/>
      <c r="J23" s="601"/>
      <c r="K23" s="601"/>
      <c r="L23" s="601"/>
      <c r="M23" s="601"/>
      <c r="N23" s="601"/>
      <c r="O23" s="601"/>
      <c r="P23" s="601"/>
      <c r="Q23" s="601"/>
      <c r="R23" s="601"/>
      <c r="S23" s="601"/>
      <c r="T23" s="602"/>
      <c r="U23" s="602"/>
      <c r="V23" s="601"/>
      <c r="W23" s="601"/>
      <c r="X23" s="602"/>
      <c r="Y23" s="601"/>
      <c r="Z23" s="602"/>
      <c r="AA23" s="601"/>
      <c r="AB23" s="600"/>
      <c r="AC23" s="602"/>
      <c r="AD23" s="602"/>
      <c r="AE23" s="601"/>
      <c r="AF23" s="601"/>
      <c r="AG23" s="601"/>
      <c r="AH23" s="601"/>
      <c r="AI23" s="601"/>
      <c r="AJ23" s="612"/>
      <c r="AK23" s="602"/>
      <c r="AL23" s="601"/>
      <c r="AM23" s="601"/>
      <c r="AN23" s="601"/>
      <c r="AO23" s="612"/>
      <c r="AP23" s="651">
        <f t="shared" ref="AP23:AP29" si="54">SUM(AB23:AO23)</f>
        <v>0</v>
      </c>
      <c r="AQ23" s="612"/>
      <c r="AR23" s="612"/>
      <c r="AS23" s="602"/>
      <c r="AT23" s="602"/>
      <c r="AU23" s="601"/>
      <c r="AV23" s="601"/>
      <c r="AW23" s="601"/>
      <c r="AX23" s="651"/>
      <c r="AY23" s="612"/>
      <c r="AZ23" s="651"/>
      <c r="BA23" s="698"/>
      <c r="BB23" s="612"/>
      <c r="BC23" s="612"/>
      <c r="BD23" s="651">
        <f>SUM(AN23:BC23)</f>
        <v>0</v>
      </c>
      <c r="BE23" s="612"/>
      <c r="BF23" s="602"/>
      <c r="BG23" s="612"/>
      <c r="BH23" s="601"/>
      <c r="BI23" s="601"/>
      <c r="BJ23" s="601"/>
      <c r="BK23" s="601"/>
      <c r="BL23" s="651"/>
      <c r="BM23" s="602"/>
      <c r="BN23" s="651"/>
      <c r="BO23" s="651"/>
      <c r="BP23" s="612"/>
      <c r="BQ23" s="612"/>
    </row>
    <row r="24" spans="1:69" s="589" customFormat="1">
      <c r="A24" s="587">
        <v>7</v>
      </c>
      <c r="C24" s="589" t="s">
        <v>195</v>
      </c>
      <c r="E24" s="592">
        <f>'ROO INPUT'!F23</f>
        <v>189010</v>
      </c>
      <c r="F24" s="601">
        <v>0</v>
      </c>
      <c r="G24" s="807">
        <f>+INDEX('[2]ADJ DETAIL-INPUT'!$1:$1048576,MATCH($A24,'[2]ADJ DETAIL-INPUT'!$A:$A,0),MATCH(G$11,'[2]ADJ DETAIL-INPUT'!$10:$10,0))</f>
        <v>-3725</v>
      </c>
      <c r="H24" s="601">
        <v>0</v>
      </c>
      <c r="I24" s="601">
        <v>0</v>
      </c>
      <c r="J24" s="601">
        <v>0</v>
      </c>
      <c r="K24" s="807">
        <f>+INDEX('[2]ADJ DETAIL-INPUT'!$1:$1048576,MATCH($A24,'[2]ADJ DETAIL-INPUT'!$A:$A,0),MATCH(K$11,'[2]ADJ DETAIL-INPUT'!$10:$10,0))</f>
        <v>0</v>
      </c>
      <c r="L24" s="601">
        <v>0</v>
      </c>
      <c r="M24" s="601">
        <v>0</v>
      </c>
      <c r="N24" s="601">
        <v>0</v>
      </c>
      <c r="O24" s="601">
        <v>0</v>
      </c>
      <c r="P24" s="601">
        <v>0</v>
      </c>
      <c r="Q24" s="601">
        <v>0</v>
      </c>
      <c r="R24" s="601">
        <v>0</v>
      </c>
      <c r="S24" s="601">
        <v>0</v>
      </c>
      <c r="T24" s="602">
        <v>-206</v>
      </c>
      <c r="U24" s="602">
        <v>-1</v>
      </c>
      <c r="V24" s="601">
        <v>4557</v>
      </c>
      <c r="W24" s="601">
        <v>-9</v>
      </c>
      <c r="X24" s="602">
        <v>0</v>
      </c>
      <c r="Y24" s="807">
        <f>+INDEX('[2]ADJ DETAIL-INPUT'!$1:$1048576,MATCH($A24,'[2]ADJ DETAIL-INPUT'!$A:$A,0),MATCH(Y$11,'[2]ADJ DETAIL-INPUT'!$10:$10,0))</f>
        <v>290</v>
      </c>
      <c r="Z24" s="602">
        <v>0</v>
      </c>
      <c r="AA24" s="601">
        <v>0</v>
      </c>
      <c r="AB24" s="600">
        <f>SUM(E24:AA24)</f>
        <v>189916</v>
      </c>
      <c r="AC24" s="807">
        <f>-105772-AC25+'[5]Table BGM-7'!$G$6+'[5]Table BGM-7'!$G$7+'[5]Table BGM-7'!$G$3</f>
        <v>-62361.245987100003</v>
      </c>
      <c r="AD24" s="602">
        <v>153</v>
      </c>
      <c r="AE24" s="807">
        <f>696-'[6]Washington Electric'!$L$137</f>
        <v>410.580556</v>
      </c>
      <c r="AF24" s="601">
        <v>-31</v>
      </c>
      <c r="AG24" s="601">
        <v>385</v>
      </c>
      <c r="AH24" s="807">
        <f>+INDEX('[2]ADJ DETAIL-INPUT'!$1:$1048576,MATCH($A24,'[2]ADJ DETAIL-INPUT'!$A:$A,0),MATCH(AH$11,'[2]ADJ DETAIL-INPUT'!$10:$10,0))</f>
        <v>0</v>
      </c>
      <c r="AI24" s="807">
        <f>+INDEX('[2]ADJ DETAIL-INPUT'!$1:$1048576,MATCH($A24,'[2]ADJ DETAIL-INPUT'!$A:$A,0),MATCH(AI$11,'[2]ADJ DETAIL-INPUT'!$10:$10,0))</f>
        <v>0</v>
      </c>
      <c r="AJ24" s="612">
        <v>0</v>
      </c>
      <c r="AK24" s="602">
        <v>0</v>
      </c>
      <c r="AL24" s="807">
        <f>+INDEX('[2]ADJ DETAIL-INPUT'!$1:$1048576,MATCH($A24,'[2]ADJ DETAIL-INPUT'!$A:$A,0),MATCH(AL$11,'[2]ADJ DETAIL-INPUT'!$10:$10,0))</f>
        <v>0</v>
      </c>
      <c r="AM24" s="807">
        <f>+INDEX('[2]ADJ DETAIL-INPUT'!$1:$1048576,MATCH($A24,'[2]ADJ DETAIL-INPUT'!$A:$A,0),MATCH(AM$11,'[2]ADJ DETAIL-INPUT'!$10:$10,0))</f>
        <v>0</v>
      </c>
      <c r="AN24" s="807">
        <f>+INDEX('[2]ADJ DETAIL-INPUT'!$1:$1048576,MATCH($A24,'[2]ADJ DETAIL-INPUT'!$A:$A,0),MATCH(AN$11,'[2]ADJ DETAIL-INPUT'!$10:$10,0))</f>
        <v>0</v>
      </c>
      <c r="AO24" s="612">
        <v>822</v>
      </c>
      <c r="AP24" s="651">
        <f t="shared" si="54"/>
        <v>129294.3345689</v>
      </c>
      <c r="AQ24" s="612">
        <v>0</v>
      </c>
      <c r="AR24" s="612">
        <v>0</v>
      </c>
      <c r="AS24" s="602">
        <v>0</v>
      </c>
      <c r="AT24" s="602">
        <v>0</v>
      </c>
      <c r="AU24" s="601">
        <v>0</v>
      </c>
      <c r="AV24" s="601">
        <v>0</v>
      </c>
      <c r="AW24" s="601">
        <v>0</v>
      </c>
      <c r="AX24" s="651">
        <f t="shared" ref="AX24:AX29" si="55">SUM(AP24:AW24)</f>
        <v>129294.3345689</v>
      </c>
      <c r="AY24" s="612">
        <v>0</v>
      </c>
      <c r="AZ24" s="651">
        <f t="shared" ref="AZ24:AZ28" si="56">SUM(AX24:AY24)</f>
        <v>129294.3345689</v>
      </c>
      <c r="BA24" s="698"/>
      <c r="BB24" s="612"/>
      <c r="BC24" s="612"/>
      <c r="BD24" s="651">
        <f t="shared" ref="BD24:BD28" si="57">AZ24</f>
        <v>129294.3345689</v>
      </c>
      <c r="BE24" s="602">
        <v>0</v>
      </c>
      <c r="BF24" s="602">
        <v>0</v>
      </c>
      <c r="BG24" s="612">
        <v>0</v>
      </c>
      <c r="BH24" s="601">
        <v>0</v>
      </c>
      <c r="BI24" s="601">
        <v>0</v>
      </c>
      <c r="BJ24" s="601">
        <v>0</v>
      </c>
      <c r="BK24" s="601">
        <v>0</v>
      </c>
      <c r="BL24" s="651">
        <f t="shared" ref="BL24:BL29" si="58">SUM(BD24:BK24)</f>
        <v>129294.3345689</v>
      </c>
      <c r="BM24" s="602">
        <v>0</v>
      </c>
      <c r="BN24" s="651">
        <f t="shared" ref="BN24:BN28" si="59">SUM(BL24:BM24)</f>
        <v>129294.3345689</v>
      </c>
      <c r="BO24" s="651">
        <f t="shared" ref="BO24:BO29" si="60">BN24-AZ24</f>
        <v>0</v>
      </c>
      <c r="BP24" s="612"/>
      <c r="BQ24" s="612"/>
    </row>
    <row r="25" spans="1:69" s="589" customFormat="1">
      <c r="A25" s="587">
        <v>8</v>
      </c>
      <c r="C25" s="589" t="s">
        <v>196</v>
      </c>
      <c r="E25" s="592">
        <f>'ROO INPUT'!F24</f>
        <v>115031</v>
      </c>
      <c r="F25" s="601">
        <v>0</v>
      </c>
      <c r="G25" s="807">
        <f>+INDEX('[2]ADJ DETAIL-INPUT'!$1:$1048576,MATCH($A25,'[2]ADJ DETAIL-INPUT'!$A:$A,0),MATCH(G$11,'[2]ADJ DETAIL-INPUT'!$10:$10,0))</f>
        <v>0</v>
      </c>
      <c r="H25" s="601">
        <v>0</v>
      </c>
      <c r="I25" s="601">
        <v>0</v>
      </c>
      <c r="J25" s="601">
        <v>0</v>
      </c>
      <c r="K25" s="807">
        <f>+INDEX('[2]ADJ DETAIL-INPUT'!$1:$1048576,MATCH($A25,'[2]ADJ DETAIL-INPUT'!$A:$A,0),MATCH(K$11,'[2]ADJ DETAIL-INPUT'!$10:$10,0))</f>
        <v>0</v>
      </c>
      <c r="L25" s="601">
        <v>0</v>
      </c>
      <c r="M25" s="601">
        <v>0</v>
      </c>
      <c r="N25" s="601">
        <v>0</v>
      </c>
      <c r="O25" s="601">
        <v>0</v>
      </c>
      <c r="P25" s="601">
        <v>0</v>
      </c>
      <c r="Q25" s="601">
        <v>0</v>
      </c>
      <c r="R25" s="601">
        <v>0</v>
      </c>
      <c r="S25" s="601">
        <v>0</v>
      </c>
      <c r="T25" s="602">
        <v>0</v>
      </c>
      <c r="U25" s="602">
        <v>0</v>
      </c>
      <c r="V25" s="601">
        <v>0</v>
      </c>
      <c r="W25" s="601">
        <v>0</v>
      </c>
      <c r="X25" s="602">
        <v>0</v>
      </c>
      <c r="Y25" s="807">
        <f>+INDEX('[2]ADJ DETAIL-INPUT'!$1:$1048576,MATCH($A25,'[2]ADJ DETAIL-INPUT'!$A:$A,0),MATCH(Y$11,'[2]ADJ DETAIL-INPUT'!$10:$10,0))</f>
        <v>0</v>
      </c>
      <c r="Z25" s="602">
        <v>0</v>
      </c>
      <c r="AA25" s="601">
        <v>0</v>
      </c>
      <c r="AB25" s="600">
        <f>SUM(E25:AA25)</f>
        <v>115031</v>
      </c>
      <c r="AC25" s="807">
        <f>-43991+'[5]Table BGM-7'!$G$6+'[5]Table BGM-7'!$G$7</f>
        <v>-44662.570999999996</v>
      </c>
      <c r="AD25" s="602">
        <v>0</v>
      </c>
      <c r="AE25" s="601">
        <v>0</v>
      </c>
      <c r="AF25" s="601">
        <v>0</v>
      </c>
      <c r="AG25" s="601"/>
      <c r="AH25" s="807">
        <f>+INDEX('[2]ADJ DETAIL-INPUT'!$1:$1048576,MATCH($A25,'[2]ADJ DETAIL-INPUT'!$A:$A,0),MATCH(AH$11,'[2]ADJ DETAIL-INPUT'!$10:$10,0))</f>
        <v>0</v>
      </c>
      <c r="AI25" s="807">
        <f>+INDEX('[2]ADJ DETAIL-INPUT'!$1:$1048576,MATCH($A25,'[2]ADJ DETAIL-INPUT'!$A:$A,0),MATCH(AI$11,'[2]ADJ DETAIL-INPUT'!$10:$10,0))</f>
        <v>0</v>
      </c>
      <c r="AJ25" s="612">
        <v>0</v>
      </c>
      <c r="AK25" s="602">
        <v>0</v>
      </c>
      <c r="AL25" s="807">
        <f>+INDEX('[2]ADJ DETAIL-INPUT'!$1:$1048576,MATCH($A25,'[2]ADJ DETAIL-INPUT'!$A:$A,0),MATCH(AL$11,'[2]ADJ DETAIL-INPUT'!$10:$10,0))</f>
        <v>0</v>
      </c>
      <c r="AM25" s="807">
        <f>+INDEX('[2]ADJ DETAIL-INPUT'!$1:$1048576,MATCH($A25,'[2]ADJ DETAIL-INPUT'!$A:$A,0),MATCH(AM$11,'[2]ADJ DETAIL-INPUT'!$10:$10,0))</f>
        <v>0</v>
      </c>
      <c r="AN25" s="807">
        <f>+INDEX('[2]ADJ DETAIL-INPUT'!$1:$1048576,MATCH($A25,'[2]ADJ DETAIL-INPUT'!$A:$A,0),MATCH(AN$11,'[2]ADJ DETAIL-INPUT'!$10:$10,0))</f>
        <v>0</v>
      </c>
      <c r="AO25" s="612">
        <v>0</v>
      </c>
      <c r="AP25" s="651">
        <f t="shared" si="54"/>
        <v>70368.429000000004</v>
      </c>
      <c r="AQ25" s="612">
        <v>0</v>
      </c>
      <c r="AR25" s="612">
        <v>0</v>
      </c>
      <c r="AS25" s="602">
        <v>0</v>
      </c>
      <c r="AT25" s="602">
        <v>0</v>
      </c>
      <c r="AU25" s="601">
        <v>0</v>
      </c>
      <c r="AV25" s="601">
        <v>0</v>
      </c>
      <c r="AW25" s="601">
        <v>0</v>
      </c>
      <c r="AX25" s="651">
        <f t="shared" si="55"/>
        <v>70368.429000000004</v>
      </c>
      <c r="AY25" s="612">
        <v>0</v>
      </c>
      <c r="AZ25" s="651">
        <f t="shared" si="56"/>
        <v>70368.429000000004</v>
      </c>
      <c r="BA25" s="698"/>
      <c r="BB25" s="612"/>
      <c r="BC25" s="612"/>
      <c r="BD25" s="651">
        <f t="shared" si="57"/>
        <v>70368.429000000004</v>
      </c>
      <c r="BE25" s="602">
        <v>0</v>
      </c>
      <c r="BF25" s="602">
        <v>0</v>
      </c>
      <c r="BG25" s="612">
        <v>0</v>
      </c>
      <c r="BH25" s="601">
        <v>0</v>
      </c>
      <c r="BI25" s="601">
        <v>0</v>
      </c>
      <c r="BJ25" s="601">
        <v>0</v>
      </c>
      <c r="BK25" s="601">
        <v>0</v>
      </c>
      <c r="BL25" s="651">
        <f t="shared" si="58"/>
        <v>70368.429000000004</v>
      </c>
      <c r="BM25" s="602">
        <v>0</v>
      </c>
      <c r="BN25" s="651">
        <f t="shared" si="59"/>
        <v>70368.429000000004</v>
      </c>
      <c r="BO25" s="651">
        <f t="shared" si="60"/>
        <v>0</v>
      </c>
      <c r="BP25" s="612"/>
      <c r="BQ25" s="612"/>
    </row>
    <row r="26" spans="1:69" s="589" customFormat="1">
      <c r="A26" s="587">
        <v>9</v>
      </c>
      <c r="C26" s="589" t="s">
        <v>565</v>
      </c>
      <c r="E26" s="592">
        <f>'ROO INPUT'!F25</f>
        <v>24379</v>
      </c>
      <c r="F26" s="601">
        <v>0</v>
      </c>
      <c r="G26" s="807">
        <f>+INDEX('[2]ADJ DETAIL-INPUT'!$1:$1048576,MATCH($A26,'[2]ADJ DETAIL-INPUT'!$A:$A,0),MATCH(G$11,'[2]ADJ DETAIL-INPUT'!$10:$10,0))</f>
        <v>0</v>
      </c>
      <c r="H26" s="601">
        <v>0</v>
      </c>
      <c r="I26" s="601">
        <v>0</v>
      </c>
      <c r="J26" s="601">
        <v>0</v>
      </c>
      <c r="K26" s="807">
        <f>+INDEX('[2]ADJ DETAIL-INPUT'!$1:$1048576,MATCH($A26,'[2]ADJ DETAIL-INPUT'!$A:$A,0),MATCH(K$11,'[2]ADJ DETAIL-INPUT'!$10:$10,0))</f>
        <v>0</v>
      </c>
      <c r="L26" s="601">
        <v>0</v>
      </c>
      <c r="M26" s="592">
        <f>'ROO INPUT'!M25</f>
        <v>0</v>
      </c>
      <c r="N26" s="601">
        <v>0</v>
      </c>
      <c r="O26" s="601">
        <v>0</v>
      </c>
      <c r="P26" s="601">
        <v>0</v>
      </c>
      <c r="Q26" s="601">
        <v>0</v>
      </c>
      <c r="R26" s="601">
        <v>0</v>
      </c>
      <c r="S26" s="601">
        <v>0</v>
      </c>
      <c r="T26" s="602">
        <v>0</v>
      </c>
      <c r="U26" s="602">
        <v>0</v>
      </c>
      <c r="V26" s="601">
        <v>0</v>
      </c>
      <c r="W26" s="601">
        <v>0</v>
      </c>
      <c r="X26" s="602">
        <v>0</v>
      </c>
      <c r="Y26" s="807">
        <f>+INDEX('[2]ADJ DETAIL-INPUT'!$1:$1048576,MATCH($A26,'[2]ADJ DETAIL-INPUT'!$A:$A,0),MATCH(Y$11,'[2]ADJ DETAIL-INPUT'!$10:$10,0))</f>
        <v>0</v>
      </c>
      <c r="Z26" s="602">
        <v>0</v>
      </c>
      <c r="AA26" s="601">
        <v>0</v>
      </c>
      <c r="AB26" s="600">
        <f>SUM(E26:AA26)</f>
        <v>24379</v>
      </c>
      <c r="AC26" s="602">
        <v>0</v>
      </c>
      <c r="AD26" s="602">
        <v>0</v>
      </c>
      <c r="AE26" s="601">
        <v>0</v>
      </c>
      <c r="AF26" s="601">
        <v>0</v>
      </c>
      <c r="AG26" s="601">
        <v>0</v>
      </c>
      <c r="AH26" s="807">
        <f>+INDEX('[2]ADJ DETAIL-INPUT'!$1:$1048576,MATCH($A26,'[2]ADJ DETAIL-INPUT'!$A:$A,0),MATCH(AH$11,'[2]ADJ DETAIL-INPUT'!$10:$10,0))</f>
        <v>0</v>
      </c>
      <c r="AI26" s="807">
        <f>+INDEX('[2]ADJ DETAIL-INPUT'!$1:$1048576,MATCH($A26,'[2]ADJ DETAIL-INPUT'!$A:$A,0),MATCH(AI$11,'[2]ADJ DETAIL-INPUT'!$10:$10,0))</f>
        <v>0</v>
      </c>
      <c r="AJ26" s="612">
        <v>0</v>
      </c>
      <c r="AK26" s="602">
        <v>0</v>
      </c>
      <c r="AL26" s="807">
        <f>+INDEX('[2]ADJ DETAIL-INPUT'!$1:$1048576,MATCH($A26,'[2]ADJ DETAIL-INPUT'!$A:$A,0),MATCH(AL$11,'[2]ADJ DETAIL-INPUT'!$10:$10,0))</f>
        <v>546</v>
      </c>
      <c r="AM26" s="807">
        <f>+INDEX('[2]ADJ DETAIL-INPUT'!$1:$1048576,MATCH($A26,'[2]ADJ DETAIL-INPUT'!$A:$A,0),MATCH(AM$11,'[2]ADJ DETAIL-INPUT'!$10:$10,0))</f>
        <v>447</v>
      </c>
      <c r="AN26" s="807">
        <f>+INDEX('[2]ADJ DETAIL-INPUT'!$1:$1048576,MATCH($A26,'[2]ADJ DETAIL-INPUT'!$A:$A,0),MATCH(AN$11,'[2]ADJ DETAIL-INPUT'!$10:$10,0))</f>
        <v>0</v>
      </c>
      <c r="AO26" s="612">
        <v>0</v>
      </c>
      <c r="AP26" s="651">
        <f t="shared" si="54"/>
        <v>25372</v>
      </c>
      <c r="AQ26" s="612">
        <v>0</v>
      </c>
      <c r="AR26" s="612">
        <v>0</v>
      </c>
      <c r="AS26" s="602">
        <v>0</v>
      </c>
      <c r="AT26" s="602">
        <v>0</v>
      </c>
      <c r="AU26" s="601">
        <v>0</v>
      </c>
      <c r="AV26" s="601">
        <v>0</v>
      </c>
      <c r="AW26" s="601">
        <v>0</v>
      </c>
      <c r="AX26" s="651">
        <f t="shared" si="55"/>
        <v>25372</v>
      </c>
      <c r="AY26" s="612">
        <v>0</v>
      </c>
      <c r="AZ26" s="651">
        <f t="shared" si="56"/>
        <v>25372</v>
      </c>
      <c r="BA26" s="698"/>
      <c r="BB26" s="612"/>
      <c r="BC26" s="612"/>
      <c r="BD26" s="651">
        <f t="shared" si="57"/>
        <v>25372</v>
      </c>
      <c r="BE26" s="612">
        <v>0</v>
      </c>
      <c r="BF26" s="602">
        <v>0</v>
      </c>
      <c r="BG26" s="612">
        <v>0</v>
      </c>
      <c r="BH26" s="601">
        <v>0</v>
      </c>
      <c r="BI26" s="601">
        <v>0</v>
      </c>
      <c r="BJ26" s="601">
        <v>0</v>
      </c>
      <c r="BK26" s="601">
        <v>0</v>
      </c>
      <c r="BL26" s="651">
        <f t="shared" si="58"/>
        <v>25372</v>
      </c>
      <c r="BM26" s="602">
        <v>0</v>
      </c>
      <c r="BN26" s="651">
        <f t="shared" si="59"/>
        <v>25372</v>
      </c>
      <c r="BO26" s="651">
        <f t="shared" si="60"/>
        <v>0</v>
      </c>
      <c r="BP26" s="612"/>
      <c r="BQ26" s="612"/>
    </row>
    <row r="27" spans="1:69" s="589" customFormat="1">
      <c r="A27" s="587">
        <v>10</v>
      </c>
      <c r="C27" s="592" t="s">
        <v>561</v>
      </c>
      <c r="D27" s="592"/>
      <c r="E27" s="592">
        <f>'ROO INPUT'!F26</f>
        <v>-1445</v>
      </c>
      <c r="F27" s="602">
        <v>0</v>
      </c>
      <c r="G27" s="807">
        <f>+INDEX('[2]ADJ DETAIL-INPUT'!$1:$1048576,MATCH($A27,'[2]ADJ DETAIL-INPUT'!$A:$A,0),MATCH(G$11,'[2]ADJ DETAIL-INPUT'!$10:$10,0))</f>
        <v>-1360</v>
      </c>
      <c r="H27" s="602">
        <v>0</v>
      </c>
      <c r="I27" s="602">
        <v>0</v>
      </c>
      <c r="J27" s="602">
        <v>0</v>
      </c>
      <c r="K27" s="807">
        <f>+INDEX('[2]ADJ DETAIL-INPUT'!$1:$1048576,MATCH($A27,'[2]ADJ DETAIL-INPUT'!$A:$A,0),MATCH(K$11,'[2]ADJ DETAIL-INPUT'!$10:$10,0))</f>
        <v>0</v>
      </c>
      <c r="L27" s="602">
        <v>0</v>
      </c>
      <c r="M27" s="602">
        <v>0</v>
      </c>
      <c r="N27" s="602">
        <v>0</v>
      </c>
      <c r="O27" s="602">
        <v>0</v>
      </c>
      <c r="P27" s="602">
        <v>0</v>
      </c>
      <c r="Q27" s="602">
        <v>0</v>
      </c>
      <c r="R27" s="602">
        <v>0</v>
      </c>
      <c r="S27" s="602">
        <v>0</v>
      </c>
      <c r="T27" s="602">
        <v>8029</v>
      </c>
      <c r="U27" s="602">
        <v>0</v>
      </c>
      <c r="V27" s="602">
        <v>0</v>
      </c>
      <c r="W27" s="602">
        <v>0</v>
      </c>
      <c r="X27" s="602">
        <v>0</v>
      </c>
      <c r="Y27" s="807">
        <f>+INDEX('[2]ADJ DETAIL-INPUT'!$1:$1048576,MATCH($A27,'[2]ADJ DETAIL-INPUT'!$A:$A,0),MATCH(Y$11,'[2]ADJ DETAIL-INPUT'!$10:$10,0))</f>
        <v>0</v>
      </c>
      <c r="Z27" s="602">
        <v>0</v>
      </c>
      <c r="AA27" s="602">
        <v>0</v>
      </c>
      <c r="AB27" s="600">
        <f>SUM(E27:AA27)</f>
        <v>5224</v>
      </c>
      <c r="AC27" s="602"/>
      <c r="AD27" s="602"/>
      <c r="AE27" s="602"/>
      <c r="AF27" s="602"/>
      <c r="AG27" s="602"/>
      <c r="AH27" s="807">
        <f>+INDEX('[2]ADJ DETAIL-INPUT'!$1:$1048576,MATCH($A27,'[2]ADJ DETAIL-INPUT'!$A:$A,0),MATCH(AH$11,'[2]ADJ DETAIL-INPUT'!$10:$10,0))</f>
        <v>-1705</v>
      </c>
      <c r="AI27" s="807">
        <f>+INDEX('[2]ADJ DETAIL-INPUT'!$1:$1048576,MATCH($A27,'[2]ADJ DETAIL-INPUT'!$A:$A,0),MATCH(AI$11,'[2]ADJ DETAIL-INPUT'!$10:$10,0))</f>
        <v>0</v>
      </c>
      <c r="AJ27" s="612">
        <v>0</v>
      </c>
      <c r="AK27" s="602">
        <v>0</v>
      </c>
      <c r="AL27" s="807">
        <f>+INDEX('[2]ADJ DETAIL-INPUT'!$1:$1048576,MATCH($A27,'[2]ADJ DETAIL-INPUT'!$A:$A,0),MATCH(AL$11,'[2]ADJ DETAIL-INPUT'!$10:$10,0))</f>
        <v>0</v>
      </c>
      <c r="AM27" s="807">
        <f>+INDEX('[2]ADJ DETAIL-INPUT'!$1:$1048576,MATCH($A27,'[2]ADJ DETAIL-INPUT'!$A:$A,0),MATCH(AM$11,'[2]ADJ DETAIL-INPUT'!$10:$10,0))</f>
        <v>0</v>
      </c>
      <c r="AN27" s="807">
        <f>+INDEX('[2]ADJ DETAIL-INPUT'!$1:$1048576,MATCH($A27,'[2]ADJ DETAIL-INPUT'!$A:$A,0),MATCH(AN$11,'[2]ADJ DETAIL-INPUT'!$10:$10,0))</f>
        <v>0</v>
      </c>
      <c r="AO27" s="612">
        <v>0</v>
      </c>
      <c r="AP27" s="651">
        <f t="shared" si="54"/>
        <v>3519</v>
      </c>
      <c r="AQ27" s="612"/>
      <c r="AR27" s="612"/>
      <c r="AS27" s="602">
        <v>0</v>
      </c>
      <c r="AT27" s="602">
        <v>0</v>
      </c>
      <c r="AU27" s="602">
        <v>0</v>
      </c>
      <c r="AV27" s="602">
        <v>0</v>
      </c>
      <c r="AW27" s="602">
        <v>0</v>
      </c>
      <c r="AX27" s="651">
        <f t="shared" si="55"/>
        <v>3519</v>
      </c>
      <c r="AY27" s="612"/>
      <c r="AZ27" s="651">
        <f t="shared" si="56"/>
        <v>3519</v>
      </c>
      <c r="BA27" s="698"/>
      <c r="BB27" s="612"/>
      <c r="BC27" s="612"/>
      <c r="BD27" s="651">
        <f t="shared" si="57"/>
        <v>3519</v>
      </c>
      <c r="BE27" s="612"/>
      <c r="BF27" s="602"/>
      <c r="BG27" s="612"/>
      <c r="BH27" s="602">
        <v>0</v>
      </c>
      <c r="BI27" s="602">
        <v>0</v>
      </c>
      <c r="BJ27" s="602">
        <v>0</v>
      </c>
      <c r="BK27" s="602">
        <v>0</v>
      </c>
      <c r="BL27" s="651">
        <f t="shared" si="58"/>
        <v>3519</v>
      </c>
      <c r="BM27" s="602">
        <v>0</v>
      </c>
      <c r="BN27" s="651">
        <f t="shared" si="59"/>
        <v>3519</v>
      </c>
      <c r="BO27" s="651">
        <f t="shared" si="60"/>
        <v>0</v>
      </c>
      <c r="BP27" s="612"/>
      <c r="BQ27" s="612"/>
    </row>
    <row r="28" spans="1:69" s="589" customFormat="1">
      <c r="A28" s="587">
        <v>11</v>
      </c>
      <c r="C28" s="589" t="s">
        <v>197</v>
      </c>
      <c r="E28" s="628">
        <f>'ROO INPUT'!F27</f>
        <v>13890</v>
      </c>
      <c r="F28" s="614">
        <v>0</v>
      </c>
      <c r="G28" s="808">
        <f>+INDEX('[2]ADJ DETAIL-INPUT'!$1:$1048576,MATCH($A28,'[2]ADJ DETAIL-INPUT'!$A:$A,0),MATCH(G$11,'[2]ADJ DETAIL-INPUT'!$10:$10,0))</f>
        <v>0</v>
      </c>
      <c r="H28" s="614">
        <v>0</v>
      </c>
      <c r="I28" s="614">
        <v>0</v>
      </c>
      <c r="J28" s="614">
        <v>0</v>
      </c>
      <c r="K28" s="808">
        <f>+INDEX('[2]ADJ DETAIL-INPUT'!$1:$1048576,MATCH($A28,'[2]ADJ DETAIL-INPUT'!$A:$A,0),MATCH(K$11,'[2]ADJ DETAIL-INPUT'!$10:$10,0))</f>
        <v>-454</v>
      </c>
      <c r="L28" s="614">
        <v>0</v>
      </c>
      <c r="M28" s="614">
        <v>0</v>
      </c>
      <c r="N28" s="614">
        <v>0</v>
      </c>
      <c r="O28" s="614">
        <v>0</v>
      </c>
      <c r="P28" s="614">
        <v>0</v>
      </c>
      <c r="Q28" s="614">
        <v>0</v>
      </c>
      <c r="R28" s="614">
        <v>0</v>
      </c>
      <c r="S28" s="614">
        <v>0</v>
      </c>
      <c r="T28" s="613">
        <v>0</v>
      </c>
      <c r="U28" s="613">
        <v>0</v>
      </c>
      <c r="V28" s="614">
        <v>0</v>
      </c>
      <c r="W28" s="614">
        <v>0</v>
      </c>
      <c r="X28" s="613">
        <v>0</v>
      </c>
      <c r="Y28" s="808">
        <f>+INDEX('[2]ADJ DETAIL-INPUT'!$1:$1048576,MATCH($A28,'[2]ADJ DETAIL-INPUT'!$A:$A,0),MATCH(Y$11,'[2]ADJ DETAIL-INPUT'!$10:$10,0))</f>
        <v>0</v>
      </c>
      <c r="Z28" s="613">
        <v>0</v>
      </c>
      <c r="AA28" s="614">
        <v>0</v>
      </c>
      <c r="AB28" s="277">
        <f>SUM(E28:AA28)</f>
        <v>13436</v>
      </c>
      <c r="AC28" s="613">
        <v>0</v>
      </c>
      <c r="AD28" s="613">
        <v>0</v>
      </c>
      <c r="AE28" s="614">
        <v>0</v>
      </c>
      <c r="AF28" s="614">
        <v>0</v>
      </c>
      <c r="AG28" s="614">
        <v>0</v>
      </c>
      <c r="AH28" s="808">
        <f>+INDEX('[2]ADJ DETAIL-INPUT'!$1:$1048576,MATCH($A28,'[2]ADJ DETAIL-INPUT'!$A:$A,0),MATCH(AH$11,'[2]ADJ DETAIL-INPUT'!$10:$10,0))</f>
        <v>0</v>
      </c>
      <c r="AI28" s="808">
        <f>+INDEX('[2]ADJ DETAIL-INPUT'!$1:$1048576,MATCH($A28,'[2]ADJ DETAIL-INPUT'!$A:$A,0),MATCH(AI$11,'[2]ADJ DETAIL-INPUT'!$10:$10,0))</f>
        <v>637</v>
      </c>
      <c r="AJ28" s="613">
        <v>0</v>
      </c>
      <c r="AK28" s="613">
        <v>0</v>
      </c>
      <c r="AL28" s="808">
        <f>+INDEX('[2]ADJ DETAIL-INPUT'!$1:$1048576,MATCH($A28,'[2]ADJ DETAIL-INPUT'!$A:$A,0),MATCH(AL$11,'[2]ADJ DETAIL-INPUT'!$10:$10,0))</f>
        <v>0</v>
      </c>
      <c r="AM28" s="808">
        <f>+INDEX('[2]ADJ DETAIL-INPUT'!$1:$1048576,MATCH($A28,'[2]ADJ DETAIL-INPUT'!$A:$A,0),MATCH(AM$11,'[2]ADJ DETAIL-INPUT'!$10:$10,0))</f>
        <v>0</v>
      </c>
      <c r="AN28" s="808">
        <f>+INDEX('[2]ADJ DETAIL-INPUT'!$1:$1048576,MATCH($A28,'[2]ADJ DETAIL-INPUT'!$A:$A,0),MATCH(AN$11,'[2]ADJ DETAIL-INPUT'!$10:$10,0))</f>
        <v>0</v>
      </c>
      <c r="AO28" s="613">
        <v>0</v>
      </c>
      <c r="AP28" s="653">
        <f t="shared" si="54"/>
        <v>14073</v>
      </c>
      <c r="AQ28" s="613">
        <v>0</v>
      </c>
      <c r="AR28" s="613">
        <v>0</v>
      </c>
      <c r="AS28" s="613">
        <v>0</v>
      </c>
      <c r="AT28" s="613">
        <v>0</v>
      </c>
      <c r="AU28" s="614">
        <v>0</v>
      </c>
      <c r="AV28" s="614">
        <v>0</v>
      </c>
      <c r="AW28" s="614">
        <v>0</v>
      </c>
      <c r="AX28" s="653">
        <f t="shared" si="55"/>
        <v>14073</v>
      </c>
      <c r="AY28" s="613">
        <v>0</v>
      </c>
      <c r="AZ28" s="653">
        <f t="shared" si="56"/>
        <v>14073</v>
      </c>
      <c r="BA28" s="698"/>
      <c r="BB28" s="612"/>
      <c r="BC28" s="612"/>
      <c r="BD28" s="653">
        <f t="shared" si="57"/>
        <v>14073</v>
      </c>
      <c r="BE28" s="613">
        <v>0</v>
      </c>
      <c r="BF28" s="613">
        <v>0</v>
      </c>
      <c r="BG28" s="613">
        <v>0</v>
      </c>
      <c r="BH28" s="614">
        <v>0</v>
      </c>
      <c r="BI28" s="614">
        <v>0</v>
      </c>
      <c r="BJ28" s="614">
        <v>0</v>
      </c>
      <c r="BK28" s="614">
        <v>0</v>
      </c>
      <c r="BL28" s="653">
        <f t="shared" si="58"/>
        <v>14073</v>
      </c>
      <c r="BM28" s="613">
        <v>0</v>
      </c>
      <c r="BN28" s="653">
        <f t="shared" si="59"/>
        <v>14073</v>
      </c>
      <c r="BO28" s="653">
        <f t="shared" si="60"/>
        <v>0</v>
      </c>
      <c r="BP28" s="612"/>
      <c r="BQ28" s="612"/>
    </row>
    <row r="29" spans="1:69" s="589" customFormat="1">
      <c r="A29" s="587">
        <v>12</v>
      </c>
      <c r="B29" s="589" t="s">
        <v>198</v>
      </c>
      <c r="E29" s="592">
        <f t="shared" ref="E29:AJ29" si="61">SUM(E24:E28)</f>
        <v>340865</v>
      </c>
      <c r="F29" s="601">
        <f t="shared" si="61"/>
        <v>0</v>
      </c>
      <c r="G29" s="601">
        <f t="shared" si="61"/>
        <v>-5085</v>
      </c>
      <c r="H29" s="601">
        <f t="shared" si="61"/>
        <v>0</v>
      </c>
      <c r="I29" s="601">
        <f t="shared" ref="I29" si="62">SUM(I24:I28)</f>
        <v>0</v>
      </c>
      <c r="J29" s="601">
        <f t="shared" si="61"/>
        <v>0</v>
      </c>
      <c r="K29" s="601">
        <f t="shared" ref="K29" si="63">SUM(K24:K28)</f>
        <v>-454</v>
      </c>
      <c r="L29" s="601">
        <f t="shared" si="61"/>
        <v>0</v>
      </c>
      <c r="M29" s="601">
        <f t="shared" si="61"/>
        <v>0</v>
      </c>
      <c r="N29" s="601">
        <f t="shared" si="61"/>
        <v>0</v>
      </c>
      <c r="O29" s="601">
        <f t="shared" si="61"/>
        <v>0</v>
      </c>
      <c r="P29" s="601">
        <f t="shared" si="61"/>
        <v>0</v>
      </c>
      <c r="Q29" s="601">
        <f t="shared" si="61"/>
        <v>0</v>
      </c>
      <c r="R29" s="601">
        <f t="shared" si="61"/>
        <v>0</v>
      </c>
      <c r="S29" s="601">
        <f t="shared" si="61"/>
        <v>0</v>
      </c>
      <c r="T29" s="602">
        <f t="shared" ref="T29" si="64">SUM(T24:T28)</f>
        <v>7823</v>
      </c>
      <c r="U29" s="602">
        <f>SUM(U24:U28)</f>
        <v>-1</v>
      </c>
      <c r="V29" s="601">
        <f>SUM(V24:V28)</f>
        <v>4557</v>
      </c>
      <c r="W29" s="601">
        <f>SUM(W24:W28)</f>
        <v>-9</v>
      </c>
      <c r="X29" s="602">
        <f>SUM(X24:X28)</f>
        <v>0</v>
      </c>
      <c r="Y29" s="601">
        <f t="shared" ref="Y29" si="65">SUM(Y24:Y28)</f>
        <v>290</v>
      </c>
      <c r="Z29" s="602">
        <f>SUM(Z24:Z28)</f>
        <v>0</v>
      </c>
      <c r="AA29" s="601">
        <f>SUM(AA24:AA28)</f>
        <v>0</v>
      </c>
      <c r="AB29" s="600">
        <f t="shared" si="61"/>
        <v>347986</v>
      </c>
      <c r="AC29" s="602">
        <f t="shared" si="61"/>
        <v>-107023.8169871</v>
      </c>
      <c r="AD29" s="602">
        <f t="shared" si="61"/>
        <v>153</v>
      </c>
      <c r="AE29" s="601">
        <f t="shared" si="61"/>
        <v>410.580556</v>
      </c>
      <c r="AF29" s="601">
        <f t="shared" si="61"/>
        <v>-31</v>
      </c>
      <c r="AG29" s="601">
        <f t="shared" si="61"/>
        <v>385</v>
      </c>
      <c r="AH29" s="601">
        <f t="shared" ref="AH29:AI29" si="66">SUM(AH24:AH28)</f>
        <v>-1705</v>
      </c>
      <c r="AI29" s="601">
        <f t="shared" si="66"/>
        <v>637</v>
      </c>
      <c r="AJ29" s="612">
        <f t="shared" si="61"/>
        <v>0</v>
      </c>
      <c r="AK29" s="602">
        <f>SUM(AK24:AK28)</f>
        <v>0</v>
      </c>
      <c r="AL29" s="601">
        <f t="shared" ref="AL29:AN29" si="67">SUM(AL24:AL28)</f>
        <v>546</v>
      </c>
      <c r="AM29" s="601">
        <f t="shared" si="67"/>
        <v>447</v>
      </c>
      <c r="AN29" s="601">
        <f t="shared" si="67"/>
        <v>0</v>
      </c>
      <c r="AO29" s="612">
        <f t="shared" ref="AO29" si="68">SUM(AO24:AO28)</f>
        <v>822</v>
      </c>
      <c r="AP29" s="651">
        <f t="shared" si="54"/>
        <v>242626.7635689</v>
      </c>
      <c r="AQ29" s="612">
        <f t="shared" ref="AQ29:AR29" si="69">SUM(AQ24:AQ28)</f>
        <v>0</v>
      </c>
      <c r="AR29" s="612">
        <f t="shared" si="69"/>
        <v>0</v>
      </c>
      <c r="AS29" s="602">
        <f>SUM(AS24:AS28)</f>
        <v>0</v>
      </c>
      <c r="AT29" s="602">
        <f>SUM(AT24:AT28)</f>
        <v>0</v>
      </c>
      <c r="AU29" s="601">
        <f t="shared" ref="AU29" si="70">SUM(AU24:AU28)</f>
        <v>0</v>
      </c>
      <c r="AV29" s="601">
        <f>SUM(AV24:AV28)</f>
        <v>0</v>
      </c>
      <c r="AW29" s="601">
        <f t="shared" ref="AW29" si="71">SUM(AW24:AW28)</f>
        <v>0</v>
      </c>
      <c r="AX29" s="651">
        <f t="shared" si="55"/>
        <v>242626.7635689</v>
      </c>
      <c r="AY29" s="612">
        <f>SUM(AY24:AY28)</f>
        <v>0</v>
      </c>
      <c r="AZ29" s="651">
        <f>SUM(AX29:AY29)</f>
        <v>242626.7635689</v>
      </c>
      <c r="BA29" s="698"/>
      <c r="BB29" s="612"/>
      <c r="BC29" s="612"/>
      <c r="BD29" s="651">
        <f>SUM(BD24:BD28)</f>
        <v>242626.7635689</v>
      </c>
      <c r="BE29" s="612">
        <f t="shared" ref="BE29:BF29" si="72">SUM(BE24:BE28)</f>
        <v>0</v>
      </c>
      <c r="BF29" s="602">
        <f t="shared" si="72"/>
        <v>0</v>
      </c>
      <c r="BG29" s="612">
        <f t="shared" ref="BG29:BI29" si="73">SUM(BG24:BG28)</f>
        <v>0</v>
      </c>
      <c r="BH29" s="601">
        <f t="shared" ref="BH29" si="74">SUM(BH24:BH28)</f>
        <v>0</v>
      </c>
      <c r="BI29" s="601">
        <f t="shared" si="73"/>
        <v>0</v>
      </c>
      <c r="BJ29" s="601">
        <f t="shared" ref="BJ29" si="75">SUM(BJ24:BJ28)</f>
        <v>0</v>
      </c>
      <c r="BK29" s="601">
        <f t="shared" ref="BK29" si="76">SUM(BK24:BK28)</f>
        <v>0</v>
      </c>
      <c r="BL29" s="651">
        <f t="shared" si="58"/>
        <v>242626.7635689</v>
      </c>
      <c r="BM29" s="602">
        <f>SUM(BM24:BM28)</f>
        <v>0</v>
      </c>
      <c r="BN29" s="651">
        <f>SUM(BL29:BM29)</f>
        <v>242626.7635689</v>
      </c>
      <c r="BO29" s="651">
        <f t="shared" si="60"/>
        <v>0</v>
      </c>
      <c r="BP29" s="612"/>
      <c r="BQ29" s="612"/>
    </row>
    <row r="30" spans="1:69" s="589" customFormat="1">
      <c r="A30" s="587"/>
      <c r="E30" s="592"/>
      <c r="F30" s="601"/>
      <c r="G30" s="601"/>
      <c r="H30" s="601"/>
      <c r="I30" s="601"/>
      <c r="J30" s="601"/>
      <c r="K30" s="601"/>
      <c r="L30" s="601"/>
      <c r="M30" s="601"/>
      <c r="N30" s="601"/>
      <c r="O30" s="601"/>
      <c r="P30" s="601"/>
      <c r="Q30" s="601"/>
      <c r="R30" s="601"/>
      <c r="S30" s="601"/>
      <c r="T30" s="602"/>
      <c r="U30" s="602"/>
      <c r="V30" s="601"/>
      <c r="W30" s="601"/>
      <c r="X30" s="602"/>
      <c r="Y30" s="601"/>
      <c r="Z30" s="602"/>
      <c r="AA30" s="601"/>
      <c r="AB30" s="600"/>
      <c r="AC30" s="602"/>
      <c r="AD30" s="602"/>
      <c r="AE30" s="601"/>
      <c r="AF30" s="601"/>
      <c r="AG30" s="601"/>
      <c r="AH30" s="601"/>
      <c r="AI30" s="601"/>
      <c r="AJ30" s="612"/>
      <c r="AK30" s="602"/>
      <c r="AL30" s="601"/>
      <c r="AM30" s="601"/>
      <c r="AN30" s="601"/>
      <c r="AO30" s="612"/>
      <c r="AP30" s="651"/>
      <c r="AQ30" s="612"/>
      <c r="AR30" s="612"/>
      <c r="AS30" s="602"/>
      <c r="AT30" s="602"/>
      <c r="AU30" s="601"/>
      <c r="AV30" s="601"/>
      <c r="AW30" s="601"/>
      <c r="AX30" s="651"/>
      <c r="AY30" s="612"/>
      <c r="AZ30" s="651"/>
      <c r="BA30" s="698"/>
      <c r="BB30" s="612"/>
      <c r="BC30" s="612"/>
      <c r="BD30" s="651"/>
      <c r="BE30" s="612"/>
      <c r="BF30" s="602"/>
      <c r="BG30" s="612"/>
      <c r="BH30" s="601"/>
      <c r="BI30" s="601"/>
      <c r="BJ30" s="601"/>
      <c r="BK30" s="601"/>
      <c r="BL30" s="651"/>
      <c r="BM30" s="602"/>
      <c r="BN30" s="651"/>
      <c r="BO30" s="651"/>
      <c r="BP30" s="612"/>
      <c r="BQ30" s="612"/>
    </row>
    <row r="31" spans="1:69" s="589" customFormat="1">
      <c r="A31" s="587"/>
      <c r="B31" s="589" t="s">
        <v>199</v>
      </c>
      <c r="E31" s="592"/>
      <c r="F31" s="601"/>
      <c r="G31" s="601"/>
      <c r="H31" s="601"/>
      <c r="I31" s="601"/>
      <c r="J31" s="601"/>
      <c r="K31" s="601"/>
      <c r="L31" s="601"/>
      <c r="M31" s="601"/>
      <c r="N31" s="601"/>
      <c r="O31" s="601"/>
      <c r="P31" s="601"/>
      <c r="Q31" s="601"/>
      <c r="R31" s="601"/>
      <c r="S31" s="601"/>
      <c r="T31" s="602"/>
      <c r="U31" s="602"/>
      <c r="V31" s="601"/>
      <c r="W31" s="601"/>
      <c r="X31" s="602"/>
      <c r="Y31" s="601"/>
      <c r="Z31" s="602"/>
      <c r="AA31" s="601"/>
      <c r="AB31" s="600"/>
      <c r="AC31" s="602"/>
      <c r="AD31" s="602"/>
      <c r="AE31" s="601"/>
      <c r="AF31" s="601"/>
      <c r="AG31" s="601"/>
      <c r="AH31" s="601"/>
      <c r="AI31" s="601"/>
      <c r="AJ31" s="612"/>
      <c r="AK31" s="602"/>
      <c r="AL31" s="601"/>
      <c r="AM31" s="601"/>
      <c r="AN31" s="601"/>
      <c r="AO31" s="612"/>
      <c r="AP31" s="651">
        <f t="shared" ref="AP31:AP36" si="77">SUM(AB31:AO31)</f>
        <v>0</v>
      </c>
      <c r="AQ31" s="612"/>
      <c r="AR31" s="612"/>
      <c r="AS31" s="602"/>
      <c r="AT31" s="602"/>
      <c r="AU31" s="601"/>
      <c r="AV31" s="601"/>
      <c r="AW31" s="601"/>
      <c r="AX31" s="651"/>
      <c r="AY31" s="612"/>
      <c r="AZ31" s="651"/>
      <c r="BA31" s="698"/>
      <c r="BB31" s="612"/>
      <c r="BC31" s="612"/>
      <c r="BD31" s="651"/>
      <c r="BE31" s="612"/>
      <c r="BF31" s="602"/>
      <c r="BG31" s="612"/>
      <c r="BH31" s="601"/>
      <c r="BI31" s="601"/>
      <c r="BJ31" s="601"/>
      <c r="BK31" s="601"/>
      <c r="BL31" s="651"/>
      <c r="BM31" s="602"/>
      <c r="BN31" s="651"/>
      <c r="BO31" s="651"/>
      <c r="BP31" s="612"/>
      <c r="BQ31" s="612"/>
    </row>
    <row r="32" spans="1:69" s="589" customFormat="1">
      <c r="A32" s="587">
        <v>13</v>
      </c>
      <c r="C32" s="589" t="s">
        <v>195</v>
      </c>
      <c r="E32" s="596">
        <f>'ROO INPUT'!F31</f>
        <v>22961</v>
      </c>
      <c r="F32" s="601">
        <v>0</v>
      </c>
      <c r="G32" s="807">
        <f>+INDEX('[2]ADJ DETAIL-INPUT'!$1:$1048576,MATCH($A32,'[2]ADJ DETAIL-INPUT'!$A:$A,0),MATCH(G$11,'[2]ADJ DETAIL-INPUT'!$10:$10,0))</f>
        <v>0</v>
      </c>
      <c r="H32" s="601">
        <v>0</v>
      </c>
      <c r="I32" s="601">
        <v>0</v>
      </c>
      <c r="J32" s="601">
        <v>0</v>
      </c>
      <c r="K32" s="807">
        <f>+INDEX('[2]ADJ DETAIL-INPUT'!$1:$1048576,MATCH($A32,'[2]ADJ DETAIL-INPUT'!$A:$A,0),MATCH(K$11,'[2]ADJ DETAIL-INPUT'!$10:$10,0))</f>
        <v>0</v>
      </c>
      <c r="L32" s="601">
        <v>0</v>
      </c>
      <c r="M32" s="601">
        <v>0</v>
      </c>
      <c r="N32" s="601">
        <v>0</v>
      </c>
      <c r="O32" s="601">
        <v>0</v>
      </c>
      <c r="P32" s="601">
        <v>0</v>
      </c>
      <c r="Q32" s="601">
        <v>0</v>
      </c>
      <c r="R32" s="601">
        <v>0</v>
      </c>
      <c r="S32" s="601">
        <v>0</v>
      </c>
      <c r="T32" s="602">
        <v>0</v>
      </c>
      <c r="U32" s="602">
        <v>-1</v>
      </c>
      <c r="V32" s="601">
        <v>0</v>
      </c>
      <c r="W32" s="601">
        <v>0</v>
      </c>
      <c r="X32" s="602">
        <v>0</v>
      </c>
      <c r="Y32" s="807">
        <f>+INDEX('[2]ADJ DETAIL-INPUT'!$1:$1048576,MATCH($A32,'[2]ADJ DETAIL-INPUT'!$A:$A,0),MATCH(Y$11,'[2]ADJ DETAIL-INPUT'!$10:$10,0))</f>
        <v>213</v>
      </c>
      <c r="Z32" s="602">
        <v>0</v>
      </c>
      <c r="AA32" s="601">
        <v>0</v>
      </c>
      <c r="AB32" s="600">
        <f>SUM(E32:AA32)</f>
        <v>23173</v>
      </c>
      <c r="AC32" s="602">
        <v>0</v>
      </c>
      <c r="AD32" s="602">
        <v>0</v>
      </c>
      <c r="AE32" s="807">
        <f>509-'[6]Washington Electric'!$L$138</f>
        <v>297.06371100000001</v>
      </c>
      <c r="AF32" s="601">
        <v>0</v>
      </c>
      <c r="AG32" s="601">
        <v>267</v>
      </c>
      <c r="AH32" s="807">
        <f>+INDEX('[2]ADJ DETAIL-INPUT'!$1:$1048576,MATCH($A32,'[2]ADJ DETAIL-INPUT'!$A:$A,0),MATCH(AH$11,'[2]ADJ DETAIL-INPUT'!$10:$10,0))</f>
        <v>0</v>
      </c>
      <c r="AI32" s="807">
        <f>+INDEX('[2]ADJ DETAIL-INPUT'!$1:$1048576,MATCH($A32,'[2]ADJ DETAIL-INPUT'!$A:$A,0),MATCH(AI$11,'[2]ADJ DETAIL-INPUT'!$10:$10,0))</f>
        <v>0</v>
      </c>
      <c r="AJ32" s="612">
        <v>0</v>
      </c>
      <c r="AK32" s="602">
        <v>0</v>
      </c>
      <c r="AL32" s="807">
        <f>+INDEX('[2]ADJ DETAIL-INPUT'!$1:$1048576,MATCH($A32,'[2]ADJ DETAIL-INPUT'!$A:$A,0),MATCH(AL$11,'[2]ADJ DETAIL-INPUT'!$10:$10,0))</f>
        <v>0</v>
      </c>
      <c r="AM32" s="807">
        <f>+INDEX('[2]ADJ DETAIL-INPUT'!$1:$1048576,MATCH($A32,'[2]ADJ DETAIL-INPUT'!$A:$A,0),MATCH(AM$11,'[2]ADJ DETAIL-INPUT'!$10:$10,0))</f>
        <v>0</v>
      </c>
      <c r="AN32" s="807">
        <f>+INDEX('[2]ADJ DETAIL-INPUT'!$1:$1048576,MATCH($A32,'[2]ADJ DETAIL-INPUT'!$A:$A,0),MATCH(AN$11,'[2]ADJ DETAIL-INPUT'!$10:$10,0))</f>
        <v>0</v>
      </c>
      <c r="AO32" s="612">
        <v>0</v>
      </c>
      <c r="AP32" s="651">
        <f t="shared" si="77"/>
        <v>23737.063710999999</v>
      </c>
      <c r="AQ32" s="612">
        <v>0</v>
      </c>
      <c r="AR32" s="612">
        <v>0</v>
      </c>
      <c r="AS32" s="602">
        <v>0</v>
      </c>
      <c r="AT32" s="602">
        <v>0</v>
      </c>
      <c r="AU32" s="601">
        <v>0</v>
      </c>
      <c r="AV32" s="601">
        <v>0</v>
      </c>
      <c r="AW32" s="601">
        <v>0</v>
      </c>
      <c r="AX32" s="651">
        <f>SUM(AP32:AW32)</f>
        <v>23737.063710999999</v>
      </c>
      <c r="AY32" s="612">
        <v>0</v>
      </c>
      <c r="AZ32" s="651">
        <f>SUM(AX32:AY32)</f>
        <v>23737.063710999999</v>
      </c>
      <c r="BA32" s="698"/>
      <c r="BB32" s="612"/>
      <c r="BC32" s="612"/>
      <c r="BD32" s="651">
        <f t="shared" ref="BD32:BD35" si="78">AZ32</f>
        <v>23737.063710999999</v>
      </c>
      <c r="BE32" s="612">
        <v>0</v>
      </c>
      <c r="BF32" s="602">
        <v>0</v>
      </c>
      <c r="BG32" s="612">
        <v>0</v>
      </c>
      <c r="BH32" s="601">
        <v>0</v>
      </c>
      <c r="BI32" s="602">
        <v>0</v>
      </c>
      <c r="BJ32" s="601">
        <v>0</v>
      </c>
      <c r="BK32" s="601">
        <v>0</v>
      </c>
      <c r="BL32" s="651">
        <f>SUM(BD32:BK32)</f>
        <v>23737.063710999999</v>
      </c>
      <c r="BM32" s="602">
        <v>0</v>
      </c>
      <c r="BN32" s="651">
        <f>SUM(BL32:BM32)</f>
        <v>23737.063710999999</v>
      </c>
      <c r="BO32" s="651">
        <f>BN32-AZ32</f>
        <v>0</v>
      </c>
      <c r="BP32" s="612"/>
      <c r="BQ32" s="612"/>
    </row>
    <row r="33" spans="1:69" s="589" customFormat="1">
      <c r="A33" s="587">
        <v>14</v>
      </c>
      <c r="C33" s="589" t="s">
        <v>564</v>
      </c>
      <c r="E33" s="596">
        <f>'ROO INPUT'!F32</f>
        <v>25024</v>
      </c>
      <c r="F33" s="601">
        <v>0</v>
      </c>
      <c r="G33" s="807">
        <f>+INDEX('[2]ADJ DETAIL-INPUT'!$1:$1048576,MATCH($A33,'[2]ADJ DETAIL-INPUT'!$A:$A,0),MATCH(G$11,'[2]ADJ DETAIL-INPUT'!$10:$10,0))</f>
        <v>0</v>
      </c>
      <c r="H33" s="601">
        <v>0</v>
      </c>
      <c r="I33" s="601">
        <v>0</v>
      </c>
      <c r="J33" s="601">
        <v>0</v>
      </c>
      <c r="K33" s="807">
        <f>+INDEX('[2]ADJ DETAIL-INPUT'!$1:$1048576,MATCH($A33,'[2]ADJ DETAIL-INPUT'!$A:$A,0),MATCH(K$11,'[2]ADJ DETAIL-INPUT'!$10:$10,0))</f>
        <v>0</v>
      </c>
      <c r="L33" s="601">
        <v>0</v>
      </c>
      <c r="M33" s="601">
        <v>0</v>
      </c>
      <c r="N33" s="601">
        <v>0</v>
      </c>
      <c r="O33" s="601">
        <v>0</v>
      </c>
      <c r="P33" s="601">
        <v>0</v>
      </c>
      <c r="Q33" s="601">
        <v>0</v>
      </c>
      <c r="R33" s="601">
        <v>-79</v>
      </c>
      <c r="S33" s="601">
        <v>0</v>
      </c>
      <c r="T33" s="602">
        <v>0</v>
      </c>
      <c r="U33" s="602">
        <v>0</v>
      </c>
      <c r="V33" s="601">
        <v>0</v>
      </c>
      <c r="W33" s="601">
        <v>0</v>
      </c>
      <c r="X33" s="602">
        <v>0</v>
      </c>
      <c r="Y33" s="807">
        <f>+INDEX('[2]ADJ DETAIL-INPUT'!$1:$1048576,MATCH($A33,'[2]ADJ DETAIL-INPUT'!$A:$A,0),MATCH(Y$11,'[2]ADJ DETAIL-INPUT'!$10:$10,0))</f>
        <v>0</v>
      </c>
      <c r="Z33" s="602">
        <v>0</v>
      </c>
      <c r="AA33" s="601">
        <v>0</v>
      </c>
      <c r="AB33" s="600">
        <f>SUM(E33:AA33)</f>
        <v>24945</v>
      </c>
      <c r="AC33" s="602">
        <v>0</v>
      </c>
      <c r="AD33" s="602">
        <v>0</v>
      </c>
      <c r="AE33" s="601">
        <v>0</v>
      </c>
      <c r="AF33" s="601">
        <v>0</v>
      </c>
      <c r="AG33" s="601">
        <v>0</v>
      </c>
      <c r="AH33" s="807">
        <f>+INDEX('[2]ADJ DETAIL-INPUT'!$1:$1048576,MATCH($A33,'[2]ADJ DETAIL-INPUT'!$A:$A,0),MATCH(AH$11,'[2]ADJ DETAIL-INPUT'!$10:$10,0))</f>
        <v>0</v>
      </c>
      <c r="AI33" s="807">
        <f>+INDEX('[2]ADJ DETAIL-INPUT'!$1:$1048576,MATCH($A33,'[2]ADJ DETAIL-INPUT'!$A:$A,0),MATCH(AI$11,'[2]ADJ DETAIL-INPUT'!$10:$10,0))</f>
        <v>0</v>
      </c>
      <c r="AJ33" s="612">
        <v>0</v>
      </c>
      <c r="AK33" s="602">
        <v>0</v>
      </c>
      <c r="AL33" s="807">
        <f>+INDEX('[2]ADJ DETAIL-INPUT'!$1:$1048576,MATCH($A33,'[2]ADJ DETAIL-INPUT'!$A:$A,0),MATCH(AL$11,'[2]ADJ DETAIL-INPUT'!$10:$10,0))</f>
        <v>430</v>
      </c>
      <c r="AM33" s="807">
        <f>+INDEX('[2]ADJ DETAIL-INPUT'!$1:$1048576,MATCH($A33,'[2]ADJ DETAIL-INPUT'!$A:$A,0),MATCH(AM$11,'[2]ADJ DETAIL-INPUT'!$10:$10,0))</f>
        <v>0</v>
      </c>
      <c r="AN33" s="807">
        <f>+INDEX('[2]ADJ DETAIL-INPUT'!$1:$1048576,MATCH($A33,'[2]ADJ DETAIL-INPUT'!$A:$A,0),MATCH(AN$11,'[2]ADJ DETAIL-INPUT'!$10:$10,0))</f>
        <v>0</v>
      </c>
      <c r="AO33" s="612">
        <v>0</v>
      </c>
      <c r="AP33" s="651">
        <f t="shared" si="77"/>
        <v>25375</v>
      </c>
      <c r="AQ33" s="612">
        <v>0</v>
      </c>
      <c r="AR33" s="612">
        <v>0</v>
      </c>
      <c r="AS33" s="602">
        <v>0</v>
      </c>
      <c r="AT33" s="602">
        <v>0</v>
      </c>
      <c r="AU33" s="601">
        <v>0</v>
      </c>
      <c r="AV33" s="601">
        <v>0</v>
      </c>
      <c r="AW33" s="601">
        <v>0</v>
      </c>
      <c r="AX33" s="651">
        <f>SUM(AP33:AW33)</f>
        <v>25375</v>
      </c>
      <c r="AY33" s="612">
        <v>0</v>
      </c>
      <c r="AZ33" s="651">
        <f>SUM(AX33:AY33)</f>
        <v>25375</v>
      </c>
      <c r="BA33" s="698"/>
      <c r="BB33" s="612"/>
      <c r="BC33" s="612"/>
      <c r="BD33" s="651">
        <f t="shared" si="78"/>
        <v>25375</v>
      </c>
      <c r="BE33" s="612">
        <v>0</v>
      </c>
      <c r="BF33" s="602">
        <v>0</v>
      </c>
      <c r="BG33" s="612">
        <v>0</v>
      </c>
      <c r="BH33" s="601">
        <v>0</v>
      </c>
      <c r="BI33" s="601">
        <v>0</v>
      </c>
      <c r="BJ33" s="601">
        <v>0</v>
      </c>
      <c r="BK33" s="601">
        <v>0</v>
      </c>
      <c r="BL33" s="651">
        <f>SUM(BD33:BK33)</f>
        <v>25375</v>
      </c>
      <c r="BM33" s="602">
        <v>0</v>
      </c>
      <c r="BN33" s="651">
        <f>SUM(BL33:BM33)</f>
        <v>25375</v>
      </c>
      <c r="BO33" s="651">
        <f>BN33-AZ33</f>
        <v>0</v>
      </c>
      <c r="BP33" s="612"/>
      <c r="BQ33" s="612"/>
    </row>
    <row r="34" spans="1:69" s="589" customFormat="1">
      <c r="A34" s="587">
        <v>15</v>
      </c>
      <c r="C34" s="589" t="s">
        <v>561</v>
      </c>
      <c r="E34" s="596">
        <v>0</v>
      </c>
      <c r="F34" s="601">
        <v>0</v>
      </c>
      <c r="G34" s="807">
        <f>+INDEX('[2]ADJ DETAIL-INPUT'!$1:$1048576,MATCH($A34,'[2]ADJ DETAIL-INPUT'!$A:$A,0),MATCH(G$11,'[2]ADJ DETAIL-INPUT'!$10:$10,0))</f>
        <v>0</v>
      </c>
      <c r="H34" s="601">
        <v>0</v>
      </c>
      <c r="I34" s="601">
        <v>0</v>
      </c>
      <c r="J34" s="601">
        <v>0</v>
      </c>
      <c r="K34" s="807">
        <f>+INDEX('[2]ADJ DETAIL-INPUT'!$1:$1048576,MATCH($A34,'[2]ADJ DETAIL-INPUT'!$A:$A,0),MATCH(K$11,'[2]ADJ DETAIL-INPUT'!$10:$10,0))</f>
        <v>0</v>
      </c>
      <c r="L34" s="601">
        <v>0</v>
      </c>
      <c r="M34" s="601">
        <v>0</v>
      </c>
      <c r="N34" s="601">
        <v>0</v>
      </c>
      <c r="O34" s="601">
        <v>0</v>
      </c>
      <c r="P34" s="601">
        <v>0</v>
      </c>
      <c r="Q34" s="601">
        <v>0</v>
      </c>
      <c r="R34" s="601">
        <v>0</v>
      </c>
      <c r="S34" s="601">
        <v>0</v>
      </c>
      <c r="T34" s="602">
        <v>0</v>
      </c>
      <c r="U34" s="602">
        <v>0</v>
      </c>
      <c r="V34" s="601">
        <v>0</v>
      </c>
      <c r="W34" s="601">
        <v>0</v>
      </c>
      <c r="X34" s="602">
        <v>0</v>
      </c>
      <c r="Y34" s="807">
        <f>+INDEX('[2]ADJ DETAIL-INPUT'!$1:$1048576,MATCH($A34,'[2]ADJ DETAIL-INPUT'!$A:$A,0),MATCH(Y$11,'[2]ADJ DETAIL-INPUT'!$10:$10,0))</f>
        <v>0</v>
      </c>
      <c r="Z34" s="602">
        <v>0</v>
      </c>
      <c r="AA34" s="601">
        <v>0</v>
      </c>
      <c r="AB34" s="600">
        <f>SUM(E34:AA34)</f>
        <v>0</v>
      </c>
      <c r="AC34" s="602">
        <v>0</v>
      </c>
      <c r="AD34" s="602">
        <v>0</v>
      </c>
      <c r="AE34" s="601">
        <v>0</v>
      </c>
      <c r="AF34" s="601">
        <v>0</v>
      </c>
      <c r="AG34" s="601">
        <v>0</v>
      </c>
      <c r="AH34" s="807">
        <f>+INDEX('[2]ADJ DETAIL-INPUT'!$1:$1048576,MATCH($A34,'[2]ADJ DETAIL-INPUT'!$A:$A,0),MATCH(AH$11,'[2]ADJ DETAIL-INPUT'!$10:$10,0))</f>
        <v>0</v>
      </c>
      <c r="AI34" s="807">
        <f>+INDEX('[2]ADJ DETAIL-INPUT'!$1:$1048576,MATCH($A34,'[2]ADJ DETAIL-INPUT'!$A:$A,0),MATCH(AI$11,'[2]ADJ DETAIL-INPUT'!$10:$10,0))</f>
        <v>0</v>
      </c>
      <c r="AJ34" s="612">
        <v>0</v>
      </c>
      <c r="AK34" s="602">
        <v>0</v>
      </c>
      <c r="AL34" s="807">
        <f>+INDEX('[2]ADJ DETAIL-INPUT'!$1:$1048576,MATCH($A34,'[2]ADJ DETAIL-INPUT'!$A:$A,0),MATCH(AL$11,'[2]ADJ DETAIL-INPUT'!$10:$10,0))</f>
        <v>0</v>
      </c>
      <c r="AM34" s="807">
        <f>+INDEX('[2]ADJ DETAIL-INPUT'!$1:$1048576,MATCH($A34,'[2]ADJ DETAIL-INPUT'!$A:$A,0),MATCH(AM$11,'[2]ADJ DETAIL-INPUT'!$10:$10,0))</f>
        <v>0</v>
      </c>
      <c r="AN34" s="807">
        <f>+INDEX('[2]ADJ DETAIL-INPUT'!$1:$1048576,MATCH($A34,'[2]ADJ DETAIL-INPUT'!$A:$A,0),MATCH(AN$11,'[2]ADJ DETAIL-INPUT'!$10:$10,0))</f>
        <v>0</v>
      </c>
      <c r="AO34" s="612">
        <v>0</v>
      </c>
      <c r="AP34" s="651">
        <f t="shared" si="77"/>
        <v>0</v>
      </c>
      <c r="AQ34" s="612"/>
      <c r="AR34" s="612"/>
      <c r="AS34" s="602">
        <v>0</v>
      </c>
      <c r="AT34" s="602"/>
      <c r="AU34" s="601">
        <v>0</v>
      </c>
      <c r="AV34" s="601">
        <v>0</v>
      </c>
      <c r="AW34" s="601">
        <v>0</v>
      </c>
      <c r="AX34" s="651">
        <f>SUM(AP34:AW34)</f>
        <v>0</v>
      </c>
      <c r="AY34" s="612">
        <v>0</v>
      </c>
      <c r="AZ34" s="651">
        <f>SUM(AX34:AY34)</f>
        <v>0</v>
      </c>
      <c r="BA34" s="698"/>
      <c r="BB34" s="612"/>
      <c r="BC34" s="612"/>
      <c r="BD34" s="651">
        <f t="shared" ref="BD34" si="79">AZ34</f>
        <v>0</v>
      </c>
      <c r="BE34" s="612">
        <v>0</v>
      </c>
      <c r="BF34" s="602">
        <v>0</v>
      </c>
      <c r="BG34" s="612">
        <v>0</v>
      </c>
      <c r="BH34" s="601">
        <v>0</v>
      </c>
      <c r="BI34" s="601">
        <v>0</v>
      </c>
      <c r="BJ34" s="601">
        <v>0</v>
      </c>
      <c r="BK34" s="601">
        <v>0</v>
      </c>
      <c r="BL34" s="651">
        <f>SUM(BD34:BK34)</f>
        <v>0</v>
      </c>
      <c r="BM34" s="602">
        <v>0</v>
      </c>
      <c r="BN34" s="651">
        <f>SUM(BL34:BM34)</f>
        <v>0</v>
      </c>
      <c r="BO34" s="651">
        <f>BN34-AZ34</f>
        <v>0</v>
      </c>
      <c r="BP34" s="612"/>
      <c r="BQ34" s="612"/>
    </row>
    <row r="35" spans="1:69" s="589" customFormat="1">
      <c r="A35" s="587">
        <v>16</v>
      </c>
      <c r="C35" s="589" t="s">
        <v>197</v>
      </c>
      <c r="E35" s="628">
        <f>'ROO INPUT'!F34</f>
        <v>45055</v>
      </c>
      <c r="F35" s="614">
        <v>0</v>
      </c>
      <c r="G35" s="808">
        <f>+INDEX('[2]ADJ DETAIL-INPUT'!$1:$1048576,MATCH($A35,'[2]ADJ DETAIL-INPUT'!$A:$A,0),MATCH(G$11,'[2]ADJ DETAIL-INPUT'!$10:$10,0))</f>
        <v>0</v>
      </c>
      <c r="H35" s="614">
        <v>0</v>
      </c>
      <c r="I35" s="614">
        <v>0</v>
      </c>
      <c r="J35" s="614">
        <v>-18028</v>
      </c>
      <c r="K35" s="808">
        <f>+INDEX('[2]ADJ DETAIL-INPUT'!$1:$1048576,MATCH($A35,'[2]ADJ DETAIL-INPUT'!$A:$A,0),MATCH(K$11,'[2]ADJ DETAIL-INPUT'!$10:$10,0))</f>
        <v>121</v>
      </c>
      <c r="L35" s="614">
        <v>0</v>
      </c>
      <c r="M35" s="614">
        <v>0</v>
      </c>
      <c r="N35" s="614">
        <v>0</v>
      </c>
      <c r="O35" s="614">
        <v>0</v>
      </c>
      <c r="P35" s="614">
        <v>0</v>
      </c>
      <c r="Q35" s="614">
        <v>-333</v>
      </c>
      <c r="R35" s="614">
        <v>0</v>
      </c>
      <c r="S35" s="614">
        <f>ROUND(S$15*'Exh. No. BGM-13R -4'!$E$16,0)</f>
        <v>120</v>
      </c>
      <c r="T35" s="614">
        <f>ROUND(T$15*'Exh. No. BGM-13R -4'!$E$16,0)</f>
        <v>-407</v>
      </c>
      <c r="U35" s="614">
        <v>0</v>
      </c>
      <c r="V35" s="614">
        <f>ROUND(V$15*'Exh. No. BGM-13R -4'!$E$16,0)</f>
        <v>496</v>
      </c>
      <c r="W35" s="614">
        <v>0</v>
      </c>
      <c r="X35" s="613">
        <v>0</v>
      </c>
      <c r="Y35" s="808">
        <f>+INDEX('[2]ADJ DETAIL-INPUT'!$1:$1048576,MATCH($A35,'[2]ADJ DETAIL-INPUT'!$A:$A,0),MATCH(Y$11,'[2]ADJ DETAIL-INPUT'!$10:$10,0))</f>
        <v>0</v>
      </c>
      <c r="Z35" s="613">
        <v>0</v>
      </c>
      <c r="AA35" s="614">
        <v>0</v>
      </c>
      <c r="AB35" s="277">
        <f>SUM(E35:AA35)</f>
        <v>27024</v>
      </c>
      <c r="AC35" s="613">
        <v>0</v>
      </c>
      <c r="AD35" s="613">
        <v>0</v>
      </c>
      <c r="AE35" s="614">
        <v>0</v>
      </c>
      <c r="AF35" s="614">
        <v>0</v>
      </c>
      <c r="AG35" s="614">
        <v>0</v>
      </c>
      <c r="AH35" s="808">
        <f>+INDEX('[2]ADJ DETAIL-INPUT'!$1:$1048576,MATCH($A35,'[2]ADJ DETAIL-INPUT'!$A:$A,0),MATCH(AH$11,'[2]ADJ DETAIL-INPUT'!$10:$10,0))</f>
        <v>0</v>
      </c>
      <c r="AI35" s="808">
        <f>+INDEX('[2]ADJ DETAIL-INPUT'!$1:$1048576,MATCH($A35,'[2]ADJ DETAIL-INPUT'!$A:$A,0),MATCH(AI$11,'[2]ADJ DETAIL-INPUT'!$10:$10,0))</f>
        <v>407</v>
      </c>
      <c r="AJ35" s="613">
        <v>0</v>
      </c>
      <c r="AK35" s="614">
        <f>ROUND(AK$15*'Exh. No. BGM-13R -4'!$E$16,0)</f>
        <v>-199</v>
      </c>
      <c r="AL35" s="808">
        <f>+INDEX('[2]ADJ DETAIL-INPUT'!$1:$1048576,MATCH($A35,'[2]ADJ DETAIL-INPUT'!$A:$A,0),MATCH(AL$11,'[2]ADJ DETAIL-INPUT'!$10:$10,0))</f>
        <v>0</v>
      </c>
      <c r="AM35" s="808">
        <f>+INDEX('[2]ADJ DETAIL-INPUT'!$1:$1048576,MATCH($A35,'[2]ADJ DETAIL-INPUT'!$A:$A,0),MATCH(AM$11,'[2]ADJ DETAIL-INPUT'!$10:$10,0))</f>
        <v>0</v>
      </c>
      <c r="AN35" s="808">
        <f>+INDEX('[2]ADJ DETAIL-INPUT'!$1:$1048576,MATCH($A35,'[2]ADJ DETAIL-INPUT'!$A:$A,0),MATCH(AN$11,'[2]ADJ DETAIL-INPUT'!$10:$10,0))</f>
        <v>0</v>
      </c>
      <c r="AO35" s="613">
        <v>0</v>
      </c>
      <c r="AP35" s="653">
        <f t="shared" si="77"/>
        <v>27232</v>
      </c>
      <c r="AQ35" s="613">
        <v>0</v>
      </c>
      <c r="AR35" s="613">
        <v>0</v>
      </c>
      <c r="AS35" s="614">
        <v>0</v>
      </c>
      <c r="AT35" s="614">
        <v>0</v>
      </c>
      <c r="AU35" s="614">
        <v>0</v>
      </c>
      <c r="AV35" s="614">
        <v>0</v>
      </c>
      <c r="AW35" s="614">
        <v>0</v>
      </c>
      <c r="AX35" s="653">
        <f>SUM(AP35:AW35)</f>
        <v>27232</v>
      </c>
      <c r="AY35" s="613">
        <v>0</v>
      </c>
      <c r="AZ35" s="653">
        <f>SUM(AX35:AY35)</f>
        <v>27232</v>
      </c>
      <c r="BA35" s="698"/>
      <c r="BB35" s="612"/>
      <c r="BC35" s="612"/>
      <c r="BD35" s="653">
        <f t="shared" si="78"/>
        <v>27232</v>
      </c>
      <c r="BE35" s="613">
        <v>0</v>
      </c>
      <c r="BF35" s="613">
        <v>0</v>
      </c>
      <c r="BG35" s="613">
        <v>0</v>
      </c>
      <c r="BH35" s="614">
        <v>0</v>
      </c>
      <c r="BI35" s="614">
        <v>0</v>
      </c>
      <c r="BJ35" s="614">
        <v>0</v>
      </c>
      <c r="BK35" s="614">
        <v>0</v>
      </c>
      <c r="BL35" s="653">
        <f>SUM(BD35:BK35)</f>
        <v>27232</v>
      </c>
      <c r="BM35" s="614">
        <v>0</v>
      </c>
      <c r="BN35" s="653">
        <f>SUM(BL35:BM35)</f>
        <v>27232</v>
      </c>
      <c r="BO35" s="653">
        <f>BN35-AZ35</f>
        <v>0</v>
      </c>
      <c r="BP35" s="612"/>
      <c r="BQ35" s="612"/>
    </row>
    <row r="36" spans="1:69" s="589" customFormat="1">
      <c r="A36" s="587">
        <v>17</v>
      </c>
      <c r="B36" s="589" t="s">
        <v>200</v>
      </c>
      <c r="E36" s="592">
        <f t="shared" ref="E36:AJ36" si="80">SUM(E32:E35)</f>
        <v>93040</v>
      </c>
      <c r="F36" s="601">
        <f t="shared" si="80"/>
        <v>0</v>
      </c>
      <c r="G36" s="601">
        <f t="shared" si="80"/>
        <v>0</v>
      </c>
      <c r="H36" s="601">
        <f t="shared" si="80"/>
        <v>0</v>
      </c>
      <c r="I36" s="601">
        <f t="shared" ref="I36" si="81">SUM(I32:I35)</f>
        <v>0</v>
      </c>
      <c r="J36" s="601">
        <f t="shared" si="80"/>
        <v>-18028</v>
      </c>
      <c r="K36" s="601">
        <f t="shared" ref="K36" si="82">SUM(K32:K35)</f>
        <v>121</v>
      </c>
      <c r="L36" s="601">
        <f t="shared" si="80"/>
        <v>0</v>
      </c>
      <c r="M36" s="601">
        <f t="shared" si="80"/>
        <v>0</v>
      </c>
      <c r="N36" s="601">
        <f t="shared" si="80"/>
        <v>0</v>
      </c>
      <c r="O36" s="601">
        <f t="shared" si="80"/>
        <v>0</v>
      </c>
      <c r="P36" s="601">
        <f t="shared" si="80"/>
        <v>0</v>
      </c>
      <c r="Q36" s="601">
        <f t="shared" si="80"/>
        <v>-333</v>
      </c>
      <c r="R36" s="601">
        <f t="shared" si="80"/>
        <v>-79</v>
      </c>
      <c r="S36" s="601">
        <f t="shared" si="80"/>
        <v>120</v>
      </c>
      <c r="T36" s="602">
        <f t="shared" ref="T36" si="83">SUM(T32:T35)</f>
        <v>-407</v>
      </c>
      <c r="U36" s="602">
        <f>SUM(U32:U35)</f>
        <v>-1</v>
      </c>
      <c r="V36" s="601">
        <f>SUM(V32:V35)</f>
        <v>496</v>
      </c>
      <c r="W36" s="601">
        <f>SUM(W32:W35)</f>
        <v>0</v>
      </c>
      <c r="X36" s="602">
        <f>SUM(X32:X35)</f>
        <v>0</v>
      </c>
      <c r="Y36" s="601">
        <f t="shared" ref="Y36" si="84">SUM(Y32:Y35)</f>
        <v>213</v>
      </c>
      <c r="Z36" s="602">
        <f>SUM(Z32:Z35)</f>
        <v>0</v>
      </c>
      <c r="AA36" s="601">
        <f>SUM(AA32:AA35)</f>
        <v>0</v>
      </c>
      <c r="AB36" s="600">
        <f t="shared" si="80"/>
        <v>75142</v>
      </c>
      <c r="AC36" s="602">
        <f t="shared" si="80"/>
        <v>0</v>
      </c>
      <c r="AD36" s="602">
        <f t="shared" si="80"/>
        <v>0</v>
      </c>
      <c r="AE36" s="601">
        <f t="shared" si="80"/>
        <v>297.06371100000001</v>
      </c>
      <c r="AF36" s="601">
        <f t="shared" si="80"/>
        <v>0</v>
      </c>
      <c r="AG36" s="601">
        <f t="shared" si="80"/>
        <v>267</v>
      </c>
      <c r="AH36" s="601">
        <f t="shared" ref="AH36:AI36" si="85">SUM(AH32:AH35)</f>
        <v>0</v>
      </c>
      <c r="AI36" s="601">
        <f t="shared" si="85"/>
        <v>407</v>
      </c>
      <c r="AJ36" s="612">
        <f t="shared" si="80"/>
        <v>0</v>
      </c>
      <c r="AK36" s="602">
        <f>SUM(AK32:AK35)</f>
        <v>-199</v>
      </c>
      <c r="AL36" s="601">
        <f t="shared" ref="AL36:AN36" si="86">SUM(AL32:AL35)</f>
        <v>430</v>
      </c>
      <c r="AM36" s="601">
        <f t="shared" si="86"/>
        <v>0</v>
      </c>
      <c r="AN36" s="601">
        <f t="shared" si="86"/>
        <v>0</v>
      </c>
      <c r="AO36" s="612">
        <f t="shared" ref="AO36" si="87">SUM(AO32:AO35)</f>
        <v>0</v>
      </c>
      <c r="AP36" s="651">
        <f t="shared" si="77"/>
        <v>76344.063710999995</v>
      </c>
      <c r="AQ36" s="612">
        <f t="shared" ref="AQ36:AR36" si="88">SUM(AQ32:AQ35)</f>
        <v>0</v>
      </c>
      <c r="AR36" s="612">
        <f t="shared" si="88"/>
        <v>0</v>
      </c>
      <c r="AS36" s="602">
        <f>SUM(AS32:AS35)</f>
        <v>0</v>
      </c>
      <c r="AT36" s="602">
        <f>SUM(AT32:AT35)</f>
        <v>0</v>
      </c>
      <c r="AU36" s="601">
        <f t="shared" ref="AU36" si="89">SUM(AU32:AU35)</f>
        <v>0</v>
      </c>
      <c r="AV36" s="601">
        <f>SUM(AV32:AV35)</f>
        <v>0</v>
      </c>
      <c r="AW36" s="601">
        <f t="shared" ref="AW36" si="90">SUM(AW32:AW35)</f>
        <v>0</v>
      </c>
      <c r="AX36" s="651">
        <f>SUM(AP36:AW36)</f>
        <v>76344.063710999995</v>
      </c>
      <c r="AY36" s="612">
        <f>SUM(AY32:AY35)</f>
        <v>0</v>
      </c>
      <c r="AZ36" s="651">
        <f>SUM(AX36:AY36)</f>
        <v>76344.063710999995</v>
      </c>
      <c r="BA36" s="698"/>
      <c r="BB36" s="612"/>
      <c r="BC36" s="612"/>
      <c r="BD36" s="651">
        <f>SUM(BD32:BD35)</f>
        <v>76344.063710999995</v>
      </c>
      <c r="BE36" s="612">
        <f t="shared" ref="BE36:BF36" si="91">SUM(BE32:BE35)</f>
        <v>0</v>
      </c>
      <c r="BF36" s="602">
        <f t="shared" si="91"/>
        <v>0</v>
      </c>
      <c r="BG36" s="612">
        <f t="shared" ref="BG36:BI36" si="92">SUM(BG32:BG35)</f>
        <v>0</v>
      </c>
      <c r="BH36" s="601">
        <f t="shared" ref="BH36" si="93">SUM(BH32:BH35)</f>
        <v>0</v>
      </c>
      <c r="BI36" s="601">
        <f t="shared" si="92"/>
        <v>0</v>
      </c>
      <c r="BJ36" s="601">
        <f t="shared" ref="BJ36" si="94">SUM(BJ32:BJ35)</f>
        <v>0</v>
      </c>
      <c r="BK36" s="601">
        <f t="shared" ref="BK36" si="95">SUM(BK32:BK35)</f>
        <v>0</v>
      </c>
      <c r="BL36" s="651">
        <f>SUM(BD36:BK36)</f>
        <v>76344.063710999995</v>
      </c>
      <c r="BM36" s="602">
        <f>SUM(BM32:BM35)</f>
        <v>0</v>
      </c>
      <c r="BN36" s="651">
        <f>SUM(BL36:BM36)</f>
        <v>76344.063710999995</v>
      </c>
      <c r="BO36" s="651">
        <f>BN36-AZ36</f>
        <v>0</v>
      </c>
      <c r="BP36" s="612"/>
      <c r="BQ36" s="612"/>
    </row>
    <row r="37" spans="1:69" s="589" customFormat="1">
      <c r="E37" s="592"/>
      <c r="F37" s="601"/>
      <c r="G37" s="601"/>
      <c r="H37" s="601"/>
      <c r="I37" s="601"/>
      <c r="J37" s="601"/>
      <c r="K37" s="601"/>
      <c r="L37" s="601"/>
      <c r="M37" s="601"/>
      <c r="N37" s="601"/>
      <c r="O37" s="601"/>
      <c r="P37" s="601"/>
      <c r="Q37" s="601"/>
      <c r="R37" s="601"/>
      <c r="S37" s="601"/>
      <c r="T37" s="602"/>
      <c r="U37" s="602"/>
      <c r="V37" s="601"/>
      <c r="W37" s="601"/>
      <c r="X37" s="602"/>
      <c r="Y37" s="601"/>
      <c r="Z37" s="602"/>
      <c r="AA37" s="601"/>
      <c r="AB37" s="600"/>
      <c r="AC37" s="602"/>
      <c r="AD37" s="602"/>
      <c r="AE37" s="601"/>
      <c r="AF37" s="601"/>
      <c r="AG37" s="601"/>
      <c r="AH37" s="601"/>
      <c r="AI37" s="601"/>
      <c r="AJ37" s="612"/>
      <c r="AK37" s="602"/>
      <c r="AL37" s="601"/>
      <c r="AM37" s="601"/>
      <c r="AN37" s="601"/>
      <c r="AO37" s="612"/>
      <c r="AP37" s="651"/>
      <c r="AQ37" s="612"/>
      <c r="AR37" s="612"/>
      <c r="AS37" s="602"/>
      <c r="AT37" s="602"/>
      <c r="AU37" s="601"/>
      <c r="AV37" s="601"/>
      <c r="AW37" s="601"/>
      <c r="AX37" s="651"/>
      <c r="AY37" s="612"/>
      <c r="AZ37" s="651"/>
      <c r="BA37" s="698"/>
      <c r="BB37" s="612"/>
      <c r="BC37" s="612"/>
      <c r="BD37" s="651"/>
      <c r="BE37" s="612"/>
      <c r="BF37" s="602"/>
      <c r="BG37" s="612"/>
      <c r="BH37" s="601"/>
      <c r="BI37" s="601"/>
      <c r="BJ37" s="601"/>
      <c r="BK37" s="601"/>
      <c r="BL37" s="651"/>
      <c r="BM37" s="602"/>
      <c r="BN37" s="651"/>
      <c r="BO37" s="651"/>
      <c r="BP37" s="612"/>
      <c r="BQ37" s="612"/>
    </row>
    <row r="38" spans="1:69" s="589" customFormat="1">
      <c r="A38" s="587">
        <v>18</v>
      </c>
      <c r="B38" s="589" t="s">
        <v>201</v>
      </c>
      <c r="E38" s="596">
        <f>'ROO INPUT'!F37</f>
        <v>10543</v>
      </c>
      <c r="F38" s="601">
        <v>0</v>
      </c>
      <c r="G38" s="807">
        <f>+INDEX('[2]ADJ DETAIL-INPUT'!$1:$1048576,MATCH($A38,'[2]ADJ DETAIL-INPUT'!$A:$A,0),MATCH(G$11,'[2]ADJ DETAIL-INPUT'!$10:$10,0))</f>
        <v>3</v>
      </c>
      <c r="H38" s="601">
        <v>0</v>
      </c>
      <c r="I38" s="601">
        <v>0</v>
      </c>
      <c r="J38" s="601">
        <v>0</v>
      </c>
      <c r="K38" s="807">
        <f>+INDEX('[2]ADJ DETAIL-INPUT'!$1:$1048576,MATCH($A38,'[2]ADJ DETAIL-INPUT'!$A:$A,0),MATCH(K$11,'[2]ADJ DETAIL-INPUT'!$10:$10,0))</f>
        <v>0</v>
      </c>
      <c r="L38" s="601">
        <v>1054</v>
      </c>
      <c r="M38" s="601">
        <v>0</v>
      </c>
      <c r="N38" s="601">
        <v>0</v>
      </c>
      <c r="O38" s="601">
        <v>0</v>
      </c>
      <c r="P38" s="601">
        <v>0</v>
      </c>
      <c r="Q38" s="601">
        <v>0</v>
      </c>
      <c r="R38" s="601">
        <v>0</v>
      </c>
      <c r="S38" s="601">
        <f>ROUND(S$15*'Exh. No. BGM-13R -4'!$E$12,0)</f>
        <v>18</v>
      </c>
      <c r="T38" s="601">
        <f>ROUND(T$15*'Exh. No. BGM-13R -4'!$E$12,0)</f>
        <v>-62</v>
      </c>
      <c r="U38" s="601">
        <v>0</v>
      </c>
      <c r="V38" s="601">
        <f>ROUND(V$15*'Exh. No. BGM-13R -4'!$E$12,0)</f>
        <v>75</v>
      </c>
      <c r="W38" s="601">
        <v>0</v>
      </c>
      <c r="X38" s="602">
        <v>0</v>
      </c>
      <c r="Y38" s="807">
        <f>+INDEX('[2]ADJ DETAIL-INPUT'!$1:$1048576,MATCH($A38,'[2]ADJ DETAIL-INPUT'!$A:$A,0),MATCH(Y$11,'[2]ADJ DETAIL-INPUT'!$10:$10,0))</f>
        <v>95</v>
      </c>
      <c r="Z38" s="602">
        <v>0</v>
      </c>
      <c r="AA38" s="601"/>
      <c r="AB38" s="600">
        <f>SUM(E38:AA38)</f>
        <v>11726</v>
      </c>
      <c r="AC38" s="602">
        <v>0</v>
      </c>
      <c r="AD38" s="602">
        <v>0</v>
      </c>
      <c r="AE38" s="807">
        <f>230-'[6]Washington Electric'!$L$139</f>
        <v>139.345766</v>
      </c>
      <c r="AF38" s="601">
        <v>0</v>
      </c>
      <c r="AG38" s="601">
        <v>130</v>
      </c>
      <c r="AH38" s="807">
        <f>+INDEX('[2]ADJ DETAIL-INPUT'!$1:$1048576,MATCH($A38,'[2]ADJ DETAIL-INPUT'!$A:$A,0),MATCH(AH$11,'[2]ADJ DETAIL-INPUT'!$10:$10,0))</f>
        <v>0</v>
      </c>
      <c r="AI38" s="807">
        <f>+INDEX('[2]ADJ DETAIL-INPUT'!$1:$1048576,MATCH($A38,'[2]ADJ DETAIL-INPUT'!$A:$A,0),MATCH(AI$11,'[2]ADJ DETAIL-INPUT'!$10:$10,0))</f>
        <v>0</v>
      </c>
      <c r="AJ38" s="612">
        <v>0</v>
      </c>
      <c r="AK38" s="601">
        <f>ROUND(AK$15*'Exh. No. BGM-13R -4'!$E$12,0)</f>
        <v>-30</v>
      </c>
      <c r="AL38" s="807">
        <f>+INDEX('[2]ADJ DETAIL-INPUT'!$1:$1048576,MATCH($A38,'[2]ADJ DETAIL-INPUT'!$A:$A,0),MATCH(AL$11,'[2]ADJ DETAIL-INPUT'!$10:$10,0))</f>
        <v>0</v>
      </c>
      <c r="AM38" s="807">
        <f>+INDEX('[2]ADJ DETAIL-INPUT'!$1:$1048576,MATCH($A38,'[2]ADJ DETAIL-INPUT'!$A:$A,0),MATCH(AM$11,'[2]ADJ DETAIL-INPUT'!$10:$10,0))</f>
        <v>0</v>
      </c>
      <c r="AN38" s="807">
        <f>+INDEX('[2]ADJ DETAIL-INPUT'!$1:$1048576,MATCH($A38,'[2]ADJ DETAIL-INPUT'!$A:$A,0),MATCH(AN$11,'[2]ADJ DETAIL-INPUT'!$10:$10,0))</f>
        <v>0</v>
      </c>
      <c r="AO38" s="612">
        <v>0</v>
      </c>
      <c r="AP38" s="651">
        <f>SUM(AB38:AO38)</f>
        <v>11965.345766</v>
      </c>
      <c r="AQ38" s="612">
        <v>0</v>
      </c>
      <c r="AR38" s="612">
        <v>0</v>
      </c>
      <c r="AS38" s="601">
        <v>0</v>
      </c>
      <c r="AT38" s="601">
        <v>0</v>
      </c>
      <c r="AU38" s="601">
        <v>0</v>
      </c>
      <c r="AV38" s="601">
        <v>0</v>
      </c>
      <c r="AW38" s="601">
        <v>0</v>
      </c>
      <c r="AX38" s="651">
        <f>SUM(AP38:AW38)</f>
        <v>11965.345766</v>
      </c>
      <c r="AY38" s="612">
        <v>0</v>
      </c>
      <c r="AZ38" s="651">
        <f>SUM(AX38:AY38)</f>
        <v>11965.345766</v>
      </c>
      <c r="BA38" s="698"/>
      <c r="BB38" s="612"/>
      <c r="BC38" s="612"/>
      <c r="BD38" s="651">
        <f t="shared" ref="BD38:BD40" si="96">AZ38</f>
        <v>11965.345766</v>
      </c>
      <c r="BE38" s="612">
        <v>0</v>
      </c>
      <c r="BF38" s="602">
        <v>0</v>
      </c>
      <c r="BG38" s="612">
        <v>0</v>
      </c>
      <c r="BH38" s="601">
        <v>0</v>
      </c>
      <c r="BI38" s="601">
        <v>0</v>
      </c>
      <c r="BJ38" s="601">
        <v>0</v>
      </c>
      <c r="BK38" s="601">
        <v>0</v>
      </c>
      <c r="BL38" s="651">
        <f>SUM(BD38:BK38)</f>
        <v>11965.345766</v>
      </c>
      <c r="BM38" s="601">
        <v>0</v>
      </c>
      <c r="BN38" s="651">
        <f>SUM(BL38:BM38)</f>
        <v>11965.345766</v>
      </c>
      <c r="BO38" s="651">
        <f>BN38-AZ38</f>
        <v>0</v>
      </c>
      <c r="BP38" s="612"/>
      <c r="BQ38" s="612"/>
    </row>
    <row r="39" spans="1:69" s="589" customFormat="1">
      <c r="A39" s="587">
        <v>19</v>
      </c>
      <c r="B39" s="589" t="s">
        <v>202</v>
      </c>
      <c r="E39" s="596">
        <f>'ROO INPUT'!F38</f>
        <v>19433</v>
      </c>
      <c r="F39" s="601">
        <v>0</v>
      </c>
      <c r="G39" s="807">
        <f>+INDEX('[2]ADJ DETAIL-INPUT'!$1:$1048576,MATCH($A39,'[2]ADJ DETAIL-INPUT'!$A:$A,0),MATCH(G$11,'[2]ADJ DETAIL-INPUT'!$10:$10,0))</f>
        <v>0</v>
      </c>
      <c r="H39" s="601">
        <v>0</v>
      </c>
      <c r="I39" s="601">
        <v>0</v>
      </c>
      <c r="J39" s="601">
        <v>0</v>
      </c>
      <c r="K39" s="807">
        <f>+INDEX('[2]ADJ DETAIL-INPUT'!$1:$1048576,MATCH($A39,'[2]ADJ DETAIL-INPUT'!$A:$A,0),MATCH(K$11,'[2]ADJ DETAIL-INPUT'!$10:$10,0))</f>
        <v>0</v>
      </c>
      <c r="L39" s="601">
        <v>0</v>
      </c>
      <c r="M39" s="601">
        <v>0</v>
      </c>
      <c r="N39" s="601">
        <v>0</v>
      </c>
      <c r="O39" s="601">
        <v>0</v>
      </c>
      <c r="P39" s="601">
        <v>0</v>
      </c>
      <c r="Q39" s="601">
        <v>0</v>
      </c>
      <c r="R39" s="601">
        <v>0</v>
      </c>
      <c r="S39" s="601">
        <v>0</v>
      </c>
      <c r="T39" s="602">
        <v>-17914</v>
      </c>
      <c r="U39" s="602">
        <v>0</v>
      </c>
      <c r="V39" s="601">
        <v>0</v>
      </c>
      <c r="W39" s="601">
        <v>0</v>
      </c>
      <c r="X39" s="602">
        <v>0</v>
      </c>
      <c r="Y39" s="807">
        <f>+INDEX('[2]ADJ DETAIL-INPUT'!$1:$1048576,MATCH($A39,'[2]ADJ DETAIL-INPUT'!$A:$A,0),MATCH(Y$11,'[2]ADJ DETAIL-INPUT'!$10:$10,0))</f>
        <v>9</v>
      </c>
      <c r="Z39" s="602">
        <v>0</v>
      </c>
      <c r="AA39" s="601">
        <v>0</v>
      </c>
      <c r="AB39" s="600">
        <f>SUM(E39:AA39)</f>
        <v>1528</v>
      </c>
      <c r="AC39" s="602">
        <v>0</v>
      </c>
      <c r="AD39" s="602">
        <v>0</v>
      </c>
      <c r="AE39" s="807">
        <f>21-'[6]Washington Electric'!$L$140</f>
        <v>12.666779999999999</v>
      </c>
      <c r="AF39" s="601">
        <v>0</v>
      </c>
      <c r="AG39" s="601">
        <v>12</v>
      </c>
      <c r="AH39" s="807">
        <f>+INDEX('[2]ADJ DETAIL-INPUT'!$1:$1048576,MATCH($A39,'[2]ADJ DETAIL-INPUT'!$A:$A,0),MATCH(AH$11,'[2]ADJ DETAIL-INPUT'!$10:$10,0))</f>
        <v>0</v>
      </c>
      <c r="AI39" s="807">
        <f>+INDEX('[2]ADJ DETAIL-INPUT'!$1:$1048576,MATCH($A39,'[2]ADJ DETAIL-INPUT'!$A:$A,0),MATCH(AI$11,'[2]ADJ DETAIL-INPUT'!$10:$10,0))</f>
        <v>0</v>
      </c>
      <c r="AJ39" s="612">
        <v>0</v>
      </c>
      <c r="AK39" s="602">
        <v>0</v>
      </c>
      <c r="AL39" s="807">
        <f>+INDEX('[2]ADJ DETAIL-INPUT'!$1:$1048576,MATCH($A39,'[2]ADJ DETAIL-INPUT'!$A:$A,0),MATCH(AL$11,'[2]ADJ DETAIL-INPUT'!$10:$10,0))</f>
        <v>0</v>
      </c>
      <c r="AM39" s="807">
        <f>+INDEX('[2]ADJ DETAIL-INPUT'!$1:$1048576,MATCH($A39,'[2]ADJ DETAIL-INPUT'!$A:$A,0),MATCH(AM$11,'[2]ADJ DETAIL-INPUT'!$10:$10,0))</f>
        <v>0</v>
      </c>
      <c r="AN39" s="807">
        <f>+INDEX('[2]ADJ DETAIL-INPUT'!$1:$1048576,MATCH($A39,'[2]ADJ DETAIL-INPUT'!$A:$A,0),MATCH(AN$11,'[2]ADJ DETAIL-INPUT'!$10:$10,0))</f>
        <v>0</v>
      </c>
      <c r="AO39" s="612">
        <v>0</v>
      </c>
      <c r="AP39" s="651">
        <f>SUM(AB39:AO39)</f>
        <v>1552.66678</v>
      </c>
      <c r="AQ39" s="612">
        <v>0</v>
      </c>
      <c r="AR39" s="612">
        <v>0</v>
      </c>
      <c r="AS39" s="602">
        <v>0</v>
      </c>
      <c r="AT39" s="602">
        <v>0</v>
      </c>
      <c r="AU39" s="601">
        <v>0</v>
      </c>
      <c r="AV39" s="601">
        <v>0</v>
      </c>
      <c r="AW39" s="601">
        <v>0</v>
      </c>
      <c r="AX39" s="651">
        <f>SUM(AP39:AW39)</f>
        <v>1552.66678</v>
      </c>
      <c r="AY39" s="612">
        <v>0</v>
      </c>
      <c r="AZ39" s="651">
        <f>SUM(AX39:AY39)</f>
        <v>1552.66678</v>
      </c>
      <c r="BA39" s="698"/>
      <c r="BB39" s="612"/>
      <c r="BC39" s="612"/>
      <c r="BD39" s="651">
        <f t="shared" si="96"/>
        <v>1552.66678</v>
      </c>
      <c r="BE39" s="612">
        <v>0</v>
      </c>
      <c r="BF39" s="602">
        <v>0</v>
      </c>
      <c r="BG39" s="612">
        <v>0</v>
      </c>
      <c r="BH39" s="601">
        <v>0</v>
      </c>
      <c r="BI39" s="601">
        <v>0</v>
      </c>
      <c r="BJ39" s="601">
        <v>0</v>
      </c>
      <c r="BK39" s="601">
        <v>0</v>
      </c>
      <c r="BL39" s="651">
        <f>SUM(BD39:BK39)</f>
        <v>1552.66678</v>
      </c>
      <c r="BM39" s="602">
        <v>0</v>
      </c>
      <c r="BN39" s="651">
        <f>SUM(BL39:BM39)</f>
        <v>1552.66678</v>
      </c>
      <c r="BO39" s="651">
        <f>BN39-AZ39</f>
        <v>0</v>
      </c>
      <c r="BP39" s="612"/>
      <c r="BQ39" s="612"/>
    </row>
    <row r="40" spans="1:69" s="589" customFormat="1">
      <c r="A40" s="587">
        <v>20</v>
      </c>
      <c r="B40" s="589" t="s">
        <v>203</v>
      </c>
      <c r="E40" s="596">
        <f>'ROO INPUT'!F39</f>
        <v>0</v>
      </c>
      <c r="F40" s="601">
        <v>0</v>
      </c>
      <c r="G40" s="807">
        <f>+INDEX('[2]ADJ DETAIL-INPUT'!$1:$1048576,MATCH($A40,'[2]ADJ DETAIL-INPUT'!$A:$A,0),MATCH(G$11,'[2]ADJ DETAIL-INPUT'!$10:$10,0))</f>
        <v>0</v>
      </c>
      <c r="H40" s="601">
        <v>0</v>
      </c>
      <c r="I40" s="601">
        <v>0</v>
      </c>
      <c r="J40" s="601">
        <v>0</v>
      </c>
      <c r="K40" s="807">
        <f>+INDEX('[2]ADJ DETAIL-INPUT'!$1:$1048576,MATCH($A40,'[2]ADJ DETAIL-INPUT'!$A:$A,0),MATCH(K$11,'[2]ADJ DETAIL-INPUT'!$10:$10,0))</f>
        <v>0</v>
      </c>
      <c r="L40" s="601">
        <v>0</v>
      </c>
      <c r="M40" s="601">
        <v>0</v>
      </c>
      <c r="N40" s="601">
        <v>0</v>
      </c>
      <c r="O40" s="601">
        <v>0</v>
      </c>
      <c r="P40" s="601">
        <v>0</v>
      </c>
      <c r="Q40" s="601">
        <v>0</v>
      </c>
      <c r="R40" s="601">
        <v>0</v>
      </c>
      <c r="S40" s="601">
        <v>0</v>
      </c>
      <c r="T40" s="602">
        <v>0</v>
      </c>
      <c r="U40" s="602">
        <v>0</v>
      </c>
      <c r="V40" s="601">
        <v>0</v>
      </c>
      <c r="W40" s="601">
        <v>0</v>
      </c>
      <c r="X40" s="602">
        <v>0</v>
      </c>
      <c r="Y40" s="807">
        <f>+INDEX('[2]ADJ DETAIL-INPUT'!$1:$1048576,MATCH($A40,'[2]ADJ DETAIL-INPUT'!$A:$A,0),MATCH(Y$11,'[2]ADJ DETAIL-INPUT'!$10:$10,0))</f>
        <v>0</v>
      </c>
      <c r="Z40" s="602">
        <v>0</v>
      </c>
      <c r="AA40" s="601">
        <v>0</v>
      </c>
      <c r="AB40" s="600">
        <f>SUM(E40:AA40)</f>
        <v>0</v>
      </c>
      <c r="AC40" s="602">
        <v>0</v>
      </c>
      <c r="AD40" s="602">
        <v>0</v>
      </c>
      <c r="AE40" s="601">
        <f>205/1000</f>
        <v>0.20499999999999999</v>
      </c>
      <c r="AF40" s="601">
        <v>0</v>
      </c>
      <c r="AG40" s="601">
        <v>0</v>
      </c>
      <c r="AH40" s="807">
        <f>+INDEX('[2]ADJ DETAIL-INPUT'!$1:$1048576,MATCH($A40,'[2]ADJ DETAIL-INPUT'!$A:$A,0),MATCH(AH$11,'[2]ADJ DETAIL-INPUT'!$10:$10,0))</f>
        <v>0</v>
      </c>
      <c r="AI40" s="807">
        <f>+INDEX('[2]ADJ DETAIL-INPUT'!$1:$1048576,MATCH($A40,'[2]ADJ DETAIL-INPUT'!$A:$A,0),MATCH(AI$11,'[2]ADJ DETAIL-INPUT'!$10:$10,0))</f>
        <v>0</v>
      </c>
      <c r="AJ40" s="612">
        <v>0</v>
      </c>
      <c r="AK40" s="602">
        <v>0</v>
      </c>
      <c r="AL40" s="807">
        <f>+INDEX('[2]ADJ DETAIL-INPUT'!$1:$1048576,MATCH($A40,'[2]ADJ DETAIL-INPUT'!$A:$A,0),MATCH(AL$11,'[2]ADJ DETAIL-INPUT'!$10:$10,0))</f>
        <v>0</v>
      </c>
      <c r="AM40" s="807">
        <f>+INDEX('[2]ADJ DETAIL-INPUT'!$1:$1048576,MATCH($A40,'[2]ADJ DETAIL-INPUT'!$A:$A,0),MATCH(AM$11,'[2]ADJ DETAIL-INPUT'!$10:$10,0))</f>
        <v>0</v>
      </c>
      <c r="AN40" s="807">
        <f>+INDEX('[2]ADJ DETAIL-INPUT'!$1:$1048576,MATCH($A40,'[2]ADJ DETAIL-INPUT'!$A:$A,0),MATCH(AN$11,'[2]ADJ DETAIL-INPUT'!$10:$10,0))</f>
        <v>0</v>
      </c>
      <c r="AO40" s="612">
        <v>0</v>
      </c>
      <c r="AP40" s="651">
        <f>SUM(AB40:AO40)</f>
        <v>0.20499999999999999</v>
      </c>
      <c r="AQ40" s="612">
        <v>0</v>
      </c>
      <c r="AR40" s="612">
        <v>0</v>
      </c>
      <c r="AS40" s="602">
        <v>0</v>
      </c>
      <c r="AT40" s="602">
        <v>0</v>
      </c>
      <c r="AU40" s="601">
        <v>0</v>
      </c>
      <c r="AV40" s="601">
        <v>0</v>
      </c>
      <c r="AW40" s="601">
        <v>0</v>
      </c>
      <c r="AX40" s="651">
        <f>SUM(AP40:AW40)</f>
        <v>0.20499999999999999</v>
      </c>
      <c r="AY40" s="612">
        <v>0</v>
      </c>
      <c r="AZ40" s="651">
        <f>SUM(AX40:AY40)</f>
        <v>0.20499999999999999</v>
      </c>
      <c r="BA40" s="698"/>
      <c r="BB40" s="612"/>
      <c r="BC40" s="612"/>
      <c r="BD40" s="651">
        <f t="shared" si="96"/>
        <v>0.20499999999999999</v>
      </c>
      <c r="BE40" s="612">
        <v>0</v>
      </c>
      <c r="BF40" s="602">
        <v>0</v>
      </c>
      <c r="BG40" s="612">
        <v>0</v>
      </c>
      <c r="BH40" s="601">
        <v>0</v>
      </c>
      <c r="BI40" s="601">
        <v>0</v>
      </c>
      <c r="BJ40" s="601">
        <v>0</v>
      </c>
      <c r="BK40" s="601">
        <v>0</v>
      </c>
      <c r="BL40" s="651">
        <f>SUM(BD40:BK40)</f>
        <v>0.20499999999999999</v>
      </c>
      <c r="BM40" s="602">
        <v>0</v>
      </c>
      <c r="BN40" s="651">
        <f>SUM(BL40:BM40)</f>
        <v>0.20499999999999999</v>
      </c>
      <c r="BO40" s="651">
        <f>BN40-AZ40</f>
        <v>0</v>
      </c>
      <c r="BP40" s="612"/>
      <c r="BQ40" s="612"/>
    </row>
    <row r="41" spans="1:69" s="589" customFormat="1">
      <c r="A41" s="587"/>
      <c r="E41" s="592"/>
      <c r="F41" s="601"/>
      <c r="G41" s="601"/>
      <c r="H41" s="601"/>
      <c r="I41" s="601"/>
      <c r="J41" s="601"/>
      <c r="K41" s="601"/>
      <c r="L41" s="601"/>
      <c r="M41" s="601"/>
      <c r="N41" s="601"/>
      <c r="O41" s="601"/>
      <c r="P41" s="601"/>
      <c r="Q41" s="601"/>
      <c r="R41" s="601"/>
      <c r="S41" s="601"/>
      <c r="T41" s="602"/>
      <c r="U41" s="602"/>
      <c r="V41" s="601"/>
      <c r="W41" s="601"/>
      <c r="X41" s="602"/>
      <c r="Y41" s="601"/>
      <c r="Z41" s="602"/>
      <c r="AA41" s="601"/>
      <c r="AB41" s="600"/>
      <c r="AC41" s="602"/>
      <c r="AD41" s="602"/>
      <c r="AE41" s="601"/>
      <c r="AF41" s="601"/>
      <c r="AG41" s="601"/>
      <c r="AH41" s="601"/>
      <c r="AI41" s="601"/>
      <c r="AJ41" s="612"/>
      <c r="AK41" s="602"/>
      <c r="AL41" s="601"/>
      <c r="AM41" s="601"/>
      <c r="AN41" s="601"/>
      <c r="AO41" s="612"/>
      <c r="AP41" s="651"/>
      <c r="AQ41" s="612"/>
      <c r="AR41" s="612"/>
      <c r="AS41" s="602"/>
      <c r="AT41" s="602"/>
      <c r="AU41" s="601"/>
      <c r="AV41" s="601"/>
      <c r="AW41" s="601"/>
      <c r="AX41" s="651"/>
      <c r="AY41" s="612"/>
      <c r="AZ41" s="651"/>
      <c r="BA41" s="698"/>
      <c r="BB41" s="612"/>
      <c r="BC41" s="612"/>
      <c r="BD41" s="651"/>
      <c r="BE41" s="612"/>
      <c r="BF41" s="602"/>
      <c r="BG41" s="612"/>
      <c r="BH41" s="601"/>
      <c r="BI41" s="601"/>
      <c r="BJ41" s="601"/>
      <c r="BK41" s="601"/>
      <c r="BL41" s="651"/>
      <c r="BM41" s="602"/>
      <c r="BN41" s="651"/>
      <c r="BO41" s="651"/>
      <c r="BP41" s="612"/>
      <c r="BQ41" s="612"/>
    </row>
    <row r="42" spans="1:69" s="589" customFormat="1">
      <c r="B42" s="589" t="s">
        <v>204</v>
      </c>
      <c r="E42" s="592"/>
      <c r="F42" s="601"/>
      <c r="G42" s="601"/>
      <c r="H42" s="601"/>
      <c r="I42" s="601"/>
      <c r="J42" s="601"/>
      <c r="K42" s="601"/>
      <c r="L42" s="601"/>
      <c r="M42" s="601"/>
      <c r="N42" s="601"/>
      <c r="O42" s="601"/>
      <c r="P42" s="601"/>
      <c r="Q42" s="601"/>
      <c r="R42" s="601"/>
      <c r="S42" s="601"/>
      <c r="T42" s="602"/>
      <c r="U42" s="602"/>
      <c r="V42" s="601"/>
      <c r="W42" s="601"/>
      <c r="X42" s="602"/>
      <c r="Y42" s="601"/>
      <c r="Z42" s="602"/>
      <c r="AA42" s="601"/>
      <c r="AB42" s="600"/>
      <c r="AC42" s="602"/>
      <c r="AD42" s="602"/>
      <c r="AE42" s="601"/>
      <c r="AF42" s="601"/>
      <c r="AG42" s="601"/>
      <c r="AH42" s="601"/>
      <c r="AI42" s="601"/>
      <c r="AJ42" s="612"/>
      <c r="AK42" s="602"/>
      <c r="AL42" s="601"/>
      <c r="AM42" s="601"/>
      <c r="AN42" s="601"/>
      <c r="AO42" s="612"/>
      <c r="AP42" s="651"/>
      <c r="AQ42" s="612"/>
      <c r="AR42" s="612"/>
      <c r="AS42" s="602"/>
      <c r="AT42" s="602"/>
      <c r="AU42" s="601"/>
      <c r="AV42" s="601"/>
      <c r="AW42" s="601"/>
      <c r="AX42" s="651"/>
      <c r="AY42" s="612"/>
      <c r="AZ42" s="651"/>
      <c r="BA42" s="698"/>
      <c r="BB42" s="612"/>
      <c r="BC42" s="612"/>
      <c r="BD42" s="651"/>
      <c r="BE42" s="612"/>
      <c r="BF42" s="602"/>
      <c r="BG42" s="612"/>
      <c r="BH42" s="601"/>
      <c r="BI42" s="601"/>
      <c r="BJ42" s="601"/>
      <c r="BK42" s="601">
        <v>0</v>
      </c>
      <c r="BL42" s="651"/>
      <c r="BM42" s="602"/>
      <c r="BN42" s="651"/>
      <c r="BO42" s="651"/>
      <c r="BP42" s="612"/>
      <c r="BQ42" s="612"/>
    </row>
    <row r="43" spans="1:69" s="589" customFormat="1">
      <c r="A43" s="587">
        <v>21</v>
      </c>
      <c r="C43" s="589" t="s">
        <v>195</v>
      </c>
      <c r="E43" s="596">
        <f>'ROO INPUT'!F42</f>
        <v>49315</v>
      </c>
      <c r="F43" s="601">
        <v>0</v>
      </c>
      <c r="G43" s="807">
        <f>+INDEX('[2]ADJ DETAIL-INPUT'!$1:$1048576,MATCH($A43,'[2]ADJ DETAIL-INPUT'!$A:$A,0),MATCH(G$11,'[2]ADJ DETAIL-INPUT'!$10:$10,0))</f>
        <v>0</v>
      </c>
      <c r="H43" s="601">
        <v>0</v>
      </c>
      <c r="I43" s="601">
        <v>0</v>
      </c>
      <c r="J43" s="601">
        <v>0</v>
      </c>
      <c r="K43" s="807">
        <f>+INDEX('[2]ADJ DETAIL-INPUT'!$1:$1048576,MATCH($A43,'[2]ADJ DETAIL-INPUT'!$A:$A,0),MATCH(K$11,'[2]ADJ DETAIL-INPUT'!$10:$10,0))</f>
        <v>0</v>
      </c>
      <c r="L43" s="601">
        <v>0</v>
      </c>
      <c r="M43" s="601">
        <v>18</v>
      </c>
      <c r="N43" s="601">
        <v>181</v>
      </c>
      <c r="O43" s="601">
        <v>0</v>
      </c>
      <c r="P43" s="601">
        <v>-33</v>
      </c>
      <c r="Q43" s="601">
        <v>0</v>
      </c>
      <c r="R43" s="601">
        <v>0</v>
      </c>
      <c r="S43" s="601">
        <f>ROUND(S$15*'Exh. No. BGM-13R -4'!$E$14,0)</f>
        <v>6</v>
      </c>
      <c r="T43" s="601">
        <f>ROUND(T$15*'Exh. No. BGM-13R -4'!$E$14,0)</f>
        <v>-21</v>
      </c>
      <c r="U43" s="807">
        <f>-816-'Exh. No. BGM-13R'!W25</f>
        <v>-1146.473</v>
      </c>
      <c r="V43" s="601">
        <f>ROUND(V$15*'Exh. No. BGM-13R -4'!$E$14,0)</f>
        <v>26</v>
      </c>
      <c r="W43" s="601">
        <v>0</v>
      </c>
      <c r="X43" s="602">
        <v>0</v>
      </c>
      <c r="Y43" s="807">
        <f>+INDEX('[2]ADJ DETAIL-INPUT'!$1:$1048576,MATCH($A43,'[2]ADJ DETAIL-INPUT'!$A:$A,0),MATCH(Y$11,'[2]ADJ DETAIL-INPUT'!$10:$10,0))</f>
        <v>255</v>
      </c>
      <c r="Z43" s="602">
        <v>0</v>
      </c>
      <c r="AA43" s="601">
        <v>0</v>
      </c>
      <c r="AB43" s="600">
        <f>SUM(E43:AA43)</f>
        <v>48600.527000000002</v>
      </c>
      <c r="AC43" s="602">
        <v>0</v>
      </c>
      <c r="AD43" s="602">
        <v>0</v>
      </c>
      <c r="AE43" s="807">
        <f>619-'[6]Washington Electric'!$L$141</f>
        <v>375.21618699999999</v>
      </c>
      <c r="AF43" s="601">
        <v>85</v>
      </c>
      <c r="AG43" s="601">
        <v>360</v>
      </c>
      <c r="AH43" s="807">
        <f>+INDEX('[2]ADJ DETAIL-INPUT'!$1:$1048576,MATCH($A43,'[2]ADJ DETAIL-INPUT'!$A:$A,0),MATCH(AH$11,'[2]ADJ DETAIL-INPUT'!$10:$10,0))</f>
        <v>0</v>
      </c>
      <c r="AI43" s="807">
        <f>+INDEX('[2]ADJ DETAIL-INPUT'!$1:$1048576,MATCH($A43,'[2]ADJ DETAIL-INPUT'!$A:$A,0),MATCH(AI$11,'[2]ADJ DETAIL-INPUT'!$10:$10,0))</f>
        <v>0</v>
      </c>
      <c r="AJ43" s="612">
        <v>0</v>
      </c>
      <c r="AK43" s="601">
        <f>ROUND(AK$15*'Exh. No. BGM-13R -4'!$E$14,0)</f>
        <v>-10</v>
      </c>
      <c r="AL43" s="807">
        <f>+INDEX('[2]ADJ DETAIL-INPUT'!$1:$1048576,MATCH($A43,'[2]ADJ DETAIL-INPUT'!$A:$A,0),MATCH(AL$11,'[2]ADJ DETAIL-INPUT'!$10:$10,0))</f>
        <v>0</v>
      </c>
      <c r="AM43" s="807">
        <f>+INDEX('[2]ADJ DETAIL-INPUT'!$1:$1048576,MATCH($A43,'[2]ADJ DETAIL-INPUT'!$A:$A,0),MATCH(AM$11,'[2]ADJ DETAIL-INPUT'!$10:$10,0))</f>
        <v>0</v>
      </c>
      <c r="AN43" s="807">
        <f>+INDEX('[2]ADJ DETAIL-INPUT'!$1:$1048576,MATCH($A43,'[2]ADJ DETAIL-INPUT'!$A:$A,0),MATCH(AN$11,'[2]ADJ DETAIL-INPUT'!$10:$10,0))</f>
        <v>0</v>
      </c>
      <c r="AO43" s="612">
        <v>0</v>
      </c>
      <c r="AP43" s="651">
        <f>SUM(AB43:AO43)</f>
        <v>49410.743187</v>
      </c>
      <c r="AQ43" s="612">
        <v>0</v>
      </c>
      <c r="AR43" s="612">
        <v>0</v>
      </c>
      <c r="AS43" s="601">
        <v>0</v>
      </c>
      <c r="AT43" s="601">
        <v>0</v>
      </c>
      <c r="AU43" s="601">
        <v>0</v>
      </c>
      <c r="AV43" s="601">
        <v>0</v>
      </c>
      <c r="AW43" s="601">
        <v>0</v>
      </c>
      <c r="AX43" s="651">
        <f>SUM(AP43:AW43)</f>
        <v>49410.743187</v>
      </c>
      <c r="AY43" s="612">
        <v>0</v>
      </c>
      <c r="AZ43" s="651">
        <f>SUM(AX43:AY43)</f>
        <v>49410.743187</v>
      </c>
      <c r="BA43" s="698"/>
      <c r="BB43" s="612"/>
      <c r="BC43" s="612"/>
      <c r="BD43" s="651">
        <f t="shared" ref="BD43:BD45" si="97">AZ43</f>
        <v>49410.743187</v>
      </c>
      <c r="BE43" s="612">
        <v>0</v>
      </c>
      <c r="BF43" s="602">
        <v>0</v>
      </c>
      <c r="BG43" s="612">
        <v>0</v>
      </c>
      <c r="BH43" s="601">
        <v>0</v>
      </c>
      <c r="BI43" s="601">
        <v>0</v>
      </c>
      <c r="BJ43" s="601">
        <v>0</v>
      </c>
      <c r="BK43" s="601">
        <v>0</v>
      </c>
      <c r="BL43" s="651">
        <f>SUM(BD43:BK43)</f>
        <v>49410.743187</v>
      </c>
      <c r="BM43" s="602">
        <v>0</v>
      </c>
      <c r="BN43" s="651">
        <f>SUM(BL43:BM43)</f>
        <v>49410.743187</v>
      </c>
      <c r="BO43" s="651">
        <f>BN43-AZ43</f>
        <v>0</v>
      </c>
      <c r="BP43" s="612"/>
      <c r="BQ43" s="612"/>
    </row>
    <row r="44" spans="1:69" s="589" customFormat="1">
      <c r="A44" s="587">
        <v>22</v>
      </c>
      <c r="C44" s="589" t="s">
        <v>564</v>
      </c>
      <c r="E44" s="596">
        <f>'ROO INPUT'!F43</f>
        <v>20268</v>
      </c>
      <c r="F44" s="601">
        <v>0</v>
      </c>
      <c r="G44" s="807">
        <f>+INDEX('[2]ADJ DETAIL-INPUT'!$1:$1048576,MATCH($A44,'[2]ADJ DETAIL-INPUT'!$A:$A,0),MATCH(G$11,'[2]ADJ DETAIL-INPUT'!$10:$10,0))</f>
        <v>0</v>
      </c>
      <c r="H44" s="601">
        <v>0</v>
      </c>
      <c r="I44" s="601">
        <v>0</v>
      </c>
      <c r="J44" s="601">
        <v>0</v>
      </c>
      <c r="K44" s="807">
        <f>+INDEX('[2]ADJ DETAIL-INPUT'!$1:$1048576,MATCH($A44,'[2]ADJ DETAIL-INPUT'!$A:$A,0),MATCH(K$11,'[2]ADJ DETAIL-INPUT'!$10:$10,0))</f>
        <v>0</v>
      </c>
      <c r="L44" s="601">
        <v>0</v>
      </c>
      <c r="M44" s="601">
        <v>0</v>
      </c>
      <c r="N44" s="601">
        <v>0</v>
      </c>
      <c r="O44" s="601">
        <v>0</v>
      </c>
      <c r="P44" s="601">
        <v>0</v>
      </c>
      <c r="Q44" s="601">
        <v>0</v>
      </c>
      <c r="R44" s="601">
        <v>0</v>
      </c>
      <c r="S44" s="601">
        <v>0</v>
      </c>
      <c r="T44" s="602">
        <v>0</v>
      </c>
      <c r="U44" s="602">
        <v>0</v>
      </c>
      <c r="V44" s="601">
        <v>0</v>
      </c>
      <c r="W44" s="601">
        <v>0</v>
      </c>
      <c r="X44" s="602">
        <v>0</v>
      </c>
      <c r="Y44" s="807">
        <f>+INDEX('[2]ADJ DETAIL-INPUT'!$1:$1048576,MATCH($A44,'[2]ADJ DETAIL-INPUT'!$A:$A,0),MATCH(Y$11,'[2]ADJ DETAIL-INPUT'!$10:$10,0))</f>
        <v>0</v>
      </c>
      <c r="Z44" s="602">
        <v>0</v>
      </c>
      <c r="AA44" s="601">
        <v>0</v>
      </c>
      <c r="AB44" s="600">
        <f>SUM(E44:AA44)</f>
        <v>20268</v>
      </c>
      <c r="AC44" s="602">
        <v>0</v>
      </c>
      <c r="AD44" s="602">
        <v>0</v>
      </c>
      <c r="AE44" s="601">
        <v>0</v>
      </c>
      <c r="AF44" s="601">
        <v>0</v>
      </c>
      <c r="AG44" s="601">
        <v>0</v>
      </c>
      <c r="AH44" s="807">
        <f>+INDEX('[2]ADJ DETAIL-INPUT'!$1:$1048576,MATCH($A44,'[2]ADJ DETAIL-INPUT'!$A:$A,0),MATCH(AH$11,'[2]ADJ DETAIL-INPUT'!$10:$10,0))</f>
        <v>0</v>
      </c>
      <c r="AI44" s="807">
        <f>+INDEX('[2]ADJ DETAIL-INPUT'!$1:$1048576,MATCH($A44,'[2]ADJ DETAIL-INPUT'!$A:$A,0),MATCH(AI$11,'[2]ADJ DETAIL-INPUT'!$10:$10,0))</f>
        <v>0</v>
      </c>
      <c r="AJ44" s="612">
        <v>0</v>
      </c>
      <c r="AK44" s="602">
        <v>0</v>
      </c>
      <c r="AL44" s="807">
        <f>+INDEX('[2]ADJ DETAIL-INPUT'!$1:$1048576,MATCH($A44,'[2]ADJ DETAIL-INPUT'!$A:$A,0),MATCH(AL$11,'[2]ADJ DETAIL-INPUT'!$10:$10,0))</f>
        <v>1255</v>
      </c>
      <c r="AM44" s="807">
        <f>+INDEX('[2]ADJ DETAIL-INPUT'!$1:$1048576,MATCH($A44,'[2]ADJ DETAIL-INPUT'!$A:$A,0),MATCH(AM$11,'[2]ADJ DETAIL-INPUT'!$10:$10,0))</f>
        <v>429</v>
      </c>
      <c r="AN44" s="807">
        <f>+INDEX('[2]ADJ DETAIL-INPUT'!$1:$1048576,MATCH($A44,'[2]ADJ DETAIL-INPUT'!$A:$A,0),MATCH(AN$11,'[2]ADJ DETAIL-INPUT'!$10:$10,0))</f>
        <v>0</v>
      </c>
      <c r="AO44" s="612">
        <v>0</v>
      </c>
      <c r="AP44" s="651">
        <f>SUM(AB44:AO44)</f>
        <v>21952</v>
      </c>
      <c r="AQ44" s="612">
        <v>0</v>
      </c>
      <c r="AR44" s="612">
        <v>0</v>
      </c>
      <c r="AS44" s="602">
        <v>0</v>
      </c>
      <c r="AT44" s="602">
        <v>0</v>
      </c>
      <c r="AU44" s="601">
        <v>0</v>
      </c>
      <c r="AV44" s="601">
        <v>0</v>
      </c>
      <c r="AW44" s="601">
        <v>0</v>
      </c>
      <c r="AX44" s="651">
        <f>SUM(AP44:AW44)</f>
        <v>21952</v>
      </c>
      <c r="AY44" s="612">
        <v>0</v>
      </c>
      <c r="AZ44" s="651">
        <f>SUM(AX44:AY44)</f>
        <v>21952</v>
      </c>
      <c r="BA44" s="698"/>
      <c r="BB44" s="612"/>
      <c r="BC44" s="612"/>
      <c r="BD44" s="651">
        <f t="shared" si="97"/>
        <v>21952</v>
      </c>
      <c r="BE44" s="612">
        <v>0</v>
      </c>
      <c r="BF44" s="602">
        <v>0</v>
      </c>
      <c r="BG44" s="612">
        <v>0</v>
      </c>
      <c r="BH44" s="601">
        <v>0</v>
      </c>
      <c r="BI44" s="601">
        <v>0</v>
      </c>
      <c r="BJ44" s="601">
        <v>0</v>
      </c>
      <c r="BK44" s="601">
        <v>0</v>
      </c>
      <c r="BL44" s="651">
        <f>SUM(BD44:BK44)</f>
        <v>21952</v>
      </c>
      <c r="BM44" s="602">
        <v>0</v>
      </c>
      <c r="BN44" s="651">
        <f>SUM(BL44:BM44)</f>
        <v>21952</v>
      </c>
      <c r="BO44" s="651">
        <f>BN44-AZ44</f>
        <v>0</v>
      </c>
      <c r="BP44" s="612"/>
      <c r="BQ44" s="612"/>
    </row>
    <row r="45" spans="1:69" s="589" customFormat="1">
      <c r="A45" s="618">
        <v>23</v>
      </c>
      <c r="C45" s="589" t="s">
        <v>197</v>
      </c>
      <c r="E45" s="628">
        <f>'ROO INPUT'!F44</f>
        <v>0</v>
      </c>
      <c r="F45" s="614">
        <v>0</v>
      </c>
      <c r="G45" s="808">
        <f>+INDEX('[2]ADJ DETAIL-INPUT'!$1:$1048576,MATCH($A45,'[2]ADJ DETAIL-INPUT'!$A:$A,0),MATCH(G$11,'[2]ADJ DETAIL-INPUT'!$10:$10,0))</f>
        <v>0</v>
      </c>
      <c r="H45" s="614">
        <v>0</v>
      </c>
      <c r="I45" s="614">
        <v>0</v>
      </c>
      <c r="J45" s="614">
        <v>0</v>
      </c>
      <c r="K45" s="808">
        <f>+INDEX('[2]ADJ DETAIL-INPUT'!$1:$1048576,MATCH($A45,'[2]ADJ DETAIL-INPUT'!$A:$A,0),MATCH(K$11,'[2]ADJ DETAIL-INPUT'!$10:$10,0))</f>
        <v>0</v>
      </c>
      <c r="L45" s="614">
        <v>0</v>
      </c>
      <c r="M45" s="614">
        <v>0</v>
      </c>
      <c r="N45" s="614">
        <v>0</v>
      </c>
      <c r="O45" s="614">
        <v>0</v>
      </c>
      <c r="P45" s="614">
        <v>0</v>
      </c>
      <c r="Q45" s="614">
        <v>0</v>
      </c>
      <c r="R45" s="614">
        <v>0</v>
      </c>
      <c r="S45" s="614">
        <v>0</v>
      </c>
      <c r="T45" s="613">
        <v>0</v>
      </c>
      <c r="U45" s="613">
        <v>0</v>
      </c>
      <c r="V45" s="614">
        <v>0</v>
      </c>
      <c r="W45" s="614">
        <v>0</v>
      </c>
      <c r="X45" s="613">
        <v>0</v>
      </c>
      <c r="Y45" s="808">
        <f>+INDEX('[2]ADJ DETAIL-INPUT'!$1:$1048576,MATCH($A45,'[2]ADJ DETAIL-INPUT'!$A:$A,0),MATCH(Y$11,'[2]ADJ DETAIL-INPUT'!$10:$10,0))</f>
        <v>0</v>
      </c>
      <c r="Z45" s="613">
        <v>0</v>
      </c>
      <c r="AA45" s="614">
        <v>0</v>
      </c>
      <c r="AB45" s="277">
        <f>SUM(E45:AA45)</f>
        <v>0</v>
      </c>
      <c r="AC45" s="613">
        <v>0</v>
      </c>
      <c r="AD45" s="613">
        <v>0</v>
      </c>
      <c r="AE45" s="614">
        <v>0</v>
      </c>
      <c r="AF45" s="614">
        <v>0</v>
      </c>
      <c r="AG45" s="614">
        <v>0</v>
      </c>
      <c r="AH45" s="808">
        <f>+INDEX('[2]ADJ DETAIL-INPUT'!$1:$1048576,MATCH($A45,'[2]ADJ DETAIL-INPUT'!$A:$A,0),MATCH(AH$11,'[2]ADJ DETAIL-INPUT'!$10:$10,0))</f>
        <v>0</v>
      </c>
      <c r="AI45" s="808">
        <f>+INDEX('[2]ADJ DETAIL-INPUT'!$1:$1048576,MATCH($A45,'[2]ADJ DETAIL-INPUT'!$A:$A,0),MATCH(AI$11,'[2]ADJ DETAIL-INPUT'!$10:$10,0))</f>
        <v>0</v>
      </c>
      <c r="AJ45" s="613">
        <v>0</v>
      </c>
      <c r="AK45" s="613">
        <v>0</v>
      </c>
      <c r="AL45" s="808">
        <f>+INDEX('[2]ADJ DETAIL-INPUT'!$1:$1048576,MATCH($A45,'[2]ADJ DETAIL-INPUT'!$A:$A,0),MATCH(AL$11,'[2]ADJ DETAIL-INPUT'!$10:$10,0))</f>
        <v>0</v>
      </c>
      <c r="AM45" s="808">
        <f>+INDEX('[2]ADJ DETAIL-INPUT'!$1:$1048576,MATCH($A45,'[2]ADJ DETAIL-INPUT'!$A:$A,0),MATCH(AM$11,'[2]ADJ DETAIL-INPUT'!$10:$10,0))</f>
        <v>0</v>
      </c>
      <c r="AN45" s="808">
        <f>+INDEX('[2]ADJ DETAIL-INPUT'!$1:$1048576,MATCH($A45,'[2]ADJ DETAIL-INPUT'!$A:$A,0),MATCH(AN$11,'[2]ADJ DETAIL-INPUT'!$10:$10,0))</f>
        <v>0</v>
      </c>
      <c r="AO45" s="613">
        <v>0</v>
      </c>
      <c r="AP45" s="653">
        <f>SUM(AB45:AO45)</f>
        <v>0</v>
      </c>
      <c r="AQ45" s="613">
        <v>0</v>
      </c>
      <c r="AR45" s="613">
        <v>0</v>
      </c>
      <c r="AS45" s="613">
        <v>0</v>
      </c>
      <c r="AT45" s="613">
        <v>0</v>
      </c>
      <c r="AU45" s="614">
        <v>0</v>
      </c>
      <c r="AV45" s="614">
        <v>0</v>
      </c>
      <c r="AW45" s="614">
        <v>0</v>
      </c>
      <c r="AX45" s="653">
        <f>SUM(AP45:AW45)</f>
        <v>0</v>
      </c>
      <c r="AY45" s="613">
        <v>0</v>
      </c>
      <c r="AZ45" s="653">
        <f>SUM(AX45:AY45)</f>
        <v>0</v>
      </c>
      <c r="BA45" s="698"/>
      <c r="BB45" s="612"/>
      <c r="BC45" s="612"/>
      <c r="BD45" s="653">
        <f t="shared" si="97"/>
        <v>0</v>
      </c>
      <c r="BE45" s="613">
        <v>0</v>
      </c>
      <c r="BF45" s="613">
        <v>0</v>
      </c>
      <c r="BG45" s="613">
        <v>0</v>
      </c>
      <c r="BH45" s="614">
        <v>0</v>
      </c>
      <c r="BI45" s="614">
        <v>0</v>
      </c>
      <c r="BJ45" s="614">
        <v>0</v>
      </c>
      <c r="BK45" s="614">
        <v>0</v>
      </c>
      <c r="BL45" s="653">
        <f>SUM(BD45:BK45)</f>
        <v>0</v>
      </c>
      <c r="BM45" s="613">
        <v>0</v>
      </c>
      <c r="BN45" s="653">
        <f>SUM(BL45:BM45)</f>
        <v>0</v>
      </c>
      <c r="BO45" s="653">
        <f>SUM(BM45:BN45)</f>
        <v>0</v>
      </c>
      <c r="BP45" s="612"/>
      <c r="BQ45" s="612"/>
    </row>
    <row r="46" spans="1:69" s="589" customFormat="1">
      <c r="A46" s="587">
        <v>24</v>
      </c>
      <c r="B46" s="589" t="s">
        <v>205</v>
      </c>
      <c r="E46" s="628">
        <f t="shared" ref="E46:AJ46" si="98">SUM(E43:E45)</f>
        <v>69583</v>
      </c>
      <c r="F46" s="614">
        <f t="shared" si="98"/>
        <v>0</v>
      </c>
      <c r="G46" s="614">
        <f t="shared" si="98"/>
        <v>0</v>
      </c>
      <c r="H46" s="614">
        <f t="shared" si="98"/>
        <v>0</v>
      </c>
      <c r="I46" s="614">
        <f t="shared" ref="I46" si="99">SUM(I43:I45)</f>
        <v>0</v>
      </c>
      <c r="J46" s="614">
        <f t="shared" si="98"/>
        <v>0</v>
      </c>
      <c r="K46" s="614">
        <f t="shared" ref="K46" si="100">SUM(K43:K45)</f>
        <v>0</v>
      </c>
      <c r="L46" s="614">
        <f t="shared" si="98"/>
        <v>0</v>
      </c>
      <c r="M46" s="614">
        <f t="shared" si="98"/>
        <v>18</v>
      </c>
      <c r="N46" s="614">
        <f t="shared" si="98"/>
        <v>181</v>
      </c>
      <c r="O46" s="614">
        <f t="shared" si="98"/>
        <v>0</v>
      </c>
      <c r="P46" s="614">
        <f t="shared" si="98"/>
        <v>-33</v>
      </c>
      <c r="Q46" s="614">
        <f t="shared" si="98"/>
        <v>0</v>
      </c>
      <c r="R46" s="614">
        <f t="shared" si="98"/>
        <v>0</v>
      </c>
      <c r="S46" s="614">
        <f t="shared" si="98"/>
        <v>6</v>
      </c>
      <c r="T46" s="613">
        <f t="shared" ref="T46" si="101">SUM(T43:T45)</f>
        <v>-21</v>
      </c>
      <c r="U46" s="613">
        <f>SUM(U43:U45)</f>
        <v>-1146.473</v>
      </c>
      <c r="V46" s="614">
        <f>SUM(V43:V45)</f>
        <v>26</v>
      </c>
      <c r="W46" s="614">
        <f>SUM(W43:W45)</f>
        <v>0</v>
      </c>
      <c r="X46" s="613">
        <f>SUM(X43:X45)</f>
        <v>0</v>
      </c>
      <c r="Y46" s="614">
        <f t="shared" ref="Y46" si="102">SUM(Y43:Y45)</f>
        <v>255</v>
      </c>
      <c r="Z46" s="613">
        <f>SUM(Z43:Z45)</f>
        <v>0</v>
      </c>
      <c r="AA46" s="614">
        <f>SUM(AA43:AA45)</f>
        <v>0</v>
      </c>
      <c r="AB46" s="277">
        <f t="shared" si="98"/>
        <v>68868.527000000002</v>
      </c>
      <c r="AC46" s="613">
        <f t="shared" si="98"/>
        <v>0</v>
      </c>
      <c r="AD46" s="613">
        <f t="shared" si="98"/>
        <v>0</v>
      </c>
      <c r="AE46" s="614">
        <f t="shared" si="98"/>
        <v>375.21618699999999</v>
      </c>
      <c r="AF46" s="614">
        <f t="shared" si="98"/>
        <v>85</v>
      </c>
      <c r="AG46" s="614">
        <f t="shared" si="98"/>
        <v>360</v>
      </c>
      <c r="AH46" s="614">
        <f t="shared" ref="AH46:AI46" si="103">SUM(AH43:AH45)</f>
        <v>0</v>
      </c>
      <c r="AI46" s="614">
        <f t="shared" si="103"/>
        <v>0</v>
      </c>
      <c r="AJ46" s="613">
        <f t="shared" si="98"/>
        <v>0</v>
      </c>
      <c r="AK46" s="613">
        <f>SUM(AK43:AK45)</f>
        <v>-10</v>
      </c>
      <c r="AL46" s="614">
        <f t="shared" ref="AL46:AN46" si="104">SUM(AL43:AL45)</f>
        <v>1255</v>
      </c>
      <c r="AM46" s="614">
        <f t="shared" si="104"/>
        <v>429</v>
      </c>
      <c r="AN46" s="614">
        <f t="shared" si="104"/>
        <v>0</v>
      </c>
      <c r="AO46" s="613">
        <f t="shared" ref="AO46" si="105">SUM(AO43:AO45)</f>
        <v>0</v>
      </c>
      <c r="AP46" s="653">
        <f>SUM(AB46:AO46)</f>
        <v>71362.743187</v>
      </c>
      <c r="AQ46" s="613">
        <f t="shared" ref="AQ46:AR46" si="106">SUM(AQ43:AQ45)</f>
        <v>0</v>
      </c>
      <c r="AR46" s="613">
        <f t="shared" si="106"/>
        <v>0</v>
      </c>
      <c r="AS46" s="613">
        <f>SUM(AS43:AS45)</f>
        <v>0</v>
      </c>
      <c r="AT46" s="613">
        <f>SUM(AT43:AT45)</f>
        <v>0</v>
      </c>
      <c r="AU46" s="614">
        <f t="shared" ref="AU46" si="107">SUM(AU43:AU45)</f>
        <v>0</v>
      </c>
      <c r="AV46" s="614">
        <f>SUM(AV43:AV45)</f>
        <v>0</v>
      </c>
      <c r="AW46" s="614">
        <f t="shared" ref="AW46" si="108">SUM(AW43:AW45)</f>
        <v>0</v>
      </c>
      <c r="AX46" s="653">
        <f>SUM(AP46:AW46)</f>
        <v>71362.743187</v>
      </c>
      <c r="AY46" s="613">
        <f>SUM(AY43:AY45)</f>
        <v>0</v>
      </c>
      <c r="AZ46" s="653">
        <f>SUM(AX46:AY46)</f>
        <v>71362.743187</v>
      </c>
      <c r="BA46" s="698"/>
      <c r="BB46" s="612"/>
      <c r="BC46" s="612"/>
      <c r="BD46" s="653">
        <f>SUM(BD43:BD45)</f>
        <v>71362.743187</v>
      </c>
      <c r="BE46" s="613">
        <f t="shared" ref="BE46:BF46" si="109">SUM(BE43:BE45)</f>
        <v>0</v>
      </c>
      <c r="BF46" s="613">
        <f t="shared" si="109"/>
        <v>0</v>
      </c>
      <c r="BG46" s="613">
        <f t="shared" ref="BG46:BI46" si="110">SUM(BG43:BG45)</f>
        <v>0</v>
      </c>
      <c r="BH46" s="614">
        <f t="shared" ref="BH46" si="111">SUM(BH43:BH45)</f>
        <v>0</v>
      </c>
      <c r="BI46" s="614">
        <f t="shared" si="110"/>
        <v>0</v>
      </c>
      <c r="BJ46" s="614">
        <f t="shared" ref="BJ46" si="112">SUM(BJ43:BJ45)</f>
        <v>0</v>
      </c>
      <c r="BK46" s="614">
        <f t="shared" ref="BK46" si="113">SUM(BK43:BK45)</f>
        <v>0</v>
      </c>
      <c r="BL46" s="653">
        <f>SUM(BD46:BK46)</f>
        <v>71362.743187</v>
      </c>
      <c r="BM46" s="613">
        <f>SUM(BM43:BM45)</f>
        <v>0</v>
      </c>
      <c r="BN46" s="653">
        <f>SUM(BL46:BM46)</f>
        <v>71362.743187</v>
      </c>
      <c r="BO46" s="653">
        <f>BN46-AZ46</f>
        <v>0</v>
      </c>
      <c r="BP46" s="612"/>
      <c r="BQ46" s="612"/>
    </row>
    <row r="47" spans="1:69" s="589" customFormat="1" ht="18" customHeight="1">
      <c r="A47" s="587">
        <v>25</v>
      </c>
      <c r="B47" s="589" t="s">
        <v>206</v>
      </c>
      <c r="E47" s="628">
        <f t="shared" ref="E47:AJ47" si="114">E46+E40+E39+E38+E36+E29</f>
        <v>533464</v>
      </c>
      <c r="F47" s="614">
        <f t="shared" si="114"/>
        <v>0</v>
      </c>
      <c r="G47" s="614">
        <f t="shared" si="114"/>
        <v>-5082</v>
      </c>
      <c r="H47" s="614">
        <f t="shared" si="114"/>
        <v>0</v>
      </c>
      <c r="I47" s="614">
        <f t="shared" ref="I47" si="115">I46+I40+I39+I38+I36+I29</f>
        <v>0</v>
      </c>
      <c r="J47" s="614">
        <f t="shared" si="114"/>
        <v>-18028</v>
      </c>
      <c r="K47" s="614">
        <f t="shared" ref="K47" si="116">K46+K40+K39+K38+K36+K29</f>
        <v>-333</v>
      </c>
      <c r="L47" s="614">
        <f t="shared" si="114"/>
        <v>1054</v>
      </c>
      <c r="M47" s="614">
        <f t="shared" si="114"/>
        <v>18</v>
      </c>
      <c r="N47" s="614">
        <f t="shared" si="114"/>
        <v>181</v>
      </c>
      <c r="O47" s="614">
        <f t="shared" si="114"/>
        <v>0</v>
      </c>
      <c r="P47" s="614">
        <f t="shared" si="114"/>
        <v>-33</v>
      </c>
      <c r="Q47" s="614">
        <f t="shared" si="114"/>
        <v>-333</v>
      </c>
      <c r="R47" s="614">
        <f t="shared" si="114"/>
        <v>-79</v>
      </c>
      <c r="S47" s="614">
        <f t="shared" si="114"/>
        <v>144</v>
      </c>
      <c r="T47" s="613">
        <f t="shared" ref="T47" si="117">T46+T40+T39+T38+T36+T29</f>
        <v>-10581</v>
      </c>
      <c r="U47" s="613">
        <f>U46+U40+U39+U38+U36+U29</f>
        <v>-1148.473</v>
      </c>
      <c r="V47" s="614">
        <f>V46+V40+V39+V38+V36+V29</f>
        <v>5154</v>
      </c>
      <c r="W47" s="614">
        <f>W46+W40+W39+W38+W36+W29</f>
        <v>-9</v>
      </c>
      <c r="X47" s="613">
        <f>X46+X40+X39+X38+X36+X29</f>
        <v>0</v>
      </c>
      <c r="Y47" s="614">
        <f t="shared" ref="Y47" si="118">Y46+Y40+Y39+Y38+Y36+Y29</f>
        <v>862</v>
      </c>
      <c r="Z47" s="613">
        <f>Z46+Z40+Z39+Z38+Z36+Z29</f>
        <v>0</v>
      </c>
      <c r="AA47" s="614">
        <f>AA46+AA40+AA39+AA38+AA36+AA29</f>
        <v>0</v>
      </c>
      <c r="AB47" s="277">
        <f t="shared" si="114"/>
        <v>505250.527</v>
      </c>
      <c r="AC47" s="613">
        <f t="shared" si="114"/>
        <v>-107023.8169871</v>
      </c>
      <c r="AD47" s="613">
        <f t="shared" si="114"/>
        <v>153</v>
      </c>
      <c r="AE47" s="614">
        <f t="shared" si="114"/>
        <v>1235.078</v>
      </c>
      <c r="AF47" s="614">
        <f t="shared" si="114"/>
        <v>54</v>
      </c>
      <c r="AG47" s="614">
        <f t="shared" si="114"/>
        <v>1154</v>
      </c>
      <c r="AH47" s="614">
        <f t="shared" ref="AH47:AI47" si="119">AH46+AH40+AH39+AH38+AH36+AH29</f>
        <v>-1705</v>
      </c>
      <c r="AI47" s="614">
        <f t="shared" si="119"/>
        <v>1044</v>
      </c>
      <c r="AJ47" s="613">
        <f t="shared" si="114"/>
        <v>0</v>
      </c>
      <c r="AK47" s="613">
        <f>AK46+AK40+AK39+AK38+AK36+AK29</f>
        <v>-239</v>
      </c>
      <c r="AL47" s="614">
        <f t="shared" ref="AL47:AN47" si="120">AL46+AL40+AL39+AL38+AL36+AL29</f>
        <v>2231</v>
      </c>
      <c r="AM47" s="614">
        <f t="shared" si="120"/>
        <v>876</v>
      </c>
      <c r="AN47" s="614">
        <f t="shared" si="120"/>
        <v>0</v>
      </c>
      <c r="AO47" s="613">
        <f t="shared" ref="AO47" si="121">AO46+AO40+AO39+AO38+AO36+AO29</f>
        <v>822</v>
      </c>
      <c r="AP47" s="653">
        <f>SUM(AB47:AO47)</f>
        <v>403851.78801289998</v>
      </c>
      <c r="AQ47" s="613">
        <f t="shared" ref="AQ47" si="122">AQ46+AQ40+AQ39+AQ38+AQ36+AQ29</f>
        <v>0</v>
      </c>
      <c r="AR47" s="613">
        <f>AR46+AR40+AR39+AR38+AR36+AR29</f>
        <v>0</v>
      </c>
      <c r="AS47" s="613">
        <f>AS46+AS40+AS39+AS38+AS36+AS29</f>
        <v>0</v>
      </c>
      <c r="AT47" s="613">
        <f>AT46+AT40+AT39+AT38+AT36+AT29</f>
        <v>0</v>
      </c>
      <c r="AU47" s="614">
        <f t="shared" ref="AU47:AV47" si="123">AU46+AU40+AU39+AU38+AU36+AU29</f>
        <v>0</v>
      </c>
      <c r="AV47" s="614">
        <f t="shared" si="123"/>
        <v>0</v>
      </c>
      <c r="AW47" s="614">
        <f t="shared" ref="AW47" si="124">AW46+AW40+AW39+AW38+AW36+AW29</f>
        <v>0</v>
      </c>
      <c r="AX47" s="653">
        <f>SUM(AP47:AW47)</f>
        <v>403851.78801289998</v>
      </c>
      <c r="AY47" s="613">
        <f>AY46+AY40+AY39+AY38+AY36+AY29</f>
        <v>0</v>
      </c>
      <c r="AZ47" s="653">
        <f>SUM(AX47:AY47)</f>
        <v>403851.78801289998</v>
      </c>
      <c r="BA47" s="698"/>
      <c r="BB47" s="612"/>
      <c r="BC47" s="612"/>
      <c r="BD47" s="653">
        <f>BD46+BD40+BD39+BD38+BD36+BD29</f>
        <v>403851.78801289998</v>
      </c>
      <c r="BE47" s="613">
        <f t="shared" ref="BE47" si="125">BE46+BE40+BE39+BE38+BE36+BE29</f>
        <v>0</v>
      </c>
      <c r="BF47" s="613">
        <f t="shared" ref="BF47" si="126">BF46+BF40+BF39+BF38+BF36+BF29</f>
        <v>0</v>
      </c>
      <c r="BG47" s="613">
        <f>BG46+BG40+BG39+BG38+BG36+BG29</f>
        <v>0</v>
      </c>
      <c r="BH47" s="614">
        <f t="shared" ref="BH47" si="127">BH46+BH40+BH39+BH38+BH36+BH29</f>
        <v>0</v>
      </c>
      <c r="BI47" s="614">
        <f t="shared" ref="BI47" si="128">BI46+BI40+BI39+BI38+BI36+BI29</f>
        <v>0</v>
      </c>
      <c r="BJ47" s="614">
        <f t="shared" ref="BJ47" si="129">BJ46+BJ40+BJ39+BJ38+BJ36+BJ29</f>
        <v>0</v>
      </c>
      <c r="BK47" s="614">
        <f t="shared" ref="BK47" si="130">BK46+BK40+BK39+BK38+BK36+BK29</f>
        <v>0</v>
      </c>
      <c r="BL47" s="653">
        <f>SUM(BD47:BK47)</f>
        <v>403851.78801289998</v>
      </c>
      <c r="BM47" s="613">
        <f>BM46+BM40+BM39+BM38+BM36+BM29</f>
        <v>0</v>
      </c>
      <c r="BN47" s="653">
        <f>SUM(BL47:BM47)</f>
        <v>403851.78801289998</v>
      </c>
      <c r="BO47" s="653">
        <f>BN47-AZ47</f>
        <v>0</v>
      </c>
      <c r="BP47" s="612"/>
      <c r="BQ47" s="612"/>
    </row>
    <row r="48" spans="1:69" s="589" customFormat="1">
      <c r="E48" s="592"/>
      <c r="F48" s="601"/>
      <c r="G48" s="601"/>
      <c r="H48" s="601"/>
      <c r="I48" s="601"/>
      <c r="J48" s="601"/>
      <c r="K48" s="601"/>
      <c r="L48" s="601"/>
      <c r="M48" s="601"/>
      <c r="N48" s="601"/>
      <c r="O48" s="601"/>
      <c r="P48" s="601"/>
      <c r="Q48" s="601"/>
      <c r="R48" s="601"/>
      <c r="S48" s="601"/>
      <c r="T48" s="602"/>
      <c r="U48" s="602"/>
      <c r="V48" s="601"/>
      <c r="W48" s="601"/>
      <c r="X48" s="602"/>
      <c r="Y48" s="601"/>
      <c r="Z48" s="602"/>
      <c r="AA48" s="601"/>
      <c r="AB48" s="600"/>
      <c r="AC48" s="602"/>
      <c r="AD48" s="602"/>
      <c r="AE48" s="601"/>
      <c r="AF48" s="601"/>
      <c r="AG48" s="601"/>
      <c r="AH48" s="601"/>
      <c r="AI48" s="601"/>
      <c r="AJ48" s="612"/>
      <c r="AK48" s="602"/>
      <c r="AL48" s="601"/>
      <c r="AM48" s="601"/>
      <c r="AN48" s="601"/>
      <c r="AO48" s="612"/>
      <c r="AP48" s="651"/>
      <c r="AQ48" s="612"/>
      <c r="AR48" s="612"/>
      <c r="AS48" s="602"/>
      <c r="AT48" s="602"/>
      <c r="AU48" s="601"/>
      <c r="AV48" s="601"/>
      <c r="AW48" s="601"/>
      <c r="AX48" s="651"/>
      <c r="AY48" s="612"/>
      <c r="AZ48" s="651"/>
      <c r="BA48" s="698"/>
      <c r="BB48" s="612"/>
      <c r="BC48" s="612"/>
      <c r="BD48" s="651"/>
      <c r="BE48" s="612"/>
      <c r="BF48" s="602"/>
      <c r="BG48" s="612"/>
      <c r="BH48" s="601"/>
      <c r="BI48" s="601"/>
      <c r="BJ48" s="601"/>
      <c r="BK48" s="601"/>
      <c r="BL48" s="651"/>
      <c r="BM48" s="602"/>
      <c r="BN48" s="651"/>
      <c r="BO48" s="651"/>
      <c r="BP48" s="612"/>
      <c r="BQ48" s="612"/>
    </row>
    <row r="49" spans="1:70" s="589" customFormat="1">
      <c r="A49" s="587">
        <v>26</v>
      </c>
      <c r="B49" s="589" t="s">
        <v>207</v>
      </c>
      <c r="E49" s="592">
        <f t="shared" ref="E49:AJ49" si="131">E20-E47</f>
        <v>140653</v>
      </c>
      <c r="F49" s="601">
        <f t="shared" si="131"/>
        <v>0</v>
      </c>
      <c r="G49" s="601">
        <f t="shared" si="131"/>
        <v>5082</v>
      </c>
      <c r="H49" s="601">
        <f t="shared" si="131"/>
        <v>0</v>
      </c>
      <c r="I49" s="601">
        <f t="shared" ref="I49" si="132">I20-I47</f>
        <v>0</v>
      </c>
      <c r="J49" s="601">
        <f t="shared" si="131"/>
        <v>-96</v>
      </c>
      <c r="K49" s="601">
        <f t="shared" ref="K49" si="133">K20-K47</f>
        <v>333</v>
      </c>
      <c r="L49" s="601">
        <f t="shared" si="131"/>
        <v>-1054</v>
      </c>
      <c r="M49" s="601">
        <f t="shared" si="131"/>
        <v>-18</v>
      </c>
      <c r="N49" s="601">
        <f t="shared" si="131"/>
        <v>-181</v>
      </c>
      <c r="O49" s="601">
        <f t="shared" si="131"/>
        <v>0</v>
      </c>
      <c r="P49" s="601">
        <f t="shared" si="131"/>
        <v>33</v>
      </c>
      <c r="Q49" s="601">
        <f t="shared" si="131"/>
        <v>333</v>
      </c>
      <c r="R49" s="601">
        <f t="shared" si="131"/>
        <v>79</v>
      </c>
      <c r="S49" s="601">
        <f t="shared" si="131"/>
        <v>2964</v>
      </c>
      <c r="T49" s="602">
        <f t="shared" ref="T49" si="134">T20-T47</f>
        <v>0</v>
      </c>
      <c r="U49" s="602">
        <f>U20-U47</f>
        <v>1148.473</v>
      </c>
      <c r="V49" s="601">
        <f>V20-V47</f>
        <v>7732</v>
      </c>
      <c r="W49" s="601">
        <f>W20-W47</f>
        <v>9</v>
      </c>
      <c r="X49" s="602">
        <f>X20-X47</f>
        <v>0</v>
      </c>
      <c r="Y49" s="601">
        <f t="shared" ref="Y49" si="135">Y20-Y47</f>
        <v>-862</v>
      </c>
      <c r="Z49" s="602">
        <f>Z20-Z47</f>
        <v>0</v>
      </c>
      <c r="AA49" s="601">
        <f>AA20-AA47</f>
        <v>0</v>
      </c>
      <c r="AB49" s="600">
        <f t="shared" si="131"/>
        <v>156155.473</v>
      </c>
      <c r="AC49" s="602">
        <f t="shared" si="131"/>
        <v>-4274.1830129000009</v>
      </c>
      <c r="AD49" s="602">
        <f t="shared" si="131"/>
        <v>333.22131549999995</v>
      </c>
      <c r="AE49" s="601">
        <f t="shared" si="131"/>
        <v>-1235.078</v>
      </c>
      <c r="AF49" s="601">
        <f t="shared" si="131"/>
        <v>-54</v>
      </c>
      <c r="AG49" s="601">
        <f t="shared" si="131"/>
        <v>-1154</v>
      </c>
      <c r="AH49" s="601">
        <f t="shared" ref="AH49:AI49" si="136">AH20-AH47</f>
        <v>1705</v>
      </c>
      <c r="AI49" s="601">
        <f t="shared" si="136"/>
        <v>-1044</v>
      </c>
      <c r="AJ49" s="612">
        <f t="shared" si="131"/>
        <v>0</v>
      </c>
      <c r="AK49" s="602">
        <f>AK20-AK47</f>
        <v>-3058</v>
      </c>
      <c r="AL49" s="601">
        <f t="shared" ref="AL49:AN49" si="137">AL20-AL47</f>
        <v>-2231</v>
      </c>
      <c r="AM49" s="601">
        <f t="shared" si="137"/>
        <v>-876</v>
      </c>
      <c r="AN49" s="601">
        <f t="shared" si="137"/>
        <v>0</v>
      </c>
      <c r="AO49" s="612">
        <f t="shared" ref="AO49" si="138">AO20-AO47</f>
        <v>-822</v>
      </c>
      <c r="AP49" s="651">
        <f>SUM(AB49:AO49)</f>
        <v>143445.43330259999</v>
      </c>
      <c r="AQ49" s="612">
        <f t="shared" ref="AQ49:AR49" si="139">AQ20-AQ47</f>
        <v>0</v>
      </c>
      <c r="AR49" s="612">
        <f t="shared" si="139"/>
        <v>0</v>
      </c>
      <c r="AS49" s="602">
        <f>AS20-AS47</f>
        <v>0</v>
      </c>
      <c r="AT49" s="602">
        <f>AT20-AT47</f>
        <v>0</v>
      </c>
      <c r="AU49" s="601">
        <f t="shared" ref="AU49" si="140">AU20-AU47</f>
        <v>0</v>
      </c>
      <c r="AV49" s="601">
        <f>AV20-AV47</f>
        <v>0</v>
      </c>
      <c r="AW49" s="601">
        <f t="shared" ref="AW49" si="141">AW20-AW47</f>
        <v>0</v>
      </c>
      <c r="AX49" s="651">
        <f>SUM(AP49:AW49)</f>
        <v>143445.43330259999</v>
      </c>
      <c r="AY49" s="612">
        <v>0</v>
      </c>
      <c r="AZ49" s="651">
        <f>SUM(AX49:AY49)</f>
        <v>143445.43330259999</v>
      </c>
      <c r="BA49" s="698"/>
      <c r="BB49" s="612"/>
      <c r="BC49" s="612"/>
      <c r="BD49" s="651">
        <f>BD20-BD47</f>
        <v>143445.43330259999</v>
      </c>
      <c r="BE49" s="612">
        <f t="shared" ref="BE49:BF49" si="142">BE20-BE47</f>
        <v>0</v>
      </c>
      <c r="BF49" s="602">
        <f t="shared" si="142"/>
        <v>0</v>
      </c>
      <c r="BG49" s="612">
        <f t="shared" ref="BG49:BI49" si="143">BG20-BG47</f>
        <v>0</v>
      </c>
      <c r="BH49" s="601">
        <f t="shared" ref="BH49" si="144">BH20-BH47</f>
        <v>0</v>
      </c>
      <c r="BI49" s="601">
        <f t="shared" si="143"/>
        <v>0</v>
      </c>
      <c r="BJ49" s="601">
        <f t="shared" ref="BJ49" si="145">BJ20-BJ47</f>
        <v>0</v>
      </c>
      <c r="BK49" s="601">
        <f t="shared" ref="BK49" si="146">BK20-BK47</f>
        <v>0</v>
      </c>
      <c r="BL49" s="651">
        <f>SUM(BD49:BK49)</f>
        <v>143445.43330259999</v>
      </c>
      <c r="BM49" s="602">
        <f>BM20-BM47</f>
        <v>0</v>
      </c>
      <c r="BN49" s="651">
        <f>SUM(BL49:BM49)</f>
        <v>143445.43330259999</v>
      </c>
      <c r="BO49" s="651">
        <f>BN49-AZ49</f>
        <v>0</v>
      </c>
      <c r="BP49" s="612"/>
      <c r="BQ49" s="612"/>
    </row>
    <row r="50" spans="1:70" s="589" customFormat="1">
      <c r="A50" s="587"/>
      <c r="E50" s="592"/>
      <c r="F50" s="601"/>
      <c r="G50" s="601"/>
      <c r="H50" s="601"/>
      <c r="I50" s="601"/>
      <c r="J50" s="601"/>
      <c r="K50" s="601"/>
      <c r="L50" s="601"/>
      <c r="M50" s="601"/>
      <c r="N50" s="601"/>
      <c r="O50" s="601"/>
      <c r="P50" s="601"/>
      <c r="Q50" s="601"/>
      <c r="R50" s="601"/>
      <c r="S50" s="601"/>
      <c r="T50" s="602"/>
      <c r="U50" s="602"/>
      <c r="V50" s="601"/>
      <c r="W50" s="601"/>
      <c r="X50" s="602"/>
      <c r="Y50" s="601"/>
      <c r="Z50" s="602"/>
      <c r="AA50" s="601"/>
      <c r="AB50" s="600"/>
      <c r="AC50" s="602"/>
      <c r="AD50" s="602"/>
      <c r="AE50" s="601"/>
      <c r="AF50" s="601"/>
      <c r="AG50" s="601"/>
      <c r="AH50" s="601"/>
      <c r="AI50" s="601"/>
      <c r="AJ50" s="612"/>
      <c r="AK50" s="602"/>
      <c r="AL50" s="601"/>
      <c r="AM50" s="601"/>
      <c r="AN50" s="601"/>
      <c r="AO50" s="612"/>
      <c r="AP50" s="651"/>
      <c r="AQ50" s="612"/>
      <c r="AR50" s="612"/>
      <c r="AS50" s="602"/>
      <c r="AT50" s="602"/>
      <c r="AU50" s="601"/>
      <c r="AV50" s="601"/>
      <c r="AW50" s="601"/>
      <c r="AX50" s="651"/>
      <c r="AY50" s="612"/>
      <c r="AZ50" s="651"/>
      <c r="BA50" s="698"/>
      <c r="BB50" s="612"/>
      <c r="BC50" s="612"/>
      <c r="BD50" s="651"/>
      <c r="BE50" s="612"/>
      <c r="BF50" s="602"/>
      <c r="BG50" s="612"/>
      <c r="BH50" s="601"/>
      <c r="BI50" s="601"/>
      <c r="BJ50" s="601"/>
      <c r="BK50" s="601"/>
      <c r="BL50" s="651"/>
      <c r="BM50" s="602"/>
      <c r="BN50" s="651"/>
      <c r="BO50" s="651"/>
      <c r="BP50" s="612"/>
      <c r="BQ50" s="612"/>
    </row>
    <row r="51" spans="1:70" s="589" customFormat="1">
      <c r="A51" s="591"/>
      <c r="B51" s="589" t="s">
        <v>208</v>
      </c>
      <c r="E51" s="592"/>
      <c r="F51" s="601"/>
      <c r="G51" s="601"/>
      <c r="H51" s="601"/>
      <c r="I51" s="601"/>
      <c r="J51" s="601"/>
      <c r="K51" s="601"/>
      <c r="L51" s="601"/>
      <c r="M51" s="601"/>
      <c r="N51" s="601"/>
      <c r="O51" s="601"/>
      <c r="P51" s="601"/>
      <c r="Q51" s="601"/>
      <c r="R51" s="601"/>
      <c r="S51" s="601"/>
      <c r="T51" s="602"/>
      <c r="U51" s="602"/>
      <c r="V51" s="601"/>
      <c r="W51" s="601"/>
      <c r="X51" s="602"/>
      <c r="Y51" s="601"/>
      <c r="Z51" s="602"/>
      <c r="AA51" s="601"/>
      <c r="AB51" s="600"/>
      <c r="AC51" s="602"/>
      <c r="AD51" s="602"/>
      <c r="AE51" s="601"/>
      <c r="AF51" s="601"/>
      <c r="AG51" s="601"/>
      <c r="AH51" s="601"/>
      <c r="AI51" s="601"/>
      <c r="AJ51" s="612"/>
      <c r="AK51" s="602"/>
      <c r="AL51" s="601"/>
      <c r="AM51" s="601"/>
      <c r="AN51" s="601"/>
      <c r="AO51" s="612"/>
      <c r="AP51" s="651"/>
      <c r="AQ51" s="612"/>
      <c r="AR51" s="612"/>
      <c r="AS51" s="602"/>
      <c r="AT51" s="602"/>
      <c r="AU51" s="601"/>
      <c r="AV51" s="601"/>
      <c r="AW51" s="601"/>
      <c r="AX51" s="651"/>
      <c r="AY51" s="612"/>
      <c r="AZ51" s="651"/>
      <c r="BA51" s="698"/>
      <c r="BB51" s="612"/>
      <c r="BC51" s="612"/>
      <c r="BD51" s="651"/>
      <c r="BE51" s="612"/>
      <c r="BF51" s="602"/>
      <c r="BG51" s="612"/>
      <c r="BH51" s="601"/>
      <c r="BI51" s="601"/>
      <c r="BJ51" s="601"/>
      <c r="BK51" s="601"/>
      <c r="BL51" s="651"/>
      <c r="BM51" s="602"/>
      <c r="BN51" s="651"/>
      <c r="BO51" s="651"/>
      <c r="BP51" s="612"/>
      <c r="BQ51" s="612"/>
    </row>
    <row r="52" spans="1:70" s="589" customFormat="1">
      <c r="A52" s="618">
        <v>27</v>
      </c>
      <c r="B52" s="589" t="s">
        <v>602</v>
      </c>
      <c r="D52" s="642"/>
      <c r="E52" s="596">
        <f>'ROO INPUT'!F51</f>
        <v>-7654</v>
      </c>
      <c r="F52" s="601">
        <f>F49*0.35</f>
        <v>0</v>
      </c>
      <c r="G52" s="807">
        <f>+INDEX('[2]ADJ DETAIL-INPUT'!$1:$1048576,MATCH($A52,'[2]ADJ DETAIL-INPUT'!$A:$A,0),MATCH(G$11,'[2]ADJ DETAIL-INPUT'!$10:$10,0))</f>
        <v>1778.6999999999998</v>
      </c>
      <c r="H52" s="601">
        <f>H49*0.35</f>
        <v>0</v>
      </c>
      <c r="I52" s="601">
        <f>I49*0.35</f>
        <v>0</v>
      </c>
      <c r="J52" s="601">
        <f>J49*0.35</f>
        <v>-33.599999999999994</v>
      </c>
      <c r="K52" s="807">
        <f>+INDEX('[2]ADJ DETAIL-INPUT'!$1:$1048576,MATCH($A52,'[2]ADJ DETAIL-INPUT'!$A:$A,0),MATCH(K$11,'[2]ADJ DETAIL-INPUT'!$10:$10,0))</f>
        <v>116.55</v>
      </c>
      <c r="L52" s="601">
        <f>L49*0.35</f>
        <v>-368.9</v>
      </c>
      <c r="M52" s="601">
        <f>M49*0.35</f>
        <v>-6.3</v>
      </c>
      <c r="N52" s="601">
        <f>N49*0.35</f>
        <v>-63.349999999999994</v>
      </c>
      <c r="O52" s="601">
        <f>-643+77</f>
        <v>-566</v>
      </c>
      <c r="P52" s="601">
        <f t="shared" ref="P52:S52" si="147">P49*0.35</f>
        <v>11.549999999999999</v>
      </c>
      <c r="Q52" s="601">
        <f t="shared" si="147"/>
        <v>116.55</v>
      </c>
      <c r="R52" s="601">
        <f t="shared" si="147"/>
        <v>27.65</v>
      </c>
      <c r="S52" s="601">
        <f t="shared" si="147"/>
        <v>1037.3999999999999</v>
      </c>
      <c r="T52" s="602">
        <f t="shared" ref="T52" si="148">T49*0.35</f>
        <v>0</v>
      </c>
      <c r="U52" s="602">
        <f>U49*0.35</f>
        <v>401.96554999999995</v>
      </c>
      <c r="V52" s="602">
        <v>4301</v>
      </c>
      <c r="W52" s="602">
        <f>W49*0.35</f>
        <v>3.15</v>
      </c>
      <c r="X52" s="807">
        <f ca="1">'DEBT CALC'!E66-'Exh. No. BGM-13R'!Y28</f>
        <v>-156.79928000000001</v>
      </c>
      <c r="Y52" s="807">
        <f>+INDEX('[2]ADJ DETAIL-INPUT'!$1:$1048576,MATCH($A52,'[2]ADJ DETAIL-INPUT'!$A:$A,0),MATCH(Y$11,'[2]ADJ DETAIL-INPUT'!$10:$10,0))</f>
        <v>-302.04999999999995</v>
      </c>
      <c r="Z52" s="601">
        <f>Z49*0.35</f>
        <v>0</v>
      </c>
      <c r="AA52" s="601">
        <f>AA49*0.35</f>
        <v>0</v>
      </c>
      <c r="AB52" s="600">
        <f ca="1">SUM(E52:AA52)</f>
        <v>-1356.4837300000011</v>
      </c>
      <c r="AC52" s="601">
        <f t="shared" ref="AC52:AJ52" si="149">AC49*0.35</f>
        <v>-1495.9640545150003</v>
      </c>
      <c r="AD52" s="602">
        <f t="shared" si="149"/>
        <v>116.62746042499997</v>
      </c>
      <c r="AE52" s="602">
        <f t="shared" si="149"/>
        <v>-432.27729999999997</v>
      </c>
      <c r="AF52" s="602">
        <f t="shared" si="149"/>
        <v>-18.899999999999999</v>
      </c>
      <c r="AG52" s="602">
        <f t="shared" si="149"/>
        <v>-403.9</v>
      </c>
      <c r="AH52" s="807">
        <f>+INDEX('[2]ADJ DETAIL-INPUT'!$1:$1048576,MATCH($A52,'[2]ADJ DETAIL-INPUT'!$A:$A,0),MATCH(AH$11,'[2]ADJ DETAIL-INPUT'!$10:$10,0))</f>
        <v>596.75</v>
      </c>
      <c r="AI52" s="807">
        <f>+INDEX('[2]ADJ DETAIL-INPUT'!$1:$1048576,MATCH($A52,'[2]ADJ DETAIL-INPUT'!$A:$A,0),MATCH(AI$11,'[2]ADJ DETAIL-INPUT'!$10:$10,0))</f>
        <v>-365.4</v>
      </c>
      <c r="AJ52" s="616">
        <f t="shared" si="149"/>
        <v>0</v>
      </c>
      <c r="AK52" s="601">
        <f>AK49*0.35</f>
        <v>-1070.3</v>
      </c>
      <c r="AL52" s="807">
        <f>+INDEX('[2]ADJ DETAIL-INPUT'!$1:$1048576,MATCH($A52,'[2]ADJ DETAIL-INPUT'!$A:$A,0),MATCH(AL$11,'[2]ADJ DETAIL-INPUT'!$10:$10,0))</f>
        <v>-780.84999999999991</v>
      </c>
      <c r="AM52" s="807">
        <f>+INDEX('[2]ADJ DETAIL-INPUT'!$1:$1048576,MATCH($A52,'[2]ADJ DETAIL-INPUT'!$A:$A,0),MATCH(AM$11,'[2]ADJ DETAIL-INPUT'!$10:$10,0))</f>
        <v>-306.59999999999997</v>
      </c>
      <c r="AN52" s="807">
        <f>+INDEX('[2]ADJ DETAIL-INPUT'!$1:$1048576,MATCH($A52,'[2]ADJ DETAIL-INPUT'!$A:$A,0),MATCH(AN$11,'[2]ADJ DETAIL-INPUT'!$10:$10,0))</f>
        <v>0</v>
      </c>
      <c r="AO52" s="616">
        <f t="shared" ref="AO52" si="150">AO49*0.35</f>
        <v>-287.7</v>
      </c>
      <c r="AP52" s="651">
        <f ca="1">SUM(AB52:AO52)</f>
        <v>-5804.9976240900023</v>
      </c>
      <c r="AQ52" s="616">
        <f t="shared" ref="AQ52:AR52" si="151">AQ49*0.35</f>
        <v>0</v>
      </c>
      <c r="AR52" s="616">
        <f t="shared" si="151"/>
        <v>0</v>
      </c>
      <c r="AS52" s="601">
        <f>AS49*0.35</f>
        <v>0</v>
      </c>
      <c r="AT52" s="601">
        <f>AT49*0.35</f>
        <v>0</v>
      </c>
      <c r="AU52" s="602">
        <f t="shared" ref="AU52" si="152">AU49*0.35</f>
        <v>0</v>
      </c>
      <c r="AV52" s="602">
        <f>AV49*0.35</f>
        <v>0</v>
      </c>
      <c r="AW52" s="602">
        <f t="shared" ref="AW52" si="153">AW49*0.35</f>
        <v>0</v>
      </c>
      <c r="AX52" s="651">
        <f ca="1">SUM(AP52:AW52)</f>
        <v>-5804.9976240900023</v>
      </c>
      <c r="AY52" s="616">
        <f>AY49*0.35</f>
        <v>0</v>
      </c>
      <c r="AZ52" s="651">
        <f ca="1">SUM(AX52:AY52)</f>
        <v>-5804.9976240900023</v>
      </c>
      <c r="BA52" s="698"/>
      <c r="BB52" s="616"/>
      <c r="BC52" s="616"/>
      <c r="BD52" s="651">
        <f ca="1">AZ52</f>
        <v>-5804.9976240900023</v>
      </c>
      <c r="BE52" s="616">
        <f t="shared" ref="BE52:BF52" si="154">BE49*0.35</f>
        <v>0</v>
      </c>
      <c r="BF52" s="602">
        <f t="shared" si="154"/>
        <v>0</v>
      </c>
      <c r="BG52" s="616">
        <f t="shared" ref="BG52:BI52" si="155">BG49*0.35</f>
        <v>0</v>
      </c>
      <c r="BH52" s="602">
        <f t="shared" ref="BH52" si="156">BH49*0.35</f>
        <v>0</v>
      </c>
      <c r="BI52" s="602">
        <f t="shared" si="155"/>
        <v>0</v>
      </c>
      <c r="BJ52" s="602">
        <f t="shared" ref="BJ52" si="157">BJ49*0.35</f>
        <v>0</v>
      </c>
      <c r="BK52" s="602">
        <f t="shared" ref="BK52" si="158">BK49*0.35</f>
        <v>0</v>
      </c>
      <c r="BL52" s="651">
        <f ca="1">SUM(BD52:BK52)</f>
        <v>-5804.9976240900023</v>
      </c>
      <c r="BM52" s="601">
        <f>BM49*0.35</f>
        <v>0</v>
      </c>
      <c r="BN52" s="651">
        <f ca="1">SUM(BL52:BM52)</f>
        <v>-5804.9976240900023</v>
      </c>
      <c r="BO52" s="651">
        <f ca="1">BN52-AZ52</f>
        <v>0</v>
      </c>
      <c r="BP52" s="616"/>
      <c r="BQ52" s="616"/>
    </row>
    <row r="53" spans="1:70" s="592" customFormat="1">
      <c r="A53" s="587">
        <v>28</v>
      </c>
      <c r="B53" s="592" t="s">
        <v>275</v>
      </c>
      <c r="E53" s="596">
        <f>'ROO INPUT'!F52</f>
        <v>0</v>
      </c>
      <c r="F53" s="602">
        <f>(F81*'Exh. No. BGM-13R -5'!$R$15)*-0.35</f>
        <v>65.166640000000001</v>
      </c>
      <c r="G53" s="807">
        <f>+INDEX('[2]ADJ DETAIL-INPUT'!$1:$1048576,MATCH($A53,'[2]ADJ DETAIL-INPUT'!$A:$A,0),MATCH(G$11,'[2]ADJ DETAIL-INPUT'!$10:$10,0))</f>
        <v>62.615640992799996</v>
      </c>
      <c r="H53" s="602">
        <f>(H81*'Exh. No. BGM-13R -5'!$R$15)*-0.35</f>
        <v>-43.258879999999998</v>
      </c>
      <c r="I53" s="602">
        <f>(I81*'Exh. No. BGM-13R -5'!$R$15)*-0.35</f>
        <v>0</v>
      </c>
      <c r="J53" s="602">
        <f>(J81*'Exh. No. BGM-13R -5'!$R$15)*-0.35</f>
        <v>0</v>
      </c>
      <c r="K53" s="807">
        <f>+INDEX('[2]ADJ DETAIL-INPUT'!$1:$1048576,MATCH($A53,'[2]ADJ DETAIL-INPUT'!$A:$A,0),MATCH(K$11,'[2]ADJ DETAIL-INPUT'!$10:$10,0))</f>
        <v>0</v>
      </c>
      <c r="L53" s="602">
        <f>(L81*'Exh. No. BGM-13R -5'!$R$15)*-0.35</f>
        <v>0</v>
      </c>
      <c r="M53" s="602">
        <f>(M81*'Exh. No. BGM-13R -5'!$R$15)*-0.35</f>
        <v>0</v>
      </c>
      <c r="N53" s="602">
        <f>(N81*'Exh. No. BGM-13R -5'!$R$15)*-0.35</f>
        <v>0</v>
      </c>
      <c r="O53" s="602"/>
      <c r="P53" s="602">
        <f>(P81*'Exh. No. BGM-13R -5'!$R$15)*-0.35</f>
        <v>0</v>
      </c>
      <c r="Q53" s="602">
        <f>(Q81*'Exh. No. BGM-13R -5'!$R$15)*-0.35</f>
        <v>0</v>
      </c>
      <c r="R53" s="602">
        <f>(R81*'Exh. No. BGM-13R -5'!$R$15)*-0.35</f>
        <v>0</v>
      </c>
      <c r="S53" s="602">
        <f>(S81*'Exh. No. BGM-13R -5'!$R$15)*-0.35</f>
        <v>0</v>
      </c>
      <c r="T53" s="602">
        <f>(T81*'Exh. No. BGM-13R -5'!$R$15)*-0.35</f>
        <v>0</v>
      </c>
      <c r="U53" s="602">
        <f>(U81*'Exh. No. BGM-13R -5'!$R$15)*-0.35</f>
        <v>0</v>
      </c>
      <c r="V53" s="602">
        <f>(V81*'Exh. No. BGM-13R -5'!$R$15)*-0.35</f>
        <v>0</v>
      </c>
      <c r="W53" s="602">
        <f>(W81*'Exh. No. BGM-13R -5'!$R$15)*-0.35</f>
        <v>0</v>
      </c>
      <c r="X53" s="602"/>
      <c r="Y53" s="807">
        <f>+INDEX('[2]ADJ DETAIL-INPUT'!$1:$1048576,MATCH($A53,'[2]ADJ DETAIL-INPUT'!$A:$A,0),MATCH(Y$11,'[2]ADJ DETAIL-INPUT'!$10:$10,0))</f>
        <v>0</v>
      </c>
      <c r="Z53" s="602">
        <f>(Z81*'Exh. No. BGM-13R -5'!$R$15)*-0.35</f>
        <v>0</v>
      </c>
      <c r="AA53" s="602">
        <f>(AA81*'Exh. No. BGM-13R -5'!$R$15)*-0.35</f>
        <v>0</v>
      </c>
      <c r="AB53" s="600">
        <f>SUM(E53:AA53)</f>
        <v>84.523400992799992</v>
      </c>
      <c r="AC53" s="602">
        <f>(AC81*'Exh. No. BGM-13R -5'!$R$15)*-0.35</f>
        <v>0</v>
      </c>
      <c r="AD53" s="602">
        <f>(AD81*'Exh. No. BGM-13R -5'!$R$15)*-0.35</f>
        <v>0</v>
      </c>
      <c r="AE53" s="602">
        <f>(AE81*'Exh. No. BGM-13R -5'!$R$15)*-0.35</f>
        <v>0</v>
      </c>
      <c r="AF53" s="602">
        <f>(AF81*'Exh. No. BGM-13R -5'!$R$15)*-0.35</f>
        <v>0</v>
      </c>
      <c r="AG53" s="602">
        <f>(AG81*'Exh. No. BGM-13R -5'!$R$15)*-0.35</f>
        <v>0</v>
      </c>
      <c r="AH53" s="807">
        <f>+INDEX('[2]ADJ DETAIL-INPUT'!$1:$1048576,MATCH($A53,'[2]ADJ DETAIL-INPUT'!$A:$A,0),MATCH(AH$11,'[2]ADJ DETAIL-INPUT'!$10:$10,0))</f>
        <v>0</v>
      </c>
      <c r="AI53" s="807">
        <f>+INDEX('[2]ADJ DETAIL-INPUT'!$1:$1048576,MATCH($A53,'[2]ADJ DETAIL-INPUT'!$A:$A,0),MATCH(AI$11,'[2]ADJ DETAIL-INPUT'!$10:$10,0))</f>
        <v>0</v>
      </c>
      <c r="AJ53" s="612">
        <f>(AJ81*'Exh. No. BGM-13R -5'!$R$15)*-0.35</f>
        <v>0</v>
      </c>
      <c r="AK53" s="602">
        <f>(AK81*'Exh. No. BGM-13R -5'!$R$15)*-0.35</f>
        <v>0</v>
      </c>
      <c r="AL53" s="807">
        <f>+INDEX('[2]ADJ DETAIL-INPUT'!$1:$1048576,MATCH($A53,'[2]ADJ DETAIL-INPUT'!$A:$A,0),MATCH(AL$11,'[2]ADJ DETAIL-INPUT'!$10:$10,0))</f>
        <v>-214.70348876759996</v>
      </c>
      <c r="AM53" s="807">
        <f>+INDEX('[2]ADJ DETAIL-INPUT'!$1:$1048576,MATCH($A53,'[2]ADJ DETAIL-INPUT'!$A:$A,0),MATCH(AM$11,'[2]ADJ DETAIL-INPUT'!$10:$10,0))</f>
        <v>-604.40686404839994</v>
      </c>
      <c r="AN53" s="807">
        <f>+INDEX('[2]ADJ DETAIL-INPUT'!$1:$1048576,MATCH($A53,'[2]ADJ DETAIL-INPUT'!$A:$A,0),MATCH(AN$11,'[2]ADJ DETAIL-INPUT'!$10:$10,0))</f>
        <v>0</v>
      </c>
      <c r="AO53" s="612">
        <f>(AO81*'Exh. No. BGM-13R -5'!$R$15)*-0.35</f>
        <v>0</v>
      </c>
      <c r="AP53" s="651">
        <f>SUM(AB53:AO53)</f>
        <v>-734.58695182319991</v>
      </c>
      <c r="AQ53" s="612">
        <f>(AQ81*'Exh. No. BGM-13R -5'!$R$15)*-0.35</f>
        <v>0</v>
      </c>
      <c r="AR53" s="612">
        <f>(AR81*'Exh. No. BGM-13R -5'!$R$15)*-0.35</f>
        <v>0</v>
      </c>
      <c r="AS53" s="602">
        <f>(AS81*'Exh. No. BGM-13R -5'!$R$15)*-0.35</f>
        <v>0</v>
      </c>
      <c r="AT53" s="602">
        <f>(AT81*'Exh. No. BGM-13R -5'!$R$15)*-0.35</f>
        <v>0</v>
      </c>
      <c r="AU53" s="602">
        <f>(AU81*'Exh. No. BGM-13R -5'!$R$15)*-0.35</f>
        <v>0</v>
      </c>
      <c r="AV53" s="602">
        <f>(AV81*'Exh. No. BGM-13R -5'!$R$15)*-0.35</f>
        <v>0</v>
      </c>
      <c r="AW53" s="602">
        <f>(AW81*'Exh. No. BGM-13R -5'!$R$15)*-0.35</f>
        <v>0</v>
      </c>
      <c r="AX53" s="651">
        <f>SUM(AP53:AW53)</f>
        <v>-734.58695182319991</v>
      </c>
      <c r="AY53" s="612">
        <f>(AY81*'Exh. No. BGM-13R -5'!$R$15)*-0.35</f>
        <v>0</v>
      </c>
      <c r="AZ53" s="651">
        <f>SUM(AX53:AY53)</f>
        <v>-734.58695182319991</v>
      </c>
      <c r="BA53" s="698"/>
      <c r="BB53" s="612"/>
      <c r="BC53" s="612"/>
      <c r="BD53" s="651">
        <f>AZ53</f>
        <v>-734.58695182319991</v>
      </c>
      <c r="BE53" s="612">
        <f>(BE81*'Exh. No. BGM-13R -5'!$R$15)*-0.35</f>
        <v>0</v>
      </c>
      <c r="BF53" s="602">
        <f>(BF81*'Exh. No. BGM-13R -5'!$R$15)*-0.35</f>
        <v>0</v>
      </c>
      <c r="BG53" s="612">
        <f>(BG81*'Exh. No. BGM-13R -5'!$R$15)*-0.35</f>
        <v>0</v>
      </c>
      <c r="BH53" s="602">
        <v>0</v>
      </c>
      <c r="BI53" s="602">
        <v>0</v>
      </c>
      <c r="BJ53" s="602">
        <f>(BJ81*'Exh. No. BGM-13R -5'!$R$15)*-0.35</f>
        <v>0</v>
      </c>
      <c r="BK53" s="602">
        <f>(BK81*'Exh. No. BGM-13R -5'!$R$15)*-0.35</f>
        <v>0</v>
      </c>
      <c r="BL53" s="651">
        <f>SUM(BD53:BK53)</f>
        <v>-734.58695182319991</v>
      </c>
      <c r="BM53" s="602">
        <f>(BM81*'Exh. No. BGM-13R -5'!$R$15)*-0.35</f>
        <v>0</v>
      </c>
      <c r="BN53" s="651">
        <f>SUM(BL53:BM53)</f>
        <v>-734.58695182319991</v>
      </c>
      <c r="BO53" s="651">
        <f>BN53-AZ53</f>
        <v>0</v>
      </c>
      <c r="BP53" s="612"/>
      <c r="BQ53" s="612"/>
    </row>
    <row r="54" spans="1:70" s="589" customFormat="1">
      <c r="A54" s="587">
        <v>29</v>
      </c>
      <c r="B54" s="589" t="s">
        <v>209</v>
      </c>
      <c r="E54" s="596">
        <f>'ROO INPUT'!F53</f>
        <v>46391</v>
      </c>
      <c r="F54" s="601">
        <v>0</v>
      </c>
      <c r="G54" s="807">
        <f>+INDEX('[2]ADJ DETAIL-INPUT'!$1:$1048576,MATCH($A54,'[2]ADJ DETAIL-INPUT'!$A:$A,0),MATCH(G$11,'[2]ADJ DETAIL-INPUT'!$10:$10,0))</f>
        <v>0</v>
      </c>
      <c r="H54" s="601">
        <v>0</v>
      </c>
      <c r="I54" s="601">
        <v>0</v>
      </c>
      <c r="J54" s="601">
        <v>0</v>
      </c>
      <c r="K54" s="807">
        <f>+INDEX('[2]ADJ DETAIL-INPUT'!$1:$1048576,MATCH($A54,'[2]ADJ DETAIL-INPUT'!$A:$A,0),MATCH(K$11,'[2]ADJ DETAIL-INPUT'!$10:$10,0))</f>
        <v>0</v>
      </c>
      <c r="L54" s="601">
        <v>0</v>
      </c>
      <c r="M54" s="601">
        <v>0</v>
      </c>
      <c r="N54" s="601">
        <v>0</v>
      </c>
      <c r="O54" s="601">
        <v>0</v>
      </c>
      <c r="P54" s="601">
        <v>0</v>
      </c>
      <c r="Q54" s="601">
        <v>0</v>
      </c>
      <c r="R54" s="601">
        <v>0</v>
      </c>
      <c r="S54" s="601">
        <v>0</v>
      </c>
      <c r="T54" s="602">
        <v>0</v>
      </c>
      <c r="U54" s="602">
        <v>0</v>
      </c>
      <c r="V54" s="602">
        <v>-1603</v>
      </c>
      <c r="W54" s="602">
        <v>0</v>
      </c>
      <c r="X54" s="602">
        <v>0</v>
      </c>
      <c r="Y54" s="807">
        <f>+INDEX('[2]ADJ DETAIL-INPUT'!$1:$1048576,MATCH($A54,'[2]ADJ DETAIL-INPUT'!$A:$A,0),MATCH(Y$11,'[2]ADJ DETAIL-INPUT'!$10:$10,0))</f>
        <v>0</v>
      </c>
      <c r="Z54" s="602">
        <v>0</v>
      </c>
      <c r="AA54" s="601">
        <v>0</v>
      </c>
      <c r="AB54" s="600">
        <f>SUM(E54:AA54)</f>
        <v>44788</v>
      </c>
      <c r="AC54" s="602">
        <v>0</v>
      </c>
      <c r="AD54" s="602">
        <v>0</v>
      </c>
      <c r="AE54" s="602">
        <v>0</v>
      </c>
      <c r="AF54" s="602">
        <v>0</v>
      </c>
      <c r="AG54" s="602">
        <v>0</v>
      </c>
      <c r="AH54" s="807">
        <f>+INDEX('[2]ADJ DETAIL-INPUT'!$1:$1048576,MATCH($A54,'[2]ADJ DETAIL-INPUT'!$A:$A,0),MATCH(AH$11,'[2]ADJ DETAIL-INPUT'!$10:$10,0))</f>
        <v>0</v>
      </c>
      <c r="AI54" s="807">
        <f>+INDEX('[2]ADJ DETAIL-INPUT'!$1:$1048576,MATCH($A54,'[2]ADJ DETAIL-INPUT'!$A:$A,0),MATCH(AI$11,'[2]ADJ DETAIL-INPUT'!$10:$10,0))</f>
        <v>0</v>
      </c>
      <c r="AJ54" s="612">
        <v>0</v>
      </c>
      <c r="AK54" s="602">
        <v>0</v>
      </c>
      <c r="AL54" s="807">
        <f>+INDEX('[2]ADJ DETAIL-INPUT'!$1:$1048576,MATCH($A54,'[2]ADJ DETAIL-INPUT'!$A:$A,0),MATCH(AL$11,'[2]ADJ DETAIL-INPUT'!$10:$10,0))</f>
        <v>0</v>
      </c>
      <c r="AM54" s="807">
        <f>+INDEX('[2]ADJ DETAIL-INPUT'!$1:$1048576,MATCH($A54,'[2]ADJ DETAIL-INPUT'!$A:$A,0),MATCH(AM$11,'[2]ADJ DETAIL-INPUT'!$10:$10,0))</f>
        <v>0</v>
      </c>
      <c r="AN54" s="807">
        <f>+INDEX('[2]ADJ DETAIL-INPUT'!$1:$1048576,MATCH($A54,'[2]ADJ DETAIL-INPUT'!$A:$A,0),MATCH(AN$11,'[2]ADJ DETAIL-INPUT'!$10:$10,0))</f>
        <v>0</v>
      </c>
      <c r="AO54" s="612">
        <v>0</v>
      </c>
      <c r="AP54" s="651">
        <f>SUM(AB54:AO54)</f>
        <v>44788</v>
      </c>
      <c r="AQ54" s="612">
        <v>0</v>
      </c>
      <c r="AR54" s="612">
        <v>0</v>
      </c>
      <c r="AS54" s="602">
        <v>0</v>
      </c>
      <c r="AT54" s="602">
        <v>0</v>
      </c>
      <c r="AU54" s="602">
        <v>0</v>
      </c>
      <c r="AV54" s="602">
        <v>0</v>
      </c>
      <c r="AW54" s="602">
        <v>0</v>
      </c>
      <c r="AX54" s="651">
        <f>SUM(AP54:AW54)</f>
        <v>44788</v>
      </c>
      <c r="AY54" s="612">
        <v>0</v>
      </c>
      <c r="AZ54" s="651">
        <f>SUM(AX54:AY54)</f>
        <v>44788</v>
      </c>
      <c r="BA54" s="698"/>
      <c r="BB54" s="612"/>
      <c r="BC54" s="612"/>
      <c r="BD54" s="651">
        <f>AZ54</f>
        <v>44788</v>
      </c>
      <c r="BE54" s="612">
        <v>0</v>
      </c>
      <c r="BF54" s="602">
        <v>0</v>
      </c>
      <c r="BG54" s="612">
        <v>0</v>
      </c>
      <c r="BH54" s="602">
        <v>0</v>
      </c>
      <c r="BI54" s="602">
        <v>0</v>
      </c>
      <c r="BJ54" s="602">
        <v>0</v>
      </c>
      <c r="BK54" s="602">
        <v>0</v>
      </c>
      <c r="BL54" s="651">
        <f>SUM(BD54:BK54)</f>
        <v>44788</v>
      </c>
      <c r="BM54" s="602">
        <v>0</v>
      </c>
      <c r="BN54" s="651">
        <f>SUM(BL54:BM54)</f>
        <v>44788</v>
      </c>
      <c r="BO54" s="651">
        <f>BN54-AZ54</f>
        <v>0</v>
      </c>
      <c r="BP54" s="612"/>
      <c r="BQ54" s="612"/>
    </row>
    <row r="55" spans="1:70" s="589" customFormat="1">
      <c r="A55" s="591">
        <v>30</v>
      </c>
      <c r="B55" s="589" t="s">
        <v>263</v>
      </c>
      <c r="E55" s="628">
        <f>'ROO INPUT'!F54</f>
        <v>-127</v>
      </c>
      <c r="F55" s="614">
        <v>0</v>
      </c>
      <c r="G55" s="808">
        <f>+INDEX('[2]ADJ DETAIL-INPUT'!$1:$1048576,MATCH($A55,'[2]ADJ DETAIL-INPUT'!$A:$A,0),MATCH(G$11,'[2]ADJ DETAIL-INPUT'!$10:$10,0))</f>
        <v>0</v>
      </c>
      <c r="H55" s="614">
        <v>0</v>
      </c>
      <c r="I55" s="614">
        <v>0</v>
      </c>
      <c r="J55" s="614">
        <v>0</v>
      </c>
      <c r="K55" s="808">
        <f>+INDEX('[2]ADJ DETAIL-INPUT'!$1:$1048576,MATCH($A55,'[2]ADJ DETAIL-INPUT'!$A:$A,0),MATCH(K$11,'[2]ADJ DETAIL-INPUT'!$10:$10,0))</f>
        <v>0</v>
      </c>
      <c r="L55" s="614">
        <v>0</v>
      </c>
      <c r="M55" s="614">
        <v>0</v>
      </c>
      <c r="N55" s="614">
        <v>0</v>
      </c>
      <c r="O55" s="614">
        <v>0</v>
      </c>
      <c r="P55" s="614">
        <v>0</v>
      </c>
      <c r="Q55" s="614">
        <v>0</v>
      </c>
      <c r="R55" s="614">
        <v>0</v>
      </c>
      <c r="S55" s="614">
        <v>0</v>
      </c>
      <c r="T55" s="613">
        <v>0</v>
      </c>
      <c r="U55" s="613">
        <v>0</v>
      </c>
      <c r="V55" s="614">
        <v>0</v>
      </c>
      <c r="W55" s="614">
        <v>0</v>
      </c>
      <c r="X55" s="613">
        <v>0</v>
      </c>
      <c r="Y55" s="808">
        <f>+INDEX('[2]ADJ DETAIL-INPUT'!$1:$1048576,MATCH($A55,'[2]ADJ DETAIL-INPUT'!$A:$A,0),MATCH(Y$11,'[2]ADJ DETAIL-INPUT'!$10:$10,0))</f>
        <v>0</v>
      </c>
      <c r="Z55" s="613">
        <v>0</v>
      </c>
      <c r="AA55" s="614">
        <v>0</v>
      </c>
      <c r="AB55" s="277">
        <f>SUM(E55:AA55)</f>
        <v>-127</v>
      </c>
      <c r="AC55" s="613">
        <v>0</v>
      </c>
      <c r="AD55" s="613">
        <v>0</v>
      </c>
      <c r="AE55" s="614">
        <v>0</v>
      </c>
      <c r="AF55" s="614">
        <v>0</v>
      </c>
      <c r="AG55" s="614">
        <v>0</v>
      </c>
      <c r="AH55" s="808">
        <f>+INDEX('[2]ADJ DETAIL-INPUT'!$1:$1048576,MATCH($A55,'[2]ADJ DETAIL-INPUT'!$A:$A,0),MATCH(AH$11,'[2]ADJ DETAIL-INPUT'!$10:$10,0))</f>
        <v>0</v>
      </c>
      <c r="AI55" s="808">
        <f>+INDEX('[2]ADJ DETAIL-INPUT'!$1:$1048576,MATCH($A55,'[2]ADJ DETAIL-INPUT'!$A:$A,0),MATCH(AI$11,'[2]ADJ DETAIL-INPUT'!$10:$10,0))</f>
        <v>0</v>
      </c>
      <c r="AJ55" s="613">
        <v>0</v>
      </c>
      <c r="AK55" s="613">
        <v>0</v>
      </c>
      <c r="AL55" s="808">
        <f>+INDEX('[2]ADJ DETAIL-INPUT'!$1:$1048576,MATCH($A55,'[2]ADJ DETAIL-INPUT'!$A:$A,0),MATCH(AL$11,'[2]ADJ DETAIL-INPUT'!$10:$10,0))</f>
        <v>0</v>
      </c>
      <c r="AM55" s="808">
        <f>+INDEX('[2]ADJ DETAIL-INPUT'!$1:$1048576,MATCH($A55,'[2]ADJ DETAIL-INPUT'!$A:$A,0),MATCH(AM$11,'[2]ADJ DETAIL-INPUT'!$10:$10,0))</f>
        <v>0</v>
      </c>
      <c r="AN55" s="808">
        <f>+INDEX('[2]ADJ DETAIL-INPUT'!$1:$1048576,MATCH($A55,'[2]ADJ DETAIL-INPUT'!$A:$A,0),MATCH(AN$11,'[2]ADJ DETAIL-INPUT'!$10:$10,0))</f>
        <v>0</v>
      </c>
      <c r="AO55" s="613">
        <v>0</v>
      </c>
      <c r="AP55" s="653">
        <f>SUM(AB55:AO55)</f>
        <v>-127</v>
      </c>
      <c r="AQ55" s="613">
        <v>0</v>
      </c>
      <c r="AR55" s="613">
        <v>0</v>
      </c>
      <c r="AS55" s="613">
        <v>0</v>
      </c>
      <c r="AT55" s="613">
        <v>0</v>
      </c>
      <c r="AU55" s="614">
        <v>0</v>
      </c>
      <c r="AV55" s="614">
        <v>0</v>
      </c>
      <c r="AW55" s="614">
        <v>0</v>
      </c>
      <c r="AX55" s="653">
        <f>SUM(AP55:AW55)</f>
        <v>-127</v>
      </c>
      <c r="AY55" s="613">
        <v>0</v>
      </c>
      <c r="AZ55" s="653">
        <f>SUM(AX55:AY55)</f>
        <v>-127</v>
      </c>
      <c r="BA55" s="698"/>
      <c r="BB55" s="612"/>
      <c r="BC55" s="612"/>
      <c r="BD55" s="653">
        <f>AZ55</f>
        <v>-127</v>
      </c>
      <c r="BE55" s="613">
        <v>0</v>
      </c>
      <c r="BF55" s="613">
        <v>0</v>
      </c>
      <c r="BG55" s="613">
        <v>0</v>
      </c>
      <c r="BH55" s="614">
        <v>0</v>
      </c>
      <c r="BI55" s="614">
        <v>0</v>
      </c>
      <c r="BJ55" s="614">
        <v>0</v>
      </c>
      <c r="BK55" s="614">
        <v>0</v>
      </c>
      <c r="BL55" s="653">
        <f>SUM(BD55:BK55)</f>
        <v>-127</v>
      </c>
      <c r="BM55" s="613">
        <v>0</v>
      </c>
      <c r="BN55" s="653">
        <f>SUM(BL55:BM55)</f>
        <v>-127</v>
      </c>
      <c r="BO55" s="653">
        <f>BN55-AZ55</f>
        <v>0</v>
      </c>
      <c r="BP55" s="612"/>
      <c r="BQ55" s="612"/>
    </row>
    <row r="56" spans="1:70">
      <c r="AJ56" s="612"/>
      <c r="AL56" s="601"/>
      <c r="AM56" s="601"/>
      <c r="AN56" s="601"/>
      <c r="AO56" s="612"/>
      <c r="AP56" s="651"/>
      <c r="AQ56" s="612"/>
      <c r="AR56" s="612"/>
      <c r="AX56" s="651"/>
      <c r="AY56" s="612"/>
      <c r="AZ56" s="651"/>
      <c r="BA56" s="698"/>
      <c r="BD56" s="651"/>
      <c r="BE56" s="612"/>
      <c r="BG56" s="612"/>
      <c r="BL56" s="651"/>
      <c r="BN56" s="651"/>
      <c r="BO56" s="651"/>
    </row>
    <row r="57" spans="1:70" s="588" customFormat="1" ht="12.75" thickBot="1">
      <c r="A57" s="590">
        <v>31</v>
      </c>
      <c r="B57" s="588" t="s">
        <v>210</v>
      </c>
      <c r="E57" s="629">
        <f t="shared" ref="E57:AG57" si="159">E49-SUM(E52:E55)</f>
        <v>102043</v>
      </c>
      <c r="F57" s="631">
        <f t="shared" si="159"/>
        <v>-65.166640000000001</v>
      </c>
      <c r="G57" s="631">
        <f t="shared" si="159"/>
        <v>3240.6843590072003</v>
      </c>
      <c r="H57" s="631">
        <f t="shared" si="159"/>
        <v>43.258879999999998</v>
      </c>
      <c r="I57" s="631">
        <f t="shared" ref="I57" si="160">I49-SUM(I52:I55)</f>
        <v>0</v>
      </c>
      <c r="J57" s="631">
        <f t="shared" si="159"/>
        <v>-62.400000000000006</v>
      </c>
      <c r="K57" s="631">
        <f t="shared" ref="K57" si="161">K49-SUM(K52:K55)</f>
        <v>216.45</v>
      </c>
      <c r="L57" s="631">
        <f t="shared" si="159"/>
        <v>-685.1</v>
      </c>
      <c r="M57" s="631">
        <f t="shared" si="159"/>
        <v>-11.7</v>
      </c>
      <c r="N57" s="631">
        <f t="shared" si="159"/>
        <v>-117.65</v>
      </c>
      <c r="O57" s="631">
        <f t="shared" si="159"/>
        <v>566</v>
      </c>
      <c r="P57" s="631">
        <f t="shared" si="159"/>
        <v>21.450000000000003</v>
      </c>
      <c r="Q57" s="631">
        <f t="shared" si="159"/>
        <v>216.45</v>
      </c>
      <c r="R57" s="631">
        <f t="shared" si="159"/>
        <v>51.35</v>
      </c>
      <c r="S57" s="631">
        <f t="shared" si="159"/>
        <v>1926.6000000000001</v>
      </c>
      <c r="T57" s="629">
        <f t="shared" ref="T57" si="162">T49-SUM(T52:T55)</f>
        <v>0</v>
      </c>
      <c r="U57" s="629">
        <f>U49-SUM(U52:U55)</f>
        <v>746.50745000000006</v>
      </c>
      <c r="V57" s="631">
        <f>V49-SUM(V52:V55)</f>
        <v>5034</v>
      </c>
      <c r="W57" s="631">
        <f>W49-SUM(W52:W55)</f>
        <v>5.85</v>
      </c>
      <c r="X57" s="668">
        <f ca="1">X49-SUM(X52:X55)</f>
        <v>156.79928000000001</v>
      </c>
      <c r="Y57" s="631">
        <f t="shared" ref="Y57" si="163">Y49-SUM(Y52:Y55)</f>
        <v>-559.95000000000005</v>
      </c>
      <c r="Z57" s="629">
        <f>Z49-SUM(Z52:Z55)</f>
        <v>0</v>
      </c>
      <c r="AA57" s="631">
        <f>AA49-SUM(AA52:AA55)</f>
        <v>0</v>
      </c>
      <c r="AB57" s="439">
        <f t="shared" ca="1" si="159"/>
        <v>112766.43332900721</v>
      </c>
      <c r="AC57" s="629">
        <f t="shared" si="159"/>
        <v>-2778.2189583850004</v>
      </c>
      <c r="AD57" s="629">
        <f t="shared" si="159"/>
        <v>216.59385507499996</v>
      </c>
      <c r="AE57" s="631">
        <f t="shared" si="159"/>
        <v>-802.80070000000001</v>
      </c>
      <c r="AF57" s="631">
        <f t="shared" si="159"/>
        <v>-35.1</v>
      </c>
      <c r="AG57" s="631">
        <f t="shared" si="159"/>
        <v>-750.1</v>
      </c>
      <c r="AH57" s="631">
        <f t="shared" ref="AH57:AI57" si="164">AH49-SUM(AH52:AH55)</f>
        <v>1108.25</v>
      </c>
      <c r="AI57" s="631">
        <f t="shared" si="164"/>
        <v>-678.6</v>
      </c>
      <c r="AJ57" s="668">
        <f t="shared" ref="AJ57" si="165">AJ49-SUM(AJ52:AJ55)</f>
        <v>0</v>
      </c>
      <c r="AK57" s="668">
        <f t="shared" ref="AK57:AO57" si="166">AK49-SUM(AK52:AK55)</f>
        <v>-1987.7</v>
      </c>
      <c r="AL57" s="631">
        <f t="shared" ref="AL57:AN57" si="167">AL49-SUM(AL52:AL55)</f>
        <v>-1235.4465112324001</v>
      </c>
      <c r="AM57" s="631">
        <f t="shared" si="167"/>
        <v>35.006864048399848</v>
      </c>
      <c r="AN57" s="631">
        <f t="shared" si="167"/>
        <v>0</v>
      </c>
      <c r="AO57" s="668">
        <f t="shared" si="166"/>
        <v>-534.29999999999995</v>
      </c>
      <c r="AP57" s="655">
        <f ca="1">SUM(AB57:AO57)</f>
        <v>105324.01787851319</v>
      </c>
      <c r="AQ57" s="668">
        <f t="shared" ref="AQ57:AV57" si="168">AQ49-SUM(AQ52:AQ55)</f>
        <v>0</v>
      </c>
      <c r="AR57" s="668">
        <f t="shared" si="168"/>
        <v>0</v>
      </c>
      <c r="AS57" s="668">
        <f t="shared" si="168"/>
        <v>0</v>
      </c>
      <c r="AT57" s="668">
        <f t="shared" si="168"/>
        <v>0</v>
      </c>
      <c r="AU57" s="631">
        <f t="shared" si="168"/>
        <v>0</v>
      </c>
      <c r="AV57" s="631">
        <f t="shared" si="168"/>
        <v>0</v>
      </c>
      <c r="AW57" s="631">
        <f t="shared" ref="AW57" si="169">AW49-SUM(AW52:AW55)</f>
        <v>0</v>
      </c>
      <c r="AX57" s="655">
        <f ca="1">SUM(AP57:AW57)</f>
        <v>105324.01787851319</v>
      </c>
      <c r="AY57" s="668">
        <f>AY49-SUM(AY52:AY55)</f>
        <v>0</v>
      </c>
      <c r="AZ57" s="655">
        <f ca="1">SUM(AX57:AY57)</f>
        <v>105324.01787851319</v>
      </c>
      <c r="BA57" s="698"/>
      <c r="BB57" s="612"/>
      <c r="BC57" s="612"/>
      <c r="BD57" s="655">
        <f ca="1">BD49-SUM(BD52:BD55)</f>
        <v>105324.0178785132</v>
      </c>
      <c r="BE57" s="668">
        <f>BE49-SUM(BE52:BE55)</f>
        <v>0</v>
      </c>
      <c r="BF57" s="629">
        <f>BF49-SUM(BF52:BF55)</f>
        <v>0</v>
      </c>
      <c r="BG57" s="668">
        <f>BG49-SUM(BG52:BG55)</f>
        <v>0</v>
      </c>
      <c r="BH57" s="631">
        <f t="shared" ref="BH57" si="170">BH49-SUM(BH52:BH55)</f>
        <v>0</v>
      </c>
      <c r="BI57" s="631">
        <f t="shared" ref="BI57" si="171">BI49-SUM(BI52:BI55)</f>
        <v>0</v>
      </c>
      <c r="BJ57" s="631">
        <f t="shared" ref="BJ57" si="172">BJ49-SUM(BJ52:BJ55)</f>
        <v>0</v>
      </c>
      <c r="BK57" s="631">
        <f t="shared" ref="BK57" si="173">BK49-SUM(BK52:BK55)</f>
        <v>0</v>
      </c>
      <c r="BL57" s="655">
        <f ca="1">SUM(BD57:BK57)</f>
        <v>105324.0178785132</v>
      </c>
      <c r="BM57" s="668">
        <f>BM49-SUM(BM52:BM55)</f>
        <v>0</v>
      </c>
      <c r="BN57" s="655">
        <f ca="1">SUM(BL57:BM57)</f>
        <v>105324.0178785132</v>
      </c>
      <c r="BO57" s="655">
        <f ca="1">BN57-AZ57</f>
        <v>0</v>
      </c>
      <c r="BP57" s="612"/>
      <c r="BQ57" s="612"/>
    </row>
    <row r="58" spans="1:70" ht="6" customHeight="1" thickTop="1">
      <c r="A58" s="590"/>
      <c r="AJ58" s="612"/>
      <c r="AL58" s="601"/>
      <c r="AM58" s="601"/>
      <c r="AN58" s="601"/>
      <c r="AO58" s="612"/>
      <c r="AP58" s="651"/>
      <c r="AQ58" s="612"/>
      <c r="AR58" s="612"/>
      <c r="AX58" s="651"/>
      <c r="AY58" s="612"/>
      <c r="AZ58" s="651"/>
      <c r="BA58" s="698"/>
      <c r="BD58" s="651"/>
      <c r="BE58" s="612"/>
      <c r="BG58" s="612"/>
      <c r="BL58" s="651"/>
      <c r="BN58" s="651"/>
      <c r="BO58" s="651"/>
    </row>
    <row r="59" spans="1:70">
      <c r="A59" s="590"/>
      <c r="B59" s="574" t="s">
        <v>211</v>
      </c>
      <c r="AJ59" s="612"/>
      <c r="AL59" s="601"/>
      <c r="AM59" s="601"/>
      <c r="AN59" s="601"/>
      <c r="AO59" s="612"/>
      <c r="AP59" s="651"/>
      <c r="AQ59" s="612"/>
      <c r="AR59" s="612"/>
      <c r="AX59" s="651"/>
      <c r="AY59" s="612"/>
      <c r="AZ59" s="651"/>
      <c r="BA59" s="698"/>
      <c r="BD59" s="651"/>
      <c r="BE59" s="612"/>
      <c r="BG59" s="612"/>
      <c r="BL59" s="651"/>
      <c r="BN59" s="651"/>
      <c r="BO59" s="651"/>
    </row>
    <row r="60" spans="1:70">
      <c r="B60" s="574" t="s">
        <v>212</v>
      </c>
      <c r="AJ60" s="612"/>
      <c r="AL60" s="601"/>
      <c r="AM60" s="601"/>
      <c r="AN60" s="601"/>
      <c r="AO60" s="612"/>
      <c r="AP60" s="651"/>
      <c r="AQ60" s="612"/>
      <c r="AR60" s="612"/>
      <c r="AX60" s="651"/>
      <c r="AY60" s="612"/>
      <c r="AZ60" s="651"/>
      <c r="BA60" s="698"/>
      <c r="BD60" s="651"/>
      <c r="BE60" s="612"/>
      <c r="BG60" s="612"/>
      <c r="BL60" s="651"/>
      <c r="BN60" s="651"/>
      <c r="BO60" s="651"/>
    </row>
    <row r="61" spans="1:70" s="588" customFormat="1">
      <c r="A61" s="626">
        <v>32</v>
      </c>
      <c r="C61" s="588" t="s">
        <v>213</v>
      </c>
      <c r="E61" s="598">
        <f>'ROO INPUT'!F60</f>
        <v>132877</v>
      </c>
      <c r="F61" s="588">
        <v>0</v>
      </c>
      <c r="G61" s="807">
        <f>+INDEX('[2]ADJ DETAIL-INPUT'!$1:$1048576,MATCH($A61,'[2]ADJ DETAIL-INPUT'!$A:$A,0),MATCH(G$11,'[2]ADJ DETAIL-INPUT'!$10:$10,0))</f>
        <v>0</v>
      </c>
      <c r="H61" s="588">
        <v>0</v>
      </c>
      <c r="I61" s="588">
        <v>0</v>
      </c>
      <c r="J61" s="588">
        <v>0</v>
      </c>
      <c r="K61" s="807">
        <f>+INDEX('[2]ADJ DETAIL-INPUT'!$1:$1048576,MATCH($A61,'[2]ADJ DETAIL-INPUT'!$A:$A,0),MATCH(K$11,'[2]ADJ DETAIL-INPUT'!$10:$10,0))</f>
        <v>0</v>
      </c>
      <c r="L61" s="588">
        <v>0</v>
      </c>
      <c r="M61" s="588">
        <v>0</v>
      </c>
      <c r="N61" s="588">
        <v>0</v>
      </c>
      <c r="O61" s="588">
        <v>0</v>
      </c>
      <c r="P61" s="588">
        <v>0</v>
      </c>
      <c r="Q61" s="588">
        <v>0</v>
      </c>
      <c r="R61" s="588">
        <v>0</v>
      </c>
      <c r="S61" s="588">
        <v>0</v>
      </c>
      <c r="T61" s="619">
        <v>0</v>
      </c>
      <c r="U61" s="619">
        <v>0</v>
      </c>
      <c r="V61" s="588">
        <v>0</v>
      </c>
      <c r="W61" s="588">
        <v>0</v>
      </c>
      <c r="X61" s="619">
        <v>0</v>
      </c>
      <c r="Y61" s="807">
        <f>+INDEX('[2]ADJ DETAIL-INPUT'!$1:$1048576,MATCH($A61,'[2]ADJ DETAIL-INPUT'!$A:$A,0),MATCH(Y$11,'[2]ADJ DETAIL-INPUT'!$10:$10,0))</f>
        <v>0</v>
      </c>
      <c r="Z61" s="619">
        <v>0</v>
      </c>
      <c r="AA61" s="588">
        <v>0</v>
      </c>
      <c r="AB61" s="348">
        <f>SUM(E61:AA61)</f>
        <v>132877</v>
      </c>
      <c r="AC61" s="619">
        <v>0</v>
      </c>
      <c r="AD61" s="619">
        <v>0</v>
      </c>
      <c r="AE61" s="588">
        <v>0</v>
      </c>
      <c r="AF61" s="588">
        <v>0</v>
      </c>
      <c r="AG61" s="588">
        <v>0</v>
      </c>
      <c r="AH61" s="807">
        <f>+INDEX('[2]ADJ DETAIL-INPUT'!$1:$1048576,MATCH($A61,'[2]ADJ DETAIL-INPUT'!$A:$A,0),MATCH(AH$11,'[2]ADJ DETAIL-INPUT'!$10:$10,0))</f>
        <v>0</v>
      </c>
      <c r="AI61" s="807">
        <f>+INDEX('[2]ADJ DETAIL-INPUT'!$1:$1048576,MATCH($A61,'[2]ADJ DETAIL-INPUT'!$A:$A,0),MATCH(AI$11,'[2]ADJ DETAIL-INPUT'!$10:$10,0))</f>
        <v>0</v>
      </c>
      <c r="AJ61" s="598">
        <v>0</v>
      </c>
      <c r="AK61" s="619">
        <v>0</v>
      </c>
      <c r="AL61" s="807">
        <f>+INDEX('[2]ADJ DETAIL-INPUT'!$1:$1048576,MATCH($A61,'[2]ADJ DETAIL-INPUT'!$A:$A,0),MATCH(AL$11,'[2]ADJ DETAIL-INPUT'!$10:$10,0))</f>
        <v>12093</v>
      </c>
      <c r="AM61" s="807">
        <f>+INDEX('[2]ADJ DETAIL-INPUT'!$1:$1048576,MATCH($A61,'[2]ADJ DETAIL-INPUT'!$A:$A,0),MATCH(AM$11,'[2]ADJ DETAIL-INPUT'!$10:$10,0))</f>
        <v>4278</v>
      </c>
      <c r="AN61" s="807">
        <f>+INDEX('[2]ADJ DETAIL-INPUT'!$1:$1048576,MATCH($A61,'[2]ADJ DETAIL-INPUT'!$A:$A,0),MATCH(AN$11,'[2]ADJ DETAIL-INPUT'!$10:$10,0))</f>
        <v>0</v>
      </c>
      <c r="AO61" s="598">
        <v>0</v>
      </c>
      <c r="AP61" s="652">
        <f t="shared" ref="AP61:AP66" si="174">SUM(AB61:AO61)</f>
        <v>149248</v>
      </c>
      <c r="AQ61" s="598">
        <v>0</v>
      </c>
      <c r="AR61" s="598">
        <v>0</v>
      </c>
      <c r="AS61" s="619">
        <v>0</v>
      </c>
      <c r="AT61" s="619">
        <v>0</v>
      </c>
      <c r="AU61" s="588">
        <v>0</v>
      </c>
      <c r="AV61" s="588">
        <v>0</v>
      </c>
      <c r="AW61" s="588">
        <v>0</v>
      </c>
      <c r="AX61" s="652">
        <f t="shared" ref="AX61:AX66" si="175">SUM(AP61:AW61)</f>
        <v>149248</v>
      </c>
      <c r="AY61" s="598">
        <v>0</v>
      </c>
      <c r="AZ61" s="652">
        <f t="shared" ref="AZ61:AZ66" si="176">SUM(AX61:AY61)</f>
        <v>149248</v>
      </c>
      <c r="BA61" s="701"/>
      <c r="BB61" s="598"/>
      <c r="BC61" s="598"/>
      <c r="BD61" s="652">
        <f>AZ61</f>
        <v>149248</v>
      </c>
      <c r="BE61" s="598">
        <v>0</v>
      </c>
      <c r="BF61" s="619">
        <v>0</v>
      </c>
      <c r="BG61" s="598">
        <v>0</v>
      </c>
      <c r="BH61" s="588">
        <v>0</v>
      </c>
      <c r="BI61" s="588">
        <v>0</v>
      </c>
      <c r="BJ61" s="588">
        <v>0</v>
      </c>
      <c r="BK61" s="588">
        <v>0</v>
      </c>
      <c r="BL61" s="652">
        <f t="shared" ref="BL61:BL66" si="177">SUM(BD61:BK61)</f>
        <v>149248</v>
      </c>
      <c r="BM61" s="619">
        <v>0</v>
      </c>
      <c r="BN61" s="652">
        <f t="shared" ref="BN61:BN66" si="178">SUM(BL61:BM61)</f>
        <v>149248</v>
      </c>
      <c r="BO61" s="652">
        <f t="shared" ref="BO61:BO66" si="179">BN61-AZ61</f>
        <v>0</v>
      </c>
      <c r="BP61" s="598"/>
      <c r="BQ61" s="598"/>
    </row>
    <row r="62" spans="1:70" s="589" customFormat="1">
      <c r="A62" s="590">
        <v>33</v>
      </c>
      <c r="C62" s="589" t="s">
        <v>214</v>
      </c>
      <c r="E62" s="596">
        <f>'ROO INPUT'!F61</f>
        <v>762834</v>
      </c>
      <c r="F62" s="601">
        <v>0</v>
      </c>
      <c r="G62" s="807">
        <f>+INDEX('[2]ADJ DETAIL-INPUT'!$1:$1048576,MATCH($A62,'[2]ADJ DETAIL-INPUT'!$A:$A,0),MATCH(G$11,'[2]ADJ DETAIL-INPUT'!$10:$10,0))</f>
        <v>0</v>
      </c>
      <c r="H62" s="601">
        <v>0</v>
      </c>
      <c r="I62" s="807">
        <v>0</v>
      </c>
      <c r="J62" s="601">
        <v>0</v>
      </c>
      <c r="K62" s="807">
        <f>+INDEX('[2]ADJ DETAIL-INPUT'!$1:$1048576,MATCH($A62,'[2]ADJ DETAIL-INPUT'!$A:$A,0),MATCH(K$11,'[2]ADJ DETAIL-INPUT'!$10:$10,0))</f>
        <v>0</v>
      </c>
      <c r="L62" s="601">
        <v>0</v>
      </c>
      <c r="M62" s="601">
        <v>0</v>
      </c>
      <c r="N62" s="601">
        <v>0</v>
      </c>
      <c r="O62" s="601">
        <v>0</v>
      </c>
      <c r="P62" s="601">
        <v>0</v>
      </c>
      <c r="Q62" s="601">
        <v>0</v>
      </c>
      <c r="R62" s="601">
        <v>0</v>
      </c>
      <c r="S62" s="601">
        <v>0</v>
      </c>
      <c r="T62" s="602">
        <v>0</v>
      </c>
      <c r="U62" s="602">
        <v>0</v>
      </c>
      <c r="V62" s="601">
        <v>0</v>
      </c>
      <c r="W62" s="601">
        <v>0</v>
      </c>
      <c r="X62" s="602">
        <v>0</v>
      </c>
      <c r="Y62" s="807">
        <f>+INDEX('[2]ADJ DETAIL-INPUT'!$1:$1048576,MATCH($A62,'[2]ADJ DETAIL-INPUT'!$A:$A,0),MATCH(Y$11,'[2]ADJ DETAIL-INPUT'!$10:$10,0))</f>
        <v>0</v>
      </c>
      <c r="Z62" s="602">
        <v>0</v>
      </c>
      <c r="AA62" s="601">
        <v>0</v>
      </c>
      <c r="AB62" s="379">
        <f>SUM(E62:AA62)</f>
        <v>762834</v>
      </c>
      <c r="AC62" s="602">
        <v>0</v>
      </c>
      <c r="AD62" s="602">
        <v>0</v>
      </c>
      <c r="AE62" s="601">
        <v>0</v>
      </c>
      <c r="AF62" s="601">
        <v>0</v>
      </c>
      <c r="AG62" s="601">
        <v>0</v>
      </c>
      <c r="AH62" s="807">
        <f>+INDEX('[2]ADJ DETAIL-INPUT'!$1:$1048576,MATCH($A62,'[2]ADJ DETAIL-INPUT'!$A:$A,0),MATCH(AH$11,'[2]ADJ DETAIL-INPUT'!$10:$10,0))</f>
        <v>0</v>
      </c>
      <c r="AI62" s="807">
        <f>+INDEX('[2]ADJ DETAIL-INPUT'!$1:$1048576,MATCH($A62,'[2]ADJ DETAIL-INPUT'!$A:$A,0),MATCH(AI$11,'[2]ADJ DETAIL-INPUT'!$10:$10,0))</f>
        <v>0</v>
      </c>
      <c r="AJ62" s="612">
        <v>0</v>
      </c>
      <c r="AK62" s="602">
        <v>0</v>
      </c>
      <c r="AL62" s="807">
        <f>+INDEX('[2]ADJ DETAIL-INPUT'!$1:$1048576,MATCH($A62,'[2]ADJ DETAIL-INPUT'!$A:$A,0),MATCH(AL$11,'[2]ADJ DETAIL-INPUT'!$10:$10,0))</f>
        <v>16608</v>
      </c>
      <c r="AM62" s="807">
        <f>+INDEX('[2]ADJ DETAIL-INPUT'!$1:$1048576,MATCH($A62,'[2]ADJ DETAIL-INPUT'!$A:$A,0),MATCH(AM$11,'[2]ADJ DETAIL-INPUT'!$10:$10,0))</f>
        <v>72751</v>
      </c>
      <c r="AN62" s="807">
        <f>+INDEX('[2]ADJ DETAIL-INPUT'!$1:$1048576,MATCH($A62,'[2]ADJ DETAIL-INPUT'!$A:$A,0),MATCH(AN$11,'[2]ADJ DETAIL-INPUT'!$10:$10,0))</f>
        <v>0</v>
      </c>
      <c r="AO62" s="612">
        <v>0</v>
      </c>
      <c r="AP62" s="651">
        <f t="shared" si="174"/>
        <v>852193</v>
      </c>
      <c r="AQ62" s="612">
        <v>0</v>
      </c>
      <c r="AR62" s="612">
        <v>0</v>
      </c>
      <c r="AS62" s="602">
        <v>0</v>
      </c>
      <c r="AT62" s="602">
        <v>0</v>
      </c>
      <c r="AU62" s="601">
        <v>0</v>
      </c>
      <c r="AV62" s="601">
        <v>0</v>
      </c>
      <c r="AW62" s="601">
        <v>0</v>
      </c>
      <c r="AX62" s="651">
        <f t="shared" si="175"/>
        <v>852193</v>
      </c>
      <c r="AY62" s="612">
        <v>0</v>
      </c>
      <c r="AZ62" s="651">
        <f t="shared" si="176"/>
        <v>852193</v>
      </c>
      <c r="BA62" s="698"/>
      <c r="BB62" s="612"/>
      <c r="BC62" s="612"/>
      <c r="BD62" s="570">
        <f t="shared" ref="BD62:BD65" si="180">AZ62</f>
        <v>852193</v>
      </c>
      <c r="BE62" s="612">
        <v>0</v>
      </c>
      <c r="BF62" s="602">
        <v>0</v>
      </c>
      <c r="BG62" s="612">
        <v>0</v>
      </c>
      <c r="BH62" s="601">
        <v>0</v>
      </c>
      <c r="BI62" s="601">
        <v>0</v>
      </c>
      <c r="BJ62" s="601">
        <v>0</v>
      </c>
      <c r="BK62" s="601">
        <v>0</v>
      </c>
      <c r="BL62" s="651">
        <f t="shared" si="177"/>
        <v>852193</v>
      </c>
      <c r="BM62" s="602">
        <v>0</v>
      </c>
      <c r="BN62" s="651">
        <f t="shared" si="178"/>
        <v>852193</v>
      </c>
      <c r="BO62" s="651">
        <f t="shared" si="179"/>
        <v>0</v>
      </c>
      <c r="BP62" s="612"/>
      <c r="BQ62" s="612"/>
    </row>
    <row r="63" spans="1:70" s="589" customFormat="1">
      <c r="A63" s="590">
        <v>34</v>
      </c>
      <c r="C63" s="589" t="s">
        <v>215</v>
      </c>
      <c r="E63" s="596">
        <f>'ROO INPUT'!F62</f>
        <v>390240</v>
      </c>
      <c r="F63" s="601">
        <v>0</v>
      </c>
      <c r="G63" s="807">
        <f>+INDEX('[2]ADJ DETAIL-INPUT'!$1:$1048576,MATCH($A63,'[2]ADJ DETAIL-INPUT'!$A:$A,0),MATCH(G$11,'[2]ADJ DETAIL-INPUT'!$10:$10,0))</f>
        <v>0</v>
      </c>
      <c r="H63" s="601">
        <v>0</v>
      </c>
      <c r="I63" s="601">
        <v>0</v>
      </c>
      <c r="J63" s="601">
        <v>0</v>
      </c>
      <c r="K63" s="807">
        <f>+INDEX('[2]ADJ DETAIL-INPUT'!$1:$1048576,MATCH($A63,'[2]ADJ DETAIL-INPUT'!$A:$A,0),MATCH(K$11,'[2]ADJ DETAIL-INPUT'!$10:$10,0))</f>
        <v>0</v>
      </c>
      <c r="L63" s="601">
        <v>0</v>
      </c>
      <c r="M63" s="601">
        <v>0</v>
      </c>
      <c r="N63" s="601">
        <v>0</v>
      </c>
      <c r="O63" s="601">
        <v>0</v>
      </c>
      <c r="P63" s="601">
        <v>0</v>
      </c>
      <c r="Q63" s="601">
        <v>0</v>
      </c>
      <c r="R63" s="601">
        <v>0</v>
      </c>
      <c r="S63" s="601">
        <v>0</v>
      </c>
      <c r="T63" s="602">
        <v>0</v>
      </c>
      <c r="U63" s="602">
        <v>0</v>
      </c>
      <c r="V63" s="601">
        <v>0</v>
      </c>
      <c r="W63" s="601">
        <v>0</v>
      </c>
      <c r="X63" s="602">
        <v>0</v>
      </c>
      <c r="Y63" s="807">
        <f>+INDEX('[2]ADJ DETAIL-INPUT'!$1:$1048576,MATCH($A63,'[2]ADJ DETAIL-INPUT'!$A:$A,0),MATCH(Y$11,'[2]ADJ DETAIL-INPUT'!$10:$10,0))</f>
        <v>0</v>
      </c>
      <c r="Z63" s="602">
        <v>0</v>
      </c>
      <c r="AA63" s="601">
        <v>0</v>
      </c>
      <c r="AB63" s="379">
        <f>SUM(E63:AA63)</f>
        <v>390240</v>
      </c>
      <c r="AC63" s="602">
        <v>0</v>
      </c>
      <c r="AD63" s="602">
        <v>0</v>
      </c>
      <c r="AE63" s="601">
        <v>0</v>
      </c>
      <c r="AF63" s="601">
        <v>0</v>
      </c>
      <c r="AG63" s="601">
        <v>0</v>
      </c>
      <c r="AH63" s="807">
        <f>+INDEX('[2]ADJ DETAIL-INPUT'!$1:$1048576,MATCH($A63,'[2]ADJ DETAIL-INPUT'!$A:$A,0),MATCH(AH$11,'[2]ADJ DETAIL-INPUT'!$10:$10,0))</f>
        <v>0</v>
      </c>
      <c r="AI63" s="807">
        <f>+INDEX('[2]ADJ DETAIL-INPUT'!$1:$1048576,MATCH($A63,'[2]ADJ DETAIL-INPUT'!$A:$A,0),MATCH(AI$11,'[2]ADJ DETAIL-INPUT'!$10:$10,0))</f>
        <v>0</v>
      </c>
      <c r="AJ63" s="612">
        <v>0</v>
      </c>
      <c r="AK63" s="602">
        <v>0</v>
      </c>
      <c r="AL63" s="807">
        <f>+INDEX('[2]ADJ DETAIL-INPUT'!$1:$1048576,MATCH($A63,'[2]ADJ DETAIL-INPUT'!$A:$A,0),MATCH(AL$11,'[2]ADJ DETAIL-INPUT'!$10:$10,0))</f>
        <v>11460</v>
      </c>
      <c r="AM63" s="807">
        <f>+INDEX('[2]ADJ DETAIL-INPUT'!$1:$1048576,MATCH($A63,'[2]ADJ DETAIL-INPUT'!$A:$A,0),MATCH(AM$11,'[2]ADJ DETAIL-INPUT'!$10:$10,0))</f>
        <v>756</v>
      </c>
      <c r="AN63" s="807">
        <f>+INDEX('[2]ADJ DETAIL-INPUT'!$1:$1048576,MATCH($A63,'[2]ADJ DETAIL-INPUT'!$A:$A,0),MATCH(AN$11,'[2]ADJ DETAIL-INPUT'!$10:$10,0))</f>
        <v>0</v>
      </c>
      <c r="AO63" s="612">
        <v>0</v>
      </c>
      <c r="AP63" s="651">
        <f t="shared" si="174"/>
        <v>402456</v>
      </c>
      <c r="AQ63" s="612">
        <v>0</v>
      </c>
      <c r="AR63" s="612">
        <v>0</v>
      </c>
      <c r="AS63" s="602">
        <v>0</v>
      </c>
      <c r="AT63" s="602">
        <v>0</v>
      </c>
      <c r="AU63" s="601">
        <v>0</v>
      </c>
      <c r="AV63" s="601">
        <v>0</v>
      </c>
      <c r="AW63" s="601">
        <v>0</v>
      </c>
      <c r="AX63" s="651">
        <f t="shared" si="175"/>
        <v>402456</v>
      </c>
      <c r="AY63" s="612">
        <v>0</v>
      </c>
      <c r="AZ63" s="651">
        <f t="shared" si="176"/>
        <v>402456</v>
      </c>
      <c r="BA63" s="702"/>
      <c r="BB63" s="867"/>
      <c r="BC63" s="868"/>
      <c r="BD63" s="570">
        <f t="shared" si="180"/>
        <v>402456</v>
      </c>
      <c r="BE63" s="612">
        <v>0</v>
      </c>
      <c r="BF63" s="602">
        <v>0</v>
      </c>
      <c r="BG63" s="612">
        <v>0</v>
      </c>
      <c r="BH63" s="601">
        <v>0</v>
      </c>
      <c r="BI63" s="601">
        <v>0</v>
      </c>
      <c r="BJ63" s="601">
        <v>0</v>
      </c>
      <c r="BK63" s="601">
        <v>0</v>
      </c>
      <c r="BL63" s="651">
        <f t="shared" si="177"/>
        <v>402456</v>
      </c>
      <c r="BM63" s="602">
        <v>0</v>
      </c>
      <c r="BN63" s="651">
        <f t="shared" si="178"/>
        <v>402456</v>
      </c>
      <c r="BO63" s="651">
        <f t="shared" si="179"/>
        <v>0</v>
      </c>
      <c r="BQ63" s="738"/>
    </row>
    <row r="64" spans="1:70" s="589" customFormat="1">
      <c r="A64" s="590">
        <v>35</v>
      </c>
      <c r="C64" s="589" t="s">
        <v>199</v>
      </c>
      <c r="E64" s="596">
        <f>'ROO INPUT'!F63</f>
        <v>880960</v>
      </c>
      <c r="F64" s="601">
        <v>0</v>
      </c>
      <c r="G64" s="807">
        <f>+INDEX('[2]ADJ DETAIL-INPUT'!$1:$1048576,MATCH($A64,'[2]ADJ DETAIL-INPUT'!$A:$A,0),MATCH(G$11,'[2]ADJ DETAIL-INPUT'!$10:$10,0))</f>
        <v>0</v>
      </c>
      <c r="H64" s="601">
        <v>0</v>
      </c>
      <c r="I64" s="807">
        <v>0</v>
      </c>
      <c r="J64" s="601">
        <v>0</v>
      </c>
      <c r="K64" s="807">
        <f>+INDEX('[2]ADJ DETAIL-INPUT'!$1:$1048576,MATCH($A64,'[2]ADJ DETAIL-INPUT'!$A:$A,0),MATCH(K$11,'[2]ADJ DETAIL-INPUT'!$10:$10,0))</f>
        <v>0</v>
      </c>
      <c r="L64" s="601">
        <v>0</v>
      </c>
      <c r="M64" s="601">
        <v>0</v>
      </c>
      <c r="N64" s="601">
        <v>0</v>
      </c>
      <c r="O64" s="601">
        <v>0</v>
      </c>
      <c r="P64" s="601">
        <v>0</v>
      </c>
      <c r="Q64" s="601">
        <v>0</v>
      </c>
      <c r="R64" s="601">
        <v>0</v>
      </c>
      <c r="S64" s="601">
        <v>0</v>
      </c>
      <c r="T64" s="602">
        <v>0</v>
      </c>
      <c r="U64" s="602">
        <v>0</v>
      </c>
      <c r="V64" s="601">
        <v>0</v>
      </c>
      <c r="W64" s="601">
        <v>0</v>
      </c>
      <c r="X64" s="602">
        <v>0</v>
      </c>
      <c r="Y64" s="807">
        <f>+INDEX('[2]ADJ DETAIL-INPUT'!$1:$1048576,MATCH($A64,'[2]ADJ DETAIL-INPUT'!$A:$A,0),MATCH(Y$11,'[2]ADJ DETAIL-INPUT'!$10:$10,0))</f>
        <v>0</v>
      </c>
      <c r="Z64" s="602">
        <v>0</v>
      </c>
      <c r="AA64" s="601">
        <v>0</v>
      </c>
      <c r="AB64" s="379">
        <f>SUM(E64:AA64)</f>
        <v>880960</v>
      </c>
      <c r="AC64" s="602">
        <v>0</v>
      </c>
      <c r="AD64" s="602">
        <v>0</v>
      </c>
      <c r="AE64" s="601">
        <v>0</v>
      </c>
      <c r="AF64" s="601">
        <v>0</v>
      </c>
      <c r="AG64" s="601">
        <v>0</v>
      </c>
      <c r="AH64" s="807">
        <f>+INDEX('[2]ADJ DETAIL-INPUT'!$1:$1048576,MATCH($A64,'[2]ADJ DETAIL-INPUT'!$A:$A,0),MATCH(AH$11,'[2]ADJ DETAIL-INPUT'!$10:$10,0))</f>
        <v>0</v>
      </c>
      <c r="AI64" s="807">
        <f>+INDEX('[2]ADJ DETAIL-INPUT'!$1:$1048576,MATCH($A64,'[2]ADJ DETAIL-INPUT'!$A:$A,0),MATCH(AI$11,'[2]ADJ DETAIL-INPUT'!$10:$10,0))</f>
        <v>0</v>
      </c>
      <c r="AJ64" s="612">
        <v>0</v>
      </c>
      <c r="AK64" s="602">
        <v>0</v>
      </c>
      <c r="AL64" s="807">
        <f>+INDEX('[2]ADJ DETAIL-INPUT'!$1:$1048576,MATCH($A64,'[2]ADJ DETAIL-INPUT'!$A:$A,0),MATCH(AL$11,'[2]ADJ DETAIL-INPUT'!$10:$10,0))</f>
        <v>14092</v>
      </c>
      <c r="AM64" s="807">
        <f>+INDEX('[2]ADJ DETAIL-INPUT'!$1:$1048576,MATCH($A64,'[2]ADJ DETAIL-INPUT'!$A:$A,0),MATCH(AM$11,'[2]ADJ DETAIL-INPUT'!$10:$10,0))</f>
        <v>0</v>
      </c>
      <c r="AN64" s="807">
        <f>+INDEX('[2]ADJ DETAIL-INPUT'!$1:$1048576,MATCH($A64,'[2]ADJ DETAIL-INPUT'!$A:$A,0),MATCH(AN$11,'[2]ADJ DETAIL-INPUT'!$10:$10,0))</f>
        <v>0</v>
      </c>
      <c r="AO64" s="612">
        <v>0</v>
      </c>
      <c r="AP64" s="651">
        <f t="shared" si="174"/>
        <v>895052</v>
      </c>
      <c r="AQ64" s="612">
        <v>0</v>
      </c>
      <c r="AR64" s="612">
        <v>0</v>
      </c>
      <c r="AS64" s="602">
        <v>0</v>
      </c>
      <c r="AT64" s="602">
        <v>0</v>
      </c>
      <c r="AU64" s="601">
        <v>0</v>
      </c>
      <c r="AV64" s="601">
        <v>0</v>
      </c>
      <c r="AW64" s="601">
        <v>0</v>
      </c>
      <c r="AX64" s="651">
        <f t="shared" si="175"/>
        <v>895052</v>
      </c>
      <c r="AY64" s="612">
        <v>0</v>
      </c>
      <c r="AZ64" s="651">
        <f t="shared" si="176"/>
        <v>895052</v>
      </c>
      <c r="BA64" s="698"/>
      <c r="BB64" s="537" t="s">
        <v>618</v>
      </c>
      <c r="BC64" s="536">
        <v>38568</v>
      </c>
      <c r="BD64" s="570">
        <f t="shared" si="180"/>
        <v>895052</v>
      </c>
      <c r="BE64" s="612">
        <v>0</v>
      </c>
      <c r="BF64" s="602">
        <v>0</v>
      </c>
      <c r="BG64" s="612">
        <v>0</v>
      </c>
      <c r="BH64" s="601">
        <v>0</v>
      </c>
      <c r="BI64" s="601">
        <v>0</v>
      </c>
      <c r="BJ64" s="601">
        <v>0</v>
      </c>
      <c r="BK64" s="601">
        <v>0</v>
      </c>
      <c r="BL64" s="651">
        <f t="shared" si="177"/>
        <v>895052</v>
      </c>
      <c r="BM64" s="602">
        <v>0</v>
      </c>
      <c r="BN64" s="651">
        <f t="shared" si="178"/>
        <v>895052</v>
      </c>
      <c r="BO64" s="651">
        <f t="shared" si="179"/>
        <v>0</v>
      </c>
      <c r="BQ64" s="537" t="s">
        <v>618</v>
      </c>
      <c r="BR64" s="536">
        <v>48869</v>
      </c>
    </row>
    <row r="65" spans="1:70" s="589" customFormat="1">
      <c r="A65" s="590">
        <v>36</v>
      </c>
      <c r="C65" s="589" t="s">
        <v>216</v>
      </c>
      <c r="E65" s="628">
        <f>'ROO INPUT'!F64-1</f>
        <v>207659</v>
      </c>
      <c r="F65" s="614">
        <v>0</v>
      </c>
      <c r="G65" s="807">
        <f>+INDEX('[2]ADJ DETAIL-INPUT'!$1:$1048576,MATCH($A65,'[2]ADJ DETAIL-INPUT'!$A:$A,0),MATCH(G$11,'[2]ADJ DETAIL-INPUT'!$10:$10,0))</f>
        <v>0</v>
      </c>
      <c r="H65" s="614">
        <v>0</v>
      </c>
      <c r="I65" s="614">
        <v>0</v>
      </c>
      <c r="J65" s="614">
        <v>0</v>
      </c>
      <c r="K65" s="807">
        <f>+INDEX('[2]ADJ DETAIL-INPUT'!$1:$1048576,MATCH($A65,'[2]ADJ DETAIL-INPUT'!$A:$A,0),MATCH(K$11,'[2]ADJ DETAIL-INPUT'!$10:$10,0))</f>
        <v>0</v>
      </c>
      <c r="L65" s="614">
        <v>0</v>
      </c>
      <c r="M65" s="614">
        <v>0</v>
      </c>
      <c r="N65" s="614">
        <v>0</v>
      </c>
      <c r="O65" s="614">
        <v>0</v>
      </c>
      <c r="P65" s="614">
        <v>0</v>
      </c>
      <c r="Q65" s="614">
        <v>0</v>
      </c>
      <c r="R65" s="614">
        <v>0</v>
      </c>
      <c r="S65" s="614">
        <v>0</v>
      </c>
      <c r="T65" s="613">
        <v>0</v>
      </c>
      <c r="U65" s="613">
        <v>0</v>
      </c>
      <c r="V65" s="614">
        <v>0</v>
      </c>
      <c r="W65" s="614">
        <v>0</v>
      </c>
      <c r="X65" s="613">
        <v>0</v>
      </c>
      <c r="Y65" s="807">
        <f>+INDEX('[2]ADJ DETAIL-INPUT'!$1:$1048576,MATCH($A65,'[2]ADJ DETAIL-INPUT'!$A:$A,0),MATCH(Y$11,'[2]ADJ DETAIL-INPUT'!$10:$10,0))</f>
        <v>0</v>
      </c>
      <c r="Z65" s="613">
        <v>0</v>
      </c>
      <c r="AA65" s="614">
        <v>0</v>
      </c>
      <c r="AB65" s="380">
        <f>SUM(E65:AA65)</f>
        <v>207659</v>
      </c>
      <c r="AC65" s="613">
        <v>0</v>
      </c>
      <c r="AD65" s="613">
        <v>0</v>
      </c>
      <c r="AE65" s="614">
        <v>0</v>
      </c>
      <c r="AF65" s="614">
        <v>0</v>
      </c>
      <c r="AG65" s="614">
        <v>0</v>
      </c>
      <c r="AH65" s="807">
        <f>+INDEX('[2]ADJ DETAIL-INPUT'!$1:$1048576,MATCH($A65,'[2]ADJ DETAIL-INPUT'!$A:$A,0),MATCH(AH$11,'[2]ADJ DETAIL-INPUT'!$10:$10,0))</f>
        <v>0</v>
      </c>
      <c r="AI65" s="807">
        <f>+INDEX('[2]ADJ DETAIL-INPUT'!$1:$1048576,MATCH($A65,'[2]ADJ DETAIL-INPUT'!$A:$A,0),MATCH(AI$11,'[2]ADJ DETAIL-INPUT'!$10:$10,0))</f>
        <v>0</v>
      </c>
      <c r="AJ65" s="613">
        <v>0</v>
      </c>
      <c r="AK65" s="613">
        <v>0</v>
      </c>
      <c r="AL65" s="807">
        <f>+INDEX('[2]ADJ DETAIL-INPUT'!$1:$1048576,MATCH($A65,'[2]ADJ DETAIL-INPUT'!$A:$A,0),MATCH(AL$11,'[2]ADJ DETAIL-INPUT'!$10:$10,0))</f>
        <v>5066</v>
      </c>
      <c r="AM65" s="807">
        <f>+INDEX('[2]ADJ DETAIL-INPUT'!$1:$1048576,MATCH($A65,'[2]ADJ DETAIL-INPUT'!$A:$A,0),MATCH(AM$11,'[2]ADJ DETAIL-INPUT'!$10:$10,0))</f>
        <v>152</v>
      </c>
      <c r="AN65" s="807">
        <f>+INDEX('[2]ADJ DETAIL-INPUT'!$1:$1048576,MATCH($A65,'[2]ADJ DETAIL-INPUT'!$A:$A,0),MATCH(AN$11,'[2]ADJ DETAIL-INPUT'!$10:$10,0))</f>
        <v>0</v>
      </c>
      <c r="AO65" s="613">
        <v>0</v>
      </c>
      <c r="AP65" s="653">
        <f t="shared" si="174"/>
        <v>212877</v>
      </c>
      <c r="AQ65" s="613">
        <v>0</v>
      </c>
      <c r="AR65" s="613">
        <v>0</v>
      </c>
      <c r="AS65" s="613">
        <v>0</v>
      </c>
      <c r="AT65" s="613">
        <v>0</v>
      </c>
      <c r="AU65" s="614">
        <v>0</v>
      </c>
      <c r="AV65" s="614">
        <v>0</v>
      </c>
      <c r="AW65" s="614">
        <v>0</v>
      </c>
      <c r="AX65" s="653">
        <f t="shared" si="175"/>
        <v>212877</v>
      </c>
      <c r="AY65" s="613">
        <v>0</v>
      </c>
      <c r="AZ65" s="653">
        <f t="shared" si="176"/>
        <v>212877</v>
      </c>
      <c r="BA65" s="698"/>
      <c r="BB65" s="537" t="s">
        <v>663</v>
      </c>
      <c r="BC65" s="536">
        <v>40487</v>
      </c>
      <c r="BD65" s="571">
        <f t="shared" si="180"/>
        <v>212877</v>
      </c>
      <c r="BE65" s="613">
        <v>0</v>
      </c>
      <c r="BF65" s="613">
        <v>0</v>
      </c>
      <c r="BG65" s="613">
        <v>0</v>
      </c>
      <c r="BH65" s="614">
        <v>0</v>
      </c>
      <c r="BI65" s="614">
        <v>0</v>
      </c>
      <c r="BJ65" s="614">
        <v>0</v>
      </c>
      <c r="BK65" s="614">
        <v>0</v>
      </c>
      <c r="BL65" s="653">
        <f t="shared" si="177"/>
        <v>212877</v>
      </c>
      <c r="BM65" s="613">
        <v>0</v>
      </c>
      <c r="BN65" s="653">
        <f>SUM(BL65:BM65)</f>
        <v>212877</v>
      </c>
      <c r="BO65" s="653">
        <f>BN65-AZ65</f>
        <v>0</v>
      </c>
      <c r="BQ65" s="537" t="s">
        <v>663</v>
      </c>
      <c r="BR65" s="536">
        <v>50803</v>
      </c>
    </row>
    <row r="66" spans="1:70" s="589" customFormat="1">
      <c r="A66" s="590">
        <v>37</v>
      </c>
      <c r="B66" s="589" t="s">
        <v>217</v>
      </c>
      <c r="E66" s="602">
        <f t="shared" ref="E66:AJ66" si="181">SUM(E61:E65)</f>
        <v>2374570</v>
      </c>
      <c r="F66" s="601">
        <f t="shared" si="181"/>
        <v>0</v>
      </c>
      <c r="G66" s="601">
        <f t="shared" si="181"/>
        <v>0</v>
      </c>
      <c r="H66" s="601">
        <f t="shared" si="181"/>
        <v>0</v>
      </c>
      <c r="I66" s="601">
        <f t="shared" ref="I66" si="182">SUM(I61:I65)</f>
        <v>0</v>
      </c>
      <c r="J66" s="601">
        <f t="shared" si="181"/>
        <v>0</v>
      </c>
      <c r="K66" s="601">
        <f t="shared" ref="K66" si="183">SUM(K61:K65)</f>
        <v>0</v>
      </c>
      <c r="L66" s="601">
        <f t="shared" si="181"/>
        <v>0</v>
      </c>
      <c r="M66" s="601">
        <f t="shared" si="181"/>
        <v>0</v>
      </c>
      <c r="N66" s="601">
        <f t="shared" si="181"/>
        <v>0</v>
      </c>
      <c r="O66" s="601">
        <f t="shared" si="181"/>
        <v>0</v>
      </c>
      <c r="P66" s="601">
        <f t="shared" si="181"/>
        <v>0</v>
      </c>
      <c r="Q66" s="601">
        <f t="shared" si="181"/>
        <v>0</v>
      </c>
      <c r="R66" s="601">
        <f t="shared" si="181"/>
        <v>0</v>
      </c>
      <c r="S66" s="601">
        <f t="shared" si="181"/>
        <v>0</v>
      </c>
      <c r="T66" s="602">
        <f t="shared" ref="T66" si="184">SUM(T61:T65)</f>
        <v>0</v>
      </c>
      <c r="U66" s="602">
        <f>SUM(U61:U65)</f>
        <v>0</v>
      </c>
      <c r="V66" s="601">
        <f>SUM(V61:V65)</f>
        <v>0</v>
      </c>
      <c r="W66" s="601">
        <f>SUM(W61:W65)</f>
        <v>0</v>
      </c>
      <c r="X66" s="602">
        <f>SUM(X61:X65)</f>
        <v>0</v>
      </c>
      <c r="Y66" s="601">
        <f t="shared" ref="Y66" si="185">SUM(Y61:Y65)</f>
        <v>0</v>
      </c>
      <c r="Z66" s="602">
        <f>SUM(Z61:Z65)</f>
        <v>0</v>
      </c>
      <c r="AA66" s="601">
        <f>SUM(AA61:AA65)</f>
        <v>0</v>
      </c>
      <c r="AB66" s="379">
        <f t="shared" si="181"/>
        <v>2374570</v>
      </c>
      <c r="AC66" s="602">
        <f t="shared" si="181"/>
        <v>0</v>
      </c>
      <c r="AD66" s="602">
        <f t="shared" si="181"/>
        <v>0</v>
      </c>
      <c r="AE66" s="601">
        <f t="shared" si="181"/>
        <v>0</v>
      </c>
      <c r="AF66" s="601">
        <f t="shared" si="181"/>
        <v>0</v>
      </c>
      <c r="AG66" s="601">
        <f t="shared" si="181"/>
        <v>0</v>
      </c>
      <c r="AH66" s="601">
        <f t="shared" ref="AH66:AI66" si="186">SUM(AH61:AH65)</f>
        <v>0</v>
      </c>
      <c r="AI66" s="601">
        <f t="shared" si="186"/>
        <v>0</v>
      </c>
      <c r="AJ66" s="612">
        <f t="shared" si="181"/>
        <v>0</v>
      </c>
      <c r="AK66" s="602">
        <f>SUM(AK61:AK65)</f>
        <v>0</v>
      </c>
      <c r="AL66" s="601">
        <f t="shared" ref="AL66:AN66" si="187">SUM(AL61:AL65)</f>
        <v>59319</v>
      </c>
      <c r="AM66" s="601">
        <f t="shared" si="187"/>
        <v>77937</v>
      </c>
      <c r="AN66" s="601">
        <f t="shared" si="187"/>
        <v>0</v>
      </c>
      <c r="AO66" s="612">
        <f t="shared" ref="AO66" si="188">SUM(AO61:AO65)</f>
        <v>0</v>
      </c>
      <c r="AP66" s="651">
        <f t="shared" si="174"/>
        <v>2511826</v>
      </c>
      <c r="AQ66" s="612">
        <f t="shared" ref="AQ66:AR66" si="189">SUM(AQ61:AQ65)</f>
        <v>0</v>
      </c>
      <c r="AR66" s="612">
        <f t="shared" si="189"/>
        <v>0</v>
      </c>
      <c r="AS66" s="602">
        <f>SUM(AS61:AS65)</f>
        <v>0</v>
      </c>
      <c r="AT66" s="602">
        <f>SUM(AT61:AT65)</f>
        <v>0</v>
      </c>
      <c r="AU66" s="601">
        <f t="shared" ref="AU66" si="190">SUM(AU61:AU65)</f>
        <v>0</v>
      </c>
      <c r="AV66" s="601">
        <f>SUM(AV61:AV65)</f>
        <v>0</v>
      </c>
      <c r="AW66" s="601">
        <f t="shared" ref="AW66" si="191">SUM(AW61:AW65)</f>
        <v>0</v>
      </c>
      <c r="AX66" s="651">
        <f t="shared" si="175"/>
        <v>2511826</v>
      </c>
      <c r="AY66" s="612">
        <f>SUM(AY61:AY65)</f>
        <v>0</v>
      </c>
      <c r="AZ66" s="651">
        <f t="shared" si="176"/>
        <v>2511826</v>
      </c>
      <c r="BA66" s="698"/>
      <c r="BB66" s="537"/>
      <c r="BC66" s="536">
        <f>BC64-BC65</f>
        <v>-1919</v>
      </c>
      <c r="BD66" s="651">
        <f>SUM(BD61:BD65)</f>
        <v>2511826</v>
      </c>
      <c r="BE66" s="612">
        <f t="shared" ref="BE66:BF66" si="192">SUM(BE61:BE65)</f>
        <v>0</v>
      </c>
      <c r="BF66" s="602">
        <f t="shared" si="192"/>
        <v>0</v>
      </c>
      <c r="BG66" s="612">
        <f t="shared" ref="BG66:BI66" si="193">SUM(BG61:BG65)</f>
        <v>0</v>
      </c>
      <c r="BH66" s="601">
        <f t="shared" ref="BH66" si="194">SUM(BH61:BH65)</f>
        <v>0</v>
      </c>
      <c r="BI66" s="601">
        <f t="shared" si="193"/>
        <v>0</v>
      </c>
      <c r="BJ66" s="601">
        <f t="shared" ref="BJ66" si="195">SUM(BJ61:BJ65)</f>
        <v>0</v>
      </c>
      <c r="BK66" s="601">
        <f t="shared" ref="BK66" si="196">SUM(BK61:BK65)</f>
        <v>0</v>
      </c>
      <c r="BL66" s="651">
        <f t="shared" si="177"/>
        <v>2511826</v>
      </c>
      <c r="BM66" s="602">
        <f>SUM(BM61:BM65)</f>
        <v>0</v>
      </c>
      <c r="BN66" s="651">
        <f t="shared" si="178"/>
        <v>2511826</v>
      </c>
      <c r="BO66" s="651">
        <f t="shared" si="179"/>
        <v>0</v>
      </c>
      <c r="BQ66" s="537"/>
      <c r="BR66" s="536">
        <f>BR64-BR65</f>
        <v>-1934</v>
      </c>
    </row>
    <row r="67" spans="1:70" s="589" customFormat="1" ht="18" customHeight="1">
      <c r="A67" s="590"/>
      <c r="B67" s="589" t="s">
        <v>570</v>
      </c>
      <c r="E67" s="602"/>
      <c r="F67" s="601"/>
      <c r="G67" s="601"/>
      <c r="H67" s="601"/>
      <c r="I67" s="601"/>
      <c r="J67" s="601"/>
      <c r="K67" s="601"/>
      <c r="L67" s="601"/>
      <c r="M67" s="601"/>
      <c r="N67" s="601"/>
      <c r="O67" s="601"/>
      <c r="P67" s="601"/>
      <c r="Q67" s="601"/>
      <c r="R67" s="601"/>
      <c r="S67" s="601"/>
      <c r="T67" s="602"/>
      <c r="U67" s="602"/>
      <c r="V67" s="601"/>
      <c r="W67" s="601"/>
      <c r="X67" s="602"/>
      <c r="Y67" s="601"/>
      <c r="Z67" s="602"/>
      <c r="AA67" s="601"/>
      <c r="AB67" s="379"/>
      <c r="AC67" s="602">
        <v>0</v>
      </c>
      <c r="AD67" s="602">
        <v>0</v>
      </c>
      <c r="AE67" s="601">
        <v>0</v>
      </c>
      <c r="AF67" s="601">
        <v>0</v>
      </c>
      <c r="AG67" s="601">
        <v>0</v>
      </c>
      <c r="AH67" s="601"/>
      <c r="AI67" s="601"/>
      <c r="AJ67" s="612"/>
      <c r="AK67" s="602"/>
      <c r="AL67" s="601"/>
      <c r="AM67" s="601"/>
      <c r="AN67" s="601"/>
      <c r="AO67" s="612"/>
      <c r="AP67" s="651"/>
      <c r="AQ67" s="612"/>
      <c r="AR67" s="612"/>
      <c r="AS67" s="602"/>
      <c r="AT67" s="602"/>
      <c r="AU67" s="601"/>
      <c r="AV67" s="601"/>
      <c r="AW67" s="601"/>
      <c r="AX67" s="651"/>
      <c r="AY67" s="612"/>
      <c r="AZ67" s="651"/>
      <c r="BA67" s="698"/>
      <c r="BB67" s="538">
        <v>0.65</v>
      </c>
      <c r="BC67" s="536">
        <f>BC66/BB67*BB68</f>
        <v>-1830.0292553846155</v>
      </c>
      <c r="BD67" s="651"/>
      <c r="BE67" s="612"/>
      <c r="BF67" s="602"/>
      <c r="BG67" s="612"/>
      <c r="BH67" s="601"/>
      <c r="BI67" s="601"/>
      <c r="BJ67" s="601"/>
      <c r="BK67" s="601"/>
      <c r="BL67" s="651"/>
      <c r="BM67" s="602"/>
      <c r="BN67" s="651"/>
      <c r="BO67" s="651"/>
      <c r="BQ67" s="538">
        <v>0.65</v>
      </c>
      <c r="BR67" s="536">
        <f>BR66/BQ67*BQ68</f>
        <v>-1844.333809230769</v>
      </c>
    </row>
    <row r="68" spans="1:70" s="589" customFormat="1">
      <c r="A68" s="590">
        <v>38</v>
      </c>
      <c r="C68" s="588" t="s">
        <v>213</v>
      </c>
      <c r="E68" s="596">
        <f>'ROO INPUT'!F67</f>
        <v>-23450</v>
      </c>
      <c r="F68" s="601">
        <v>0</v>
      </c>
      <c r="G68" s="807">
        <f>+INDEX('[2]ADJ DETAIL-INPUT'!$1:$1048576,MATCH($A68,'[2]ADJ DETAIL-INPUT'!$A:$A,0),MATCH(G$11,'[2]ADJ DETAIL-INPUT'!$10:$10,0))</f>
        <v>0</v>
      </c>
      <c r="H68" s="601">
        <v>0</v>
      </c>
      <c r="I68" s="601">
        <v>0</v>
      </c>
      <c r="J68" s="601">
        <v>0</v>
      </c>
      <c r="K68" s="807">
        <f>+INDEX('[2]ADJ DETAIL-INPUT'!$1:$1048576,MATCH($A68,'[2]ADJ DETAIL-INPUT'!$A:$A,0),MATCH(K$11,'[2]ADJ DETAIL-INPUT'!$10:$10,0))</f>
        <v>0</v>
      </c>
      <c r="L68" s="601">
        <v>0</v>
      </c>
      <c r="M68" s="601">
        <v>0</v>
      </c>
      <c r="N68" s="601">
        <v>0</v>
      </c>
      <c r="O68" s="601">
        <v>0</v>
      </c>
      <c r="P68" s="601">
        <v>0</v>
      </c>
      <c r="Q68" s="601">
        <v>0</v>
      </c>
      <c r="R68" s="601">
        <v>0</v>
      </c>
      <c r="S68" s="601">
        <v>0</v>
      </c>
      <c r="T68" s="602">
        <v>0</v>
      </c>
      <c r="U68" s="602">
        <v>0</v>
      </c>
      <c r="V68" s="601">
        <v>0</v>
      </c>
      <c r="W68" s="601">
        <v>0</v>
      </c>
      <c r="X68" s="601">
        <v>0</v>
      </c>
      <c r="Y68" s="807">
        <f>+INDEX('[2]ADJ DETAIL-INPUT'!$1:$1048576,MATCH($A68,'[2]ADJ DETAIL-INPUT'!$A:$A,0),MATCH(Y$11,'[2]ADJ DETAIL-INPUT'!$10:$10,0))</f>
        <v>0</v>
      </c>
      <c r="Z68" s="601">
        <v>0</v>
      </c>
      <c r="AA68" s="601">
        <v>0</v>
      </c>
      <c r="AB68" s="379">
        <f>SUM(E68:AA68)</f>
        <v>-23450</v>
      </c>
      <c r="AC68" s="601">
        <v>0</v>
      </c>
      <c r="AD68" s="602">
        <v>0</v>
      </c>
      <c r="AE68" s="601">
        <v>0</v>
      </c>
      <c r="AF68" s="601">
        <v>0</v>
      </c>
      <c r="AG68" s="601">
        <v>0</v>
      </c>
      <c r="AH68" s="807">
        <f>+INDEX('[2]ADJ DETAIL-INPUT'!$1:$1048576,MATCH($A68,'[2]ADJ DETAIL-INPUT'!$A:$A,0),MATCH(AH$11,'[2]ADJ DETAIL-INPUT'!$10:$10,0))</f>
        <v>0</v>
      </c>
      <c r="AI68" s="807">
        <f>+INDEX('[2]ADJ DETAIL-INPUT'!$1:$1048576,MATCH($A68,'[2]ADJ DETAIL-INPUT'!$A:$A,0),MATCH(AI$11,'[2]ADJ DETAIL-INPUT'!$10:$10,0))</f>
        <v>0</v>
      </c>
      <c r="AJ68" s="616">
        <v>0</v>
      </c>
      <c r="AK68" s="601">
        <v>0</v>
      </c>
      <c r="AL68" s="807">
        <f>+INDEX('[2]ADJ DETAIL-INPUT'!$1:$1048576,MATCH($A68,'[2]ADJ DETAIL-INPUT'!$A:$A,0),MATCH(AL$11,'[2]ADJ DETAIL-INPUT'!$10:$10,0))</f>
        <v>-1496</v>
      </c>
      <c r="AM68" s="807">
        <f>+INDEX('[2]ADJ DETAIL-INPUT'!$1:$1048576,MATCH($A68,'[2]ADJ DETAIL-INPUT'!$A:$A,0),MATCH(AM$11,'[2]ADJ DETAIL-INPUT'!$10:$10,0))</f>
        <v>-888</v>
      </c>
      <c r="AN68" s="807">
        <f>+INDEX('[2]ADJ DETAIL-INPUT'!$1:$1048576,MATCH($A68,'[2]ADJ DETAIL-INPUT'!$A:$A,0),MATCH(AN$11,'[2]ADJ DETAIL-INPUT'!$10:$10,0))</f>
        <v>0</v>
      </c>
      <c r="AO68" s="616">
        <v>0</v>
      </c>
      <c r="AP68" s="651">
        <f t="shared" ref="AP68:AP73" si="197">SUM(AB68:AO68)</f>
        <v>-25834</v>
      </c>
      <c r="AQ68" s="616">
        <v>0</v>
      </c>
      <c r="AR68" s="616">
        <v>0</v>
      </c>
      <c r="AS68" s="601">
        <v>0</v>
      </c>
      <c r="AT68" s="601">
        <v>0</v>
      </c>
      <c r="AU68" s="601">
        <v>0</v>
      </c>
      <c r="AV68" s="601">
        <v>0</v>
      </c>
      <c r="AW68" s="601">
        <v>0</v>
      </c>
      <c r="AX68" s="651">
        <f t="shared" ref="AX68:AX73" si="198">SUM(AP68:AW68)</f>
        <v>-25834</v>
      </c>
      <c r="AY68" s="616">
        <v>0</v>
      </c>
      <c r="AZ68" s="651">
        <f t="shared" ref="AZ68:AZ73" si="199">SUM(AX68:AY68)</f>
        <v>-25834</v>
      </c>
      <c r="BA68" s="698"/>
      <c r="BB68" s="719">
        <f>'Exh. No. BGM-13R -5'!E23</f>
        <v>0.61986399999999997</v>
      </c>
      <c r="BC68" s="536"/>
      <c r="BD68" s="570">
        <f t="shared" ref="BD68:BD72" si="200">AZ68</f>
        <v>-25834</v>
      </c>
      <c r="BE68" s="616">
        <v>0</v>
      </c>
      <c r="BF68" s="602">
        <v>0</v>
      </c>
      <c r="BG68" s="616">
        <v>0</v>
      </c>
      <c r="BH68" s="601">
        <v>0</v>
      </c>
      <c r="BI68" s="601">
        <v>0</v>
      </c>
      <c r="BJ68" s="601">
        <v>0</v>
      </c>
      <c r="BK68" s="601">
        <v>0</v>
      </c>
      <c r="BL68" s="651">
        <f t="shared" ref="BL68:BL73" si="201">SUM(BD68:BK68)</f>
        <v>-25834</v>
      </c>
      <c r="BM68" s="601">
        <v>0</v>
      </c>
      <c r="BN68" s="651">
        <f t="shared" ref="BN68:BN73" si="202">SUM(BL68:BM68)</f>
        <v>-25834</v>
      </c>
      <c r="BO68" s="651">
        <f t="shared" ref="BO68:BO73" si="203">BN68-AZ68</f>
        <v>0</v>
      </c>
      <c r="BQ68" s="719">
        <f>BB68</f>
        <v>0.61986399999999997</v>
      </c>
    </row>
    <row r="69" spans="1:70" s="589" customFormat="1">
      <c r="A69" s="590">
        <v>39</v>
      </c>
      <c r="C69" s="589" t="s">
        <v>214</v>
      </c>
      <c r="E69" s="596">
        <f>'ROO INPUT'!F68</f>
        <v>-334622</v>
      </c>
      <c r="F69" s="601">
        <v>0</v>
      </c>
      <c r="G69" s="807">
        <f>+INDEX('[2]ADJ DETAIL-INPUT'!$1:$1048576,MATCH($A69,'[2]ADJ DETAIL-INPUT'!$A:$A,0),MATCH(G$11,'[2]ADJ DETAIL-INPUT'!$10:$10,0))</f>
        <v>0</v>
      </c>
      <c r="H69" s="601">
        <v>0</v>
      </c>
      <c r="I69" s="601">
        <v>0</v>
      </c>
      <c r="J69" s="601">
        <v>0</v>
      </c>
      <c r="K69" s="807">
        <f>+INDEX('[2]ADJ DETAIL-INPUT'!$1:$1048576,MATCH($A69,'[2]ADJ DETAIL-INPUT'!$A:$A,0),MATCH(K$11,'[2]ADJ DETAIL-INPUT'!$10:$10,0))</f>
        <v>0</v>
      </c>
      <c r="L69" s="601">
        <v>0</v>
      </c>
      <c r="M69" s="601">
        <v>0</v>
      </c>
      <c r="N69" s="601">
        <v>0</v>
      </c>
      <c r="O69" s="601">
        <v>0</v>
      </c>
      <c r="P69" s="601">
        <v>0</v>
      </c>
      <c r="Q69" s="601">
        <v>0</v>
      </c>
      <c r="R69" s="601">
        <v>0</v>
      </c>
      <c r="S69" s="601">
        <v>0</v>
      </c>
      <c r="T69" s="602">
        <v>0</v>
      </c>
      <c r="U69" s="602">
        <v>0</v>
      </c>
      <c r="V69" s="601">
        <v>0</v>
      </c>
      <c r="W69" s="601">
        <v>0</v>
      </c>
      <c r="X69" s="601">
        <v>0</v>
      </c>
      <c r="Y69" s="807">
        <f>+INDEX('[2]ADJ DETAIL-INPUT'!$1:$1048576,MATCH($A69,'[2]ADJ DETAIL-INPUT'!$A:$A,0),MATCH(Y$11,'[2]ADJ DETAIL-INPUT'!$10:$10,0))</f>
        <v>0</v>
      </c>
      <c r="Z69" s="601">
        <v>0</v>
      </c>
      <c r="AA69" s="601">
        <v>0</v>
      </c>
      <c r="AB69" s="379">
        <f>SUM(E69:AA69)</f>
        <v>-334622</v>
      </c>
      <c r="AC69" s="601">
        <v>0</v>
      </c>
      <c r="AD69" s="602">
        <v>0</v>
      </c>
      <c r="AE69" s="601">
        <v>0</v>
      </c>
      <c r="AF69" s="601">
        <v>0</v>
      </c>
      <c r="AG69" s="601">
        <v>0</v>
      </c>
      <c r="AH69" s="807">
        <f>+INDEX('[2]ADJ DETAIL-INPUT'!$1:$1048576,MATCH($A69,'[2]ADJ DETAIL-INPUT'!$A:$A,0),MATCH(AH$11,'[2]ADJ DETAIL-INPUT'!$10:$10,0))</f>
        <v>0</v>
      </c>
      <c r="AI69" s="807">
        <f>+INDEX('[2]ADJ DETAIL-INPUT'!$1:$1048576,MATCH($A69,'[2]ADJ DETAIL-INPUT'!$A:$A,0),MATCH(AI$11,'[2]ADJ DETAIL-INPUT'!$10:$10,0))</f>
        <v>0</v>
      </c>
      <c r="AJ69" s="616">
        <v>0</v>
      </c>
      <c r="AK69" s="601">
        <v>0</v>
      </c>
      <c r="AL69" s="807">
        <f>+INDEX('[2]ADJ DETAIL-INPUT'!$1:$1048576,MATCH($A69,'[2]ADJ DETAIL-INPUT'!$A:$A,0),MATCH(AL$11,'[2]ADJ DETAIL-INPUT'!$10:$10,0))</f>
        <v>-8277</v>
      </c>
      <c r="AM69" s="807">
        <f>+INDEX('[2]ADJ DETAIL-INPUT'!$1:$1048576,MATCH($A69,'[2]ADJ DETAIL-INPUT'!$A:$A,0),MATCH(AM$11,'[2]ADJ DETAIL-INPUT'!$10:$10,0))</f>
        <v>-1127</v>
      </c>
      <c r="AN69" s="807">
        <f>+INDEX('[2]ADJ DETAIL-INPUT'!$1:$1048576,MATCH($A69,'[2]ADJ DETAIL-INPUT'!$A:$A,0),MATCH(AN$11,'[2]ADJ DETAIL-INPUT'!$10:$10,0))</f>
        <v>0</v>
      </c>
      <c r="AO69" s="616">
        <v>0</v>
      </c>
      <c r="AP69" s="652">
        <f t="shared" si="197"/>
        <v>-344026</v>
      </c>
      <c r="AQ69" s="616">
        <v>0</v>
      </c>
      <c r="AR69" s="616">
        <v>0</v>
      </c>
      <c r="AS69" s="601">
        <v>0</v>
      </c>
      <c r="AT69" s="601">
        <v>0</v>
      </c>
      <c r="AU69" s="601">
        <v>0</v>
      </c>
      <c r="AV69" s="601">
        <v>0</v>
      </c>
      <c r="AW69" s="601">
        <v>0</v>
      </c>
      <c r="AX69" s="652">
        <f t="shared" si="198"/>
        <v>-344026</v>
      </c>
      <c r="AY69" s="616">
        <v>0</v>
      </c>
      <c r="AZ69" s="652">
        <f t="shared" si="199"/>
        <v>-344026</v>
      </c>
      <c r="BA69" s="701"/>
      <c r="BB69" s="536"/>
      <c r="BC69" s="536"/>
      <c r="BD69" s="570">
        <f t="shared" si="200"/>
        <v>-344026</v>
      </c>
      <c r="BE69" s="616">
        <v>0</v>
      </c>
      <c r="BF69" s="602">
        <v>0</v>
      </c>
      <c r="BG69" s="616">
        <v>0</v>
      </c>
      <c r="BH69" s="601">
        <v>0</v>
      </c>
      <c r="BI69" s="601">
        <v>0</v>
      </c>
      <c r="BJ69" s="601">
        <v>0</v>
      </c>
      <c r="BK69" s="601">
        <v>0</v>
      </c>
      <c r="BL69" s="652">
        <f t="shared" si="201"/>
        <v>-344026</v>
      </c>
      <c r="BM69" s="601">
        <v>0</v>
      </c>
      <c r="BN69" s="652">
        <f t="shared" si="202"/>
        <v>-344026</v>
      </c>
      <c r="BO69" s="652">
        <f t="shared" si="203"/>
        <v>0</v>
      </c>
      <c r="BQ69" s="536"/>
    </row>
    <row r="70" spans="1:70" s="589" customFormat="1">
      <c r="A70" s="590">
        <v>40</v>
      </c>
      <c r="C70" s="589" t="s">
        <v>215</v>
      </c>
      <c r="E70" s="596">
        <f>'ROO INPUT'!F69</f>
        <v>-126839</v>
      </c>
      <c r="F70" s="601">
        <v>0</v>
      </c>
      <c r="G70" s="807">
        <f>+INDEX('[2]ADJ DETAIL-INPUT'!$1:$1048576,MATCH($A70,'[2]ADJ DETAIL-INPUT'!$A:$A,0),MATCH(G$11,'[2]ADJ DETAIL-INPUT'!$10:$10,0))</f>
        <v>0</v>
      </c>
      <c r="H70" s="601">
        <v>0</v>
      </c>
      <c r="I70" s="601">
        <v>0</v>
      </c>
      <c r="J70" s="601">
        <v>0</v>
      </c>
      <c r="K70" s="807">
        <f>+INDEX('[2]ADJ DETAIL-INPUT'!$1:$1048576,MATCH($A70,'[2]ADJ DETAIL-INPUT'!$A:$A,0),MATCH(K$11,'[2]ADJ DETAIL-INPUT'!$10:$10,0))</f>
        <v>0</v>
      </c>
      <c r="L70" s="601">
        <v>0</v>
      </c>
      <c r="M70" s="601">
        <v>0</v>
      </c>
      <c r="N70" s="601">
        <v>0</v>
      </c>
      <c r="O70" s="601">
        <v>0</v>
      </c>
      <c r="P70" s="601">
        <v>0</v>
      </c>
      <c r="Q70" s="601">
        <v>0</v>
      </c>
      <c r="R70" s="601">
        <v>0</v>
      </c>
      <c r="S70" s="601">
        <v>0</v>
      </c>
      <c r="T70" s="602">
        <v>0</v>
      </c>
      <c r="U70" s="602">
        <v>0</v>
      </c>
      <c r="V70" s="601">
        <v>0</v>
      </c>
      <c r="W70" s="601">
        <v>0</v>
      </c>
      <c r="X70" s="601">
        <v>0</v>
      </c>
      <c r="Y70" s="807">
        <f>+INDEX('[2]ADJ DETAIL-INPUT'!$1:$1048576,MATCH($A70,'[2]ADJ DETAIL-INPUT'!$A:$A,0),MATCH(Y$11,'[2]ADJ DETAIL-INPUT'!$10:$10,0))</f>
        <v>0</v>
      </c>
      <c r="Z70" s="601">
        <v>0</v>
      </c>
      <c r="AA70" s="601">
        <v>0</v>
      </c>
      <c r="AB70" s="379">
        <f>SUM(E70:AA70)</f>
        <v>-126839</v>
      </c>
      <c r="AC70" s="601">
        <v>0</v>
      </c>
      <c r="AD70" s="602">
        <v>0</v>
      </c>
      <c r="AE70" s="601">
        <v>0</v>
      </c>
      <c r="AF70" s="601">
        <v>0</v>
      </c>
      <c r="AG70" s="601">
        <v>0</v>
      </c>
      <c r="AH70" s="807">
        <f>+INDEX('[2]ADJ DETAIL-INPUT'!$1:$1048576,MATCH($A70,'[2]ADJ DETAIL-INPUT'!$A:$A,0),MATCH(AH$11,'[2]ADJ DETAIL-INPUT'!$10:$10,0))</f>
        <v>0</v>
      </c>
      <c r="AI70" s="807">
        <f>+INDEX('[2]ADJ DETAIL-INPUT'!$1:$1048576,MATCH($A70,'[2]ADJ DETAIL-INPUT'!$A:$A,0),MATCH(AI$11,'[2]ADJ DETAIL-INPUT'!$10:$10,0))</f>
        <v>0</v>
      </c>
      <c r="AJ70" s="616">
        <v>0</v>
      </c>
      <c r="AK70" s="601">
        <v>0</v>
      </c>
      <c r="AL70" s="807">
        <f>+INDEX('[2]ADJ DETAIL-INPUT'!$1:$1048576,MATCH($A70,'[2]ADJ DETAIL-INPUT'!$A:$A,0),MATCH(AL$11,'[2]ADJ DETAIL-INPUT'!$10:$10,0))</f>
        <v>-3097</v>
      </c>
      <c r="AM70" s="807">
        <f>+INDEX('[2]ADJ DETAIL-INPUT'!$1:$1048576,MATCH($A70,'[2]ADJ DETAIL-INPUT'!$A:$A,0),MATCH(AM$11,'[2]ADJ DETAIL-INPUT'!$10:$10,0))</f>
        <v>-8</v>
      </c>
      <c r="AN70" s="807">
        <f>+INDEX('[2]ADJ DETAIL-INPUT'!$1:$1048576,MATCH($A70,'[2]ADJ DETAIL-INPUT'!$A:$A,0),MATCH(AN$11,'[2]ADJ DETAIL-INPUT'!$10:$10,0))</f>
        <v>0</v>
      </c>
      <c r="AO70" s="616">
        <v>0</v>
      </c>
      <c r="AP70" s="651">
        <f t="shared" si="197"/>
        <v>-129944</v>
      </c>
      <c r="AQ70" s="616">
        <v>0</v>
      </c>
      <c r="AR70" s="616">
        <v>0</v>
      </c>
      <c r="AS70" s="601">
        <v>0</v>
      </c>
      <c r="AT70" s="601">
        <v>0</v>
      </c>
      <c r="AU70" s="601">
        <v>0</v>
      </c>
      <c r="AV70" s="601">
        <v>0</v>
      </c>
      <c r="AW70" s="601">
        <v>0</v>
      </c>
      <c r="AX70" s="651">
        <f t="shared" si="198"/>
        <v>-129944</v>
      </c>
      <c r="AY70" s="616">
        <v>0</v>
      </c>
      <c r="AZ70" s="651">
        <f t="shared" si="199"/>
        <v>-129944</v>
      </c>
      <c r="BA70" s="698"/>
      <c r="BB70" s="592"/>
      <c r="BC70" s="592"/>
      <c r="BD70" s="570">
        <f t="shared" si="200"/>
        <v>-129944</v>
      </c>
      <c r="BE70" s="616">
        <v>0</v>
      </c>
      <c r="BF70" s="602">
        <v>0</v>
      </c>
      <c r="BG70" s="616">
        <v>0</v>
      </c>
      <c r="BH70" s="601">
        <v>0</v>
      </c>
      <c r="BI70" s="601">
        <v>0</v>
      </c>
      <c r="BJ70" s="601">
        <v>0</v>
      </c>
      <c r="BK70" s="601">
        <v>0</v>
      </c>
      <c r="BL70" s="651">
        <f t="shared" si="201"/>
        <v>-129944</v>
      </c>
      <c r="BM70" s="601">
        <v>0</v>
      </c>
      <c r="BN70" s="651">
        <f t="shared" si="202"/>
        <v>-129944</v>
      </c>
      <c r="BO70" s="651">
        <f t="shared" si="203"/>
        <v>0</v>
      </c>
      <c r="BP70" s="592"/>
      <c r="BQ70" s="592"/>
    </row>
    <row r="71" spans="1:70" s="589" customFormat="1">
      <c r="A71" s="590">
        <v>41</v>
      </c>
      <c r="C71" s="589" t="s">
        <v>199</v>
      </c>
      <c r="E71" s="596">
        <f>'ROO INPUT'!F70</f>
        <v>-268267</v>
      </c>
      <c r="F71" s="601">
        <v>0</v>
      </c>
      <c r="G71" s="807">
        <f>+INDEX('[2]ADJ DETAIL-INPUT'!$1:$1048576,MATCH($A71,'[2]ADJ DETAIL-INPUT'!$A:$A,0),MATCH(G$11,'[2]ADJ DETAIL-INPUT'!$10:$10,0))</f>
        <v>0</v>
      </c>
      <c r="H71" s="601">
        <v>0</v>
      </c>
      <c r="I71" s="601">
        <v>0</v>
      </c>
      <c r="J71" s="601">
        <v>0</v>
      </c>
      <c r="K71" s="807">
        <f>+INDEX('[2]ADJ DETAIL-INPUT'!$1:$1048576,MATCH($A71,'[2]ADJ DETAIL-INPUT'!$A:$A,0),MATCH(K$11,'[2]ADJ DETAIL-INPUT'!$10:$10,0))</f>
        <v>0</v>
      </c>
      <c r="L71" s="601">
        <v>0</v>
      </c>
      <c r="M71" s="601">
        <v>0</v>
      </c>
      <c r="N71" s="601">
        <v>0</v>
      </c>
      <c r="O71" s="601">
        <v>0</v>
      </c>
      <c r="P71" s="601">
        <v>0</v>
      </c>
      <c r="Q71" s="601">
        <v>0</v>
      </c>
      <c r="R71" s="601">
        <v>0</v>
      </c>
      <c r="S71" s="601">
        <v>0</v>
      </c>
      <c r="T71" s="602">
        <v>0</v>
      </c>
      <c r="U71" s="602">
        <v>0</v>
      </c>
      <c r="V71" s="601">
        <v>0</v>
      </c>
      <c r="W71" s="601">
        <v>0</v>
      </c>
      <c r="X71" s="601">
        <v>0</v>
      </c>
      <c r="Y71" s="807">
        <f>+INDEX('[2]ADJ DETAIL-INPUT'!$1:$1048576,MATCH($A71,'[2]ADJ DETAIL-INPUT'!$A:$A,0),MATCH(Y$11,'[2]ADJ DETAIL-INPUT'!$10:$10,0))</f>
        <v>0</v>
      </c>
      <c r="Z71" s="601">
        <v>0</v>
      </c>
      <c r="AA71" s="601">
        <v>0</v>
      </c>
      <c r="AB71" s="379">
        <f>SUM(E71:AA71)</f>
        <v>-268267</v>
      </c>
      <c r="AC71" s="601">
        <v>0</v>
      </c>
      <c r="AD71" s="602">
        <v>0</v>
      </c>
      <c r="AE71" s="601">
        <v>0</v>
      </c>
      <c r="AF71" s="601">
        <v>0</v>
      </c>
      <c r="AG71" s="601">
        <v>0</v>
      </c>
      <c r="AH71" s="807">
        <f>+INDEX('[2]ADJ DETAIL-INPUT'!$1:$1048576,MATCH($A71,'[2]ADJ DETAIL-INPUT'!$A:$A,0),MATCH(AH$11,'[2]ADJ DETAIL-INPUT'!$10:$10,0))</f>
        <v>0</v>
      </c>
      <c r="AI71" s="807">
        <f>+INDEX('[2]ADJ DETAIL-INPUT'!$1:$1048576,MATCH($A71,'[2]ADJ DETAIL-INPUT'!$A:$A,0),MATCH(AI$11,'[2]ADJ DETAIL-INPUT'!$10:$10,0))</f>
        <v>0</v>
      </c>
      <c r="AJ71" s="616">
        <v>0</v>
      </c>
      <c r="AK71" s="601">
        <v>0</v>
      </c>
      <c r="AL71" s="807">
        <f>+INDEX('[2]ADJ DETAIL-INPUT'!$1:$1048576,MATCH($A71,'[2]ADJ DETAIL-INPUT'!$A:$A,0),MATCH(AL$11,'[2]ADJ DETAIL-INPUT'!$10:$10,0))</f>
        <v>-5311</v>
      </c>
      <c r="AM71" s="807">
        <f>+INDEX('[2]ADJ DETAIL-INPUT'!$1:$1048576,MATCH($A71,'[2]ADJ DETAIL-INPUT'!$A:$A,0),MATCH(AM$11,'[2]ADJ DETAIL-INPUT'!$10:$10,0))</f>
        <v>0</v>
      </c>
      <c r="AN71" s="807">
        <f>+INDEX('[2]ADJ DETAIL-INPUT'!$1:$1048576,MATCH($A71,'[2]ADJ DETAIL-INPUT'!$A:$A,0),MATCH(AN$11,'[2]ADJ DETAIL-INPUT'!$10:$10,0))</f>
        <v>0</v>
      </c>
      <c r="AO71" s="616">
        <v>0</v>
      </c>
      <c r="AP71" s="651">
        <f t="shared" si="197"/>
        <v>-273578</v>
      </c>
      <c r="AQ71" s="616">
        <v>0</v>
      </c>
      <c r="AR71" s="616">
        <v>0</v>
      </c>
      <c r="AS71" s="601">
        <v>0</v>
      </c>
      <c r="AT71" s="601">
        <v>0</v>
      </c>
      <c r="AU71" s="601">
        <v>0</v>
      </c>
      <c r="AV71" s="601">
        <v>0</v>
      </c>
      <c r="AW71" s="601">
        <v>0</v>
      </c>
      <c r="AX71" s="651">
        <f t="shared" si="198"/>
        <v>-273578</v>
      </c>
      <c r="AY71" s="616">
        <v>0</v>
      </c>
      <c r="AZ71" s="651">
        <f t="shared" si="199"/>
        <v>-273578</v>
      </c>
      <c r="BA71" s="698"/>
      <c r="BB71" s="592"/>
      <c r="BC71" s="592"/>
      <c r="BD71" s="570">
        <f t="shared" si="200"/>
        <v>-273578</v>
      </c>
      <c r="BE71" s="616">
        <v>0</v>
      </c>
      <c r="BF71" s="602">
        <v>0</v>
      </c>
      <c r="BG71" s="616">
        <v>0</v>
      </c>
      <c r="BH71" s="601">
        <v>0</v>
      </c>
      <c r="BI71" s="601">
        <v>0</v>
      </c>
      <c r="BJ71" s="601">
        <v>0</v>
      </c>
      <c r="BK71" s="601">
        <v>0</v>
      </c>
      <c r="BL71" s="651">
        <f t="shared" si="201"/>
        <v>-273578</v>
      </c>
      <c r="BM71" s="601">
        <v>0</v>
      </c>
      <c r="BN71" s="651">
        <f t="shared" si="202"/>
        <v>-273578</v>
      </c>
      <c r="BO71" s="651">
        <f t="shared" si="203"/>
        <v>0</v>
      </c>
      <c r="BP71" s="592"/>
      <c r="BQ71" s="592"/>
    </row>
    <row r="72" spans="1:70" s="589" customFormat="1">
      <c r="A72" s="590">
        <v>42</v>
      </c>
      <c r="C72" s="589" t="s">
        <v>216</v>
      </c>
      <c r="E72" s="596">
        <f>'ROO INPUT'!F71</f>
        <v>-70794</v>
      </c>
      <c r="F72" s="601">
        <v>0</v>
      </c>
      <c r="G72" s="807">
        <f>+INDEX('[2]ADJ DETAIL-INPUT'!$1:$1048576,MATCH($A72,'[2]ADJ DETAIL-INPUT'!$A:$A,0),MATCH(G$11,'[2]ADJ DETAIL-INPUT'!$10:$10,0))</f>
        <v>0</v>
      </c>
      <c r="H72" s="601">
        <v>0</v>
      </c>
      <c r="I72" s="601">
        <v>0</v>
      </c>
      <c r="J72" s="601">
        <v>0</v>
      </c>
      <c r="K72" s="807">
        <f>+INDEX('[2]ADJ DETAIL-INPUT'!$1:$1048576,MATCH($A72,'[2]ADJ DETAIL-INPUT'!$A:$A,0),MATCH(K$11,'[2]ADJ DETAIL-INPUT'!$10:$10,0))</f>
        <v>0</v>
      </c>
      <c r="L72" s="601">
        <v>0</v>
      </c>
      <c r="M72" s="601">
        <v>0</v>
      </c>
      <c r="N72" s="601">
        <v>0</v>
      </c>
      <c r="O72" s="601">
        <v>0</v>
      </c>
      <c r="P72" s="601">
        <v>0</v>
      </c>
      <c r="Q72" s="601">
        <v>0</v>
      </c>
      <c r="R72" s="601">
        <v>0</v>
      </c>
      <c r="S72" s="601">
        <v>0</v>
      </c>
      <c r="T72" s="602">
        <v>0</v>
      </c>
      <c r="U72" s="602">
        <v>0</v>
      </c>
      <c r="V72" s="601">
        <v>0</v>
      </c>
      <c r="W72" s="601">
        <v>0</v>
      </c>
      <c r="X72" s="601">
        <v>0</v>
      </c>
      <c r="Y72" s="807">
        <f>+INDEX('[2]ADJ DETAIL-INPUT'!$1:$1048576,MATCH($A72,'[2]ADJ DETAIL-INPUT'!$A:$A,0),MATCH(Y$11,'[2]ADJ DETAIL-INPUT'!$10:$10,0))</f>
        <v>0</v>
      </c>
      <c r="Z72" s="601">
        <v>0</v>
      </c>
      <c r="AA72" s="601">
        <v>0</v>
      </c>
      <c r="AB72" s="379">
        <f>SUM(E72:AA72)</f>
        <v>-70794</v>
      </c>
      <c r="AC72" s="601">
        <v>0</v>
      </c>
      <c r="AD72" s="602">
        <v>0</v>
      </c>
      <c r="AE72" s="601">
        <v>0</v>
      </c>
      <c r="AF72" s="601">
        <v>0</v>
      </c>
      <c r="AG72" s="601">
        <v>0</v>
      </c>
      <c r="AH72" s="807">
        <f>+INDEX('[2]ADJ DETAIL-INPUT'!$1:$1048576,MATCH($A72,'[2]ADJ DETAIL-INPUT'!$A:$A,0),MATCH(AH$11,'[2]ADJ DETAIL-INPUT'!$10:$10,0))</f>
        <v>0</v>
      </c>
      <c r="AI72" s="807">
        <f>+INDEX('[2]ADJ DETAIL-INPUT'!$1:$1048576,MATCH($A72,'[2]ADJ DETAIL-INPUT'!$A:$A,0),MATCH(AI$11,'[2]ADJ DETAIL-INPUT'!$10:$10,0))</f>
        <v>0</v>
      </c>
      <c r="AJ72" s="614">
        <v>0</v>
      </c>
      <c r="AK72" s="601">
        <v>0</v>
      </c>
      <c r="AL72" s="807">
        <f>+INDEX('[2]ADJ DETAIL-INPUT'!$1:$1048576,MATCH($A72,'[2]ADJ DETAIL-INPUT'!$A:$A,0),MATCH(AL$11,'[2]ADJ DETAIL-INPUT'!$10:$10,0))</f>
        <v>-2251</v>
      </c>
      <c r="AM72" s="807">
        <f>+INDEX('[2]ADJ DETAIL-INPUT'!$1:$1048576,MATCH($A72,'[2]ADJ DETAIL-INPUT'!$A:$A,0),MATCH(AM$11,'[2]ADJ DETAIL-INPUT'!$10:$10,0))</f>
        <v>-5</v>
      </c>
      <c r="AN72" s="807">
        <f>+INDEX('[2]ADJ DETAIL-INPUT'!$1:$1048576,MATCH($A72,'[2]ADJ DETAIL-INPUT'!$A:$A,0),MATCH(AN$11,'[2]ADJ DETAIL-INPUT'!$10:$10,0))</f>
        <v>0</v>
      </c>
      <c r="AO72" s="614">
        <v>0</v>
      </c>
      <c r="AP72" s="653">
        <f t="shared" si="197"/>
        <v>-73050</v>
      </c>
      <c r="AQ72" s="614">
        <v>0</v>
      </c>
      <c r="AR72" s="614">
        <v>0</v>
      </c>
      <c r="AS72" s="601">
        <v>0</v>
      </c>
      <c r="AT72" s="601">
        <v>0</v>
      </c>
      <c r="AU72" s="601">
        <v>0</v>
      </c>
      <c r="AV72" s="601">
        <v>0</v>
      </c>
      <c r="AW72" s="601">
        <v>0</v>
      </c>
      <c r="AX72" s="653">
        <f t="shared" si="198"/>
        <v>-73050</v>
      </c>
      <c r="AY72" s="612"/>
      <c r="AZ72" s="653">
        <f t="shared" si="199"/>
        <v>-73050</v>
      </c>
      <c r="BA72" s="698"/>
      <c r="BB72" s="592"/>
      <c r="BC72" s="592"/>
      <c r="BD72" s="571">
        <f t="shared" si="200"/>
        <v>-73050</v>
      </c>
      <c r="BE72" s="614">
        <v>0</v>
      </c>
      <c r="BF72" s="602">
        <v>0</v>
      </c>
      <c r="BG72" s="614">
        <v>0</v>
      </c>
      <c r="BH72" s="601">
        <v>0</v>
      </c>
      <c r="BI72" s="601">
        <v>0</v>
      </c>
      <c r="BJ72" s="601">
        <v>0</v>
      </c>
      <c r="BK72" s="601">
        <v>0</v>
      </c>
      <c r="BL72" s="653">
        <f t="shared" si="201"/>
        <v>-73050</v>
      </c>
      <c r="BM72" s="601">
        <v>0</v>
      </c>
      <c r="BN72" s="653">
        <f t="shared" si="202"/>
        <v>-73050</v>
      </c>
      <c r="BO72" s="653">
        <f t="shared" si="203"/>
        <v>0</v>
      </c>
      <c r="BP72" s="592"/>
      <c r="BQ72" s="592"/>
    </row>
    <row r="73" spans="1:70" s="589" customFormat="1">
      <c r="A73" s="590">
        <v>43</v>
      </c>
      <c r="B73" s="589" t="s">
        <v>280</v>
      </c>
      <c r="E73" s="627">
        <f t="shared" ref="E73:AJ73" si="204">SUM(E68:E72)</f>
        <v>-823972</v>
      </c>
      <c r="F73" s="627">
        <f t="shared" si="204"/>
        <v>0</v>
      </c>
      <c r="G73" s="627">
        <f t="shared" si="204"/>
        <v>0</v>
      </c>
      <c r="H73" s="627">
        <f t="shared" si="204"/>
        <v>0</v>
      </c>
      <c r="I73" s="627">
        <f t="shared" ref="I73" si="205">SUM(I68:I72)</f>
        <v>0</v>
      </c>
      <c r="J73" s="627">
        <f t="shared" si="204"/>
        <v>0</v>
      </c>
      <c r="K73" s="627">
        <f t="shared" ref="K73" si="206">SUM(K68:K72)</f>
        <v>0</v>
      </c>
      <c r="L73" s="627">
        <f t="shared" si="204"/>
        <v>0</v>
      </c>
      <c r="M73" s="627">
        <f t="shared" si="204"/>
        <v>0</v>
      </c>
      <c r="N73" s="627">
        <f t="shared" si="204"/>
        <v>0</v>
      </c>
      <c r="O73" s="627">
        <f t="shared" si="204"/>
        <v>0</v>
      </c>
      <c r="P73" s="627">
        <f t="shared" si="204"/>
        <v>0</v>
      </c>
      <c r="Q73" s="627">
        <f t="shared" si="204"/>
        <v>0</v>
      </c>
      <c r="R73" s="627">
        <f t="shared" si="204"/>
        <v>0</v>
      </c>
      <c r="S73" s="627">
        <f t="shared" si="204"/>
        <v>0</v>
      </c>
      <c r="T73" s="627">
        <f t="shared" ref="T73" si="207">SUM(T68:T72)</f>
        <v>0</v>
      </c>
      <c r="U73" s="627">
        <f>SUM(U68:U72)</f>
        <v>0</v>
      </c>
      <c r="V73" s="627">
        <f>SUM(V68:V72)</f>
        <v>0</v>
      </c>
      <c r="W73" s="627">
        <f>SUM(W68:W72)</f>
        <v>0</v>
      </c>
      <c r="X73" s="627">
        <f>SUM(X68:X72)</f>
        <v>0</v>
      </c>
      <c r="Y73" s="627">
        <f t="shared" ref="Y73" si="208">SUM(Y68:Y72)</f>
        <v>0</v>
      </c>
      <c r="Z73" s="627">
        <f>SUM(Z68:Z72)</f>
        <v>0</v>
      </c>
      <c r="AA73" s="627">
        <f>SUM(AA68:AA72)</f>
        <v>0</v>
      </c>
      <c r="AB73" s="381">
        <f t="shared" si="204"/>
        <v>-823972</v>
      </c>
      <c r="AC73" s="627">
        <f t="shared" si="204"/>
        <v>0</v>
      </c>
      <c r="AD73" s="627">
        <f t="shared" si="204"/>
        <v>0</v>
      </c>
      <c r="AE73" s="627">
        <f t="shared" si="204"/>
        <v>0</v>
      </c>
      <c r="AF73" s="627">
        <f t="shared" si="204"/>
        <v>0</v>
      </c>
      <c r="AG73" s="627">
        <f t="shared" si="204"/>
        <v>0</v>
      </c>
      <c r="AH73" s="627">
        <f t="shared" ref="AH73:AI73" si="209">SUM(AH68:AH72)</f>
        <v>0</v>
      </c>
      <c r="AI73" s="627">
        <f t="shared" si="209"/>
        <v>0</v>
      </c>
      <c r="AJ73" s="620">
        <f t="shared" si="204"/>
        <v>0</v>
      </c>
      <c r="AK73" s="627">
        <f>SUM(AK68:AK72)</f>
        <v>0</v>
      </c>
      <c r="AL73" s="627">
        <f t="shared" ref="AL73:AN73" si="210">SUM(AL68:AL72)</f>
        <v>-20432</v>
      </c>
      <c r="AM73" s="627">
        <f t="shared" si="210"/>
        <v>-2028</v>
      </c>
      <c r="AN73" s="627">
        <f t="shared" si="210"/>
        <v>0</v>
      </c>
      <c r="AO73" s="620">
        <f t="shared" ref="AO73" si="211">SUM(AO68:AO72)</f>
        <v>0</v>
      </c>
      <c r="AP73" s="651">
        <f t="shared" si="197"/>
        <v>-846432</v>
      </c>
      <c r="AQ73" s="620">
        <f t="shared" ref="AQ73:AR73" si="212">SUM(AQ68:AQ72)</f>
        <v>0</v>
      </c>
      <c r="AR73" s="620">
        <f t="shared" si="212"/>
        <v>0</v>
      </c>
      <c r="AS73" s="620">
        <f>SUM(AS68:AS72)</f>
        <v>0</v>
      </c>
      <c r="AT73" s="620">
        <f>SUM(AT68:AT72)</f>
        <v>0</v>
      </c>
      <c r="AU73" s="627">
        <f t="shared" ref="AU73" si="213">SUM(AU68:AU72)</f>
        <v>0</v>
      </c>
      <c r="AV73" s="627">
        <f>SUM(AV68:AV72)</f>
        <v>0</v>
      </c>
      <c r="AW73" s="627">
        <f t="shared" ref="AW73" si="214">SUM(AW68:AW72)</f>
        <v>0</v>
      </c>
      <c r="AX73" s="651">
        <f t="shared" si="198"/>
        <v>-846432</v>
      </c>
      <c r="AY73" s="627">
        <f>SUM(AY68:AY72)</f>
        <v>0</v>
      </c>
      <c r="AZ73" s="651">
        <f t="shared" si="199"/>
        <v>-846432</v>
      </c>
      <c r="BA73" s="698"/>
      <c r="BB73" s="592"/>
      <c r="BC73" s="592"/>
      <c r="BD73" s="651">
        <f>SUM(BD68:BD72)</f>
        <v>-846432</v>
      </c>
      <c r="BE73" s="620">
        <f t="shared" ref="BE73:BF73" si="215">SUM(BE68:BE72)</f>
        <v>0</v>
      </c>
      <c r="BF73" s="627">
        <f t="shared" si="215"/>
        <v>0</v>
      </c>
      <c r="BG73" s="620">
        <f t="shared" ref="BG73:BI73" si="216">SUM(BG68:BG72)</f>
        <v>0</v>
      </c>
      <c r="BH73" s="627">
        <f t="shared" ref="BH73" si="217">SUM(BH68:BH72)</f>
        <v>0</v>
      </c>
      <c r="BI73" s="627">
        <f t="shared" si="216"/>
        <v>0</v>
      </c>
      <c r="BJ73" s="627">
        <f t="shared" ref="BJ73" si="218">SUM(BJ68:BJ72)</f>
        <v>0</v>
      </c>
      <c r="BK73" s="627">
        <f t="shared" ref="BK73" si="219">SUM(BK68:BK72)</f>
        <v>0</v>
      </c>
      <c r="BL73" s="651">
        <f t="shared" si="201"/>
        <v>-846432</v>
      </c>
      <c r="BM73" s="627">
        <f>SUM(BM68:BM72)</f>
        <v>0</v>
      </c>
      <c r="BN73" s="651">
        <f t="shared" si="202"/>
        <v>-846432</v>
      </c>
      <c r="BO73" s="651">
        <f t="shared" si="203"/>
        <v>0</v>
      </c>
      <c r="BP73" s="592"/>
      <c r="BQ73" s="592"/>
    </row>
    <row r="74" spans="1:70" s="589" customFormat="1">
      <c r="A74" s="590">
        <v>44</v>
      </c>
      <c r="B74" s="589" t="s">
        <v>281</v>
      </c>
      <c r="E74" s="627">
        <f>E66+E73</f>
        <v>1550598</v>
      </c>
      <c r="F74" s="627">
        <f t="shared" ref="F74:AA74" si="220">F66+F73</f>
        <v>0</v>
      </c>
      <c r="G74" s="627">
        <f t="shared" si="220"/>
        <v>0</v>
      </c>
      <c r="H74" s="627">
        <f t="shared" si="220"/>
        <v>0</v>
      </c>
      <c r="I74" s="627">
        <f t="shared" ref="I74" si="221">I66+I73</f>
        <v>0</v>
      </c>
      <c r="J74" s="627">
        <f t="shared" si="220"/>
        <v>0</v>
      </c>
      <c r="K74" s="627">
        <f t="shared" ref="K74" si="222">K66+K73</f>
        <v>0</v>
      </c>
      <c r="L74" s="627">
        <f t="shared" si="220"/>
        <v>0</v>
      </c>
      <c r="M74" s="627">
        <f t="shared" si="220"/>
        <v>0</v>
      </c>
      <c r="N74" s="627">
        <f t="shared" si="220"/>
        <v>0</v>
      </c>
      <c r="O74" s="627">
        <f t="shared" si="220"/>
        <v>0</v>
      </c>
      <c r="P74" s="627">
        <f t="shared" si="220"/>
        <v>0</v>
      </c>
      <c r="Q74" s="627">
        <f t="shared" si="220"/>
        <v>0</v>
      </c>
      <c r="R74" s="627">
        <f t="shared" si="220"/>
        <v>0</v>
      </c>
      <c r="S74" s="627">
        <f t="shared" si="220"/>
        <v>0</v>
      </c>
      <c r="T74" s="627">
        <f t="shared" ref="T74" si="223">T66+T73</f>
        <v>0</v>
      </c>
      <c r="U74" s="627">
        <f>U66+U73</f>
        <v>0</v>
      </c>
      <c r="V74" s="627">
        <f t="shared" si="220"/>
        <v>0</v>
      </c>
      <c r="W74" s="627">
        <f t="shared" si="220"/>
        <v>0</v>
      </c>
      <c r="X74" s="627">
        <f>X66+X73</f>
        <v>0</v>
      </c>
      <c r="Y74" s="627">
        <f t="shared" ref="Y74" si="224">Y66+Y73</f>
        <v>0</v>
      </c>
      <c r="Z74" s="627">
        <f t="shared" si="220"/>
        <v>0</v>
      </c>
      <c r="AA74" s="627">
        <f t="shared" si="220"/>
        <v>0</v>
      </c>
      <c r="AB74" s="382">
        <f>AB66+AB73</f>
        <v>1550598</v>
      </c>
      <c r="AC74" s="627">
        <f>AC66+AC73</f>
        <v>0</v>
      </c>
      <c r="AD74" s="627">
        <f t="shared" ref="AD74:AJ74" si="225">AD66+AD73</f>
        <v>0</v>
      </c>
      <c r="AE74" s="627">
        <f t="shared" si="225"/>
        <v>0</v>
      </c>
      <c r="AF74" s="627">
        <f t="shared" si="225"/>
        <v>0</v>
      </c>
      <c r="AG74" s="627">
        <f t="shared" si="225"/>
        <v>0</v>
      </c>
      <c r="AH74" s="627">
        <f t="shared" ref="AH74:AI74" si="226">AH66+AH73</f>
        <v>0</v>
      </c>
      <c r="AI74" s="627">
        <f t="shared" si="226"/>
        <v>0</v>
      </c>
      <c r="AJ74" s="612">
        <f t="shared" si="225"/>
        <v>0</v>
      </c>
      <c r="AK74" s="627">
        <f>AK66-AK73</f>
        <v>0</v>
      </c>
      <c r="AL74" s="627">
        <f t="shared" ref="AL74:AN74" si="227">AL66+AL73</f>
        <v>38887</v>
      </c>
      <c r="AM74" s="627">
        <f t="shared" si="227"/>
        <v>75909</v>
      </c>
      <c r="AN74" s="627">
        <f t="shared" si="227"/>
        <v>0</v>
      </c>
      <c r="AO74" s="612">
        <f t="shared" ref="AO74" si="228">AO66+AO73</f>
        <v>0</v>
      </c>
      <c r="AP74" s="654">
        <f>AP66+AP73</f>
        <v>1665394</v>
      </c>
      <c r="AQ74" s="612">
        <f t="shared" ref="AQ74:AY74" si="229">AQ66+AQ73</f>
        <v>0</v>
      </c>
      <c r="AR74" s="612">
        <f>AR66+AR73</f>
        <v>0</v>
      </c>
      <c r="AS74" s="612">
        <f>AS66+AS73</f>
        <v>0</v>
      </c>
      <c r="AT74" s="612">
        <f>AT66+AT73</f>
        <v>0</v>
      </c>
      <c r="AU74" s="627">
        <f t="shared" ref="AU74" si="230">AU66+AU73</f>
        <v>0</v>
      </c>
      <c r="AV74" s="627">
        <f>AV66+AV73</f>
        <v>0</v>
      </c>
      <c r="AW74" s="627">
        <f t="shared" ref="AW74" si="231">AW66+AW73</f>
        <v>0</v>
      </c>
      <c r="AX74" s="654">
        <f>AX66+AX73</f>
        <v>1665394</v>
      </c>
      <c r="AY74" s="627">
        <f t="shared" si="229"/>
        <v>0</v>
      </c>
      <c r="AZ74" s="654">
        <f>AZ66+AZ73</f>
        <v>1665394</v>
      </c>
      <c r="BA74" s="698"/>
      <c r="BB74" s="592"/>
      <c r="BC74" s="592"/>
      <c r="BD74" s="654">
        <f t="shared" ref="BD74" si="232">BD66+BD73</f>
        <v>1665394</v>
      </c>
      <c r="BE74" s="612">
        <f t="shared" ref="BE74:BF74" si="233">BE66+BE73</f>
        <v>0</v>
      </c>
      <c r="BF74" s="627">
        <f t="shared" si="233"/>
        <v>0</v>
      </c>
      <c r="BG74" s="612">
        <f t="shared" ref="BG74:BI74" si="234">BG66+BG73</f>
        <v>0</v>
      </c>
      <c r="BH74" s="627">
        <f t="shared" ref="BH74" si="235">BH66+BH73</f>
        <v>0</v>
      </c>
      <c r="BI74" s="627">
        <f t="shared" si="234"/>
        <v>0</v>
      </c>
      <c r="BJ74" s="627">
        <f t="shared" ref="BJ74" si="236">BJ66+BJ73</f>
        <v>0</v>
      </c>
      <c r="BK74" s="627">
        <f t="shared" ref="BK74" si="237">BK66+BK73</f>
        <v>0</v>
      </c>
      <c r="BL74" s="654">
        <f>BL66+BL73</f>
        <v>1665394</v>
      </c>
      <c r="BM74" s="627">
        <f>BM66-BM73</f>
        <v>0</v>
      </c>
      <c r="BN74" s="654">
        <f>BN66+BN73</f>
        <v>1665394</v>
      </c>
      <c r="BO74" s="654">
        <f>BO66+BO73</f>
        <v>0</v>
      </c>
      <c r="BP74" s="592"/>
      <c r="BQ74" s="592"/>
    </row>
    <row r="75" spans="1:70" s="589" customFormat="1" ht="6.75" customHeight="1">
      <c r="A75" s="590"/>
      <c r="E75" s="612"/>
      <c r="F75" s="612"/>
      <c r="G75" s="612"/>
      <c r="H75" s="612"/>
      <c r="I75" s="612"/>
      <c r="J75" s="612"/>
      <c r="K75" s="612"/>
      <c r="L75" s="612"/>
      <c r="M75" s="612"/>
      <c r="N75" s="612"/>
      <c r="O75" s="612"/>
      <c r="P75" s="612"/>
      <c r="Q75" s="612"/>
      <c r="R75" s="612"/>
      <c r="S75" s="612"/>
      <c r="T75" s="612"/>
      <c r="U75" s="612"/>
      <c r="V75" s="612"/>
      <c r="W75" s="612"/>
      <c r="X75" s="612"/>
      <c r="Y75" s="612"/>
      <c r="Z75" s="612"/>
      <c r="AA75" s="612"/>
      <c r="AB75" s="403"/>
      <c r="AC75" s="612"/>
      <c r="AD75" s="612"/>
      <c r="AE75" s="612"/>
      <c r="AF75" s="612"/>
      <c r="AG75" s="612"/>
      <c r="AH75" s="612"/>
      <c r="AI75" s="612"/>
      <c r="AJ75" s="612"/>
      <c r="AK75" s="612"/>
      <c r="AL75" s="612"/>
      <c r="AM75" s="612"/>
      <c r="AN75" s="612"/>
      <c r="AO75" s="612"/>
      <c r="AP75" s="651"/>
      <c r="AQ75" s="612"/>
      <c r="AR75" s="612"/>
      <c r="AS75" s="612"/>
      <c r="AT75" s="612"/>
      <c r="AU75" s="612"/>
      <c r="AV75" s="612"/>
      <c r="AW75" s="612"/>
      <c r="AX75" s="651"/>
      <c r="AY75" s="612"/>
      <c r="AZ75" s="651"/>
      <c r="BA75" s="698"/>
      <c r="BB75" s="592"/>
      <c r="BC75" s="592"/>
      <c r="BD75" s="651"/>
      <c r="BE75" s="612"/>
      <c r="BF75" s="612"/>
      <c r="BG75" s="612"/>
      <c r="BH75" s="612"/>
      <c r="BI75" s="612"/>
      <c r="BJ75" s="612"/>
      <c r="BK75" s="612"/>
      <c r="BL75" s="651"/>
      <c r="BM75" s="612"/>
      <c r="BN75" s="651"/>
      <c r="BO75" s="651"/>
      <c r="BP75" s="592"/>
      <c r="BQ75" s="592"/>
    </row>
    <row r="76" spans="1:70" s="589" customFormat="1">
      <c r="A76" s="591">
        <v>45</v>
      </c>
      <c r="B76" s="589" t="s">
        <v>219</v>
      </c>
      <c r="E76" s="613">
        <f>'ROO INPUT'!F75-1</f>
        <v>-294027</v>
      </c>
      <c r="F76" s="614">
        <v>-6556</v>
      </c>
      <c r="G76" s="808">
        <f>+INDEX('[2]ADJ DETAIL-INPUT'!$1:$1048576,MATCH($A76,'[2]ADJ DETAIL-INPUT'!$A:$A,0),MATCH(G$11,'[2]ADJ DETAIL-INPUT'!$10:$10,0))</f>
        <v>0</v>
      </c>
      <c r="H76" s="614">
        <v>0</v>
      </c>
      <c r="I76" s="614">
        <v>0</v>
      </c>
      <c r="J76" s="614">
        <v>0</v>
      </c>
      <c r="K76" s="808">
        <f>+INDEX('[2]ADJ DETAIL-INPUT'!$1:$1048576,MATCH($A76,'[2]ADJ DETAIL-INPUT'!$A:$A,0),MATCH(K$11,'[2]ADJ DETAIL-INPUT'!$10:$10,0))</f>
        <v>0</v>
      </c>
      <c r="L76" s="614">
        <v>0</v>
      </c>
      <c r="M76" s="614">
        <v>0</v>
      </c>
      <c r="N76" s="614">
        <v>0</v>
      </c>
      <c r="O76" s="614">
        <v>0</v>
      </c>
      <c r="P76" s="614">
        <v>0</v>
      </c>
      <c r="Q76" s="614">
        <v>0</v>
      </c>
      <c r="R76" s="614">
        <v>0</v>
      </c>
      <c r="S76" s="614">
        <v>0</v>
      </c>
      <c r="T76" s="613">
        <v>0</v>
      </c>
      <c r="U76" s="613">
        <v>0</v>
      </c>
      <c r="V76" s="614">
        <v>0</v>
      </c>
      <c r="W76" s="614">
        <v>0</v>
      </c>
      <c r="X76" s="613">
        <v>0</v>
      </c>
      <c r="Y76" s="808">
        <f>+INDEX('[2]ADJ DETAIL-INPUT'!$1:$1048576,MATCH($A76,'[2]ADJ DETAIL-INPUT'!$A:$A,0),MATCH(Y$11,'[2]ADJ DETAIL-INPUT'!$10:$10,0))</f>
        <v>0</v>
      </c>
      <c r="Z76" s="613">
        <v>0</v>
      </c>
      <c r="AA76" s="614">
        <v>0</v>
      </c>
      <c r="AB76" s="380">
        <f>SUM(E76:AA76)</f>
        <v>-300583</v>
      </c>
      <c r="AC76" s="613">
        <v>0</v>
      </c>
      <c r="AD76" s="613">
        <v>0</v>
      </c>
      <c r="AE76" s="614">
        <v>0</v>
      </c>
      <c r="AF76" s="614">
        <v>0</v>
      </c>
      <c r="AG76" s="614">
        <v>0</v>
      </c>
      <c r="AH76" s="808">
        <f>+INDEX('[2]ADJ DETAIL-INPUT'!$1:$1048576,MATCH($A76,'[2]ADJ DETAIL-INPUT'!$A:$A,0),MATCH(AH$11,'[2]ADJ DETAIL-INPUT'!$10:$10,0))</f>
        <v>0</v>
      </c>
      <c r="AI76" s="808">
        <f>+INDEX('[2]ADJ DETAIL-INPUT'!$1:$1048576,MATCH($A76,'[2]ADJ DETAIL-INPUT'!$A:$A,0),MATCH(AI$11,'[2]ADJ DETAIL-INPUT'!$10:$10,0))</f>
        <v>0</v>
      </c>
      <c r="AJ76" s="613">
        <v>0</v>
      </c>
      <c r="AK76" s="613">
        <v>0</v>
      </c>
      <c r="AL76" s="808">
        <f>+INDEX('[2]ADJ DETAIL-INPUT'!$1:$1048576,MATCH($A76,'[2]ADJ DETAIL-INPUT'!$A:$A,0),MATCH(AL$11,'[2]ADJ DETAIL-INPUT'!$10:$10,0))</f>
        <v>-17278</v>
      </c>
      <c r="AM76" s="808">
        <f>+INDEX('[2]ADJ DETAIL-INPUT'!$1:$1048576,MATCH($A76,'[2]ADJ DETAIL-INPUT'!$A:$A,0),MATCH(AM$11,'[2]ADJ DETAIL-INPUT'!$10:$10,0))</f>
        <v>-15078</v>
      </c>
      <c r="AN76" s="808">
        <f>+INDEX('[2]ADJ DETAIL-INPUT'!$1:$1048576,MATCH($A76,'[2]ADJ DETAIL-INPUT'!$A:$A,0),MATCH(AN$11,'[2]ADJ DETAIL-INPUT'!$10:$10,0))</f>
        <v>0</v>
      </c>
      <c r="AO76" s="613">
        <v>0</v>
      </c>
      <c r="AP76" s="653">
        <f>SUM(AB76:AO76)</f>
        <v>-332939</v>
      </c>
      <c r="AQ76" s="613">
        <v>0</v>
      </c>
      <c r="AR76" s="613">
        <v>0</v>
      </c>
      <c r="AS76" s="613">
        <v>0</v>
      </c>
      <c r="AT76" s="613">
        <v>0</v>
      </c>
      <c r="AU76" s="614">
        <v>0</v>
      </c>
      <c r="AV76" s="614">
        <v>0</v>
      </c>
      <c r="AW76" s="614">
        <v>0</v>
      </c>
      <c r="AX76" s="653">
        <f>SUM(AP76:AW76)</f>
        <v>-332939</v>
      </c>
      <c r="AY76" s="613">
        <v>0</v>
      </c>
      <c r="AZ76" s="653">
        <f>SUM(AX76:AY76)</f>
        <v>-332939</v>
      </c>
      <c r="BA76" s="698"/>
      <c r="BB76" s="592"/>
      <c r="BC76" s="592"/>
      <c r="BD76" s="653">
        <f>AZ76</f>
        <v>-332939</v>
      </c>
      <c r="BE76" s="613">
        <v>0</v>
      </c>
      <c r="BF76" s="613">
        <v>0</v>
      </c>
      <c r="BG76" s="613">
        <v>0</v>
      </c>
      <c r="BH76" s="614">
        <v>0</v>
      </c>
      <c r="BI76" s="614">
        <v>0</v>
      </c>
      <c r="BJ76" s="614">
        <v>0</v>
      </c>
      <c r="BK76" s="614">
        <v>0</v>
      </c>
      <c r="BL76" s="653">
        <f>SUM(BD76:BK76)</f>
        <v>-332939</v>
      </c>
      <c r="BM76" s="613">
        <v>0</v>
      </c>
      <c r="BN76" s="653">
        <f>SUM(BL76:BM76)</f>
        <v>-332939</v>
      </c>
      <c r="BO76" s="653">
        <f>BN76-AZ76</f>
        <v>0</v>
      </c>
      <c r="BP76" s="592"/>
      <c r="BQ76" s="592"/>
    </row>
    <row r="77" spans="1:70" s="589" customFormat="1">
      <c r="A77" s="591">
        <v>46</v>
      </c>
      <c r="C77" s="589" t="s">
        <v>571</v>
      </c>
      <c r="E77" s="612">
        <f>SUM(E74:E76)</f>
        <v>1256571</v>
      </c>
      <c r="F77" s="612">
        <f t="shared" ref="F77:AZ77" si="238">SUM(F74:F76)</f>
        <v>-6556</v>
      </c>
      <c r="G77" s="612">
        <f t="shared" si="238"/>
        <v>0</v>
      </c>
      <c r="H77" s="612">
        <f t="shared" si="238"/>
        <v>0</v>
      </c>
      <c r="I77" s="612">
        <f t="shared" ref="I77" si="239">SUM(I74:I76)</f>
        <v>0</v>
      </c>
      <c r="J77" s="612">
        <f t="shared" si="238"/>
        <v>0</v>
      </c>
      <c r="K77" s="612">
        <f t="shared" ref="K77" si="240">SUM(K74:K76)</f>
        <v>0</v>
      </c>
      <c r="L77" s="612">
        <f t="shared" si="238"/>
        <v>0</v>
      </c>
      <c r="M77" s="612">
        <f t="shared" si="238"/>
        <v>0</v>
      </c>
      <c r="N77" s="612">
        <f t="shared" si="238"/>
        <v>0</v>
      </c>
      <c r="O77" s="612">
        <f t="shared" si="238"/>
        <v>0</v>
      </c>
      <c r="P77" s="612">
        <f t="shared" si="238"/>
        <v>0</v>
      </c>
      <c r="Q77" s="612">
        <f t="shared" si="238"/>
        <v>0</v>
      </c>
      <c r="R77" s="612">
        <f t="shared" si="238"/>
        <v>0</v>
      </c>
      <c r="S77" s="612">
        <f t="shared" si="238"/>
        <v>0</v>
      </c>
      <c r="T77" s="612">
        <f t="shared" ref="T77" si="241">SUM(T74:T76)</f>
        <v>0</v>
      </c>
      <c r="U77" s="612">
        <f>SUM(U74:U76)</f>
        <v>0</v>
      </c>
      <c r="V77" s="612">
        <f>SUM(V74:V76)</f>
        <v>0</v>
      </c>
      <c r="W77" s="612">
        <f>SUM(W74:W76)</f>
        <v>0</v>
      </c>
      <c r="X77" s="612">
        <f>SUM(X74:X76)</f>
        <v>0</v>
      </c>
      <c r="Y77" s="612">
        <f t="shared" ref="Y77" si="242">SUM(Y74:Y76)</f>
        <v>0</v>
      </c>
      <c r="Z77" s="612">
        <f>SUM(Z74:Z76)</f>
        <v>0</v>
      </c>
      <c r="AA77" s="612">
        <f>SUM(AA74:AA76)</f>
        <v>0</v>
      </c>
      <c r="AB77" s="403">
        <f t="shared" si="238"/>
        <v>1250015</v>
      </c>
      <c r="AC77" s="612">
        <f t="shared" si="238"/>
        <v>0</v>
      </c>
      <c r="AD77" s="612">
        <f t="shared" si="238"/>
        <v>0</v>
      </c>
      <c r="AE77" s="612">
        <f t="shared" si="238"/>
        <v>0</v>
      </c>
      <c r="AF77" s="612">
        <f t="shared" si="238"/>
        <v>0</v>
      </c>
      <c r="AG77" s="612">
        <f t="shared" si="238"/>
        <v>0</v>
      </c>
      <c r="AH77" s="612">
        <f t="shared" ref="AH77:AI77" si="243">SUM(AH74:AH76)</f>
        <v>0</v>
      </c>
      <c r="AI77" s="612">
        <f t="shared" si="243"/>
        <v>0</v>
      </c>
      <c r="AJ77" s="612">
        <f t="shared" si="238"/>
        <v>0</v>
      </c>
      <c r="AK77" s="612">
        <f>SUM(AK74:AK76)</f>
        <v>0</v>
      </c>
      <c r="AL77" s="612">
        <f t="shared" ref="AL77:AN77" si="244">SUM(AL74:AL76)</f>
        <v>21609</v>
      </c>
      <c r="AM77" s="612">
        <f t="shared" si="244"/>
        <v>60831</v>
      </c>
      <c r="AN77" s="612">
        <f t="shared" si="244"/>
        <v>0</v>
      </c>
      <c r="AO77" s="612">
        <f t="shared" ref="AO77" si="245">SUM(AO74:AO76)</f>
        <v>0</v>
      </c>
      <c r="AP77" s="651">
        <f>SUM(AP74:AP76)</f>
        <v>1332455</v>
      </c>
      <c r="AQ77" s="612">
        <f t="shared" ref="AQ77" si="246">SUM(AQ74:AQ76)</f>
        <v>0</v>
      </c>
      <c r="AR77" s="612">
        <f t="shared" si="238"/>
        <v>0</v>
      </c>
      <c r="AS77" s="612">
        <f>SUM(AS74:AS76)</f>
        <v>0</v>
      </c>
      <c r="AT77" s="612">
        <f>SUM(AT74:AT76)</f>
        <v>0</v>
      </c>
      <c r="AU77" s="612">
        <f t="shared" ref="AU77:AV77" si="247">SUM(AU74:AU76)</f>
        <v>0</v>
      </c>
      <c r="AV77" s="612">
        <f t="shared" si="247"/>
        <v>0</v>
      </c>
      <c r="AW77" s="612">
        <f t="shared" ref="AW77" si="248">SUM(AW74:AW76)</f>
        <v>0</v>
      </c>
      <c r="AX77" s="651">
        <f t="shared" ref="AX77:AY77" si="249">SUM(AX74:AX76)</f>
        <v>1332455</v>
      </c>
      <c r="AY77" s="612">
        <f t="shared" si="249"/>
        <v>0</v>
      </c>
      <c r="AZ77" s="651">
        <f t="shared" si="238"/>
        <v>1332455</v>
      </c>
      <c r="BA77" s="698"/>
      <c r="BB77" s="592"/>
      <c r="BC77" s="592"/>
      <c r="BD77" s="651">
        <f t="shared" ref="BD77" si="250">SUM(BD74:BD76)</f>
        <v>1332455</v>
      </c>
      <c r="BE77" s="612">
        <f t="shared" ref="BE77:BF77" si="251">SUM(BE74:BE76)</f>
        <v>0</v>
      </c>
      <c r="BF77" s="612">
        <f t="shared" si="251"/>
        <v>0</v>
      </c>
      <c r="BG77" s="612">
        <f t="shared" ref="BG77:BI77" si="252">SUM(BG74:BG76)</f>
        <v>0</v>
      </c>
      <c r="BH77" s="612">
        <f t="shared" ref="BH77" si="253">SUM(BH74:BH76)</f>
        <v>0</v>
      </c>
      <c r="BI77" s="612">
        <f t="shared" si="252"/>
        <v>0</v>
      </c>
      <c r="BJ77" s="612">
        <f t="shared" ref="BJ77" si="254">SUM(BJ74:BJ76)</f>
        <v>0</v>
      </c>
      <c r="BK77" s="612">
        <f t="shared" ref="BK77" si="255">SUM(BK74:BK76)</f>
        <v>0</v>
      </c>
      <c r="BL77" s="651">
        <f t="shared" ref="BL77:BN77" si="256">SUM(BL74:BL76)</f>
        <v>1332455</v>
      </c>
      <c r="BM77" s="612">
        <f>SUM(BM74:BM76)</f>
        <v>0</v>
      </c>
      <c r="BN77" s="651">
        <f t="shared" si="256"/>
        <v>1332455</v>
      </c>
      <c r="BO77" s="651">
        <f t="shared" ref="BO77" si="257">SUM(BO74:BO76)</f>
        <v>0</v>
      </c>
      <c r="BP77" s="592"/>
      <c r="BQ77" s="592"/>
    </row>
    <row r="78" spans="1:70" s="589" customFormat="1">
      <c r="A78" s="590">
        <v>47</v>
      </c>
      <c r="B78" s="589" t="s">
        <v>671</v>
      </c>
      <c r="E78" s="612">
        <f>'ROO INPUT'!F77+2</f>
        <v>8204</v>
      </c>
      <c r="F78" s="601">
        <v>0</v>
      </c>
      <c r="G78" s="807">
        <f>+INDEX('[2]ADJ DETAIL-INPUT'!$1:$1048576,MATCH($A78,'[2]ADJ DETAIL-INPUT'!$A:$A,0),MATCH(G$11,'[2]ADJ DETAIL-INPUT'!$10:$10,0))</f>
        <v>-6302</v>
      </c>
      <c r="H78" s="601">
        <v>0</v>
      </c>
      <c r="I78" s="601">
        <v>0</v>
      </c>
      <c r="J78" s="601">
        <v>0</v>
      </c>
      <c r="K78" s="807">
        <f>+INDEX('[2]ADJ DETAIL-INPUT'!$1:$1048576,MATCH($A78,'[2]ADJ DETAIL-INPUT'!$A:$A,0),MATCH(K$11,'[2]ADJ DETAIL-INPUT'!$10:$10,0))</f>
        <v>0</v>
      </c>
      <c r="L78" s="601">
        <v>0</v>
      </c>
      <c r="M78" s="601">
        <v>0</v>
      </c>
      <c r="N78" s="601">
        <v>0</v>
      </c>
      <c r="O78" s="601">
        <v>0</v>
      </c>
      <c r="P78" s="601">
        <v>0</v>
      </c>
      <c r="Q78" s="601">
        <v>0</v>
      </c>
      <c r="R78" s="601">
        <v>0</v>
      </c>
      <c r="S78" s="601">
        <v>0</v>
      </c>
      <c r="T78" s="602">
        <v>0</v>
      </c>
      <c r="U78" s="602">
        <v>0</v>
      </c>
      <c r="V78" s="601">
        <v>0</v>
      </c>
      <c r="W78" s="601">
        <v>0</v>
      </c>
      <c r="X78" s="602">
        <v>0</v>
      </c>
      <c r="Y78" s="807">
        <f>+INDEX('[2]ADJ DETAIL-INPUT'!$1:$1048576,MATCH($A78,'[2]ADJ DETAIL-INPUT'!$A:$A,0),MATCH(Y$11,'[2]ADJ DETAIL-INPUT'!$10:$10,0))</f>
        <v>0</v>
      </c>
      <c r="Z78" s="602">
        <v>0</v>
      </c>
      <c r="AA78" s="601">
        <v>0</v>
      </c>
      <c r="AB78" s="379">
        <f>SUM(E78:AA78)</f>
        <v>1902</v>
      </c>
      <c r="AC78" s="602">
        <v>0</v>
      </c>
      <c r="AD78" s="602">
        <v>0</v>
      </c>
      <c r="AE78" s="601">
        <v>0</v>
      </c>
      <c r="AF78" s="601">
        <v>0</v>
      </c>
      <c r="AG78" s="601">
        <v>0</v>
      </c>
      <c r="AH78" s="807">
        <f>+INDEX('[2]ADJ DETAIL-INPUT'!$1:$1048576,MATCH($A78,'[2]ADJ DETAIL-INPUT'!$A:$A,0),MATCH(AH$11,'[2]ADJ DETAIL-INPUT'!$10:$10,0))</f>
        <v>0</v>
      </c>
      <c r="AI78" s="807">
        <f>+INDEX('[2]ADJ DETAIL-INPUT'!$1:$1048576,MATCH($A78,'[2]ADJ DETAIL-INPUT'!$A:$A,0),MATCH(AI$11,'[2]ADJ DETAIL-INPUT'!$10:$10,0))</f>
        <v>0</v>
      </c>
      <c r="AJ78" s="612">
        <v>0</v>
      </c>
      <c r="AK78" s="602">
        <v>0</v>
      </c>
      <c r="AL78" s="807">
        <f>+INDEX('[2]ADJ DETAIL-INPUT'!$1:$1048576,MATCH($A78,'[2]ADJ DETAIL-INPUT'!$A:$A,0),MATCH(AL$11,'[2]ADJ DETAIL-INPUT'!$10:$10,0))</f>
        <v>0</v>
      </c>
      <c r="AM78" s="807">
        <f>+INDEX('[2]ADJ DETAIL-INPUT'!$1:$1048576,MATCH($A78,'[2]ADJ DETAIL-INPUT'!$A:$A,0),MATCH(AM$11,'[2]ADJ DETAIL-INPUT'!$10:$10,0))</f>
        <v>0</v>
      </c>
      <c r="AN78" s="807">
        <f>+INDEX('[2]ADJ DETAIL-INPUT'!$1:$1048576,MATCH($A78,'[2]ADJ DETAIL-INPUT'!$A:$A,0),MATCH(AN$11,'[2]ADJ DETAIL-INPUT'!$10:$10,0))</f>
        <v>0</v>
      </c>
      <c r="AO78" s="612">
        <v>0</v>
      </c>
      <c r="AP78" s="651">
        <f>SUM(AB78:AO78)</f>
        <v>1902</v>
      </c>
      <c r="AQ78" s="612">
        <v>0</v>
      </c>
      <c r="AR78" s="612">
        <v>0</v>
      </c>
      <c r="AS78" s="602">
        <v>0</v>
      </c>
      <c r="AT78" s="602">
        <v>0</v>
      </c>
      <c r="AU78" s="601">
        <v>0</v>
      </c>
      <c r="AV78" s="601">
        <v>0</v>
      </c>
      <c r="AW78" s="601">
        <v>0</v>
      </c>
      <c r="AX78" s="651">
        <f>SUM(AP78:AW78)</f>
        <v>1902</v>
      </c>
      <c r="AY78" s="612">
        <v>0</v>
      </c>
      <c r="AZ78" s="651">
        <f>SUM(AX78:AY78)</f>
        <v>1902</v>
      </c>
      <c r="BA78" s="698"/>
      <c r="BB78" s="592"/>
      <c r="BC78" s="592"/>
      <c r="BD78" s="651">
        <f>AZ78</f>
        <v>1902</v>
      </c>
      <c r="BE78" s="612">
        <v>0</v>
      </c>
      <c r="BF78" s="602">
        <v>0</v>
      </c>
      <c r="BG78" s="612">
        <v>0</v>
      </c>
      <c r="BH78" s="601">
        <v>0</v>
      </c>
      <c r="BI78" s="601">
        <v>0</v>
      </c>
      <c r="BJ78" s="601">
        <v>0</v>
      </c>
      <c r="BK78" s="601">
        <v>0</v>
      </c>
      <c r="BL78" s="651">
        <f>SUM(BD78:BK78)</f>
        <v>1902</v>
      </c>
      <c r="BM78" s="602">
        <v>0</v>
      </c>
      <c r="BN78" s="651">
        <f>SUM(BL78:BM78)</f>
        <v>1902</v>
      </c>
      <c r="BO78" s="651">
        <f>BN78-AZ78</f>
        <v>0</v>
      </c>
      <c r="BP78" s="592"/>
      <c r="BQ78" s="592"/>
    </row>
    <row r="79" spans="1:70" s="589" customFormat="1" ht="12.75" thickBot="1">
      <c r="A79" s="590">
        <v>48</v>
      </c>
      <c r="B79" s="589" t="s">
        <v>265</v>
      </c>
      <c r="E79" s="613">
        <f>'ROO INPUT'!F78</f>
        <v>44420</v>
      </c>
      <c r="F79" s="614">
        <v>0</v>
      </c>
      <c r="G79" s="614">
        <v>0</v>
      </c>
      <c r="H79" s="614">
        <v>4352</v>
      </c>
      <c r="I79" s="614">
        <v>0</v>
      </c>
      <c r="J79" s="614">
        <v>0</v>
      </c>
      <c r="K79" s="614">
        <v>0</v>
      </c>
      <c r="L79" s="614">
        <v>0</v>
      </c>
      <c r="M79" s="614">
        <v>0</v>
      </c>
      <c r="N79" s="614">
        <v>0</v>
      </c>
      <c r="O79" s="614">
        <v>0</v>
      </c>
      <c r="P79" s="614">
        <v>0</v>
      </c>
      <c r="Q79" s="614">
        <v>0</v>
      </c>
      <c r="R79" s="614">
        <v>0</v>
      </c>
      <c r="S79" s="614">
        <v>0</v>
      </c>
      <c r="T79" s="613">
        <v>0</v>
      </c>
      <c r="U79" s="613">
        <v>0</v>
      </c>
      <c r="V79" s="614">
        <v>0</v>
      </c>
      <c r="W79" s="614">
        <v>0</v>
      </c>
      <c r="X79" s="613">
        <v>0</v>
      </c>
      <c r="Y79" s="614">
        <v>0</v>
      </c>
      <c r="Z79" s="613">
        <v>0</v>
      </c>
      <c r="AA79" s="614">
        <v>0</v>
      </c>
      <c r="AB79" s="380">
        <f>SUM(E79:AA79)</f>
        <v>48772</v>
      </c>
      <c r="AC79" s="613">
        <v>0</v>
      </c>
      <c r="AD79" s="613">
        <v>0</v>
      </c>
      <c r="AE79" s="614">
        <v>0</v>
      </c>
      <c r="AF79" s="614">
        <v>0</v>
      </c>
      <c r="AG79" s="614">
        <v>0</v>
      </c>
      <c r="AH79" s="614">
        <v>0</v>
      </c>
      <c r="AI79" s="614">
        <v>0</v>
      </c>
      <c r="AJ79" s="613">
        <v>0</v>
      </c>
      <c r="AK79" s="613">
        <v>0</v>
      </c>
      <c r="AL79" s="614">
        <v>0</v>
      </c>
      <c r="AM79" s="614">
        <v>0</v>
      </c>
      <c r="AN79" s="614">
        <v>0</v>
      </c>
      <c r="AO79" s="613">
        <v>0</v>
      </c>
      <c r="AP79" s="653">
        <f>SUM(AB79:AO79)</f>
        <v>48772</v>
      </c>
      <c r="AQ79" s="613">
        <v>0</v>
      </c>
      <c r="AR79" s="613">
        <v>0</v>
      </c>
      <c r="AS79" s="613">
        <v>0</v>
      </c>
      <c r="AT79" s="613">
        <v>0</v>
      </c>
      <c r="AU79" s="614">
        <v>0</v>
      </c>
      <c r="AV79" s="614">
        <v>0</v>
      </c>
      <c r="AW79" s="614">
        <v>0</v>
      </c>
      <c r="AX79" s="653">
        <f>SUM(AP79:AW79)</f>
        <v>48772</v>
      </c>
      <c r="AY79" s="613">
        <v>0</v>
      </c>
      <c r="AZ79" s="653">
        <f>SUM(AX79:AY79)</f>
        <v>48772</v>
      </c>
      <c r="BA79" s="698"/>
      <c r="BB79" s="619"/>
      <c r="BC79" s="602"/>
      <c r="BD79" s="653">
        <f>AZ79</f>
        <v>48772</v>
      </c>
      <c r="BE79" s="613">
        <v>0</v>
      </c>
      <c r="BF79" s="613">
        <v>0</v>
      </c>
      <c r="BG79" s="613">
        <v>0</v>
      </c>
      <c r="BH79" s="614">
        <v>0</v>
      </c>
      <c r="BI79" s="614">
        <v>0</v>
      </c>
      <c r="BJ79" s="614">
        <v>0</v>
      </c>
      <c r="BK79" s="614">
        <v>0</v>
      </c>
      <c r="BL79" s="653">
        <f>SUM(BD79:BK79)</f>
        <v>48772</v>
      </c>
      <c r="BM79" s="613">
        <v>0</v>
      </c>
      <c r="BN79" s="653">
        <f>SUM(BL79:BM79)</f>
        <v>48772</v>
      </c>
      <c r="BO79" s="653">
        <f>BN79-AZ79</f>
        <v>0</v>
      </c>
      <c r="BP79" s="619"/>
      <c r="BQ79" s="602"/>
    </row>
    <row r="80" spans="1:70" s="589" customFormat="1" ht="12.75">
      <c r="A80" s="591"/>
      <c r="E80" s="612"/>
      <c r="F80" s="601"/>
      <c r="G80" s="601"/>
      <c r="H80" s="601"/>
      <c r="I80" s="601"/>
      <c r="J80" s="601"/>
      <c r="K80" s="601"/>
      <c r="L80" s="601"/>
      <c r="M80" s="601"/>
      <c r="N80" s="601"/>
      <c r="O80" s="601"/>
      <c r="P80" s="601"/>
      <c r="Q80" s="601"/>
      <c r="R80" s="601"/>
      <c r="S80" s="601"/>
      <c r="T80" s="602"/>
      <c r="U80" s="602"/>
      <c r="V80" s="601"/>
      <c r="W80" s="601"/>
      <c r="X80" s="602"/>
      <c r="Y80" s="601"/>
      <c r="Z80" s="602"/>
      <c r="AA80" s="601"/>
      <c r="AB80" s="600"/>
      <c r="AC80" s="602"/>
      <c r="AD80" s="602"/>
      <c r="AE80" s="601"/>
      <c r="AF80" s="601"/>
      <c r="AG80" s="601"/>
      <c r="AH80" s="601"/>
      <c r="AI80" s="601"/>
      <c r="AJ80" s="612"/>
      <c r="AK80" s="602"/>
      <c r="AL80" s="612"/>
      <c r="AM80" s="612"/>
      <c r="AN80" s="612"/>
      <c r="AO80" s="612"/>
      <c r="AP80" s="651"/>
      <c r="AQ80" s="612"/>
      <c r="AR80" s="612"/>
      <c r="AS80" s="602"/>
      <c r="AT80" s="602"/>
      <c r="AU80" s="601"/>
      <c r="AV80" s="601"/>
      <c r="AW80" s="601"/>
      <c r="AX80" s="651"/>
      <c r="AY80" s="612"/>
      <c r="AZ80" s="651"/>
      <c r="BA80" s="733" t="s">
        <v>783</v>
      </c>
      <c r="BB80" s="539"/>
      <c r="BC80" s="602"/>
      <c r="BD80" s="651"/>
      <c r="BE80" s="612"/>
      <c r="BF80" s="602"/>
      <c r="BG80" s="612"/>
      <c r="BH80" s="601"/>
      <c r="BI80" s="601"/>
      <c r="BJ80" s="601"/>
      <c r="BK80" s="601"/>
      <c r="BL80" s="651"/>
      <c r="BM80" s="602"/>
      <c r="BN80" s="651"/>
      <c r="BO80" s="651"/>
      <c r="BP80" s="539"/>
      <c r="BQ80" s="602"/>
    </row>
    <row r="81" spans="1:69" s="588" customFormat="1" ht="12.75" thickBot="1">
      <c r="A81" s="587">
        <v>49</v>
      </c>
      <c r="B81" s="588" t="s">
        <v>220</v>
      </c>
      <c r="E81" s="668">
        <f t="shared" ref="E81:AJ81" si="258">SUM(E77:E79)</f>
        <v>1309195</v>
      </c>
      <c r="F81" s="629">
        <f t="shared" si="258"/>
        <v>-6556</v>
      </c>
      <c r="G81" s="629">
        <f t="shared" si="258"/>
        <v>-6302</v>
      </c>
      <c r="H81" s="629">
        <f t="shared" si="258"/>
        <v>4352</v>
      </c>
      <c r="I81" s="629">
        <f t="shared" ref="I81" si="259">SUM(I77:I79)</f>
        <v>0</v>
      </c>
      <c r="J81" s="629">
        <f t="shared" si="258"/>
        <v>0</v>
      </c>
      <c r="K81" s="629">
        <f t="shared" si="258"/>
        <v>0</v>
      </c>
      <c r="L81" s="629">
        <f t="shared" si="258"/>
        <v>0</v>
      </c>
      <c r="M81" s="629">
        <f t="shared" si="258"/>
        <v>0</v>
      </c>
      <c r="N81" s="629">
        <f t="shared" si="258"/>
        <v>0</v>
      </c>
      <c r="O81" s="629">
        <f t="shared" si="258"/>
        <v>0</v>
      </c>
      <c r="P81" s="629">
        <f t="shared" si="258"/>
        <v>0</v>
      </c>
      <c r="Q81" s="629">
        <f t="shared" si="258"/>
        <v>0</v>
      </c>
      <c r="R81" s="629">
        <f t="shared" si="258"/>
        <v>0</v>
      </c>
      <c r="S81" s="629">
        <f t="shared" si="258"/>
        <v>0</v>
      </c>
      <c r="T81" s="629">
        <f>SUM(T77:T79)</f>
        <v>0</v>
      </c>
      <c r="U81" s="629">
        <f>SUM(U77:U79)</f>
        <v>0</v>
      </c>
      <c r="V81" s="629">
        <f t="shared" si="258"/>
        <v>0</v>
      </c>
      <c r="W81" s="629">
        <f t="shared" si="258"/>
        <v>0</v>
      </c>
      <c r="X81" s="629">
        <f>SUM(X77:X79)</f>
        <v>0</v>
      </c>
      <c r="Y81" s="629">
        <f t="shared" si="258"/>
        <v>0</v>
      </c>
      <c r="Z81" s="629">
        <f t="shared" si="258"/>
        <v>0</v>
      </c>
      <c r="AA81" s="629">
        <f t="shared" si="258"/>
        <v>0</v>
      </c>
      <c r="AB81" s="395">
        <f t="shared" si="258"/>
        <v>1300689</v>
      </c>
      <c r="AC81" s="629">
        <f t="shared" si="258"/>
        <v>0</v>
      </c>
      <c r="AD81" s="629">
        <f t="shared" si="258"/>
        <v>0</v>
      </c>
      <c r="AE81" s="629">
        <f t="shared" si="258"/>
        <v>0</v>
      </c>
      <c r="AF81" s="629">
        <f t="shared" si="258"/>
        <v>0</v>
      </c>
      <c r="AG81" s="629">
        <f t="shared" si="258"/>
        <v>0</v>
      </c>
      <c r="AH81" s="629">
        <f t="shared" si="258"/>
        <v>0</v>
      </c>
      <c r="AI81" s="629">
        <f t="shared" si="258"/>
        <v>0</v>
      </c>
      <c r="AJ81" s="629">
        <f t="shared" si="258"/>
        <v>0</v>
      </c>
      <c r="AK81" s="629">
        <f t="shared" ref="AK81:AN81" si="260">SUM(AK77:AK79)</f>
        <v>0</v>
      </c>
      <c r="AL81" s="668">
        <f t="shared" si="260"/>
        <v>21609</v>
      </c>
      <c r="AM81" s="668">
        <f t="shared" si="260"/>
        <v>60831</v>
      </c>
      <c r="AN81" s="629">
        <f t="shared" si="260"/>
        <v>0</v>
      </c>
      <c r="AO81" s="629">
        <f t="shared" ref="AO81" si="261">SUM(AO77:AO79)</f>
        <v>0</v>
      </c>
      <c r="AP81" s="655">
        <f t="shared" ref="AP81:AY81" si="262">SUM(AP77:AP79)</f>
        <v>1383129</v>
      </c>
      <c r="AQ81" s="629">
        <f t="shared" si="262"/>
        <v>0</v>
      </c>
      <c r="AR81" s="629">
        <f t="shared" si="262"/>
        <v>0</v>
      </c>
      <c r="AS81" s="629">
        <f t="shared" ref="AS81:AW81" si="263">SUM(AS77:AS79)</f>
        <v>0</v>
      </c>
      <c r="AT81" s="629">
        <f t="shared" si="263"/>
        <v>0</v>
      </c>
      <c r="AU81" s="629">
        <f t="shared" si="263"/>
        <v>0</v>
      </c>
      <c r="AV81" s="629">
        <f t="shared" ref="AV81" si="264">SUM(AV77:AV79)</f>
        <v>0</v>
      </c>
      <c r="AW81" s="629">
        <f t="shared" si="263"/>
        <v>0</v>
      </c>
      <c r="AX81" s="655">
        <f t="shared" si="262"/>
        <v>1383129</v>
      </c>
      <c r="AY81" s="629">
        <f t="shared" si="262"/>
        <v>0</v>
      </c>
      <c r="AZ81" s="655">
        <f>SUM(AZ77:AZ79)</f>
        <v>1383129</v>
      </c>
      <c r="BA81" s="734" t="s">
        <v>784</v>
      </c>
      <c r="BB81" s="598"/>
      <c r="BC81" s="598"/>
      <c r="BD81" s="655">
        <f t="shared" ref="BD81" si="265">SUM(BD77:BD79)</f>
        <v>1383129</v>
      </c>
      <c r="BE81" s="629">
        <f t="shared" ref="BE81:BF81" si="266">SUM(BE77:BE79)</f>
        <v>0</v>
      </c>
      <c r="BF81" s="629">
        <f t="shared" si="266"/>
        <v>0</v>
      </c>
      <c r="BG81" s="629">
        <f t="shared" ref="BG81" si="267">SUM(BG77:BG79)</f>
        <v>0</v>
      </c>
      <c r="BH81" s="629">
        <f t="shared" ref="BH81" si="268">SUM(BH77:BH79)</f>
        <v>0</v>
      </c>
      <c r="BI81" s="629">
        <f>SUM(BI77:BI79)</f>
        <v>0</v>
      </c>
      <c r="BJ81" s="629">
        <f t="shared" ref="BJ81" si="269">SUM(BJ77:BJ79)</f>
        <v>0</v>
      </c>
      <c r="BK81" s="629">
        <f t="shared" ref="BK81" si="270">SUM(BK77:BK79)</f>
        <v>0</v>
      </c>
      <c r="BL81" s="655">
        <f t="shared" ref="BL81" si="271">SUM(BL77:BL79)</f>
        <v>1383129</v>
      </c>
      <c r="BM81" s="668">
        <f>SUM(BM77:BM79)</f>
        <v>0</v>
      </c>
      <c r="BN81" s="655">
        <f>SUM(BN77:BN79)</f>
        <v>1383129</v>
      </c>
      <c r="BO81" s="655">
        <f>SUM(BO77:BO79)</f>
        <v>0</v>
      </c>
      <c r="BP81" s="598"/>
      <c r="BQ81" s="598"/>
    </row>
    <row r="82" spans="1:69" ht="18" customHeight="1" thickTop="1" thickBot="1">
      <c r="A82" s="587">
        <v>50</v>
      </c>
      <c r="B82" s="574" t="s">
        <v>672</v>
      </c>
      <c r="E82" s="593">
        <f>ROUND(E57/E81,4)</f>
        <v>7.7899999999999997E-2</v>
      </c>
      <c r="F82" s="669"/>
      <c r="G82" s="669"/>
      <c r="H82" s="669"/>
      <c r="I82" s="669"/>
      <c r="J82" s="669"/>
      <c r="K82" s="669"/>
      <c r="L82" s="669"/>
      <c r="M82" s="669"/>
      <c r="N82" s="669"/>
      <c r="O82" s="669"/>
      <c r="P82" s="669"/>
      <c r="Q82" s="669"/>
      <c r="R82" s="669"/>
      <c r="AB82" s="521"/>
      <c r="AJ82" s="685"/>
      <c r="AN82" s="685"/>
      <c r="AO82" s="685"/>
      <c r="AP82" s="656"/>
      <c r="AQ82" s="685"/>
      <c r="AR82" s="685"/>
      <c r="AX82" s="656"/>
      <c r="AY82" s="685"/>
      <c r="AZ82" s="656">
        <f ca="1">ROUND(AZ57/AZ81,4)</f>
        <v>7.6100000000000001E-2</v>
      </c>
      <c r="BA82" s="735">
        <f ca="1">AZ83-AP83</f>
        <v>0</v>
      </c>
      <c r="BD82" s="656">
        <f ca="1">ROUND(BD57/BD81,4)</f>
        <v>7.6100000000000001E-2</v>
      </c>
      <c r="BE82" s="685"/>
      <c r="BG82" s="685"/>
      <c r="BL82" s="656">
        <f ca="1">ROUND(BL57/BL81,4)</f>
        <v>7.6100000000000001E-2</v>
      </c>
      <c r="BN82" s="656">
        <f ca="1">ROUND(BN57/BN81,4)</f>
        <v>7.6100000000000001E-2</v>
      </c>
      <c r="BO82" s="780" t="s">
        <v>665</v>
      </c>
      <c r="BP82" s="736" t="s">
        <v>785</v>
      </c>
    </row>
    <row r="83" spans="1:69" ht="12.75" thickBot="1">
      <c r="A83" s="575">
        <v>51</v>
      </c>
      <c r="B83" s="574" t="s">
        <v>666</v>
      </c>
      <c r="E83" s="615">
        <f>E91</f>
        <v>-11496.654911399903</v>
      </c>
      <c r="F83" s="615">
        <f t="shared" ref="F83:AZ83" si="272">F91</f>
        <v>-661.66668817676145</v>
      </c>
      <c r="G83" s="615">
        <f t="shared" si="272"/>
        <v>-5965.14615949176</v>
      </c>
      <c r="H83" s="615">
        <f t="shared" si="272"/>
        <v>439.22718531806987</v>
      </c>
      <c r="I83" s="615">
        <f t="shared" ref="I83" si="273">I91</f>
        <v>0</v>
      </c>
      <c r="J83" s="615">
        <f t="shared" si="272"/>
        <v>100.66724313720431</v>
      </c>
      <c r="K83" s="615">
        <f t="shared" ref="K83" si="274">K91</f>
        <v>-349.18949963217739</v>
      </c>
      <c r="L83" s="615">
        <f t="shared" si="272"/>
        <v>1105.2424402772222</v>
      </c>
      <c r="M83" s="615">
        <f t="shared" si="272"/>
        <v>18.875108088225804</v>
      </c>
      <c r="N83" s="615">
        <f t="shared" si="272"/>
        <v>189.7996979982706</v>
      </c>
      <c r="O83" s="615">
        <f t="shared" si="272"/>
        <v>-913.10351948169284</v>
      </c>
      <c r="P83" s="615">
        <f t="shared" si="272"/>
        <v>-34.604364828413978</v>
      </c>
      <c r="Q83" s="615">
        <f t="shared" si="272"/>
        <v>-349.18949963217739</v>
      </c>
      <c r="R83" s="615">
        <f t="shared" si="272"/>
        <v>-82.840752164991031</v>
      </c>
      <c r="S83" s="615">
        <f t="shared" si="272"/>
        <v>-3108.1011318611827</v>
      </c>
      <c r="T83" s="615">
        <f t="shared" ref="T83" si="275">T91</f>
        <v>0</v>
      </c>
      <c r="U83" s="615">
        <f>U91</f>
        <v>-1204.3084450782753</v>
      </c>
      <c r="V83" s="615">
        <f>V91</f>
        <v>-8121.1362492417693</v>
      </c>
      <c r="W83" s="615">
        <f>W91</f>
        <v>-9.4375540441129022</v>
      </c>
      <c r="X83" s="615">
        <f ca="1">X91</f>
        <v>-252.95755197914383</v>
      </c>
      <c r="Y83" s="615">
        <f t="shared" si="272"/>
        <v>903.34331401726843</v>
      </c>
      <c r="Z83" s="615">
        <f>Z91</f>
        <v>0</v>
      </c>
      <c r="AA83" s="615">
        <f>AA91</f>
        <v>0</v>
      </c>
      <c r="AB83" s="615">
        <f t="shared" ca="1" si="272"/>
        <v>-29791.181338176109</v>
      </c>
      <c r="AC83" s="615">
        <f>AC91</f>
        <v>4481.9814642970077</v>
      </c>
      <c r="AD83" s="615">
        <f t="shared" si="272"/>
        <v>-349.42157485351623</v>
      </c>
      <c r="AE83" s="615">
        <f t="shared" si="272"/>
        <v>1295.1239304105418</v>
      </c>
      <c r="AF83" s="615">
        <f t="shared" si="272"/>
        <v>56.625324264677417</v>
      </c>
      <c r="AG83" s="615">
        <f t="shared" si="272"/>
        <v>1210.1041518784766</v>
      </c>
      <c r="AH83" s="615">
        <f>AH91</f>
        <v>-1787.8921828013888</v>
      </c>
      <c r="AI83" s="615">
        <f t="shared" si="272"/>
        <v>1094.7562691170967</v>
      </c>
      <c r="AJ83" s="615">
        <f t="shared" si="272"/>
        <v>0</v>
      </c>
      <c r="AK83" s="615">
        <f>AK91</f>
        <v>3206.671140766362</v>
      </c>
      <c r="AL83" s="615">
        <f>AL91</f>
        <v>4520.5061291386501</v>
      </c>
      <c r="AM83" s="615">
        <f>AM91</f>
        <v>7058.3880269730153</v>
      </c>
      <c r="AN83" s="615">
        <f>AN91</f>
        <v>0</v>
      </c>
      <c r="AO83" s="615">
        <f t="shared" ref="AO83" si="276">AO91</f>
        <v>861.96326936231173</v>
      </c>
      <c r="AP83" s="657">
        <f t="shared" ca="1" si="272"/>
        <v>-8142.3753896228509</v>
      </c>
      <c r="AQ83" s="615">
        <f>AQ91</f>
        <v>0</v>
      </c>
      <c r="AR83" s="602">
        <f t="shared" si="272"/>
        <v>0</v>
      </c>
      <c r="AS83" s="615">
        <f>AS91</f>
        <v>0</v>
      </c>
      <c r="AT83" s="615">
        <f>AT91</f>
        <v>0</v>
      </c>
      <c r="AU83" s="615">
        <f t="shared" ref="AU83:AV83" si="277">AU91</f>
        <v>0</v>
      </c>
      <c r="AV83" s="615">
        <f t="shared" si="277"/>
        <v>0</v>
      </c>
      <c r="AW83" s="615">
        <f t="shared" ref="AW83" si="278">AW91</f>
        <v>0</v>
      </c>
      <c r="AX83" s="657">
        <f ca="1">AX91</f>
        <v>-8142.3753896228509</v>
      </c>
      <c r="AY83" s="615">
        <f t="shared" si="272"/>
        <v>0</v>
      </c>
      <c r="AZ83" s="662">
        <f t="shared" ca="1" si="272"/>
        <v>-8142.3753896228509</v>
      </c>
      <c r="BA83" s="703"/>
      <c r="BB83" s="531"/>
      <c r="BC83" s="531"/>
      <c r="BD83" s="662">
        <f t="shared" ref="BD83:BI83" ca="1" si="279">BD91</f>
        <v>-8142.3753896228745</v>
      </c>
      <c r="BE83" s="686">
        <f t="shared" ref="BE83:BF83" si="280">BE91</f>
        <v>0</v>
      </c>
      <c r="BF83" s="686">
        <f t="shared" si="280"/>
        <v>0</v>
      </c>
      <c r="BG83" s="686">
        <f t="shared" si="279"/>
        <v>0</v>
      </c>
      <c r="BH83" s="686">
        <f t="shared" ref="BH83" si="281">BH91</f>
        <v>0</v>
      </c>
      <c r="BI83" s="686">
        <f t="shared" si="279"/>
        <v>0</v>
      </c>
      <c r="BJ83" s="686">
        <f t="shared" ref="BJ83" si="282">BJ91</f>
        <v>0</v>
      </c>
      <c r="BK83" s="686">
        <f t="shared" ref="BK83" si="283">BK91</f>
        <v>0</v>
      </c>
      <c r="BL83" s="657">
        <f ca="1">BL91</f>
        <v>-8142.3753896228745</v>
      </c>
      <c r="BM83" s="686">
        <f>BM91</f>
        <v>0</v>
      </c>
      <c r="BN83" s="657">
        <f ca="1">BN91</f>
        <v>-8142.3753896228745</v>
      </c>
      <c r="BO83" s="657">
        <f ca="1">BO91</f>
        <v>0</v>
      </c>
      <c r="BP83" s="737" t="s">
        <v>786</v>
      </c>
      <c r="BQ83" s="531"/>
    </row>
    <row r="84" spans="1:69" ht="32.25" customHeight="1">
      <c r="B84" s="646"/>
      <c r="E84" s="574"/>
      <c r="AJ84" s="601"/>
      <c r="AO84" s="601"/>
      <c r="AP84" s="659"/>
      <c r="AX84" s="659"/>
      <c r="AY84" s="660"/>
      <c r="AZ84" s="660"/>
      <c r="BA84" s="660"/>
      <c r="BD84" s="660"/>
      <c r="BE84" s="659"/>
      <c r="BG84" s="659"/>
      <c r="BJ84" s="869" t="s">
        <v>808</v>
      </c>
      <c r="BK84" s="869"/>
      <c r="BL84" s="869"/>
      <c r="BM84" s="869"/>
      <c r="BN84" s="869"/>
      <c r="BO84" s="869"/>
      <c r="BP84" s="869"/>
    </row>
    <row r="85" spans="1:69" ht="37.5" customHeight="1">
      <c r="E85" s="593"/>
      <c r="AJ85" s="660"/>
      <c r="AL85" s="660"/>
      <c r="AM85" s="660"/>
      <c r="AN85" s="660"/>
      <c r="AO85" s="660"/>
      <c r="AP85" s="660"/>
      <c r="AQ85" s="660"/>
      <c r="AR85" s="660"/>
      <c r="AX85" s="660"/>
      <c r="AY85" s="660"/>
      <c r="AZ85" s="660"/>
      <c r="BA85" s="660"/>
      <c r="BD85" s="660"/>
      <c r="BE85" s="660"/>
      <c r="BG85" s="660"/>
      <c r="BJ85" s="781"/>
      <c r="BK85" s="781"/>
      <c r="BL85" s="781"/>
      <c r="BM85" s="781"/>
      <c r="BN85" s="781"/>
      <c r="BO85" s="781"/>
      <c r="BP85" s="781"/>
    </row>
    <row r="86" spans="1:69">
      <c r="E86" s="593">
        <f>'Exh. No. BGM-13R -5'!E15</f>
        <v>7.2500000000000009E-2</v>
      </c>
      <c r="AO86" s="602">
        <v>5120</v>
      </c>
      <c r="AP86" s="600"/>
      <c r="AR86" s="602">
        <v>5120</v>
      </c>
      <c r="AX86" s="600"/>
      <c r="AZ86" s="593"/>
      <c r="BD86" s="600"/>
      <c r="BG86" s="602">
        <v>5120</v>
      </c>
      <c r="BL86" s="600"/>
      <c r="BN86" s="600"/>
      <c r="BO86" s="600"/>
    </row>
    <row r="87" spans="1:69">
      <c r="E87" s="593"/>
      <c r="AL87" s="694"/>
      <c r="AM87" s="694"/>
      <c r="AP87" s="600"/>
      <c r="AX87" s="600"/>
      <c r="AZ87" s="600"/>
      <c r="BD87" s="600"/>
      <c r="BL87" s="600"/>
      <c r="BN87" s="600"/>
      <c r="BO87" s="600"/>
    </row>
    <row r="88" spans="1:69">
      <c r="D88" s="574" t="s">
        <v>171</v>
      </c>
      <c r="E88" s="670">
        <f>'Exh. No. BGM-13R -4'!E24</f>
        <v>0.61986399999999997</v>
      </c>
    </row>
    <row r="90" spans="1:69">
      <c r="D90" s="574" t="s">
        <v>228</v>
      </c>
      <c r="E90" s="620">
        <f t="shared" ref="E90:AK90" si="284">E81*$E$86-E57</f>
        <v>-7126.3624999999884</v>
      </c>
      <c r="F90" s="620">
        <f t="shared" si="284"/>
        <v>-410.14336000000003</v>
      </c>
      <c r="G90" s="620">
        <f t="shared" si="284"/>
        <v>-3697.5793590072003</v>
      </c>
      <c r="H90" s="620">
        <f t="shared" si="284"/>
        <v>272.26112000000006</v>
      </c>
      <c r="I90" s="620">
        <f t="shared" ref="I90" si="285">I81*$E$86-I57</f>
        <v>0</v>
      </c>
      <c r="J90" s="620">
        <f t="shared" si="284"/>
        <v>62.400000000000006</v>
      </c>
      <c r="K90" s="620">
        <f t="shared" si="284"/>
        <v>-216.45</v>
      </c>
      <c r="L90" s="620">
        <f t="shared" si="284"/>
        <v>685.1</v>
      </c>
      <c r="M90" s="620">
        <f t="shared" si="284"/>
        <v>11.7</v>
      </c>
      <c r="N90" s="620">
        <f t="shared" si="284"/>
        <v>117.65</v>
      </c>
      <c r="O90" s="620">
        <f t="shared" si="284"/>
        <v>-566</v>
      </c>
      <c r="P90" s="620">
        <f t="shared" si="284"/>
        <v>-21.450000000000003</v>
      </c>
      <c r="Q90" s="620">
        <f t="shared" si="284"/>
        <v>-216.45</v>
      </c>
      <c r="R90" s="620">
        <f t="shared" si="284"/>
        <v>-51.35</v>
      </c>
      <c r="S90" s="620">
        <f t="shared" si="284"/>
        <v>-1926.6000000000001</v>
      </c>
      <c r="T90" s="620">
        <f t="shared" si="284"/>
        <v>0</v>
      </c>
      <c r="U90" s="620">
        <f t="shared" si="284"/>
        <v>-746.50745000000006</v>
      </c>
      <c r="V90" s="620">
        <f t="shared" si="284"/>
        <v>-5034</v>
      </c>
      <c r="W90" s="620">
        <f t="shared" si="284"/>
        <v>-5.85</v>
      </c>
      <c r="X90" s="620">
        <f ca="1">X81*$E$86-X57</f>
        <v>-156.79928000000001</v>
      </c>
      <c r="Y90" s="620">
        <f t="shared" si="284"/>
        <v>559.95000000000005</v>
      </c>
      <c r="Z90" s="620">
        <f t="shared" si="284"/>
        <v>0</v>
      </c>
      <c r="AA90" s="620">
        <f t="shared" si="284"/>
        <v>0</v>
      </c>
      <c r="AB90" s="620">
        <f t="shared" ca="1" si="284"/>
        <v>-18466.480829007196</v>
      </c>
      <c r="AC90" s="620">
        <f t="shared" si="284"/>
        <v>2778.2189583850004</v>
      </c>
      <c r="AD90" s="620">
        <f t="shared" si="284"/>
        <v>-216.59385507499996</v>
      </c>
      <c r="AE90" s="620">
        <f t="shared" si="284"/>
        <v>802.80070000000001</v>
      </c>
      <c r="AF90" s="620">
        <f t="shared" si="284"/>
        <v>35.1</v>
      </c>
      <c r="AG90" s="620">
        <f t="shared" si="284"/>
        <v>750.1</v>
      </c>
      <c r="AH90" s="620">
        <f>AH81*$E$86-AH57</f>
        <v>-1108.25</v>
      </c>
      <c r="AI90" s="620">
        <f t="shared" si="284"/>
        <v>678.6</v>
      </c>
      <c r="AJ90" s="620">
        <f t="shared" si="284"/>
        <v>0</v>
      </c>
      <c r="AK90" s="620">
        <f t="shared" si="284"/>
        <v>1987.7</v>
      </c>
      <c r="AL90" s="620">
        <f>AL81*$E$86-AL57</f>
        <v>2802.0990112324002</v>
      </c>
      <c r="AM90" s="620">
        <f>AM81*$E$86-AM57</f>
        <v>4375.2406359516008</v>
      </c>
      <c r="AN90" s="620">
        <f>AN81*$E$86-AN57</f>
        <v>0</v>
      </c>
      <c r="AO90" s="620">
        <f t="shared" ref="AO90" si="286">AO81*$E$86-AO57</f>
        <v>534.29999999999995</v>
      </c>
      <c r="AP90" s="621">
        <f t="shared" ref="AP90:AZ90" ca="1" si="287">AP81*$E$86-AP57</f>
        <v>-5047.1653785131784</v>
      </c>
      <c r="AQ90" s="620">
        <f>AQ81*$E$86-AQ57</f>
        <v>0</v>
      </c>
      <c r="AR90" s="620">
        <f t="shared" si="287"/>
        <v>0</v>
      </c>
      <c r="AS90" s="620">
        <f t="shared" ref="AS90:AT90" si="288">AS81*$E$86-AS57</f>
        <v>0</v>
      </c>
      <c r="AT90" s="620">
        <f t="shared" si="288"/>
        <v>0</v>
      </c>
      <c r="AU90" s="620">
        <f t="shared" ref="AU90" si="289">AU81*$E$86-AU57</f>
        <v>0</v>
      </c>
      <c r="AV90" s="620">
        <f>AV81*$E$86-AV57</f>
        <v>0</v>
      </c>
      <c r="AW90" s="620">
        <f t="shared" ref="AW90" si="290">AW81*$E$86-AW57</f>
        <v>0</v>
      </c>
      <c r="AX90" s="621">
        <f t="shared" ca="1" si="287"/>
        <v>-5047.1653785131784</v>
      </c>
      <c r="AY90" s="620">
        <f t="shared" si="287"/>
        <v>0</v>
      </c>
      <c r="AZ90" s="621">
        <f t="shared" ca="1" si="287"/>
        <v>-5047.1653785131784</v>
      </c>
      <c r="BA90" s="698"/>
      <c r="BD90" s="621">
        <f t="shared" ref="BD90:BL90" ca="1" si="291">BD81*$E$86-BD57</f>
        <v>-5047.165378513193</v>
      </c>
      <c r="BE90" s="620">
        <f t="shared" ref="BE90:BF90" si="292">BE81*$E$86-BE57</f>
        <v>0</v>
      </c>
      <c r="BF90" s="620">
        <f t="shared" si="292"/>
        <v>0</v>
      </c>
      <c r="BG90" s="620">
        <f t="shared" si="291"/>
        <v>0</v>
      </c>
      <c r="BH90" s="620">
        <f t="shared" ref="BH90" si="293">BH81*$E$86-BH57</f>
        <v>0</v>
      </c>
      <c r="BI90" s="620">
        <f t="shared" si="291"/>
        <v>0</v>
      </c>
      <c r="BJ90" s="620">
        <f t="shared" ref="BJ90" si="294">BJ81*$E$86-BJ57</f>
        <v>0</v>
      </c>
      <c r="BK90" s="620">
        <f t="shared" ref="BK90" si="295">BK81*$E$86-BK57</f>
        <v>0</v>
      </c>
      <c r="BL90" s="621">
        <f t="shared" ca="1" si="291"/>
        <v>-5047.165378513193</v>
      </c>
      <c r="BM90" s="620">
        <f>BM81*$E$86-BM57</f>
        <v>0</v>
      </c>
      <c r="BN90" s="621">
        <f t="shared" ref="BN90:BO90" ca="1" si="296">BN81*$E$86-BN57</f>
        <v>-5047.165378513193</v>
      </c>
      <c r="BO90" s="621">
        <f t="shared" ca="1" si="296"/>
        <v>0</v>
      </c>
    </row>
    <row r="91" spans="1:69">
      <c r="C91" s="643"/>
      <c r="D91" s="643" t="s">
        <v>135</v>
      </c>
      <c r="E91" s="644">
        <f t="shared" ref="E91:AJ91" si="297">E90/$E$88</f>
        <v>-11496.654911399903</v>
      </c>
      <c r="F91" s="644">
        <f t="shared" si="297"/>
        <v>-661.66668817676145</v>
      </c>
      <c r="G91" s="644">
        <f t="shared" si="297"/>
        <v>-5965.14615949176</v>
      </c>
      <c r="H91" s="644">
        <f t="shared" si="297"/>
        <v>439.22718531806987</v>
      </c>
      <c r="I91" s="644">
        <f t="shared" ref="I91" si="298">I90/$E$88</f>
        <v>0</v>
      </c>
      <c r="J91" s="644">
        <f t="shared" si="297"/>
        <v>100.66724313720431</v>
      </c>
      <c r="K91" s="644">
        <f t="shared" ref="K91" si="299">K90/$E$88</f>
        <v>-349.18949963217739</v>
      </c>
      <c r="L91" s="644">
        <f t="shared" si="297"/>
        <v>1105.2424402772222</v>
      </c>
      <c r="M91" s="644">
        <f t="shared" si="297"/>
        <v>18.875108088225804</v>
      </c>
      <c r="N91" s="644">
        <f t="shared" si="297"/>
        <v>189.7996979982706</v>
      </c>
      <c r="O91" s="644">
        <f t="shared" si="297"/>
        <v>-913.10351948169284</v>
      </c>
      <c r="P91" s="644">
        <f t="shared" si="297"/>
        <v>-34.604364828413978</v>
      </c>
      <c r="Q91" s="644">
        <f t="shared" si="297"/>
        <v>-349.18949963217739</v>
      </c>
      <c r="R91" s="644">
        <f t="shared" si="297"/>
        <v>-82.840752164991031</v>
      </c>
      <c r="S91" s="644">
        <f t="shared" si="297"/>
        <v>-3108.1011318611827</v>
      </c>
      <c r="T91" s="613">
        <f t="shared" ref="T91" si="300">T90/$E$88</f>
        <v>0</v>
      </c>
      <c r="U91" s="613">
        <f>U90/$E$88</f>
        <v>-1204.3084450782753</v>
      </c>
      <c r="V91" s="644">
        <f>V90/$E$88</f>
        <v>-8121.1362492417693</v>
      </c>
      <c r="W91" s="644">
        <f>W90/$E$88</f>
        <v>-9.4375540441129022</v>
      </c>
      <c r="X91" s="644">
        <f ca="1">X90/$E$88</f>
        <v>-252.95755197914383</v>
      </c>
      <c r="Y91" s="644">
        <f t="shared" si="297"/>
        <v>903.34331401726843</v>
      </c>
      <c r="Z91" s="644">
        <f>Z90/$E$88</f>
        <v>0</v>
      </c>
      <c r="AA91" s="644">
        <f>AA90/$E$88</f>
        <v>0</v>
      </c>
      <c r="AB91" s="644">
        <f t="shared" ca="1" si="297"/>
        <v>-29791.181338176109</v>
      </c>
      <c r="AC91" s="644">
        <f t="shared" si="297"/>
        <v>4481.9814642970077</v>
      </c>
      <c r="AD91" s="613">
        <f t="shared" si="297"/>
        <v>-349.42157485351623</v>
      </c>
      <c r="AE91" s="644">
        <f t="shared" si="297"/>
        <v>1295.1239304105418</v>
      </c>
      <c r="AF91" s="644">
        <f t="shared" si="297"/>
        <v>56.625324264677417</v>
      </c>
      <c r="AG91" s="644">
        <f t="shared" si="297"/>
        <v>1210.1041518784766</v>
      </c>
      <c r="AH91" s="644">
        <f>AH90/$E$88</f>
        <v>-1787.8921828013888</v>
      </c>
      <c r="AI91" s="644">
        <f t="shared" si="297"/>
        <v>1094.7562691170967</v>
      </c>
      <c r="AJ91" s="644">
        <f t="shared" si="297"/>
        <v>0</v>
      </c>
      <c r="AK91" s="644">
        <f>AK90/$E$88</f>
        <v>3206.671140766362</v>
      </c>
      <c r="AL91" s="644">
        <f>AL90/$E$88</f>
        <v>4520.5061291386501</v>
      </c>
      <c r="AM91" s="644">
        <f>AM90/$E$88</f>
        <v>7058.3880269730153</v>
      </c>
      <c r="AN91" s="644">
        <f>AN90/$E$88</f>
        <v>0</v>
      </c>
      <c r="AO91" s="644">
        <f t="shared" ref="AO91" si="301">AO90/$E$88</f>
        <v>861.96326936231173</v>
      </c>
      <c r="AP91" s="645">
        <f t="shared" ref="AP91:AZ91" ca="1" si="302">AP90/$E$88</f>
        <v>-8142.3753896228509</v>
      </c>
      <c r="AQ91" s="644">
        <f t="shared" ref="AQ91" si="303">AQ90/$E$88</f>
        <v>0</v>
      </c>
      <c r="AR91" s="644">
        <f t="shared" si="302"/>
        <v>0</v>
      </c>
      <c r="AS91" s="644">
        <f>AS90/$E$88</f>
        <v>0</v>
      </c>
      <c r="AT91" s="644">
        <f>AT90/$E$88</f>
        <v>0</v>
      </c>
      <c r="AU91" s="644">
        <f t="shared" ref="AU91" si="304">AU90/$E$88</f>
        <v>0</v>
      </c>
      <c r="AV91" s="644">
        <f>AV90/$E$88</f>
        <v>0</v>
      </c>
      <c r="AW91" s="644">
        <f t="shared" ref="AW91" si="305">AW90/$E$88</f>
        <v>0</v>
      </c>
      <c r="AX91" s="645">
        <f ca="1">AX90/$E$88</f>
        <v>-8142.3753896228509</v>
      </c>
      <c r="AY91" s="644">
        <f>AY90/$E$88</f>
        <v>0</v>
      </c>
      <c r="AZ91" s="645">
        <f t="shared" ca="1" si="302"/>
        <v>-8142.3753896228509</v>
      </c>
      <c r="BA91" s="698"/>
      <c r="BB91" s="535"/>
      <c r="BC91" s="535"/>
      <c r="BD91" s="645">
        <f t="shared" ref="BD91:BI91" ca="1" si="306">BD90/$E$88</f>
        <v>-8142.3753896228745</v>
      </c>
      <c r="BE91" s="644">
        <f t="shared" ref="BE91:BF91" si="307">BE90/$E$88</f>
        <v>0</v>
      </c>
      <c r="BF91" s="613">
        <f t="shared" si="307"/>
        <v>0</v>
      </c>
      <c r="BG91" s="644">
        <f t="shared" si="306"/>
        <v>0</v>
      </c>
      <c r="BH91" s="644">
        <f t="shared" ref="BH91" si="308">BH90/$E$88</f>
        <v>0</v>
      </c>
      <c r="BI91" s="644">
        <f t="shared" si="306"/>
        <v>0</v>
      </c>
      <c r="BJ91" s="644">
        <f t="shared" ref="BJ91" si="309">BJ90/$E$88</f>
        <v>0</v>
      </c>
      <c r="BK91" s="644">
        <f t="shared" ref="BK91" si="310">BK90/$E$88</f>
        <v>0</v>
      </c>
      <c r="BL91" s="645">
        <f ca="1">BL90/$E$88</f>
        <v>-8142.3753896228745</v>
      </c>
      <c r="BM91" s="644">
        <f>BM90/$E$88</f>
        <v>0</v>
      </c>
      <c r="BN91" s="645">
        <f ca="1">BN90/$E$88</f>
        <v>-8142.3753896228745</v>
      </c>
      <c r="BO91" s="645">
        <f ca="1">BO90/$E$88</f>
        <v>0</v>
      </c>
      <c r="BP91" s="535"/>
      <c r="BQ91" s="535"/>
    </row>
    <row r="92" spans="1:69" s="595" customFormat="1" ht="11.25" customHeight="1">
      <c r="A92" s="599"/>
      <c r="E92" s="612"/>
      <c r="F92" s="616"/>
      <c r="G92" s="616"/>
      <c r="H92" s="616"/>
      <c r="I92" s="616"/>
      <c r="J92" s="616"/>
      <c r="K92" s="616"/>
      <c r="L92" s="616"/>
      <c r="M92" s="616"/>
      <c r="N92" s="616"/>
      <c r="O92" s="616"/>
      <c r="P92" s="616"/>
      <c r="Q92" s="616"/>
      <c r="R92" s="616"/>
      <c r="S92" s="616"/>
      <c r="T92" s="612"/>
      <c r="U92" s="612"/>
      <c r="V92" s="616"/>
      <c r="W92" s="616"/>
      <c r="X92" s="612"/>
      <c r="Y92" s="616"/>
      <c r="Z92" s="612"/>
      <c r="AA92" s="616"/>
      <c r="AB92" s="620"/>
      <c r="AC92" s="612"/>
      <c r="AD92" s="612"/>
      <c r="AE92" s="616"/>
      <c r="AF92" s="616"/>
      <c r="AG92" s="616"/>
      <c r="AH92" s="616"/>
      <c r="AI92" s="616"/>
      <c r="AJ92" s="612"/>
      <c r="AK92" s="612"/>
      <c r="AL92" s="612"/>
      <c r="AM92" s="612"/>
      <c r="AN92" s="612"/>
      <c r="AO92" s="612"/>
      <c r="AP92" s="617"/>
      <c r="AQ92" s="612"/>
      <c r="AR92" s="612"/>
      <c r="AS92" s="612"/>
      <c r="AT92" s="612"/>
      <c r="AU92" s="616"/>
      <c r="AV92" s="616"/>
      <c r="AW92" s="616"/>
      <c r="AX92" s="617"/>
      <c r="AY92" s="612"/>
      <c r="AZ92" s="617"/>
      <c r="BA92" s="698"/>
      <c r="BB92" s="612"/>
      <c r="BC92" s="612"/>
      <c r="BD92" s="617"/>
      <c r="BE92" s="612"/>
      <c r="BF92" s="612"/>
      <c r="BG92" s="612"/>
      <c r="BH92" s="616"/>
      <c r="BI92" s="616"/>
      <c r="BJ92" s="616"/>
      <c r="BK92" s="616"/>
      <c r="BL92" s="617"/>
      <c r="BM92" s="612"/>
      <c r="BN92" s="617"/>
      <c r="BO92" s="617"/>
      <c r="BP92" s="612"/>
      <c r="BQ92" s="612"/>
    </row>
    <row r="93" spans="1:69" s="595" customFormat="1">
      <c r="A93" s="599"/>
      <c r="D93" s="595" t="s">
        <v>660</v>
      </c>
      <c r="E93" s="671">
        <v>7.6399999999999996E-2</v>
      </c>
      <c r="F93" s="616"/>
      <c r="G93" s="616"/>
      <c r="H93" s="616"/>
      <c r="I93" s="616"/>
      <c r="J93" s="616"/>
      <c r="K93" s="616"/>
      <c r="L93" s="616"/>
      <c r="M93" s="616"/>
      <c r="N93" s="616"/>
      <c r="O93" s="616"/>
      <c r="P93" s="616"/>
      <c r="Q93" s="616"/>
      <c r="R93" s="616"/>
      <c r="S93" s="616"/>
      <c r="T93" s="612"/>
      <c r="U93" s="612"/>
      <c r="V93" s="616"/>
      <c r="W93" s="616"/>
      <c r="X93" s="612"/>
      <c r="Y93" s="616"/>
      <c r="Z93" s="612"/>
      <c r="AA93" s="616"/>
      <c r="AB93" s="644"/>
      <c r="AC93" s="612"/>
      <c r="AD93" s="612"/>
      <c r="AE93" s="616"/>
      <c r="AF93" s="616"/>
      <c r="AG93" s="616"/>
      <c r="AH93" s="616"/>
      <c r="AI93" s="616"/>
      <c r="AJ93" s="612"/>
      <c r="AK93" s="612"/>
      <c r="AL93" s="612"/>
      <c r="AM93" s="612"/>
      <c r="AN93" s="612"/>
      <c r="AO93" s="612"/>
      <c r="AP93" s="617"/>
      <c r="AQ93" s="612"/>
      <c r="AR93" s="612"/>
      <c r="AS93" s="612"/>
      <c r="AT93" s="612"/>
      <c r="AU93" s="616"/>
      <c r="AV93" s="616"/>
      <c r="AW93" s="616"/>
      <c r="AX93" s="617"/>
      <c r="AY93" s="612"/>
      <c r="AZ93" s="617"/>
      <c r="BA93" s="698"/>
      <c r="BB93" s="612"/>
      <c r="BC93" s="612"/>
      <c r="BD93" s="617"/>
      <c r="BE93" s="612"/>
      <c r="BF93" s="612"/>
      <c r="BG93" s="612"/>
      <c r="BH93" s="616"/>
      <c r="BI93" s="616"/>
      <c r="BJ93" s="616"/>
      <c r="BK93" s="616"/>
      <c r="BL93" s="617"/>
      <c r="BM93" s="612"/>
      <c r="BN93" s="617"/>
      <c r="BO93" s="617"/>
      <c r="BP93" s="612"/>
      <c r="BQ93" s="612"/>
    </row>
    <row r="94" spans="1:69">
      <c r="D94" s="574" t="s">
        <v>228</v>
      </c>
      <c r="E94" s="620">
        <f t="shared" ref="E94:AZ94" si="311">E81*$E$93-E57</f>
        <v>-2020.5020000000077</v>
      </c>
      <c r="F94" s="620">
        <f t="shared" si="311"/>
        <v>-435.71176000000003</v>
      </c>
      <c r="G94" s="620">
        <f t="shared" si="311"/>
        <v>-3722.1571590072003</v>
      </c>
      <c r="H94" s="620">
        <f t="shared" si="311"/>
        <v>289.23392000000001</v>
      </c>
      <c r="I94" s="620">
        <f t="shared" ref="I94" si="312">I81*$E$93-I57</f>
        <v>0</v>
      </c>
      <c r="J94" s="620">
        <f t="shared" si="311"/>
        <v>62.400000000000006</v>
      </c>
      <c r="K94" s="620">
        <f t="shared" si="311"/>
        <v>-216.45</v>
      </c>
      <c r="L94" s="620">
        <f t="shared" si="311"/>
        <v>685.1</v>
      </c>
      <c r="M94" s="620">
        <f t="shared" si="311"/>
        <v>11.7</v>
      </c>
      <c r="N94" s="620">
        <f t="shared" si="311"/>
        <v>117.65</v>
      </c>
      <c r="O94" s="620">
        <f t="shared" si="311"/>
        <v>-566</v>
      </c>
      <c r="P94" s="620">
        <f t="shared" si="311"/>
        <v>-21.450000000000003</v>
      </c>
      <c r="Q94" s="620">
        <f t="shared" si="311"/>
        <v>-216.45</v>
      </c>
      <c r="R94" s="620">
        <f t="shared" si="311"/>
        <v>-51.35</v>
      </c>
      <c r="S94" s="620">
        <f t="shared" si="311"/>
        <v>-1926.6000000000001</v>
      </c>
      <c r="T94" s="620">
        <f t="shared" si="311"/>
        <v>0</v>
      </c>
      <c r="U94" s="620">
        <f t="shared" si="311"/>
        <v>-746.50745000000006</v>
      </c>
      <c r="V94" s="620">
        <f t="shared" si="311"/>
        <v>-5034</v>
      </c>
      <c r="W94" s="620">
        <f t="shared" si="311"/>
        <v>-5.85</v>
      </c>
      <c r="X94" s="620">
        <f ca="1">X81*$E$93-X57</f>
        <v>-156.79928000000001</v>
      </c>
      <c r="Y94" s="620">
        <f t="shared" si="311"/>
        <v>559.95000000000005</v>
      </c>
      <c r="Z94" s="620">
        <f t="shared" si="311"/>
        <v>0</v>
      </c>
      <c r="AA94" s="620">
        <f t="shared" si="311"/>
        <v>0</v>
      </c>
      <c r="AB94" s="620">
        <f t="shared" ca="1" si="311"/>
        <v>-13393.793729007215</v>
      </c>
      <c r="AC94" s="620">
        <f t="shared" si="311"/>
        <v>2778.2189583850004</v>
      </c>
      <c r="AD94" s="620">
        <f t="shared" si="311"/>
        <v>-216.59385507499996</v>
      </c>
      <c r="AE94" s="620">
        <f t="shared" si="311"/>
        <v>802.80070000000001</v>
      </c>
      <c r="AF94" s="620">
        <f t="shared" si="311"/>
        <v>35.1</v>
      </c>
      <c r="AG94" s="620">
        <f t="shared" si="311"/>
        <v>750.1</v>
      </c>
      <c r="AH94" s="620">
        <f>AH81*$E$93-AH57</f>
        <v>-1108.25</v>
      </c>
      <c r="AI94" s="620">
        <f t="shared" si="311"/>
        <v>678.6</v>
      </c>
      <c r="AJ94" s="620">
        <f t="shared" si="311"/>
        <v>0</v>
      </c>
      <c r="AK94" s="620">
        <f t="shared" si="311"/>
        <v>1987.7</v>
      </c>
      <c r="AL94" s="620">
        <f>AL81*$E$93-AL57</f>
        <v>2886.3741112324001</v>
      </c>
      <c r="AM94" s="620">
        <f>AM81*$E$93-AM57</f>
        <v>4612.4815359516006</v>
      </c>
      <c r="AN94" s="620">
        <f>AN81*$E$93-AN57</f>
        <v>0</v>
      </c>
      <c r="AO94" s="620">
        <f t="shared" ref="AO94" si="313">AO81*$E$93-AO57</f>
        <v>534.29999999999995</v>
      </c>
      <c r="AP94" s="620">
        <f t="shared" ca="1" si="311"/>
        <v>347.03772148680582</v>
      </c>
      <c r="AQ94" s="620">
        <f t="shared" si="311"/>
        <v>0</v>
      </c>
      <c r="AR94" s="620">
        <f t="shared" si="311"/>
        <v>0</v>
      </c>
      <c r="AS94" s="620">
        <f t="shared" ref="AS94:AT94" si="314">AS81*$E$93-AS57</f>
        <v>0</v>
      </c>
      <c r="AT94" s="620">
        <f t="shared" si="314"/>
        <v>0</v>
      </c>
      <c r="AU94" s="620">
        <f t="shared" ref="AU94:AV94" si="315">AU81*$E$93-AU57</f>
        <v>0</v>
      </c>
      <c r="AV94" s="620">
        <f t="shared" si="315"/>
        <v>0</v>
      </c>
      <c r="AW94" s="620">
        <f t="shared" ref="AW94" si="316">AW81*$E$93-AW57</f>
        <v>0</v>
      </c>
      <c r="AX94" s="620">
        <f t="shared" ca="1" si="311"/>
        <v>347.03772148680582</v>
      </c>
      <c r="AY94" s="620">
        <f t="shared" si="311"/>
        <v>0</v>
      </c>
      <c r="AZ94" s="620">
        <f t="shared" ca="1" si="311"/>
        <v>347.03772148680582</v>
      </c>
      <c r="BA94" s="612"/>
      <c r="BD94" s="620">
        <f t="shared" ref="BD94:BL94" ca="1" si="317">BD81*$E$93-BD57</f>
        <v>347.03772148679127</v>
      </c>
      <c r="BE94" s="620">
        <f t="shared" ref="BE94:BF94" si="318">BE81*$E$93-BE57</f>
        <v>0</v>
      </c>
      <c r="BF94" s="620">
        <f t="shared" si="318"/>
        <v>0</v>
      </c>
      <c r="BG94" s="620">
        <f t="shared" si="317"/>
        <v>0</v>
      </c>
      <c r="BH94" s="620">
        <f t="shared" ref="BH94" si="319">BH81*$E$93-BH57</f>
        <v>0</v>
      </c>
      <c r="BI94" s="620">
        <f t="shared" si="317"/>
        <v>0</v>
      </c>
      <c r="BJ94" s="620">
        <f t="shared" ref="BJ94" si="320">BJ81*$E$93-BJ57</f>
        <v>0</v>
      </c>
      <c r="BK94" s="620">
        <f t="shared" ref="BK94" si="321">BK81*$E$93-BK57</f>
        <v>0</v>
      </c>
      <c r="BL94" s="620">
        <f t="shared" ca="1" si="317"/>
        <v>347.03772148679127</v>
      </c>
      <c r="BM94" s="620">
        <f>BM81*$E$93-BM57</f>
        <v>0</v>
      </c>
      <c r="BN94" s="620">
        <f t="shared" ref="BN94:BO94" ca="1" si="322">BN81*$E$93-BN57</f>
        <v>347.03772148679127</v>
      </c>
      <c r="BO94" s="620">
        <f t="shared" ca="1" si="322"/>
        <v>0</v>
      </c>
    </row>
    <row r="95" spans="1:69">
      <c r="C95" s="643"/>
      <c r="D95" s="643" t="s">
        <v>135</v>
      </c>
      <c r="E95" s="644">
        <f t="shared" ref="E95:AZ95" si="323">E94/$E$88</f>
        <v>-3259.5892002116721</v>
      </c>
      <c r="F95" s="644">
        <f t="shared" si="323"/>
        <v>-702.91509105223088</v>
      </c>
      <c r="G95" s="644">
        <f t="shared" si="323"/>
        <v>-6004.7964698824262</v>
      </c>
      <c r="H95" s="644">
        <f t="shared" si="323"/>
        <v>466.60867545138939</v>
      </c>
      <c r="I95" s="644">
        <f t="shared" ref="I95" si="324">I94/$E$88</f>
        <v>0</v>
      </c>
      <c r="J95" s="644">
        <f t="shared" si="323"/>
        <v>100.66724313720431</v>
      </c>
      <c r="K95" s="644">
        <f t="shared" ref="K95" si="325">K94/$E$88</f>
        <v>-349.18949963217739</v>
      </c>
      <c r="L95" s="644">
        <f t="shared" si="323"/>
        <v>1105.2424402772222</v>
      </c>
      <c r="M95" s="644">
        <f t="shared" si="323"/>
        <v>18.875108088225804</v>
      </c>
      <c r="N95" s="644">
        <f t="shared" si="323"/>
        <v>189.7996979982706</v>
      </c>
      <c r="O95" s="644">
        <f t="shared" si="323"/>
        <v>-913.10351948169284</v>
      </c>
      <c r="P95" s="644">
        <f t="shared" si="323"/>
        <v>-34.604364828413978</v>
      </c>
      <c r="Q95" s="644">
        <f t="shared" si="323"/>
        <v>-349.18949963217739</v>
      </c>
      <c r="R95" s="644">
        <f t="shared" si="323"/>
        <v>-82.840752164991031</v>
      </c>
      <c r="S95" s="644">
        <f t="shared" si="323"/>
        <v>-3108.1011318611827</v>
      </c>
      <c r="T95" s="613">
        <f t="shared" ref="T95" si="326">T94/$E$88</f>
        <v>0</v>
      </c>
      <c r="U95" s="613">
        <f>U94/$E$88</f>
        <v>-1204.3084450782753</v>
      </c>
      <c r="V95" s="644">
        <f>V94/$E$88</f>
        <v>-8121.1362492417693</v>
      </c>
      <c r="W95" s="644">
        <f>W94/$E$88</f>
        <v>-9.4375540441129022</v>
      </c>
      <c r="X95" s="644">
        <f ca="1">X94/$E$88</f>
        <v>-252.95755197914383</v>
      </c>
      <c r="Y95" s="644">
        <f t="shared" si="323"/>
        <v>903.34331401726843</v>
      </c>
      <c r="Z95" s="644">
        <f>Z94/$E$88</f>
        <v>0</v>
      </c>
      <c r="AA95" s="644">
        <f>AA94/$E$88</f>
        <v>0</v>
      </c>
      <c r="AB95" s="644">
        <f t="shared" ca="1" si="323"/>
        <v>-21607.632850120695</v>
      </c>
      <c r="AC95" s="644">
        <f t="shared" si="323"/>
        <v>4481.9814642970077</v>
      </c>
      <c r="AD95" s="613">
        <f t="shared" si="323"/>
        <v>-349.42157485351623</v>
      </c>
      <c r="AE95" s="644">
        <f t="shared" si="323"/>
        <v>1295.1239304105418</v>
      </c>
      <c r="AF95" s="644">
        <f t="shared" si="323"/>
        <v>56.625324264677417</v>
      </c>
      <c r="AG95" s="644">
        <f t="shared" si="323"/>
        <v>1210.1041518784766</v>
      </c>
      <c r="AH95" s="644">
        <f>AH94/$E$88</f>
        <v>-1787.8921828013888</v>
      </c>
      <c r="AI95" s="644">
        <f t="shared" si="323"/>
        <v>1094.7562691170967</v>
      </c>
      <c r="AJ95" s="644">
        <f t="shared" si="323"/>
        <v>0</v>
      </c>
      <c r="AK95" s="644">
        <f>AK94/$E$88</f>
        <v>3206.671140766362</v>
      </c>
      <c r="AL95" s="644">
        <f>AL94/$E$88</f>
        <v>4656.4635326981406</v>
      </c>
      <c r="AM95" s="644">
        <f>AM94/$E$88</f>
        <v>7441.1185936779693</v>
      </c>
      <c r="AN95" s="644">
        <f>AN94/$E$88</f>
        <v>0</v>
      </c>
      <c r="AO95" s="644">
        <f t="shared" ref="AO95" si="327">AO94/$E$88</f>
        <v>861.96326936231173</v>
      </c>
      <c r="AP95" s="644">
        <f t="shared" ca="1" si="323"/>
        <v>559.86106869701393</v>
      </c>
      <c r="AQ95" s="644">
        <f t="shared" ref="AQ95" si="328">AQ94/$E$88</f>
        <v>0</v>
      </c>
      <c r="AR95" s="644">
        <f t="shared" si="323"/>
        <v>0</v>
      </c>
      <c r="AS95" s="644">
        <f>AS94/$E$88</f>
        <v>0</v>
      </c>
      <c r="AT95" s="644">
        <f>AT94/$E$88</f>
        <v>0</v>
      </c>
      <c r="AU95" s="644">
        <f t="shared" ref="AU95:AV95" si="329">AU94/$E$88</f>
        <v>0</v>
      </c>
      <c r="AV95" s="644">
        <f t="shared" si="329"/>
        <v>0</v>
      </c>
      <c r="AW95" s="644">
        <f t="shared" ref="AW95" si="330">AW94/$E$88</f>
        <v>0</v>
      </c>
      <c r="AX95" s="644">
        <f ca="1">AX94/$E$88</f>
        <v>559.86106869701393</v>
      </c>
      <c r="AY95" s="644">
        <f>AY94/$E$88</f>
        <v>0</v>
      </c>
      <c r="AZ95" s="644">
        <f t="shared" ca="1" si="323"/>
        <v>559.86106869701393</v>
      </c>
      <c r="BA95" s="612"/>
      <c r="BB95" s="535"/>
      <c r="BC95" s="535"/>
      <c r="BD95" s="644">
        <f t="shared" ref="BD95:BI95" ca="1" si="331">BD94/$E$88</f>
        <v>559.8610686969904</v>
      </c>
      <c r="BE95" s="644">
        <f t="shared" ref="BE95:BF95" si="332">BE94/$E$88</f>
        <v>0</v>
      </c>
      <c r="BF95" s="613">
        <f t="shared" si="332"/>
        <v>0</v>
      </c>
      <c r="BG95" s="644">
        <f t="shared" si="331"/>
        <v>0</v>
      </c>
      <c r="BH95" s="644">
        <f t="shared" ref="BH95" si="333">BH94/$E$88</f>
        <v>0</v>
      </c>
      <c r="BI95" s="644">
        <f t="shared" si="331"/>
        <v>0</v>
      </c>
      <c r="BJ95" s="644">
        <f t="shared" ref="BJ95" si="334">BJ94/$E$88</f>
        <v>0</v>
      </c>
      <c r="BK95" s="644">
        <f t="shared" ref="BK95" si="335">BK94/$E$88</f>
        <v>0</v>
      </c>
      <c r="BL95" s="644">
        <f ca="1">BL94/$E$88</f>
        <v>559.8610686969904</v>
      </c>
      <c r="BM95" s="644">
        <f>BM94/$E$88</f>
        <v>0</v>
      </c>
      <c r="BN95" s="644">
        <f ca="1">BN94/$E$88</f>
        <v>559.8610686969904</v>
      </c>
      <c r="BO95" s="644">
        <f ca="1">BO94/$E$88</f>
        <v>0</v>
      </c>
      <c r="BP95" s="535"/>
      <c r="BQ95" s="535"/>
    </row>
    <row r="96" spans="1:69">
      <c r="E96" s="602">
        <f>E91-E95</f>
        <v>-8237.0657111882301</v>
      </c>
      <c r="F96" s="602">
        <f t="shared" ref="F96:AZ96" si="336">F91-F95</f>
        <v>41.248402875469424</v>
      </c>
      <c r="G96" s="602">
        <f t="shared" si="336"/>
        <v>39.650310390666164</v>
      </c>
      <c r="H96" s="602">
        <f t="shared" si="336"/>
        <v>-27.381490133319517</v>
      </c>
      <c r="I96" s="602">
        <f t="shared" ref="I96" si="337">I91-I95</f>
        <v>0</v>
      </c>
      <c r="J96" s="602">
        <f t="shared" si="336"/>
        <v>0</v>
      </c>
      <c r="K96" s="602">
        <f t="shared" ref="K96" si="338">K91-K95</f>
        <v>0</v>
      </c>
      <c r="L96" s="602">
        <f t="shared" si="336"/>
        <v>0</v>
      </c>
      <c r="M96" s="602">
        <f t="shared" si="336"/>
        <v>0</v>
      </c>
      <c r="N96" s="602">
        <f t="shared" si="336"/>
        <v>0</v>
      </c>
      <c r="O96" s="602">
        <f t="shared" si="336"/>
        <v>0</v>
      </c>
      <c r="P96" s="602">
        <f t="shared" si="336"/>
        <v>0</v>
      </c>
      <c r="Q96" s="602">
        <f t="shared" si="336"/>
        <v>0</v>
      </c>
      <c r="R96" s="602">
        <f t="shared" si="336"/>
        <v>0</v>
      </c>
      <c r="S96" s="602">
        <f t="shared" si="336"/>
        <v>0</v>
      </c>
      <c r="T96" s="602">
        <f t="shared" ref="T96" si="339">T91-T95</f>
        <v>0</v>
      </c>
      <c r="U96" s="602">
        <f>U91-U95</f>
        <v>0</v>
      </c>
      <c r="V96" s="602">
        <f>V91-V95</f>
        <v>0</v>
      </c>
      <c r="W96" s="602">
        <f>W91-W95</f>
        <v>0</v>
      </c>
      <c r="X96" s="602">
        <f ca="1">X91-X95</f>
        <v>0</v>
      </c>
      <c r="Y96" s="602">
        <f t="shared" si="336"/>
        <v>0</v>
      </c>
      <c r="Z96" s="602">
        <f>Z91-Z95</f>
        <v>0</v>
      </c>
      <c r="AA96" s="602">
        <f>AA91-AA95</f>
        <v>0</v>
      </c>
      <c r="AB96" s="602">
        <f t="shared" ca="1" si="336"/>
        <v>-8183.5484880554141</v>
      </c>
      <c r="AC96" s="602">
        <f t="shared" si="336"/>
        <v>0</v>
      </c>
      <c r="AD96" s="602">
        <f t="shared" si="336"/>
        <v>0</v>
      </c>
      <c r="AE96" s="602">
        <f t="shared" si="336"/>
        <v>0</v>
      </c>
      <c r="AF96" s="602">
        <f t="shared" si="336"/>
        <v>0</v>
      </c>
      <c r="AG96" s="602">
        <f t="shared" si="336"/>
        <v>0</v>
      </c>
      <c r="AH96" s="602">
        <f>AH91-AH95</f>
        <v>0</v>
      </c>
      <c r="AI96" s="602">
        <f t="shared" si="336"/>
        <v>0</v>
      </c>
      <c r="AJ96" s="602">
        <f t="shared" si="336"/>
        <v>0</v>
      </c>
      <c r="AK96" s="602">
        <f>AK91-AK95</f>
        <v>0</v>
      </c>
      <c r="AL96" s="602">
        <f>AL91-AL95</f>
        <v>-135.95740355949056</v>
      </c>
      <c r="AM96" s="602">
        <f>AM91-AM95</f>
        <v>-382.73056670495407</v>
      </c>
      <c r="AN96" s="602">
        <f>AN91-AN95</f>
        <v>0</v>
      </c>
      <c r="AO96" s="602">
        <f t="shared" ref="AO96" si="340">AO91-AO95</f>
        <v>0</v>
      </c>
      <c r="AP96" s="602">
        <f t="shared" ca="1" si="336"/>
        <v>-8702.2364583198651</v>
      </c>
      <c r="AQ96" s="602">
        <f t="shared" ref="AQ96" si="341">AQ91-AQ95</f>
        <v>0</v>
      </c>
      <c r="AR96" s="602">
        <f t="shared" si="336"/>
        <v>0</v>
      </c>
      <c r="AS96" s="602">
        <f>AS91-AS95</f>
        <v>0</v>
      </c>
      <c r="AT96" s="602">
        <f>AT91-AT95</f>
        <v>0</v>
      </c>
      <c r="AU96" s="602">
        <f t="shared" ref="AU96:AV96" si="342">AU91-AU95</f>
        <v>0</v>
      </c>
      <c r="AV96" s="602">
        <f t="shared" si="342"/>
        <v>0</v>
      </c>
      <c r="AW96" s="602">
        <f t="shared" ref="AW96" si="343">AW91-AW95</f>
        <v>0</v>
      </c>
      <c r="AX96" s="602">
        <f t="shared" ref="AX96:AY96" ca="1" si="344">AX91-AX95</f>
        <v>-8702.2364583198651</v>
      </c>
      <c r="AY96" s="602">
        <f t="shared" si="344"/>
        <v>0</v>
      </c>
      <c r="AZ96" s="602">
        <f t="shared" ca="1" si="336"/>
        <v>-8702.2364583198651</v>
      </c>
      <c r="BA96" s="602"/>
      <c r="BD96" s="602">
        <f t="shared" ref="BD96:BI96" ca="1" si="345">BD91-BD95</f>
        <v>-8702.2364583198651</v>
      </c>
      <c r="BE96" s="602">
        <f t="shared" ref="BE96:BF96" si="346">BE91-BE95</f>
        <v>0</v>
      </c>
      <c r="BF96" s="602">
        <f t="shared" si="346"/>
        <v>0</v>
      </c>
      <c r="BG96" s="602">
        <f t="shared" si="345"/>
        <v>0</v>
      </c>
      <c r="BH96" s="602">
        <f t="shared" ref="BH96" si="347">BH91-BH95</f>
        <v>0</v>
      </c>
      <c r="BI96" s="602">
        <f t="shared" si="345"/>
        <v>0</v>
      </c>
      <c r="BJ96" s="602">
        <f t="shared" ref="BJ96" si="348">BJ91-BJ95</f>
        <v>0</v>
      </c>
      <c r="BK96" s="602">
        <f t="shared" ref="BK96" si="349">BK91-BK95</f>
        <v>0</v>
      </c>
      <c r="BL96" s="602">
        <f t="shared" ref="BL96:BN96" ca="1" si="350">BL91-BL95</f>
        <v>-8702.2364583198651</v>
      </c>
      <c r="BM96" s="602">
        <f>BM91-BM95</f>
        <v>0</v>
      </c>
      <c r="BN96" s="602">
        <f t="shared" ca="1" si="350"/>
        <v>-8702.2364583198651</v>
      </c>
      <c r="BO96" s="602">
        <f t="shared" ref="BO96" ca="1" si="351">BO91-BO95</f>
        <v>0</v>
      </c>
    </row>
    <row r="102" spans="38:51">
      <c r="AL102" s="695"/>
      <c r="AM102" s="695"/>
    </row>
    <row r="110" spans="38:51">
      <c r="AY110" s="602" t="s">
        <v>615</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B63:BC63"/>
    <mergeCell ref="BJ84:BP84"/>
  </mergeCells>
  <phoneticPr fontId="0" type="noConversion"/>
  <hyperlinks>
    <hyperlink ref="J11" location="BandO!A1" display="t"/>
  </hyperlinks>
  <printOptions verticalCentered="1"/>
  <pageMargins left="0.25" right="0.25" top="0.75" bottom="0.75" header="0.3" footer="0.3"/>
  <pageSetup scale="55" firstPageNumber="4" fitToWidth="7" orientation="portrait" r:id="rId3"/>
  <colBreaks count="5" manualBreakCount="5">
    <brk id="42" min="1" max="82" man="1"/>
    <brk id="46" max="1048575" man="1"/>
    <brk id="48" max="1048575" man="1"/>
    <brk id="53" min="1" max="82" man="1"/>
    <brk id="61" max="1048575" man="1"/>
  </col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BI82"/>
  <sheetViews>
    <sheetView zoomScale="85" zoomScaleNormal="85" zoomScaleSheetLayoutView="100" workbookViewId="0"/>
  </sheetViews>
  <sheetFormatPr defaultColWidth="9.140625" defaultRowHeight="12.75"/>
  <cols>
    <col min="1" max="1" width="11.5703125" style="25" customWidth="1"/>
    <col min="2" max="2" width="9.140625" style="25"/>
    <col min="3" max="3" width="42" style="25" customWidth="1"/>
    <col min="4" max="4" width="5.85546875" style="25" customWidth="1"/>
    <col min="5" max="5" width="20.140625" style="97" customWidth="1"/>
    <col min="6" max="6" width="19.85546875" style="25" bestFit="1" customWidth="1"/>
    <col min="7" max="9" width="9.140625" style="25"/>
    <col min="10" max="11" width="14.7109375" style="25" customWidth="1"/>
    <col min="12" max="16" width="9.140625" style="25"/>
    <col min="17" max="17" width="9.140625" style="51"/>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794"/>
      <c r="B1" s="794"/>
      <c r="C1" s="836" t="s">
        <v>837</v>
      </c>
      <c r="D1" s="794"/>
      <c r="E1" s="802"/>
      <c r="G1" s="102"/>
    </row>
    <row r="2" spans="1:52" ht="13.5" customHeight="1">
      <c r="A2" s="828"/>
      <c r="B2" s="828"/>
      <c r="C2" s="829" t="s">
        <v>842</v>
      </c>
      <c r="D2" s="828"/>
      <c r="E2" s="828"/>
      <c r="G2" s="102"/>
    </row>
    <row r="3" spans="1:52">
      <c r="A3" s="526"/>
      <c r="B3" s="526"/>
      <c r="C3" s="799" t="s">
        <v>844</v>
      </c>
      <c r="D3" s="526"/>
      <c r="E3" s="526"/>
      <c r="F3" s="526"/>
      <c r="G3" s="526"/>
      <c r="AQ3" s="529" t="s">
        <v>669</v>
      </c>
    </row>
    <row r="4" spans="1:52" ht="14.25" thickBot="1">
      <c r="A4" s="794"/>
      <c r="B4" s="794"/>
      <c r="C4" s="799" t="s">
        <v>838</v>
      </c>
      <c r="D4" s="794"/>
      <c r="E4" s="802"/>
      <c r="G4" s="102"/>
      <c r="J4" s="742">
        <v>2017</v>
      </c>
      <c r="K4" s="742" t="s">
        <v>787</v>
      </c>
    </row>
    <row r="5" spans="1:52">
      <c r="G5" s="102"/>
      <c r="J5" s="110" t="s">
        <v>182</v>
      </c>
      <c r="K5" s="110" t="s">
        <v>182</v>
      </c>
      <c r="V5" s="529"/>
      <c r="AL5" s="469"/>
      <c r="AM5" s="470"/>
      <c r="AN5" s="471"/>
      <c r="AT5" s="529" t="s">
        <v>670</v>
      </c>
    </row>
    <row r="6" spans="1:52" s="26" customFormat="1" ht="14.25" thickBot="1">
      <c r="A6" s="26" t="s">
        <v>116</v>
      </c>
      <c r="E6" s="116"/>
      <c r="G6" s="103"/>
      <c r="J6" s="111" t="s">
        <v>170</v>
      </c>
      <c r="K6" s="111" t="s">
        <v>170</v>
      </c>
      <c r="Q6" s="138"/>
      <c r="AL6" s="472"/>
      <c r="AM6" s="473"/>
      <c r="AN6" s="474"/>
      <c r="AZ6" s="529" t="s">
        <v>670</v>
      </c>
    </row>
    <row r="7" spans="1:52" s="26" customFormat="1" ht="13.5">
      <c r="A7" s="104" t="s">
        <v>19</v>
      </c>
      <c r="C7" s="104" t="s">
        <v>77</v>
      </c>
      <c r="D7" s="28"/>
      <c r="E7" s="117" t="s">
        <v>172</v>
      </c>
      <c r="G7" s="103"/>
      <c r="K7" s="739"/>
      <c r="Q7" s="138"/>
    </row>
    <row r="8" spans="1:52">
      <c r="G8" s="102"/>
    </row>
    <row r="9" spans="1:52">
      <c r="A9" s="29">
        <v>1</v>
      </c>
      <c r="C9" s="105" t="s">
        <v>29</v>
      </c>
      <c r="E9" s="118">
        <v>1</v>
      </c>
      <c r="J9" s="106">
        <f ca="1">'Exh. No. BGM-13R -5'!E25</f>
        <v>-8142</v>
      </c>
      <c r="K9" s="106">
        <f ca="1">'Exh. No. BGM-13R -5'!H25</f>
        <v>0</v>
      </c>
    </row>
    <row r="10" spans="1:52">
      <c r="A10" s="29"/>
      <c r="E10" s="118"/>
      <c r="J10" s="102"/>
      <c r="K10" s="102"/>
    </row>
    <row r="11" spans="1:52">
      <c r="A11" s="29"/>
      <c r="C11" s="98" t="s">
        <v>173</v>
      </c>
      <c r="D11" s="99"/>
      <c r="E11" s="118"/>
      <c r="J11" s="102"/>
      <c r="K11" s="102"/>
    </row>
    <row r="12" spans="1:52">
      <c r="A12" s="29">
        <v>2</v>
      </c>
      <c r="C12" s="99" t="s">
        <v>174</v>
      </c>
      <c r="D12" s="99"/>
      <c r="E12" s="119">
        <v>5.8553787287999011E-3</v>
      </c>
      <c r="J12" s="102">
        <f ca="1">ROUND($J$9*E12,0)</f>
        <v>-48</v>
      </c>
      <c r="K12" s="102">
        <f ca="1">ROUND($K$9*E12,0)</f>
        <v>0</v>
      </c>
    </row>
    <row r="13" spans="1:52">
      <c r="A13" s="29"/>
      <c r="C13" s="99"/>
      <c r="D13" s="99"/>
      <c r="E13" s="119"/>
      <c r="J13" s="102"/>
      <c r="K13" s="102"/>
    </row>
    <row r="14" spans="1:52">
      <c r="A14" s="29">
        <v>3</v>
      </c>
      <c r="C14" s="99" t="s">
        <v>175</v>
      </c>
      <c r="D14" s="99"/>
      <c r="E14" s="119">
        <v>2E-3</v>
      </c>
      <c r="J14" s="102">
        <f ca="1">ROUND($J$9*E14,0)</f>
        <v>-16</v>
      </c>
      <c r="K14" s="102">
        <f ca="1">ROUND($K$9*E14,0)</f>
        <v>0</v>
      </c>
    </row>
    <row r="15" spans="1:52">
      <c r="A15" s="29"/>
      <c r="C15" s="99"/>
      <c r="D15" s="99"/>
      <c r="E15" s="119"/>
      <c r="J15" s="102"/>
      <c r="K15" s="102"/>
      <c r="AP15" s="226"/>
    </row>
    <row r="16" spans="1:52">
      <c r="A16" s="29">
        <v>4</v>
      </c>
      <c r="C16" s="99" t="s">
        <v>176</v>
      </c>
      <c r="D16" s="99"/>
      <c r="E16" s="119">
        <v>3.8507197760318662E-2</v>
      </c>
      <c r="J16" s="102">
        <f ca="1">ROUND($J$9*E16,0)</f>
        <v>-314</v>
      </c>
      <c r="K16" s="102">
        <f ca="1">ROUND($K$9*E16,0)</f>
        <v>0</v>
      </c>
    </row>
    <row r="17" spans="1:61">
      <c r="A17" s="29"/>
      <c r="C17" s="99"/>
      <c r="D17" s="99"/>
      <c r="E17" s="512"/>
      <c r="J17" s="102"/>
      <c r="K17" s="102"/>
    </row>
    <row r="18" spans="1:61">
      <c r="A18" s="29">
        <v>6</v>
      </c>
      <c r="C18" s="99" t="s">
        <v>177</v>
      </c>
      <c r="D18" s="99"/>
      <c r="E18" s="120">
        <f>SUM(E12:E16)</f>
        <v>4.6362576489118568E-2</v>
      </c>
      <c r="J18" s="107">
        <f ca="1">SUM(J12:J16)</f>
        <v>-378</v>
      </c>
      <c r="K18" s="107">
        <f ca="1">SUM(K12:K16)</f>
        <v>0</v>
      </c>
    </row>
    <row r="19" spans="1:61">
      <c r="C19" s="99"/>
      <c r="D19" s="99"/>
      <c r="E19" s="119"/>
      <c r="J19" s="102"/>
      <c r="K19" s="102"/>
      <c r="L19" s="289"/>
    </row>
    <row r="20" spans="1:61">
      <c r="A20" s="29">
        <v>7</v>
      </c>
      <c r="C20" s="99" t="s">
        <v>178</v>
      </c>
      <c r="D20" s="99"/>
      <c r="E20" s="119">
        <f>E9-E18</f>
        <v>0.95363742351088143</v>
      </c>
      <c r="J20" s="108">
        <f ca="1">J9-J18</f>
        <v>-7764</v>
      </c>
      <c r="K20" s="108">
        <f ca="1">K9-K18</f>
        <v>0</v>
      </c>
      <c r="AP20" s="226"/>
    </row>
    <row r="21" spans="1:61">
      <c r="C21" s="99"/>
      <c r="D21" s="99"/>
      <c r="E21" s="119"/>
      <c r="J21" s="108"/>
      <c r="K21" s="108"/>
      <c r="BC21" s="25">
        <v>109</v>
      </c>
      <c r="BI21" s="25">
        <v>-2</v>
      </c>
    </row>
    <row r="22" spans="1:61">
      <c r="A22" s="29">
        <v>8</v>
      </c>
      <c r="C22" s="99" t="s">
        <v>179</v>
      </c>
      <c r="D22" s="100"/>
      <c r="E22" s="121">
        <f>ROUND(E20*0.35,6)</f>
        <v>0.33377299999999999</v>
      </c>
      <c r="G22" s="102"/>
      <c r="J22" s="109">
        <f ca="1">ROUND(J20*0.35,0)</f>
        <v>-2717</v>
      </c>
      <c r="K22" s="109">
        <f ca="1">ROUND(K20*0.35,0)</f>
        <v>0</v>
      </c>
    </row>
    <row r="23" spans="1:61">
      <c r="C23" s="99"/>
      <c r="D23" s="99"/>
      <c r="E23" s="119"/>
      <c r="G23" s="102"/>
      <c r="L23" s="119"/>
    </row>
    <row r="24" spans="1:61" ht="13.5" thickBot="1">
      <c r="A24" s="29">
        <v>9</v>
      </c>
      <c r="C24" s="98" t="s">
        <v>180</v>
      </c>
      <c r="D24" s="99"/>
      <c r="E24" s="675">
        <f>ROUND(E20-E22,6)</f>
        <v>0.61986399999999997</v>
      </c>
      <c r="J24" s="139">
        <f ca="1">J20-J22</f>
        <v>-5047</v>
      </c>
      <c r="K24" s="139">
        <f ca="1">K20-K22</f>
        <v>0</v>
      </c>
    </row>
    <row r="25" spans="1:61" ht="13.5" thickTop="1">
      <c r="BG25" s="25">
        <v>622</v>
      </c>
    </row>
    <row r="26" spans="1:61">
      <c r="J26" s="146">
        <f ca="1">J24/E24</f>
        <v>-8142.1085915620206</v>
      </c>
      <c r="K26" s="146">
        <f ca="1">K24/E24</f>
        <v>0</v>
      </c>
    </row>
    <row r="27" spans="1:61" ht="12.75" customHeight="1">
      <c r="C27" s="872" t="s">
        <v>754</v>
      </c>
      <c r="D27" s="872"/>
      <c r="E27" s="872"/>
    </row>
    <row r="28" spans="1:61">
      <c r="C28" s="761"/>
      <c r="D28" s="761"/>
      <c r="E28" s="761"/>
    </row>
    <row r="29" spans="1:61">
      <c r="BI29" s="25">
        <v>-281</v>
      </c>
    </row>
    <row r="30" spans="1:61">
      <c r="A30" s="870"/>
      <c r="B30" s="870"/>
      <c r="C30" s="870"/>
      <c r="D30" s="870"/>
      <c r="E30" s="870"/>
    </row>
    <row r="31" spans="1:61" s="27" customFormat="1" ht="15.75" customHeight="1">
      <c r="A31" s="871"/>
      <c r="B31" s="871"/>
      <c r="C31" s="871"/>
      <c r="D31" s="871"/>
      <c r="E31" s="871"/>
      <c r="Q31" s="137"/>
      <c r="BG31" s="27">
        <v>393</v>
      </c>
    </row>
    <row r="32" spans="1:61" s="27" customFormat="1">
      <c r="A32" s="871"/>
      <c r="B32" s="871"/>
      <c r="C32" s="871"/>
      <c r="D32" s="871"/>
      <c r="E32" s="871"/>
      <c r="J32" s="28"/>
      <c r="K32" s="741"/>
      <c r="Q32" s="137"/>
    </row>
    <row r="33" spans="5:61" s="27" customFormat="1">
      <c r="E33" s="176"/>
      <c r="J33" s="28"/>
      <c r="K33" s="741"/>
      <c r="Q33" s="137"/>
    </row>
    <row r="34" spans="5:61" s="27" customFormat="1">
      <c r="E34" s="176"/>
      <c r="J34" s="28"/>
      <c r="K34" s="741"/>
      <c r="Q34" s="137"/>
    </row>
    <row r="35" spans="5:61" s="27" customFormat="1">
      <c r="E35" s="176"/>
      <c r="Q35" s="137"/>
    </row>
    <row r="36" spans="5:61" s="27" customFormat="1">
      <c r="E36" s="119"/>
      <c r="J36" s="177"/>
      <c r="K36" s="177"/>
      <c r="Q36" s="137"/>
    </row>
    <row r="37" spans="5:61" s="27" customFormat="1">
      <c r="E37" s="119"/>
      <c r="J37" s="108"/>
      <c r="K37" s="108"/>
      <c r="Q37" s="137"/>
    </row>
    <row r="38" spans="5:61" s="27" customFormat="1">
      <c r="E38" s="119"/>
      <c r="J38" s="108"/>
      <c r="K38" s="108"/>
      <c r="Q38" s="137"/>
    </row>
    <row r="39" spans="5:61" s="27" customFormat="1">
      <c r="E39" s="119"/>
      <c r="J39" s="108"/>
      <c r="K39" s="108"/>
      <c r="Q39" s="137"/>
      <c r="BI39" s="27">
        <v>-51</v>
      </c>
    </row>
    <row r="40" spans="5:61" s="27" customFormat="1">
      <c r="E40" s="119"/>
      <c r="J40" s="108"/>
      <c r="K40" s="108"/>
      <c r="Q40" s="137"/>
    </row>
    <row r="41" spans="5:61" s="27" customFormat="1">
      <c r="E41" s="119"/>
      <c r="F41" s="119"/>
      <c r="J41" s="108"/>
      <c r="K41" s="108"/>
      <c r="Q41" s="137"/>
    </row>
    <row r="42" spans="5:61" s="27" customFormat="1">
      <c r="J42" s="108"/>
      <c r="K42" s="108"/>
      <c r="Q42" s="137"/>
    </row>
    <row r="43" spans="5:61" s="27" customFormat="1">
      <c r="E43" s="119"/>
      <c r="J43" s="108"/>
      <c r="K43" s="108"/>
      <c r="Q43" s="137"/>
    </row>
    <row r="44" spans="5:61" s="27" customFormat="1">
      <c r="E44" s="119"/>
      <c r="J44" s="108"/>
      <c r="K44" s="108"/>
      <c r="Q44" s="137"/>
    </row>
    <row r="45" spans="5:61" s="27" customFormat="1">
      <c r="E45" s="119"/>
      <c r="J45" s="108"/>
      <c r="K45" s="108"/>
      <c r="Q45" s="137"/>
    </row>
    <row r="46" spans="5:61" s="27" customFormat="1">
      <c r="E46" s="178"/>
      <c r="J46" s="179"/>
      <c r="K46" s="179"/>
      <c r="Q46" s="137"/>
      <c r="AP46" s="227"/>
    </row>
    <row r="47" spans="5:61" s="27" customFormat="1">
      <c r="E47" s="119"/>
      <c r="J47" s="108"/>
      <c r="K47" s="108"/>
      <c r="Q47" s="137"/>
    </row>
    <row r="48" spans="5:61" s="27" customFormat="1">
      <c r="E48" s="119"/>
      <c r="G48" s="145"/>
      <c r="J48" s="108"/>
      <c r="K48" s="108"/>
      <c r="M48" s="145"/>
      <c r="N48" s="145"/>
      <c r="Q48" s="137"/>
      <c r="Y48" s="145"/>
    </row>
    <row r="49" spans="5:42" s="27" customFormat="1">
      <c r="E49" s="119"/>
      <c r="J49" s="108"/>
      <c r="K49" s="108"/>
      <c r="Q49" s="137"/>
    </row>
    <row r="50" spans="5:42" s="27" customFormat="1">
      <c r="E50" s="119"/>
      <c r="J50" s="108"/>
      <c r="K50" s="108"/>
      <c r="N50" s="145"/>
      <c r="Q50" s="137"/>
    </row>
    <row r="51" spans="5:42" s="27" customFormat="1">
      <c r="E51" s="119"/>
      <c r="Q51" s="137"/>
    </row>
    <row r="52" spans="5:42" s="27" customFormat="1">
      <c r="E52" s="178"/>
      <c r="J52" s="108"/>
      <c r="K52" s="108"/>
      <c r="Q52" s="137"/>
    </row>
    <row r="53" spans="5:42" s="27" customFormat="1">
      <c r="E53" s="176"/>
      <c r="Q53" s="137"/>
    </row>
    <row r="56" spans="5:42">
      <c r="AP56" s="225"/>
    </row>
    <row r="61" spans="5:42">
      <c r="AP61" s="225"/>
    </row>
    <row r="66" spans="42:42">
      <c r="AP66" s="225"/>
    </row>
    <row r="81" spans="5:5">
      <c r="E81" s="475"/>
    </row>
    <row r="82" spans="5:5">
      <c r="E82" s="475"/>
    </row>
  </sheetData>
  <mergeCells count="4">
    <mergeCell ref="A30:E30"/>
    <mergeCell ref="A31:E31"/>
    <mergeCell ref="A32:E32"/>
    <mergeCell ref="C27:E27"/>
  </mergeCells>
  <phoneticPr fontId="0" type="noConversion"/>
  <printOptions horizontalCentered="1"/>
  <pageMargins left="0.25" right="0.25" top="1.25" bottom="0.75" header="0.8" footer="0.3"/>
  <pageSetup firstPageNumber="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A1:BA100"/>
  <sheetViews>
    <sheetView topLeftCell="G1" zoomScale="130" zoomScaleNormal="130" zoomScaleSheetLayoutView="100" workbookViewId="0"/>
  </sheetViews>
  <sheetFormatPr defaultColWidth="9.140625" defaultRowHeight="14.25" customHeight="1"/>
  <cols>
    <col min="1" max="1" width="6.85546875" style="305" customWidth="1"/>
    <col min="2" max="2" width="4.140625" style="305" customWidth="1"/>
    <col min="3" max="3" width="16" style="305" customWidth="1"/>
    <col min="4" max="4" width="4.28515625" style="305" customWidth="1"/>
    <col min="5" max="5" width="15.140625" style="305" customWidth="1"/>
    <col min="6" max="6" width="14" style="305" customWidth="1"/>
    <col min="7" max="7" width="15.28515625" style="305" customWidth="1"/>
    <col min="8" max="8" width="20.5703125" style="305" customWidth="1"/>
    <col min="9" max="9" width="9.7109375" style="305" customWidth="1"/>
    <col min="10" max="10" width="1.7109375" style="25" customWidth="1"/>
    <col min="11" max="11" width="8.7109375" style="25" customWidth="1"/>
    <col min="12" max="12" width="6.85546875" style="25" customWidth="1"/>
    <col min="13" max="13" width="14.140625" style="25" customWidth="1"/>
    <col min="14" max="14" width="12.85546875" style="25" hidden="1" customWidth="1"/>
    <col min="15" max="15" width="12.85546875" style="25" customWidth="1"/>
    <col min="16" max="16" width="18.85546875" style="51" customWidth="1"/>
    <col min="17" max="17" width="14.140625" style="25" customWidth="1"/>
    <col min="18" max="18" width="14" style="25" customWidth="1"/>
    <col min="19" max="19" width="8.7109375" style="25" customWidth="1"/>
    <col min="20" max="27" width="9.140625" style="25" hidden="1" customWidth="1"/>
    <col min="28" max="28" width="17" style="25" customWidth="1"/>
    <col min="29" max="29" width="18" style="25" customWidth="1"/>
    <col min="30" max="30" width="17" style="25" customWidth="1"/>
    <col min="31" max="31" width="15.85546875" style="25" customWidth="1"/>
    <col min="32" max="36" width="9.140625" style="25"/>
    <col min="37" max="37" width="11.42578125" style="25" customWidth="1"/>
    <col min="38" max="16384" width="9.140625" style="25"/>
  </cols>
  <sheetData>
    <row r="1" spans="1:53" ht="19.5" customHeight="1">
      <c r="A1" s="101" t="s">
        <v>112</v>
      </c>
      <c r="B1" s="101"/>
      <c r="C1" s="101"/>
      <c r="D1" s="101"/>
      <c r="E1" s="101"/>
      <c r="F1" s="101"/>
      <c r="G1" s="101"/>
      <c r="H1" s="101"/>
      <c r="I1" s="101"/>
      <c r="L1" s="837" t="s">
        <v>837</v>
      </c>
      <c r="M1" s="830"/>
      <c r="N1" s="830"/>
      <c r="O1" s="830"/>
      <c r="P1" s="830"/>
      <c r="Q1" s="830"/>
      <c r="R1" s="526"/>
    </row>
    <row r="2" spans="1:53" ht="14.25" customHeight="1">
      <c r="A2" s="525" t="s">
        <v>667</v>
      </c>
      <c r="B2" s="101"/>
      <c r="C2" s="101"/>
      <c r="D2" s="101"/>
      <c r="E2" s="101"/>
      <c r="F2" s="101"/>
      <c r="G2" s="101"/>
      <c r="H2" s="101"/>
      <c r="I2" s="101"/>
      <c r="L2" s="838" t="s">
        <v>842</v>
      </c>
      <c r="M2" s="830"/>
      <c r="N2" s="830"/>
      <c r="O2" s="830"/>
      <c r="P2" s="830"/>
      <c r="Q2" s="830"/>
      <c r="R2" s="549"/>
    </row>
    <row r="3" spans="1:53" ht="14.25" customHeight="1">
      <c r="A3" s="870" t="s">
        <v>242</v>
      </c>
      <c r="B3" s="870"/>
      <c r="C3" s="870"/>
      <c r="D3" s="870"/>
      <c r="E3" s="870"/>
      <c r="F3" s="870"/>
      <c r="G3" s="870"/>
      <c r="H3" s="870"/>
      <c r="I3" s="101"/>
      <c r="L3" s="839" t="s">
        <v>853</v>
      </c>
      <c r="M3" s="830"/>
      <c r="N3" s="830"/>
      <c r="O3" s="830"/>
      <c r="P3" s="830"/>
      <c r="Q3" s="830"/>
      <c r="R3" s="549"/>
      <c r="AR3" s="529"/>
    </row>
    <row r="4" spans="1:53" ht="14.25" customHeight="1">
      <c r="A4" s="794"/>
      <c r="B4" s="794"/>
      <c r="C4" s="794"/>
      <c r="D4" s="794"/>
      <c r="E4" s="794"/>
      <c r="F4" s="794"/>
      <c r="G4" s="794"/>
      <c r="H4" s="794"/>
      <c r="I4" s="101"/>
      <c r="K4" s="27"/>
      <c r="L4" s="840" t="s">
        <v>838</v>
      </c>
      <c r="M4" s="830"/>
      <c r="N4" s="830"/>
      <c r="O4" s="830"/>
      <c r="P4" s="830"/>
      <c r="Q4" s="830"/>
      <c r="R4" s="798"/>
    </row>
    <row r="5" spans="1:53" ht="14.25" customHeight="1">
      <c r="A5" s="794"/>
      <c r="B5" s="794"/>
      <c r="C5" s="794"/>
      <c r="D5" s="794"/>
      <c r="E5" s="794"/>
      <c r="F5" s="794"/>
      <c r="G5" s="794"/>
      <c r="H5" s="794"/>
      <c r="I5" s="101"/>
      <c r="K5" s="27"/>
      <c r="L5" s="797"/>
      <c r="M5" s="797"/>
      <c r="N5" s="797"/>
      <c r="O5" s="797"/>
      <c r="P5" s="797"/>
      <c r="Q5" s="797"/>
      <c r="R5" s="798"/>
    </row>
    <row r="6" spans="1:53" ht="14.25" customHeight="1">
      <c r="A6" s="870" t="str">
        <f>'Exh. No. BGM-13R -3'!A5</f>
        <v>Twelve Months Ended September 31, 2015</v>
      </c>
      <c r="B6" s="870"/>
      <c r="C6" s="870"/>
      <c r="D6" s="870"/>
      <c r="E6" s="870"/>
      <c r="F6" s="870"/>
      <c r="G6" s="870"/>
      <c r="H6" s="870"/>
      <c r="I6" s="101"/>
      <c r="K6" s="27"/>
      <c r="L6" s="875"/>
      <c r="M6" s="875"/>
      <c r="N6" s="875"/>
      <c r="O6" s="875"/>
      <c r="P6" s="875"/>
      <c r="Q6" s="875"/>
      <c r="R6" s="676"/>
    </row>
    <row r="7" spans="1:53" ht="14.25" customHeight="1">
      <c r="A7" s="870" t="s">
        <v>802</v>
      </c>
      <c r="B7" s="870"/>
      <c r="C7" s="870"/>
      <c r="D7" s="870"/>
      <c r="E7" s="870"/>
      <c r="F7" s="870"/>
      <c r="G7" s="870"/>
      <c r="H7" s="870"/>
      <c r="I7" s="516"/>
      <c r="L7" s="842" t="s">
        <v>854</v>
      </c>
      <c r="M7" s="841"/>
      <c r="N7" s="841"/>
      <c r="O7" s="841"/>
      <c r="P7" s="841"/>
      <c r="Q7" s="843"/>
      <c r="R7" s="454"/>
      <c r="W7" s="529" t="s">
        <v>665</v>
      </c>
      <c r="AB7" s="27"/>
      <c r="AC7" s="27"/>
      <c r="AD7" s="27"/>
      <c r="AU7" s="529"/>
    </row>
    <row r="8" spans="1:53" ht="14.25" customHeight="1">
      <c r="A8" s="739"/>
      <c r="B8" s="739"/>
      <c r="C8" s="739"/>
      <c r="D8" s="739"/>
      <c r="E8" s="747"/>
      <c r="F8" s="739"/>
      <c r="G8" s="739"/>
      <c r="H8" s="748" t="s">
        <v>748</v>
      </c>
      <c r="I8" s="741"/>
      <c r="L8" s="844"/>
      <c r="M8" s="749"/>
      <c r="N8" s="749"/>
      <c r="O8" s="796"/>
      <c r="P8" s="750"/>
      <c r="Q8" s="845"/>
      <c r="R8" s="740"/>
      <c r="W8" s="529"/>
      <c r="AB8" s="27"/>
      <c r="AC8" s="27"/>
      <c r="AD8" s="27"/>
      <c r="AU8" s="529"/>
    </row>
    <row r="9" spans="1:53" ht="14.25" customHeight="1">
      <c r="A9" s="739"/>
      <c r="B9" s="739"/>
      <c r="C9" s="739"/>
      <c r="D9" s="739"/>
      <c r="E9" s="746">
        <v>2017</v>
      </c>
      <c r="F9" s="104"/>
      <c r="G9" s="104" t="s">
        <v>790</v>
      </c>
      <c r="H9" s="746" t="s">
        <v>804</v>
      </c>
      <c r="I9" s="741"/>
      <c r="L9" s="844"/>
      <c r="M9" s="751"/>
      <c r="N9" s="796"/>
      <c r="O9" s="796" t="s">
        <v>118</v>
      </c>
      <c r="P9" s="796"/>
      <c r="Q9" s="845" t="s">
        <v>119</v>
      </c>
      <c r="R9" s="740"/>
      <c r="W9" s="529"/>
      <c r="AB9" s="27"/>
      <c r="AC9" s="27"/>
      <c r="AD9" s="27"/>
      <c r="AU9" s="529"/>
    </row>
    <row r="10" spans="1:53" ht="14.25" customHeight="1">
      <c r="A10" s="286" t="s">
        <v>116</v>
      </c>
      <c r="B10" s="286"/>
      <c r="C10" s="286"/>
      <c r="D10" s="286"/>
      <c r="E10" s="747" t="s">
        <v>117</v>
      </c>
      <c r="F10" s="739" t="s">
        <v>117</v>
      </c>
      <c r="G10" s="739" t="s">
        <v>117</v>
      </c>
      <c r="H10" s="747" t="s">
        <v>117</v>
      </c>
      <c r="I10" s="515"/>
      <c r="L10" s="844"/>
      <c r="M10" s="752" t="s">
        <v>121</v>
      </c>
      <c r="N10" s="796"/>
      <c r="O10" s="752" t="s">
        <v>123</v>
      </c>
      <c r="P10" s="752" t="s">
        <v>124</v>
      </c>
      <c r="Q10" s="846" t="s">
        <v>124</v>
      </c>
      <c r="R10" s="455"/>
      <c r="AB10" s="27"/>
      <c r="AC10" s="27"/>
      <c r="AD10" s="27"/>
      <c r="BA10" s="529"/>
    </row>
    <row r="11" spans="1:53" ht="14.25" customHeight="1">
      <c r="A11" s="104" t="s">
        <v>19</v>
      </c>
      <c r="B11" s="286"/>
      <c r="C11" s="104" t="s">
        <v>77</v>
      </c>
      <c r="D11" s="287"/>
      <c r="E11" s="746" t="s">
        <v>120</v>
      </c>
      <c r="F11" s="104" t="s">
        <v>120</v>
      </c>
      <c r="G11" s="104" t="s">
        <v>120</v>
      </c>
      <c r="H11" s="746" t="s">
        <v>120</v>
      </c>
      <c r="I11" s="516"/>
      <c r="L11" s="844"/>
      <c r="M11" s="749"/>
      <c r="N11" s="749"/>
      <c r="O11" s="749"/>
      <c r="P11" s="750"/>
      <c r="Q11" s="847"/>
      <c r="R11" s="455"/>
    </row>
    <row r="12" spans="1:53" ht="14.25" customHeight="1">
      <c r="A12" s="25"/>
      <c r="B12" s="25"/>
      <c r="C12" s="25"/>
      <c r="D12" s="25"/>
      <c r="E12" s="25"/>
      <c r="F12" s="25"/>
      <c r="G12" s="25"/>
      <c r="H12" s="25"/>
      <c r="I12" s="25"/>
      <c r="L12" s="844"/>
      <c r="M12" s="751" t="s">
        <v>612</v>
      </c>
      <c r="N12" s="753"/>
      <c r="O12" s="754">
        <f>100%-O14</f>
        <v>0.51500000000000001</v>
      </c>
      <c r="P12" s="755">
        <v>5.5100000000000003E-2</v>
      </c>
      <c r="Q12" s="848">
        <f>ROUND(O12*P12,4)</f>
        <v>2.8400000000000002E-2</v>
      </c>
      <c r="R12" s="455"/>
      <c r="T12" s="297" t="s">
        <v>236</v>
      </c>
      <c r="U12" s="298"/>
      <c r="V12" s="299" t="s">
        <v>141</v>
      </c>
      <c r="W12" s="300"/>
      <c r="X12" s="286" t="s">
        <v>140</v>
      </c>
    </row>
    <row r="13" spans="1:53" ht="14.25" customHeight="1">
      <c r="A13" s="288">
        <v>1</v>
      </c>
      <c r="B13" s="25"/>
      <c r="C13" s="25" t="s">
        <v>181</v>
      </c>
      <c r="D13" s="25"/>
      <c r="E13" s="467">
        <f>'Exh. No. BGM-13R -3'!AZ81</f>
        <v>1383129</v>
      </c>
      <c r="F13" s="467" t="str">
        <f>'Exh. No. BGM-13R -3'!BA81</f>
        <v>Above Pro Forma Study</v>
      </c>
      <c r="G13" s="467">
        <f>'Exh. No. BGM-13R -3'!BN81</f>
        <v>1383129</v>
      </c>
      <c r="H13" s="37"/>
      <c r="I13" s="37"/>
      <c r="L13" s="844"/>
      <c r="M13" s="751"/>
      <c r="N13" s="756"/>
      <c r="O13" s="754"/>
      <c r="P13" s="755"/>
      <c r="Q13" s="848"/>
      <c r="R13" s="145"/>
      <c r="T13" s="308" t="s">
        <v>237</v>
      </c>
      <c r="U13" s="287"/>
      <c r="V13" s="286" t="s">
        <v>118</v>
      </c>
      <c r="W13" s="286" t="s">
        <v>140</v>
      </c>
      <c r="X13" s="286" t="s">
        <v>119</v>
      </c>
    </row>
    <row r="14" spans="1:53" ht="14.25" customHeight="1">
      <c r="A14" s="288"/>
      <c r="B14" s="25"/>
      <c r="C14" s="25"/>
      <c r="D14" s="25"/>
      <c r="E14" s="37"/>
      <c r="F14" s="37"/>
      <c r="G14" s="37"/>
      <c r="H14" s="37"/>
      <c r="I14" s="37"/>
      <c r="L14" s="844"/>
      <c r="M14" s="751" t="s">
        <v>9</v>
      </c>
      <c r="N14" s="756"/>
      <c r="O14" s="754">
        <v>0.48499999999999999</v>
      </c>
      <c r="P14" s="755">
        <v>9.0999999999999998E-2</v>
      </c>
      <c r="Q14" s="848">
        <f>ROUND(O14*P14,4)</f>
        <v>4.41E-2</v>
      </c>
      <c r="R14" s="458" t="s">
        <v>229</v>
      </c>
      <c r="T14" s="104" t="s">
        <v>121</v>
      </c>
      <c r="U14" s="287"/>
      <c r="V14" s="104" t="s">
        <v>123</v>
      </c>
      <c r="W14" s="104" t="s">
        <v>124</v>
      </c>
      <c r="X14" s="104" t="s">
        <v>124</v>
      </c>
    </row>
    <row r="15" spans="1:53" ht="14.25" customHeight="1">
      <c r="A15" s="288">
        <v>2</v>
      </c>
      <c r="B15" s="25"/>
      <c r="C15" s="25" t="s">
        <v>126</v>
      </c>
      <c r="D15" s="25"/>
      <c r="E15" s="301">
        <f>$Q$16</f>
        <v>7.2500000000000009E-2</v>
      </c>
      <c r="F15" s="186"/>
      <c r="G15" s="301">
        <f>$Q$16</f>
        <v>7.2500000000000009E-2</v>
      </c>
      <c r="H15" s="743"/>
      <c r="I15" s="186"/>
      <c r="L15" s="844"/>
      <c r="M15" s="751"/>
      <c r="N15" s="756"/>
      <c r="O15" s="757"/>
      <c r="P15" s="758"/>
      <c r="Q15" s="848"/>
      <c r="R15" s="459">
        <f>SUM(Q12:Q13)</f>
        <v>2.8400000000000002E-2</v>
      </c>
      <c r="T15" s="300"/>
      <c r="U15" s="298"/>
      <c r="V15" s="300"/>
      <c r="W15" s="300"/>
      <c r="X15" s="300"/>
    </row>
    <row r="16" spans="1:53" ht="14.25" customHeight="1" thickBot="1">
      <c r="A16" s="288"/>
      <c r="B16" s="25"/>
      <c r="C16" s="25"/>
      <c r="D16" s="25"/>
      <c r="E16" s="186"/>
      <c r="F16" s="186"/>
      <c r="G16" s="186"/>
      <c r="H16" s="186"/>
      <c r="I16" s="186"/>
      <c r="L16" s="844"/>
      <c r="M16" s="751" t="s">
        <v>133</v>
      </c>
      <c r="N16" s="753"/>
      <c r="O16" s="759">
        <f>SUM(O12:O14)</f>
        <v>1</v>
      </c>
      <c r="P16" s="758"/>
      <c r="Q16" s="849">
        <f>SUM(Q12:Q14)</f>
        <v>7.2500000000000009E-2</v>
      </c>
      <c r="R16" s="145"/>
      <c r="T16" s="25" t="s">
        <v>125</v>
      </c>
      <c r="U16" s="34"/>
      <c r="V16" s="157">
        <v>0.4415</v>
      </c>
      <c r="W16" s="157">
        <v>7.7499999999999999E-2</v>
      </c>
      <c r="X16" s="157">
        <f>ROUND(V16*W16,4)</f>
        <v>3.4200000000000001E-2</v>
      </c>
    </row>
    <row r="17" spans="1:32" ht="14.25" customHeight="1" thickTop="1">
      <c r="A17" s="288">
        <v>3</v>
      </c>
      <c r="B17" s="25"/>
      <c r="C17" s="25" t="s">
        <v>127</v>
      </c>
      <c r="D17" s="25"/>
      <c r="E17" s="191">
        <f>ROUND(E13*E15,4)</f>
        <v>100276.85249999999</v>
      </c>
      <c r="F17" s="191" t="e">
        <f t="shared" ref="F17" si="0">ROUND(F13*F15,4)</f>
        <v>#VALUE!</v>
      </c>
      <c r="G17" s="191">
        <f>ROUND(G13*G15,4)</f>
        <v>100276.85249999999</v>
      </c>
      <c r="H17" s="37"/>
      <c r="I17" s="37"/>
      <c r="L17" s="850"/>
      <c r="M17" s="851"/>
      <c r="N17" s="852"/>
      <c r="O17" s="853"/>
      <c r="P17" s="854"/>
      <c r="Q17" s="855"/>
      <c r="R17" s="455"/>
      <c r="U17" s="108"/>
      <c r="V17" s="157"/>
      <c r="W17" s="157"/>
      <c r="X17" s="157"/>
    </row>
    <row r="18" spans="1:32" ht="14.25" customHeight="1">
      <c r="A18" s="288"/>
      <c r="B18" s="25"/>
      <c r="C18" s="25"/>
      <c r="D18" s="25"/>
      <c r="E18" s="37"/>
      <c r="F18" s="37"/>
      <c r="G18" s="37"/>
      <c r="H18" s="37"/>
      <c r="I18" s="37"/>
      <c r="L18" s="592"/>
      <c r="R18" s="455"/>
      <c r="T18" s="309" t="s">
        <v>128</v>
      </c>
      <c r="U18" s="310"/>
      <c r="V18" s="311">
        <v>3.39E-2</v>
      </c>
      <c r="W18" s="311">
        <v>7.0800000000000002E-2</v>
      </c>
      <c r="X18" s="311">
        <f>ROUND(V18*W18,4)</f>
        <v>2.3999999999999998E-3</v>
      </c>
    </row>
    <row r="19" spans="1:32" ht="14.25" customHeight="1">
      <c r="A19" s="288">
        <v>4</v>
      </c>
      <c r="B19" s="25"/>
      <c r="C19" s="25" t="s">
        <v>131</v>
      </c>
      <c r="D19" s="25"/>
      <c r="E19" s="302">
        <f ca="1">'Exh. No. BGM-13R -3'!AZ57</f>
        <v>105324.01787851319</v>
      </c>
      <c r="F19" s="302">
        <f>'Exh. No. BGM-13R -3'!BA57</f>
        <v>0</v>
      </c>
      <c r="G19" s="290">
        <f ca="1">'Exh. No. BGM-13R -3'!BN57</f>
        <v>105324.0178785132</v>
      </c>
      <c r="H19" s="34"/>
      <c r="I19" s="34"/>
      <c r="J19" s="175"/>
      <c r="K19" s="175"/>
      <c r="O19" s="148"/>
      <c r="P19" s="443"/>
      <c r="R19" s="455"/>
      <c r="S19" s="148"/>
      <c r="U19" s="108"/>
      <c r="V19" s="157"/>
      <c r="W19" s="157"/>
      <c r="X19" s="157"/>
      <c r="Y19" s="303" t="s">
        <v>229</v>
      </c>
      <c r="Z19" s="303" t="s">
        <v>230</v>
      </c>
      <c r="AF19" s="226"/>
    </row>
    <row r="20" spans="1:32" ht="14.25" customHeight="1">
      <c r="A20" s="288"/>
      <c r="B20" s="25"/>
      <c r="C20" s="25"/>
      <c r="D20" s="25"/>
      <c r="E20" s="25"/>
      <c r="F20" s="25"/>
      <c r="G20" s="25"/>
      <c r="H20" s="25"/>
      <c r="I20" s="25"/>
      <c r="R20" s="455"/>
      <c r="S20" s="149"/>
      <c r="T20" s="25" t="s">
        <v>129</v>
      </c>
      <c r="U20" s="108"/>
      <c r="V20" s="157" t="e">
        <f>#REF!</f>
        <v>#REF!</v>
      </c>
      <c r="W20" s="157" t="e">
        <f>#REF!</f>
        <v>#REF!</v>
      </c>
      <c r="X20" s="157" t="e">
        <f>ROUND(V20*W20,4)</f>
        <v>#REF!</v>
      </c>
      <c r="Y20" s="304" t="e">
        <f>SUM(X16:X20)</f>
        <v>#REF!</v>
      </c>
      <c r="Z20" s="304" t="e">
        <f>X16+X20</f>
        <v>#REF!</v>
      </c>
    </row>
    <row r="21" spans="1:32" ht="14.25" customHeight="1">
      <c r="A21" s="288">
        <v>5</v>
      </c>
      <c r="B21" s="25"/>
      <c r="C21" s="25" t="s">
        <v>132</v>
      </c>
      <c r="D21" s="25"/>
      <c r="E21" s="37">
        <f ca="1">E17-E19</f>
        <v>-5047.165378513193</v>
      </c>
      <c r="F21" s="37" t="e">
        <f t="shared" ref="F21:G21" si="1">F17-F19</f>
        <v>#VALUE!</v>
      </c>
      <c r="G21" s="37">
        <f t="shared" ca="1" si="1"/>
        <v>-5047.1653785132075</v>
      </c>
      <c r="H21" s="37">
        <f ca="1">G21-E21</f>
        <v>-1.4551915228366852E-11</v>
      </c>
      <c r="I21" s="37"/>
      <c r="J21" s="37"/>
      <c r="K21" s="37"/>
      <c r="R21" s="27"/>
      <c r="U21" s="108"/>
      <c r="V21" s="157"/>
      <c r="W21" s="157"/>
      <c r="X21" s="157"/>
      <c r="Z21" s="150"/>
    </row>
    <row r="22" spans="1:32" ht="14.25" customHeight="1">
      <c r="A22" s="288"/>
      <c r="B22" s="25"/>
      <c r="C22" s="25"/>
      <c r="D22" s="25"/>
      <c r="E22" s="25"/>
      <c r="F22" s="25"/>
      <c r="G22" s="25"/>
      <c r="H22" s="25"/>
      <c r="I22" s="25"/>
      <c r="M22" s="27"/>
      <c r="T22" s="25" t="s">
        <v>130</v>
      </c>
      <c r="U22" s="108"/>
      <c r="V22" s="157"/>
      <c r="W22" s="157"/>
      <c r="X22" s="157">
        <v>0</v>
      </c>
    </row>
    <row r="23" spans="1:32" ht="14.25" customHeight="1">
      <c r="A23" s="288">
        <v>6</v>
      </c>
      <c r="B23" s="25"/>
      <c r="C23" s="25" t="s">
        <v>134</v>
      </c>
      <c r="D23" s="25"/>
      <c r="E23" s="512">
        <f>'Exh. No. BGM-13R -4'!$E$24</f>
        <v>0.61986399999999997</v>
      </c>
      <c r="F23" s="512">
        <f>'Exh. No. BGM-13R -4'!F24</f>
        <v>0</v>
      </c>
      <c r="G23" s="512">
        <f>'Exh. No. BGM-13R -4'!$E$24</f>
        <v>0.61986399999999997</v>
      </c>
      <c r="H23" s="512">
        <f>G23</f>
        <v>0.61986399999999997</v>
      </c>
      <c r="I23" s="25"/>
      <c r="M23" s="548"/>
      <c r="U23" s="108"/>
      <c r="V23" s="157"/>
      <c r="W23" s="157"/>
      <c r="X23" s="157"/>
    </row>
    <row r="24" spans="1:32" ht="11.25" customHeight="1" thickBot="1">
      <c r="A24" s="288"/>
      <c r="B24" s="25"/>
      <c r="C24" s="25"/>
      <c r="D24" s="25"/>
      <c r="E24" s="722"/>
      <c r="F24" s="722">
        <v>2017</v>
      </c>
      <c r="G24" s="745"/>
      <c r="H24" s="722"/>
      <c r="I24" s="522"/>
      <c r="J24" s="27"/>
      <c r="K24" s="27"/>
      <c r="L24" s="145"/>
      <c r="M24" s="145"/>
      <c r="N24" s="145"/>
      <c r="P24" s="183"/>
      <c r="Q24" s="145"/>
      <c r="T24" s="25" t="s">
        <v>9</v>
      </c>
      <c r="U24" s="108"/>
      <c r="V24" s="157">
        <f>O14</f>
        <v>0.48499999999999999</v>
      </c>
      <c r="W24" s="157">
        <f>P14</f>
        <v>9.0999999999999998E-2</v>
      </c>
      <c r="X24" s="157">
        <f>ROUND(V24*W24,4)</f>
        <v>4.41E-2</v>
      </c>
    </row>
    <row r="25" spans="1:32" ht="14.25" customHeight="1" thickBot="1">
      <c r="A25" s="288">
        <v>7</v>
      </c>
      <c r="B25" s="25"/>
      <c r="C25" s="25" t="s">
        <v>792</v>
      </c>
      <c r="D25" s="25"/>
      <c r="E25" s="530">
        <f ca="1">ROUND(E21/E23,0)</f>
        <v>-8142</v>
      </c>
      <c r="F25" s="744" t="e">
        <f t="shared" ref="F25:H25" si="2">ROUND(F21/F23,0)</f>
        <v>#VALUE!</v>
      </c>
      <c r="G25" s="223">
        <f t="shared" ca="1" si="2"/>
        <v>-8142</v>
      </c>
      <c r="H25" s="530">
        <f t="shared" ca="1" si="2"/>
        <v>0</v>
      </c>
      <c r="I25" s="523"/>
      <c r="J25" s="34"/>
      <c r="K25" s="34"/>
      <c r="L25" s="145"/>
      <c r="M25" s="223">
        <v>38568</v>
      </c>
      <c r="N25" s="223"/>
      <c r="O25" s="223">
        <v>10301</v>
      </c>
      <c r="P25" s="183"/>
      <c r="Q25" s="145"/>
      <c r="U25" s="108"/>
      <c r="V25" s="79"/>
      <c r="W25" s="79"/>
      <c r="X25" s="157"/>
    </row>
    <row r="26" spans="1:32" ht="14.25" customHeight="1">
      <c r="A26" s="288"/>
      <c r="B26" s="300"/>
      <c r="C26" s="25"/>
      <c r="D26" s="25"/>
      <c r="E26" s="37"/>
      <c r="F26" s="25"/>
      <c r="G26" s="25"/>
      <c r="H26" s="27"/>
      <c r="I26" s="145"/>
      <c r="J26" s="27"/>
      <c r="K26" s="27"/>
      <c r="L26" s="452"/>
      <c r="M26" s="768">
        <f ca="1">E25-4523</f>
        <v>-12665</v>
      </c>
      <c r="N26" s="768"/>
      <c r="O26" s="768">
        <f ca="1">H25-58</f>
        <v>-58</v>
      </c>
      <c r="P26" s="183"/>
      <c r="Q26" s="145"/>
      <c r="R26" s="145"/>
      <c r="S26" s="145"/>
      <c r="T26" s="145"/>
      <c r="U26" s="172"/>
      <c r="V26" s="450"/>
      <c r="W26" s="450"/>
      <c r="X26" s="451"/>
      <c r="Y26" s="145"/>
      <c r="Z26" s="145"/>
      <c r="AA26" s="145"/>
      <c r="AF26" s="226"/>
    </row>
    <row r="27" spans="1:32" ht="14.25" customHeight="1">
      <c r="A27" s="288">
        <v>8</v>
      </c>
      <c r="B27" s="300"/>
      <c r="C27" s="25" t="s">
        <v>793</v>
      </c>
      <c r="D27" s="25"/>
      <c r="E27" s="34">
        <f>'Exh. No. BGM-13R -3'!AZ15+'Exh. No. BGM-13R -3'!AZ16</f>
        <v>495064</v>
      </c>
      <c r="F27" s="34">
        <f>'Exh. No. BGM-13R -3'!BA15+'Exh. No. BGM-13R -3'!BA16</f>
        <v>0</v>
      </c>
      <c r="G27" s="223"/>
      <c r="H27" s="223">
        <f ca="1">E27+E25</f>
        <v>486922</v>
      </c>
      <c r="I27" s="223"/>
      <c r="J27" s="27"/>
      <c r="K27" s="27"/>
      <c r="L27" s="145"/>
      <c r="M27" s="223">
        <f ca="1">M26-M25</f>
        <v>-51233</v>
      </c>
      <c r="N27" s="223"/>
      <c r="O27" s="223">
        <f ca="1">O26-O25</f>
        <v>-10359</v>
      </c>
      <c r="P27" s="183"/>
      <c r="Q27" s="145"/>
      <c r="R27" s="145"/>
      <c r="S27" s="145"/>
      <c r="T27" s="145"/>
      <c r="U27" s="172"/>
      <c r="V27" s="450"/>
      <c r="W27" s="450"/>
      <c r="X27" s="451"/>
      <c r="Y27" s="145"/>
      <c r="Z27" s="145"/>
      <c r="AA27" s="145"/>
    </row>
    <row r="28" spans="1:32" ht="14.25" customHeight="1">
      <c r="A28" s="288"/>
      <c r="B28" s="300"/>
      <c r="C28" s="25"/>
      <c r="D28" s="25"/>
      <c r="E28" s="25"/>
      <c r="F28" s="25"/>
      <c r="G28" s="145"/>
      <c r="H28" s="145"/>
      <c r="I28" s="145"/>
      <c r="J28" s="27"/>
      <c r="K28" s="27"/>
      <c r="L28" s="453"/>
      <c r="M28" s="454"/>
      <c r="N28" s="454"/>
      <c r="O28" s="454"/>
      <c r="P28" s="454"/>
      <c r="Q28" s="454"/>
      <c r="R28" s="145"/>
      <c r="S28" s="145"/>
      <c r="T28" s="145"/>
      <c r="U28" s="172"/>
      <c r="V28" s="450"/>
      <c r="W28" s="450"/>
      <c r="X28" s="451"/>
      <c r="Y28" s="145"/>
      <c r="Z28" s="145"/>
      <c r="AA28" s="145"/>
    </row>
    <row r="29" spans="1:32" ht="14.25" customHeight="1" thickBot="1">
      <c r="A29" s="288">
        <v>9</v>
      </c>
      <c r="B29" s="300"/>
      <c r="C29" s="25" t="s">
        <v>136</v>
      </c>
      <c r="D29" s="25"/>
      <c r="E29" s="517">
        <f ca="1">ROUND(E25/E27,4)</f>
        <v>-1.6400000000000001E-2</v>
      </c>
      <c r="F29" s="517" t="e">
        <f t="shared" ref="F29" si="3">ROUND(F25/F27,4)</f>
        <v>#VALUE!</v>
      </c>
      <c r="G29" s="770"/>
      <c r="H29" s="771">
        <v>3.9E-2</v>
      </c>
      <c r="I29" s="524"/>
      <c r="J29" s="27"/>
      <c r="K29" s="27"/>
      <c r="L29" s="455"/>
      <c r="M29" s="455"/>
      <c r="N29" s="455"/>
      <c r="O29" s="454"/>
      <c r="P29" s="456"/>
      <c r="Q29" s="454"/>
      <c r="R29" s="145"/>
      <c r="S29" s="145"/>
      <c r="T29" s="145"/>
      <c r="U29" s="223"/>
      <c r="V29" s="451"/>
      <c r="W29" s="450"/>
      <c r="X29" s="451"/>
      <c r="Y29" s="145"/>
      <c r="Z29" s="145"/>
      <c r="AA29" s="145"/>
    </row>
    <row r="30" spans="1:32" ht="14.25" customHeight="1" thickTop="1">
      <c r="E30" s="306"/>
      <c r="F30" s="306"/>
      <c r="G30" s="772"/>
      <c r="H30" s="778" t="s">
        <v>665</v>
      </c>
      <c r="I30" s="306"/>
      <c r="J30" s="27"/>
      <c r="K30" s="27"/>
      <c r="L30" s="455"/>
      <c r="M30" s="145"/>
      <c r="N30" s="454"/>
      <c r="O30" s="454"/>
      <c r="P30" s="454"/>
      <c r="Q30" s="454"/>
      <c r="R30" s="454"/>
      <c r="S30" s="145"/>
      <c r="T30" s="145"/>
      <c r="U30" s="145"/>
      <c r="V30" s="145"/>
      <c r="W30" s="145"/>
      <c r="X30" s="145"/>
      <c r="Y30" s="145"/>
      <c r="Z30" s="145"/>
      <c r="AA30" s="145"/>
    </row>
    <row r="31" spans="1:32" ht="14.25" customHeight="1">
      <c r="A31" s="692">
        <v>10</v>
      </c>
      <c r="B31" s="300"/>
      <c r="C31" s="25" t="s">
        <v>794</v>
      </c>
      <c r="D31" s="25"/>
      <c r="E31" s="34">
        <v>505346</v>
      </c>
      <c r="F31" s="34">
        <v>505346</v>
      </c>
      <c r="G31" s="223"/>
      <c r="H31" s="773"/>
      <c r="I31" s="306"/>
      <c r="J31" s="27"/>
      <c r="K31" s="27"/>
      <c r="L31" s="455"/>
      <c r="M31" s="454"/>
      <c r="N31" s="454"/>
      <c r="O31" s="454"/>
      <c r="P31" s="454"/>
      <c r="Q31" s="454"/>
      <c r="R31" s="455"/>
      <c r="S31" s="145"/>
      <c r="T31" s="145"/>
      <c r="U31" s="145"/>
      <c r="V31" s="145"/>
      <c r="W31" s="145"/>
      <c r="X31" s="145"/>
      <c r="Y31" s="145"/>
      <c r="Z31" s="145"/>
      <c r="AA31" s="145"/>
    </row>
    <row r="32" spans="1:32" ht="14.25" customHeight="1">
      <c r="A32" s="692"/>
      <c r="B32" s="300"/>
      <c r="C32" s="25"/>
      <c r="D32" s="25"/>
      <c r="E32" s="25"/>
      <c r="F32" s="25"/>
      <c r="G32" s="145"/>
      <c r="H32" s="772"/>
      <c r="I32" s="306"/>
      <c r="J32" s="27"/>
      <c r="K32" s="27"/>
      <c r="L32" s="455"/>
      <c r="M32" s="455"/>
      <c r="N32" s="455"/>
      <c r="O32" s="455"/>
      <c r="P32" s="456"/>
      <c r="Q32" s="455"/>
      <c r="R32" s="455"/>
      <c r="S32" s="145"/>
      <c r="T32" s="145"/>
      <c r="U32" s="145"/>
      <c r="V32" s="145"/>
      <c r="W32" s="145"/>
      <c r="X32" s="145"/>
      <c r="Y32" s="145"/>
      <c r="Z32" s="145"/>
      <c r="AA32" s="145"/>
    </row>
    <row r="33" spans="1:27" ht="14.25" customHeight="1" thickBot="1">
      <c r="A33" s="692">
        <v>11</v>
      </c>
      <c r="B33" s="300"/>
      <c r="C33" s="25" t="s">
        <v>136</v>
      </c>
      <c r="D33" s="25"/>
      <c r="E33" s="517">
        <f ca="1">ROUND(E25/E31,4)</f>
        <v>-1.61E-2</v>
      </c>
      <c r="F33" s="517" t="e">
        <f t="shared" ref="F33" si="4">ROUND(F25/F31,4)</f>
        <v>#VALUE!</v>
      </c>
      <c r="G33" s="774"/>
      <c r="H33" s="774"/>
      <c r="I33" s="306"/>
      <c r="J33" s="27"/>
      <c r="K33" s="27"/>
      <c r="L33" s="455"/>
      <c r="M33" s="145"/>
      <c r="N33" s="223"/>
      <c r="O33" s="451"/>
      <c r="P33" s="457"/>
      <c r="Q33" s="451"/>
      <c r="R33" s="455"/>
      <c r="S33" s="145"/>
      <c r="T33" s="145"/>
      <c r="U33" s="145"/>
      <c r="V33" s="145"/>
      <c r="W33" s="145"/>
      <c r="X33" s="145"/>
      <c r="Y33" s="145"/>
      <c r="Z33" s="145"/>
      <c r="AA33" s="145"/>
    </row>
    <row r="34" spans="1:27" ht="14.25" customHeight="1" thickTop="1">
      <c r="A34" s="306"/>
      <c r="B34" s="306"/>
      <c r="C34" s="306"/>
      <c r="D34" s="306"/>
      <c r="E34" s="307"/>
      <c r="F34" s="306"/>
      <c r="G34" s="306"/>
      <c r="H34" s="306"/>
      <c r="I34" s="306"/>
      <c r="J34" s="27"/>
      <c r="K34" s="27"/>
      <c r="L34" s="455"/>
      <c r="M34" s="145"/>
      <c r="N34" s="172"/>
      <c r="O34" s="451"/>
      <c r="P34" s="457"/>
      <c r="Q34" s="451"/>
      <c r="R34" s="145"/>
      <c r="S34" s="145"/>
      <c r="T34" s="145"/>
      <c r="U34" s="145"/>
      <c r="V34" s="145"/>
      <c r="W34" s="145"/>
      <c r="X34" s="145"/>
      <c r="Y34" s="145"/>
      <c r="Z34" s="145"/>
      <c r="AA34" s="145"/>
    </row>
    <row r="35" spans="1:27" ht="14.25" customHeight="1">
      <c r="A35" s="306"/>
      <c r="B35" s="306"/>
      <c r="C35" s="762" t="s">
        <v>795</v>
      </c>
      <c r="D35" s="763"/>
      <c r="E35" s="763"/>
      <c r="F35" s="25"/>
      <c r="G35" s="760"/>
      <c r="H35" s="760"/>
      <c r="I35" s="306"/>
      <c r="J35" s="27"/>
      <c r="K35" s="27"/>
      <c r="L35" s="455"/>
      <c r="M35" s="145"/>
      <c r="N35" s="594"/>
      <c r="O35" s="451"/>
      <c r="P35" s="457"/>
      <c r="Q35" s="451"/>
      <c r="R35" s="145"/>
      <c r="S35" s="145"/>
      <c r="T35" s="145"/>
      <c r="U35" s="145"/>
      <c r="V35" s="145"/>
      <c r="W35" s="145"/>
      <c r="X35" s="145"/>
      <c r="Y35" s="145"/>
      <c r="Z35" s="145"/>
      <c r="AA35" s="145"/>
    </row>
    <row r="36" spans="1:27" ht="14.25" customHeight="1">
      <c r="A36" s="775">
        <v>12</v>
      </c>
      <c r="B36" s="306"/>
      <c r="C36" s="25" t="s">
        <v>796</v>
      </c>
      <c r="D36" s="25"/>
      <c r="E36" s="25"/>
      <c r="F36" s="25"/>
      <c r="G36" s="764">
        <f>'Exh. No. BGM-13R -3'!$AP$81</f>
        <v>1383129</v>
      </c>
      <c r="H36" s="765"/>
      <c r="I36" s="306"/>
      <c r="J36" s="27"/>
      <c r="K36" s="27"/>
      <c r="L36" s="455"/>
      <c r="M36" s="145"/>
      <c r="N36" s="594"/>
      <c r="O36" s="451"/>
      <c r="P36" s="457"/>
      <c r="Q36" s="451"/>
      <c r="R36" s="145"/>
      <c r="S36" s="145"/>
      <c r="T36" s="145"/>
      <c r="U36" s="145"/>
      <c r="V36" s="145"/>
      <c r="W36" s="145"/>
      <c r="X36" s="145"/>
      <c r="Y36" s="145"/>
      <c r="Z36" s="145"/>
      <c r="AA36" s="145"/>
    </row>
    <row r="37" spans="1:27" ht="14.25" customHeight="1">
      <c r="A37" s="775">
        <v>13</v>
      </c>
      <c r="B37" s="306"/>
      <c r="C37" s="25" t="s">
        <v>797</v>
      </c>
      <c r="D37" s="25"/>
      <c r="E37" s="25"/>
      <c r="F37" s="25"/>
      <c r="G37" s="766">
        <f ca="1">'Exh. No. BGM-13R -3'!$AP$57</f>
        <v>105324.01787851319</v>
      </c>
      <c r="H37" s="765"/>
      <c r="I37" s="306"/>
      <c r="J37" s="27"/>
      <c r="K37" s="27"/>
      <c r="L37" s="455"/>
      <c r="M37" s="145"/>
      <c r="N37" s="594"/>
      <c r="O37" s="451"/>
      <c r="P37" s="457"/>
      <c r="Q37" s="451"/>
      <c r="R37" s="145"/>
      <c r="S37" s="145"/>
      <c r="T37" s="145"/>
      <c r="U37" s="145"/>
      <c r="V37" s="145"/>
      <c r="W37" s="145"/>
      <c r="X37" s="145"/>
      <c r="Y37" s="145"/>
      <c r="Z37" s="145"/>
      <c r="AA37" s="145"/>
    </row>
    <row r="38" spans="1:27" ht="14.25" customHeight="1">
      <c r="A38" s="775">
        <v>14</v>
      </c>
      <c r="B38" s="306"/>
      <c r="C38" s="25" t="s">
        <v>798</v>
      </c>
      <c r="D38" s="25"/>
      <c r="E38" s="25"/>
      <c r="F38" s="25"/>
      <c r="G38" s="776">
        <f ca="1">'Exh. No. BGM-13R -3'!$AP$83</f>
        <v>-8142.3753896228509</v>
      </c>
      <c r="H38" s="777" t="s">
        <v>6</v>
      </c>
      <c r="I38" s="306"/>
      <c r="J38" s="27"/>
      <c r="K38" s="27"/>
      <c r="L38" s="455"/>
      <c r="M38" s="145"/>
      <c r="N38" s="594"/>
      <c r="O38" s="451"/>
      <c r="P38" s="457"/>
      <c r="Q38" s="451"/>
      <c r="R38" s="145"/>
      <c r="S38" s="145"/>
      <c r="T38" s="145"/>
      <c r="U38" s="145"/>
      <c r="V38" s="145"/>
      <c r="W38" s="145"/>
      <c r="X38" s="145"/>
      <c r="Y38" s="145"/>
      <c r="Z38" s="145"/>
      <c r="AA38" s="145"/>
    </row>
    <row r="39" spans="1:27" ht="14.25" customHeight="1">
      <c r="A39" s="775">
        <v>15</v>
      </c>
      <c r="B39" s="306"/>
      <c r="C39" s="25" t="s">
        <v>799</v>
      </c>
      <c r="D39" s="25"/>
      <c r="E39" s="25"/>
      <c r="F39" s="25"/>
      <c r="G39" s="302">
        <f ca="1">E25</f>
        <v>-8142</v>
      </c>
      <c r="H39" s="777" t="s">
        <v>805</v>
      </c>
      <c r="I39" s="306"/>
      <c r="J39" s="27"/>
      <c r="K39" s="27"/>
      <c r="L39" s="455"/>
      <c r="M39" s="145"/>
      <c r="N39" s="594"/>
      <c r="O39" s="451"/>
      <c r="P39" s="457"/>
      <c r="Q39" s="451"/>
      <c r="R39" s="145"/>
      <c r="S39" s="145"/>
      <c r="T39" s="145"/>
      <c r="U39" s="145"/>
      <c r="V39" s="145"/>
      <c r="W39" s="145"/>
      <c r="X39" s="145"/>
      <c r="Y39" s="145"/>
      <c r="Z39" s="145"/>
      <c r="AA39" s="145"/>
    </row>
    <row r="40" spans="1:27" ht="14.25" customHeight="1" thickBot="1">
      <c r="A40" s="775">
        <v>16</v>
      </c>
      <c r="B40" s="306"/>
      <c r="C40" s="105" t="s">
        <v>800</v>
      </c>
      <c r="D40" s="25"/>
      <c r="E40" s="25"/>
      <c r="F40" s="25"/>
      <c r="G40" s="767">
        <f ca="1">G39-G38</f>
        <v>0.37538962285088928</v>
      </c>
      <c r="H40" s="777" t="s">
        <v>803</v>
      </c>
      <c r="I40" s="306"/>
      <c r="J40" s="27"/>
      <c r="K40" s="27"/>
      <c r="L40" s="455"/>
      <c r="M40" s="145"/>
      <c r="N40" s="594"/>
      <c r="O40" s="451"/>
      <c r="P40" s="457"/>
      <c r="Q40" s="451"/>
      <c r="R40" s="145"/>
      <c r="S40" s="145"/>
      <c r="T40" s="145"/>
      <c r="U40" s="145"/>
      <c r="V40" s="145"/>
      <c r="W40" s="145"/>
      <c r="X40" s="145"/>
      <c r="Y40" s="145"/>
      <c r="Z40" s="145"/>
      <c r="AA40" s="145"/>
    </row>
    <row r="41" spans="1:27" ht="14.25" customHeight="1" thickTop="1" thickBot="1">
      <c r="A41" s="775">
        <v>17</v>
      </c>
      <c r="B41" s="306"/>
      <c r="C41" s="105" t="s">
        <v>801</v>
      </c>
      <c r="D41" s="25"/>
      <c r="E41" s="25"/>
      <c r="F41" s="156"/>
      <c r="G41" s="767">
        <f ca="1">H25</f>
        <v>0</v>
      </c>
      <c r="H41" s="777" t="s">
        <v>806</v>
      </c>
      <c r="I41" s="306"/>
      <c r="J41" s="27"/>
      <c r="K41" s="27"/>
      <c r="L41" s="455"/>
      <c r="M41" s="145"/>
      <c r="N41" s="594"/>
      <c r="O41" s="451"/>
      <c r="P41" s="457"/>
      <c r="Q41" s="451"/>
      <c r="R41" s="145"/>
      <c r="S41" s="145"/>
      <c r="T41" s="145"/>
      <c r="U41" s="145"/>
      <c r="V41" s="145"/>
      <c r="W41" s="145"/>
      <c r="X41" s="145"/>
      <c r="Y41" s="145"/>
      <c r="Z41" s="145"/>
      <c r="AA41" s="145"/>
    </row>
    <row r="42" spans="1:27" ht="14.25" customHeight="1" thickTop="1">
      <c r="A42" s="306"/>
      <c r="B42" s="306"/>
      <c r="C42" s="306"/>
      <c r="D42" s="306"/>
      <c r="E42" s="307"/>
      <c r="F42" s="306"/>
      <c r="G42" s="306"/>
      <c r="H42" s="306"/>
      <c r="I42" s="306"/>
      <c r="J42" s="27"/>
      <c r="K42" s="27"/>
      <c r="L42" s="455"/>
      <c r="M42" s="145"/>
      <c r="N42" s="594"/>
      <c r="O42" s="451"/>
      <c r="P42" s="457"/>
      <c r="Q42" s="451"/>
      <c r="R42" s="145"/>
      <c r="S42" s="145"/>
      <c r="T42" s="145"/>
      <c r="U42" s="145"/>
      <c r="V42" s="145"/>
      <c r="W42" s="145"/>
      <c r="X42" s="145"/>
      <c r="Y42" s="145"/>
      <c r="Z42" s="145"/>
      <c r="AA42" s="145"/>
    </row>
    <row r="43" spans="1:27" ht="14.25" customHeight="1">
      <c r="A43" s="306"/>
      <c r="B43" s="306"/>
      <c r="C43" s="873" t="s">
        <v>807</v>
      </c>
      <c r="D43" s="873"/>
      <c r="E43" s="873"/>
      <c r="F43" s="873"/>
      <c r="G43" s="873"/>
      <c r="H43" s="873"/>
      <c r="I43" s="873"/>
      <c r="J43" s="873"/>
      <c r="K43" s="795"/>
      <c r="L43" s="455"/>
      <c r="M43" s="145"/>
      <c r="N43" s="594"/>
      <c r="O43" s="451"/>
      <c r="P43" s="457"/>
      <c r="Q43" s="451"/>
      <c r="R43" s="145"/>
      <c r="S43" s="145"/>
      <c r="T43" s="145"/>
      <c r="U43" s="145"/>
      <c r="V43" s="145"/>
      <c r="W43" s="145"/>
      <c r="X43" s="145"/>
      <c r="Y43" s="145"/>
      <c r="Z43" s="145"/>
      <c r="AA43" s="145"/>
    </row>
    <row r="44" spans="1:27" ht="14.25" customHeight="1">
      <c r="A44" s="306"/>
      <c r="B44" s="306"/>
      <c r="C44" s="779"/>
      <c r="D44" s="779"/>
      <c r="E44" s="779"/>
      <c r="F44" s="779"/>
      <c r="G44" s="779"/>
      <c r="H44" s="779"/>
      <c r="I44" s="306"/>
      <c r="J44" s="27"/>
      <c r="K44" s="27"/>
      <c r="L44" s="455"/>
      <c r="M44" s="145"/>
      <c r="N44" s="594"/>
      <c r="O44" s="451"/>
      <c r="P44" s="457"/>
      <c r="Q44" s="451"/>
      <c r="R44" s="145"/>
      <c r="S44" s="145"/>
      <c r="T44" s="145"/>
      <c r="U44" s="145"/>
      <c r="V44" s="145"/>
      <c r="W44" s="145"/>
      <c r="X44" s="145"/>
      <c r="Y44" s="145"/>
      <c r="Z44" s="145"/>
      <c r="AA44" s="145"/>
    </row>
    <row r="45" spans="1:27" ht="14.25" customHeight="1">
      <c r="A45" s="306"/>
      <c r="B45" s="306"/>
      <c r="C45" s="306"/>
      <c r="D45" s="306"/>
      <c r="E45" s="307"/>
      <c r="F45" s="306"/>
      <c r="G45" s="306"/>
      <c r="H45" s="306"/>
      <c r="I45" s="306"/>
      <c r="J45" s="27"/>
      <c r="K45" s="27"/>
      <c r="L45" s="455"/>
      <c r="M45" s="145"/>
      <c r="N45" s="594"/>
      <c r="O45" s="451"/>
      <c r="P45" s="457"/>
      <c r="Q45" s="451"/>
      <c r="R45" s="145"/>
      <c r="S45" s="145"/>
      <c r="T45" s="145"/>
      <c r="U45" s="145"/>
      <c r="V45" s="145"/>
      <c r="W45" s="145"/>
      <c r="X45" s="145"/>
      <c r="Y45" s="145"/>
      <c r="Z45" s="145"/>
      <c r="AA45" s="145"/>
    </row>
    <row r="46" spans="1:27" ht="14.25" customHeight="1">
      <c r="A46" s="306"/>
      <c r="B46" s="306"/>
      <c r="C46" s="306"/>
      <c r="D46" s="306"/>
      <c r="E46" s="307"/>
      <c r="F46" s="306"/>
      <c r="G46" s="306"/>
      <c r="H46" s="306"/>
      <c r="I46" s="306"/>
      <c r="J46" s="27"/>
      <c r="K46" s="27"/>
      <c r="L46" s="455"/>
      <c r="M46" s="145"/>
      <c r="N46" s="594"/>
      <c r="O46" s="451"/>
      <c r="P46" s="457"/>
      <c r="Q46" s="451"/>
      <c r="R46" s="145"/>
      <c r="S46" s="145"/>
      <c r="T46" s="145"/>
      <c r="U46" s="145"/>
      <c r="V46" s="145"/>
      <c r="W46" s="145"/>
      <c r="X46" s="145"/>
      <c r="Y46" s="145"/>
      <c r="Z46" s="145"/>
      <c r="AA46" s="145"/>
    </row>
    <row r="47" spans="1:27" ht="14.25" customHeight="1">
      <c r="A47" s="306"/>
      <c r="B47" s="497" t="s">
        <v>623</v>
      </c>
      <c r="C47" s="497"/>
      <c r="E47" s="498" t="s">
        <v>88</v>
      </c>
      <c r="F47" s="306"/>
      <c r="G47" s="306"/>
      <c r="H47" s="306"/>
      <c r="I47" s="306"/>
      <c r="J47" s="27"/>
      <c r="K47" s="27"/>
      <c r="L47" s="455"/>
      <c r="M47" s="145"/>
      <c r="N47" s="172"/>
      <c r="O47" s="451"/>
      <c r="P47" s="457"/>
      <c r="Q47" s="451"/>
      <c r="R47" s="458"/>
      <c r="S47" s="145"/>
      <c r="T47" s="145"/>
      <c r="U47" s="145"/>
      <c r="V47" s="145"/>
      <c r="W47" s="145"/>
      <c r="X47" s="145"/>
      <c r="Y47" s="145"/>
      <c r="Z47" s="145"/>
      <c r="AA47" s="145"/>
    </row>
    <row r="48" spans="1:27" ht="14.25" customHeight="1">
      <c r="A48" s="306"/>
      <c r="B48" s="497" t="s">
        <v>624</v>
      </c>
      <c r="C48" s="497"/>
      <c r="E48" s="498" t="s">
        <v>620</v>
      </c>
      <c r="F48" s="306"/>
      <c r="G48" s="306"/>
      <c r="H48" s="306"/>
      <c r="I48" s="306"/>
      <c r="J48" s="27"/>
      <c r="K48" s="27"/>
      <c r="L48" s="455"/>
      <c r="M48" s="145"/>
      <c r="N48" s="172"/>
      <c r="O48" s="450"/>
      <c r="P48" s="460"/>
      <c r="Q48" s="451"/>
      <c r="R48" s="459"/>
      <c r="S48" s="145"/>
      <c r="T48" s="145"/>
      <c r="U48" s="145"/>
      <c r="V48" s="145"/>
      <c r="W48" s="145"/>
      <c r="X48" s="145"/>
      <c r="Y48" s="145"/>
      <c r="Z48" s="145"/>
      <c r="AA48" s="145"/>
    </row>
    <row r="49" spans="1:27" ht="14.25" customHeight="1">
      <c r="A49" s="306"/>
      <c r="B49" s="505" t="s">
        <v>625</v>
      </c>
      <c r="C49" s="497"/>
      <c r="E49" s="499"/>
      <c r="F49" s="306"/>
      <c r="G49" s="306"/>
      <c r="H49" s="306"/>
      <c r="I49" s="306"/>
      <c r="J49" s="27"/>
      <c r="K49" s="27"/>
      <c r="L49" s="455"/>
      <c r="M49" s="145"/>
      <c r="N49" s="223"/>
      <c r="O49" s="451"/>
      <c r="P49" s="460"/>
      <c r="Q49" s="451"/>
      <c r="R49" s="145"/>
      <c r="S49" s="145"/>
      <c r="T49" s="145"/>
      <c r="U49" s="145"/>
      <c r="V49" s="145"/>
      <c r="W49" s="145"/>
      <c r="X49" s="145"/>
      <c r="Y49" s="145"/>
      <c r="Z49" s="145"/>
      <c r="AA49" s="145"/>
    </row>
    <row r="50" spans="1:27" ht="14.25" customHeight="1">
      <c r="A50" s="306"/>
      <c r="B50" s="497" t="s">
        <v>626</v>
      </c>
      <c r="C50" s="497"/>
      <c r="E50" s="500">
        <f>E13</f>
        <v>1383129</v>
      </c>
      <c r="F50" s="306"/>
      <c r="G50" s="306"/>
      <c r="H50" s="306"/>
      <c r="I50" s="306"/>
      <c r="J50" s="27"/>
      <c r="K50" s="27"/>
      <c r="L50" s="455"/>
      <c r="M50" s="145"/>
      <c r="N50" s="172"/>
      <c r="O50" s="451"/>
      <c r="P50" s="457"/>
      <c r="Q50" s="451"/>
      <c r="R50" s="455"/>
      <c r="S50" s="145"/>
      <c r="T50" s="145"/>
      <c r="U50" s="145"/>
      <c r="V50" s="145"/>
      <c r="W50" s="145"/>
      <c r="X50" s="145"/>
      <c r="Y50" s="145"/>
      <c r="Z50" s="145"/>
      <c r="AA50" s="145"/>
    </row>
    <row r="51" spans="1:27" ht="14.25" customHeight="1">
      <c r="A51" s="306"/>
      <c r="B51" s="497" t="s">
        <v>627</v>
      </c>
      <c r="C51" s="497"/>
      <c r="E51" s="501">
        <f>O14</f>
        <v>0.48499999999999999</v>
      </c>
      <c r="F51" s="306"/>
      <c r="G51" s="306"/>
      <c r="H51" s="306"/>
      <c r="I51" s="306"/>
      <c r="J51" s="27"/>
      <c r="K51" s="27"/>
      <c r="L51" s="145"/>
      <c r="M51" s="145"/>
      <c r="N51" s="145"/>
      <c r="O51" s="145"/>
      <c r="P51" s="183"/>
      <c r="Q51" s="145"/>
      <c r="R51" s="455"/>
      <c r="S51" s="145"/>
      <c r="T51" s="145"/>
      <c r="U51" s="145"/>
      <c r="V51" s="145"/>
      <c r="W51" s="145"/>
      <c r="X51" s="145"/>
      <c r="Y51" s="145"/>
      <c r="Z51" s="145"/>
      <c r="AA51" s="145"/>
    </row>
    <row r="52" spans="1:27" ht="14.25" customHeight="1">
      <c r="A52" s="306"/>
      <c r="B52" s="497" t="s">
        <v>628</v>
      </c>
      <c r="C52" s="497"/>
      <c r="E52" s="502">
        <f>ROUND(E50*E51,0)</f>
        <v>670818</v>
      </c>
      <c r="F52" s="306"/>
      <c r="G52" s="306"/>
      <c r="H52" s="306"/>
      <c r="I52" s="306"/>
      <c r="J52" s="27"/>
      <c r="K52" s="27"/>
      <c r="L52" s="145"/>
      <c r="M52" s="145"/>
      <c r="N52" s="145"/>
      <c r="O52" s="145"/>
      <c r="P52" s="183"/>
      <c r="Q52" s="145"/>
      <c r="R52" s="455"/>
      <c r="S52" s="145"/>
      <c r="T52" s="145"/>
      <c r="U52" s="145"/>
      <c r="V52" s="145"/>
      <c r="W52" s="145"/>
      <c r="X52" s="145"/>
      <c r="Y52" s="145"/>
      <c r="Z52" s="145"/>
      <c r="AA52" s="145"/>
    </row>
    <row r="53" spans="1:27" ht="14.25" customHeight="1">
      <c r="A53" s="306"/>
      <c r="B53" s="497" t="s">
        <v>629</v>
      </c>
      <c r="C53" s="497"/>
      <c r="E53" s="503"/>
      <c r="F53" s="306"/>
      <c r="G53" s="306"/>
      <c r="H53" s="306"/>
      <c r="I53" s="306"/>
      <c r="J53" s="27"/>
      <c r="K53" s="27"/>
      <c r="L53" s="145"/>
      <c r="M53" s="145"/>
      <c r="N53" s="145"/>
      <c r="O53" s="145"/>
      <c r="P53" s="183"/>
      <c r="Q53" s="240"/>
      <c r="R53" s="145"/>
      <c r="S53" s="145"/>
      <c r="T53" s="145"/>
      <c r="U53" s="145"/>
      <c r="V53" s="145"/>
      <c r="W53" s="145"/>
      <c r="X53" s="145"/>
      <c r="Y53" s="145"/>
      <c r="Z53" s="145"/>
      <c r="AA53" s="145"/>
    </row>
    <row r="54" spans="1:27" ht="14.25" customHeight="1">
      <c r="A54" s="306"/>
      <c r="B54" s="497"/>
      <c r="C54" s="497" t="s">
        <v>621</v>
      </c>
      <c r="E54" s="500">
        <f>E17</f>
        <v>100276.85249999999</v>
      </c>
      <c r="F54" s="306"/>
      <c r="G54" s="306"/>
      <c r="H54" s="306"/>
      <c r="I54" s="306"/>
      <c r="J54" s="27"/>
      <c r="K54" s="27"/>
      <c r="L54" s="145"/>
      <c r="M54" s="145"/>
      <c r="N54" s="145"/>
      <c r="O54" s="145"/>
      <c r="P54" s="183"/>
      <c r="Q54" s="240"/>
      <c r="R54" s="145"/>
      <c r="S54" s="145"/>
      <c r="T54" s="145"/>
      <c r="U54" s="145"/>
      <c r="V54" s="145"/>
      <c r="W54" s="145"/>
      <c r="X54" s="145"/>
      <c r="Y54" s="145"/>
      <c r="Z54" s="145"/>
      <c r="AA54" s="145"/>
    </row>
    <row r="55" spans="1:27" ht="14.25" customHeight="1">
      <c r="A55" s="306"/>
      <c r="B55" s="497"/>
      <c r="C55" s="497" t="s">
        <v>622</v>
      </c>
      <c r="E55" s="507">
        <f>'DEBT CALC'!G59*-1</f>
        <v>-39280.863599999997</v>
      </c>
      <c r="F55" s="306"/>
      <c r="G55" s="306"/>
      <c r="H55" s="306"/>
      <c r="I55" s="306"/>
      <c r="J55" s="27"/>
      <c r="K55" s="27"/>
      <c r="L55" s="145"/>
      <c r="M55" s="145"/>
      <c r="N55" s="145"/>
      <c r="O55" s="145"/>
      <c r="P55" s="183"/>
      <c r="Q55" s="145"/>
      <c r="R55" s="145"/>
      <c r="S55" s="145"/>
      <c r="T55" s="145"/>
      <c r="U55" s="145"/>
      <c r="V55" s="145"/>
      <c r="W55" s="145"/>
      <c r="X55" s="145"/>
      <c r="Y55" s="145"/>
      <c r="Z55" s="145"/>
      <c r="AA55" s="145"/>
    </row>
    <row r="56" spans="1:27" ht="14.25" customHeight="1">
      <c r="A56" s="306"/>
      <c r="B56" s="497" t="s">
        <v>630</v>
      </c>
      <c r="C56" s="497"/>
      <c r="E56" s="504">
        <f>SUM(E54:E55)</f>
        <v>60995.988899999997</v>
      </c>
      <c r="F56" s="306"/>
      <c r="G56" s="306"/>
      <c r="H56" s="306"/>
      <c r="I56" s="306"/>
      <c r="J56" s="27"/>
      <c r="K56" s="27"/>
      <c r="L56" s="461"/>
      <c r="M56" s="145"/>
      <c r="N56" s="145"/>
      <c r="O56" s="145"/>
      <c r="P56" s="183"/>
      <c r="Q56" s="240"/>
      <c r="R56" s="145"/>
      <c r="S56" s="145"/>
      <c r="T56" s="145"/>
      <c r="U56" s="145"/>
      <c r="V56" s="145"/>
      <c r="W56" s="145"/>
      <c r="X56" s="145"/>
      <c r="Y56" s="145"/>
      <c r="Z56" s="145"/>
      <c r="AA56" s="145"/>
    </row>
    <row r="57" spans="1:27" ht="14.25" customHeight="1" thickBot="1">
      <c r="A57" s="306"/>
      <c r="B57" s="497" t="s">
        <v>624</v>
      </c>
      <c r="C57" s="497"/>
      <c r="E57" s="506">
        <f>ROUND(E56/E52,5)</f>
        <v>9.0929999999999997E-2</v>
      </c>
      <c r="F57" s="306"/>
      <c r="G57" s="306"/>
      <c r="H57" s="306"/>
      <c r="I57" s="306"/>
      <c r="J57" s="27"/>
      <c r="K57" s="27"/>
      <c r="L57" s="461"/>
      <c r="M57" s="145"/>
      <c r="N57" s="145"/>
      <c r="O57" s="145"/>
      <c r="P57" s="183"/>
      <c r="Q57" s="240"/>
      <c r="R57" s="145"/>
      <c r="S57" s="145"/>
      <c r="T57" s="145"/>
      <c r="U57" s="145"/>
      <c r="V57" s="145"/>
      <c r="W57" s="145"/>
      <c r="X57" s="145"/>
      <c r="Y57" s="145"/>
      <c r="Z57" s="145"/>
      <c r="AA57" s="145"/>
    </row>
    <row r="58" spans="1:27" ht="14.25" customHeight="1" thickTop="1">
      <c r="A58" s="306"/>
      <c r="B58" s="306"/>
      <c r="C58" s="306"/>
      <c r="D58" s="306"/>
      <c r="E58" s="306"/>
      <c r="F58" s="306"/>
      <c r="G58" s="306"/>
      <c r="H58" s="306"/>
      <c r="I58" s="306"/>
      <c r="J58" s="27"/>
      <c r="K58" s="27"/>
      <c r="L58" s="145"/>
      <c r="M58" s="145"/>
      <c r="N58" s="145"/>
      <c r="O58" s="145"/>
      <c r="P58" s="183"/>
      <c r="Q58" s="145"/>
      <c r="R58" s="145"/>
      <c r="S58" s="145"/>
      <c r="T58" s="145"/>
      <c r="U58" s="145"/>
      <c r="V58" s="145"/>
      <c r="W58" s="145"/>
      <c r="X58" s="145"/>
      <c r="Y58" s="145"/>
      <c r="Z58" s="145"/>
      <c r="AA58" s="145"/>
    </row>
    <row r="59" spans="1:27" ht="14.25" customHeight="1">
      <c r="L59" s="145"/>
      <c r="M59" s="145"/>
      <c r="N59" s="145"/>
      <c r="O59" s="145"/>
      <c r="P59" s="183"/>
      <c r="Q59" s="240"/>
      <c r="R59" s="145"/>
      <c r="S59" s="145"/>
      <c r="T59" s="145"/>
      <c r="U59" s="145"/>
      <c r="V59" s="145"/>
      <c r="W59" s="145"/>
      <c r="X59" s="145"/>
      <c r="Y59" s="145"/>
      <c r="Z59" s="145"/>
      <c r="AA59" s="145"/>
    </row>
    <row r="60" spans="1:27" ht="14.25" customHeight="1">
      <c r="L60" s="145"/>
      <c r="M60" s="145"/>
      <c r="N60" s="145"/>
      <c r="O60" s="145"/>
      <c r="P60" s="183"/>
      <c r="Q60" s="240"/>
      <c r="R60" s="145"/>
      <c r="S60" s="145"/>
      <c r="T60" s="145"/>
      <c r="U60" s="145"/>
      <c r="V60" s="145"/>
      <c r="W60" s="145"/>
      <c r="X60" s="145"/>
      <c r="Y60" s="145"/>
      <c r="Z60" s="145"/>
      <c r="AA60" s="145"/>
    </row>
    <row r="61" spans="1:27" ht="14.25" customHeight="1">
      <c r="L61" s="145"/>
      <c r="M61" s="145"/>
      <c r="N61" s="145"/>
      <c r="O61" s="145"/>
      <c r="P61" s="183"/>
      <c r="Q61" s="145"/>
      <c r="R61" s="145"/>
      <c r="S61" s="145"/>
      <c r="T61" s="145"/>
      <c r="U61" s="145"/>
      <c r="V61" s="145"/>
      <c r="W61" s="145"/>
      <c r="X61" s="145"/>
      <c r="Y61" s="145"/>
      <c r="Z61" s="145"/>
      <c r="AA61" s="145"/>
    </row>
    <row r="62" spans="1:27" ht="14.25" customHeight="1">
      <c r="L62" s="145"/>
      <c r="M62" s="145"/>
      <c r="N62" s="145"/>
      <c r="O62" s="145"/>
      <c r="P62" s="183"/>
      <c r="Q62" s="145"/>
      <c r="R62" s="145"/>
      <c r="S62" s="145"/>
      <c r="T62" s="145"/>
      <c r="U62" s="145"/>
      <c r="V62" s="145"/>
      <c r="W62" s="145"/>
      <c r="X62" s="145"/>
      <c r="Y62" s="145"/>
      <c r="Z62" s="145"/>
      <c r="AA62" s="145"/>
    </row>
    <row r="63" spans="1:27" ht="14.25" customHeight="1">
      <c r="L63" s="145"/>
      <c r="M63" s="145"/>
      <c r="N63" s="145"/>
      <c r="O63" s="145"/>
      <c r="P63" s="183"/>
      <c r="Q63" s="145"/>
      <c r="R63" s="145"/>
      <c r="S63" s="145"/>
      <c r="T63" s="145"/>
      <c r="U63" s="145"/>
      <c r="V63" s="145"/>
      <c r="W63" s="145"/>
      <c r="X63" s="145"/>
      <c r="Y63" s="145"/>
      <c r="Z63" s="145"/>
      <c r="AA63" s="145"/>
    </row>
    <row r="64" spans="1:27" ht="14.25" customHeight="1">
      <c r="L64" s="145"/>
      <c r="M64" s="183"/>
      <c r="N64" s="145"/>
      <c r="O64" s="145"/>
      <c r="P64" s="183"/>
      <c r="Q64" s="294"/>
      <c r="R64" s="145"/>
      <c r="S64" s="145"/>
      <c r="T64" s="145"/>
      <c r="U64" s="145"/>
      <c r="V64" s="145"/>
      <c r="W64" s="145"/>
      <c r="X64" s="145"/>
      <c r="Y64" s="145"/>
      <c r="Z64" s="145"/>
      <c r="AA64" s="145"/>
    </row>
    <row r="65" spans="10:27" ht="14.25" customHeight="1">
      <c r="L65" s="145"/>
      <c r="M65" s="145"/>
      <c r="N65" s="145"/>
      <c r="O65" s="145"/>
      <c r="P65" s="183"/>
      <c r="Q65" s="240"/>
      <c r="R65" s="145"/>
      <c r="S65" s="145"/>
      <c r="T65" s="145"/>
      <c r="U65" s="145"/>
      <c r="V65" s="145"/>
      <c r="W65" s="145"/>
      <c r="X65" s="145"/>
      <c r="Y65" s="145"/>
      <c r="Z65" s="145"/>
      <c r="AA65" s="145"/>
    </row>
    <row r="66" spans="10:27" ht="14.25" customHeight="1">
      <c r="J66" s="156"/>
      <c r="K66" s="156"/>
      <c r="L66" s="145"/>
      <c r="M66" s="874"/>
      <c r="N66" s="874"/>
      <c r="O66" s="874"/>
      <c r="P66" s="874"/>
      <c r="Q66" s="462"/>
      <c r="R66" s="145"/>
      <c r="S66" s="145"/>
      <c r="T66" s="145"/>
      <c r="U66" s="294"/>
      <c r="V66" s="145"/>
      <c r="W66" s="145"/>
      <c r="X66" s="145"/>
      <c r="Y66" s="145"/>
      <c r="Z66" s="145"/>
      <c r="AA66" s="145"/>
    </row>
    <row r="67" spans="10:27" ht="14.25" customHeight="1">
      <c r="L67" s="145"/>
      <c r="M67" s="145"/>
      <c r="N67" s="145"/>
      <c r="O67" s="145"/>
      <c r="P67" s="183"/>
      <c r="Q67" s="145"/>
      <c r="R67" s="145"/>
      <c r="S67" s="145"/>
      <c r="T67" s="145"/>
      <c r="U67" s="223"/>
      <c r="V67" s="145"/>
      <c r="W67" s="145"/>
      <c r="X67" s="145"/>
      <c r="Y67" s="145"/>
      <c r="Z67" s="145"/>
      <c r="AA67" s="145"/>
    </row>
    <row r="68" spans="10:27" ht="29.25" customHeight="1">
      <c r="L68" s="145"/>
      <c r="M68" s="145"/>
      <c r="N68" s="145"/>
      <c r="O68" s="145"/>
      <c r="P68" s="183"/>
      <c r="Q68" s="463"/>
      <c r="R68" s="145"/>
      <c r="S68" s="145"/>
      <c r="T68" s="145"/>
      <c r="U68" s="451"/>
      <c r="V68" s="145"/>
      <c r="W68" s="145"/>
      <c r="X68" s="145"/>
      <c r="Y68" s="145"/>
      <c r="Z68" s="145"/>
      <c r="AA68" s="145"/>
    </row>
    <row r="69" spans="10:27" ht="14.25" customHeight="1">
      <c r="L69" s="145"/>
      <c r="M69" s="145"/>
      <c r="N69" s="145"/>
      <c r="O69" s="145"/>
      <c r="P69" s="183"/>
      <c r="Q69" s="145"/>
      <c r="R69" s="145"/>
      <c r="S69" s="145"/>
      <c r="T69" s="145"/>
      <c r="U69" s="450"/>
      <c r="V69" s="145"/>
      <c r="W69" s="145"/>
      <c r="X69" s="145"/>
      <c r="Y69" s="145"/>
      <c r="Z69" s="145"/>
      <c r="AA69" s="145"/>
    </row>
    <row r="70" spans="10:27" ht="14.25" customHeight="1">
      <c r="L70" s="145"/>
      <c r="M70" s="145"/>
      <c r="N70" s="145"/>
      <c r="O70" s="145"/>
      <c r="P70" s="183"/>
      <c r="Q70" s="464"/>
      <c r="R70" s="145"/>
      <c r="S70" s="145"/>
      <c r="T70" s="145"/>
      <c r="U70" s="223"/>
      <c r="V70" s="145"/>
      <c r="W70" s="145"/>
      <c r="X70" s="145"/>
      <c r="Y70" s="145"/>
      <c r="Z70" s="145"/>
      <c r="AA70" s="145"/>
    </row>
    <row r="71" spans="10:27" ht="14.25" customHeight="1">
      <c r="L71" s="145"/>
      <c r="M71" s="145"/>
      <c r="N71" s="145"/>
      <c r="O71" s="145"/>
      <c r="P71" s="183"/>
      <c r="Q71" s="145"/>
      <c r="R71" s="145"/>
      <c r="S71" s="145"/>
      <c r="T71" s="145"/>
      <c r="U71" s="223"/>
      <c r="V71" s="145"/>
      <c r="W71" s="145"/>
      <c r="X71" s="145"/>
      <c r="Y71" s="145"/>
      <c r="Z71" s="145"/>
      <c r="AA71" s="145"/>
    </row>
    <row r="72" spans="10:27" ht="14.25" customHeight="1">
      <c r="L72" s="145"/>
      <c r="M72" s="145"/>
      <c r="N72" s="145"/>
      <c r="O72" s="145"/>
      <c r="P72" s="183"/>
      <c r="Q72" s="145"/>
      <c r="R72" s="145"/>
      <c r="S72" s="145"/>
      <c r="T72" s="145"/>
      <c r="U72" s="223"/>
      <c r="V72" s="145"/>
      <c r="W72" s="145"/>
      <c r="X72" s="145"/>
      <c r="Y72" s="145"/>
      <c r="Z72" s="145"/>
      <c r="AA72" s="145"/>
    </row>
    <row r="73" spans="10:27" ht="14.25" customHeight="1">
      <c r="L73" s="145"/>
      <c r="M73" s="183"/>
      <c r="N73" s="145"/>
      <c r="O73" s="145"/>
      <c r="P73" s="183"/>
      <c r="Q73" s="294"/>
      <c r="R73" s="145"/>
      <c r="S73" s="145"/>
      <c r="T73" s="145"/>
      <c r="U73" s="145"/>
      <c r="V73" s="145"/>
      <c r="W73" s="145"/>
      <c r="X73" s="145"/>
      <c r="Y73" s="145"/>
      <c r="Z73" s="145"/>
      <c r="AA73" s="145"/>
    </row>
    <row r="74" spans="10:27" ht="14.25" customHeight="1">
      <c r="L74" s="145"/>
      <c r="M74" s="465"/>
      <c r="N74" s="145"/>
      <c r="O74" s="145"/>
      <c r="P74" s="183"/>
      <c r="Q74" s="240"/>
      <c r="R74" s="145"/>
      <c r="S74" s="145"/>
      <c r="T74" s="145"/>
      <c r="U74" s="223"/>
      <c r="V74" s="145"/>
      <c r="W74" s="145"/>
      <c r="X74" s="145"/>
      <c r="Y74" s="145"/>
      <c r="Z74" s="145"/>
      <c r="AA74" s="145"/>
    </row>
    <row r="75" spans="10:27" ht="14.25" customHeight="1">
      <c r="L75" s="145"/>
      <c r="M75" s="145"/>
      <c r="N75" s="145"/>
      <c r="O75" s="145"/>
      <c r="P75" s="183"/>
      <c r="Q75" s="145"/>
      <c r="R75" s="145"/>
      <c r="S75" s="145"/>
      <c r="T75" s="145"/>
      <c r="U75" s="145"/>
      <c r="V75" s="145"/>
      <c r="W75" s="145"/>
      <c r="X75" s="145"/>
      <c r="Y75" s="145"/>
      <c r="Z75" s="145"/>
      <c r="AA75" s="145"/>
    </row>
    <row r="76" spans="10:27" ht="14.25" customHeight="1">
      <c r="L76" s="145"/>
      <c r="M76" s="145"/>
      <c r="N76" s="145"/>
      <c r="O76" s="145"/>
      <c r="P76" s="183"/>
      <c r="Q76" s="235"/>
      <c r="R76" s="145"/>
      <c r="S76" s="145"/>
      <c r="T76" s="145"/>
      <c r="U76" s="463"/>
      <c r="V76" s="145"/>
      <c r="W76" s="145"/>
      <c r="X76" s="145"/>
      <c r="Y76" s="145"/>
      <c r="Z76" s="145"/>
      <c r="AA76" s="145"/>
    </row>
    <row r="77" spans="10:27" ht="14.25" customHeight="1">
      <c r="L77" s="145"/>
      <c r="M77" s="145"/>
      <c r="N77" s="145"/>
      <c r="O77" s="145"/>
      <c r="P77" s="183"/>
      <c r="Q77" s="145"/>
      <c r="R77" s="145"/>
      <c r="S77" s="145"/>
      <c r="T77" s="145"/>
      <c r="U77" s="145"/>
      <c r="V77" s="145"/>
      <c r="W77" s="145"/>
      <c r="X77" s="145"/>
      <c r="Y77" s="145"/>
      <c r="Z77" s="145"/>
      <c r="AA77" s="145"/>
    </row>
    <row r="78" spans="10:27" ht="14.25" customHeight="1">
      <c r="L78" s="145"/>
      <c r="M78" s="465"/>
      <c r="N78" s="145"/>
      <c r="O78" s="145"/>
      <c r="P78" s="183"/>
      <c r="Q78" s="235"/>
      <c r="R78" s="145"/>
      <c r="S78" s="145"/>
      <c r="T78" s="145"/>
      <c r="U78" s="223"/>
      <c r="V78" s="145"/>
      <c r="W78" s="145"/>
      <c r="X78" s="145"/>
      <c r="Y78" s="145"/>
      <c r="Z78" s="145"/>
      <c r="AA78" s="145"/>
    </row>
    <row r="79" spans="10:27" ht="14.25" customHeight="1">
      <c r="L79" s="145"/>
      <c r="M79" s="465"/>
      <c r="N79" s="145"/>
      <c r="O79" s="145"/>
      <c r="P79" s="183"/>
      <c r="Q79" s="145"/>
      <c r="R79" s="145"/>
      <c r="S79" s="145"/>
      <c r="T79" s="145"/>
      <c r="U79" s="145"/>
      <c r="V79" s="145"/>
      <c r="W79" s="145"/>
      <c r="X79" s="145"/>
      <c r="Y79" s="145"/>
      <c r="Z79" s="145"/>
      <c r="AA79" s="145"/>
    </row>
    <row r="80" spans="10:27" ht="14.25" customHeight="1">
      <c r="L80" s="145"/>
      <c r="M80" s="145"/>
      <c r="N80" s="145"/>
      <c r="O80" s="145"/>
      <c r="P80" s="183"/>
      <c r="Q80" s="145"/>
      <c r="R80" s="145"/>
      <c r="S80" s="145"/>
      <c r="T80" s="145"/>
      <c r="U80" s="223"/>
      <c r="V80" s="145"/>
      <c r="W80" s="145"/>
      <c r="X80" s="145"/>
      <c r="Y80" s="145"/>
      <c r="Z80" s="145"/>
      <c r="AA80" s="145"/>
    </row>
    <row r="81" spans="12:27" ht="14.25" customHeight="1">
      <c r="L81" s="145"/>
      <c r="M81" s="465"/>
      <c r="N81" s="145"/>
      <c r="O81" s="145"/>
      <c r="P81" s="183"/>
      <c r="Q81" s="466"/>
      <c r="R81" s="145"/>
      <c r="S81" s="145"/>
      <c r="T81" s="145"/>
      <c r="U81" s="145"/>
      <c r="V81" s="145"/>
      <c r="W81" s="145"/>
      <c r="X81" s="145"/>
      <c r="Y81" s="145"/>
      <c r="Z81" s="145"/>
      <c r="AA81" s="145"/>
    </row>
    <row r="82" spans="12:27" ht="14.25" customHeight="1">
      <c r="L82" s="145"/>
      <c r="M82" s="145"/>
      <c r="N82" s="145"/>
      <c r="O82" s="145"/>
      <c r="P82" s="183"/>
      <c r="Q82" s="145"/>
      <c r="R82" s="145"/>
      <c r="S82" s="145"/>
      <c r="T82" s="145"/>
      <c r="U82" s="451"/>
      <c r="V82" s="145"/>
      <c r="W82" s="145"/>
      <c r="X82" s="145"/>
      <c r="Y82" s="145"/>
      <c r="Z82" s="145"/>
      <c r="AA82" s="145"/>
    </row>
    <row r="83" spans="12:27" ht="14.25" customHeight="1">
      <c r="L83" s="145"/>
      <c r="M83" s="145"/>
      <c r="N83" s="145"/>
      <c r="O83" s="145"/>
      <c r="P83" s="183"/>
      <c r="Q83" s="145"/>
      <c r="R83" s="145"/>
      <c r="S83" s="145"/>
      <c r="T83" s="145"/>
      <c r="U83" s="145"/>
      <c r="V83" s="145"/>
      <c r="W83" s="145"/>
      <c r="X83" s="145"/>
      <c r="Y83" s="145"/>
      <c r="Z83" s="145"/>
      <c r="AA83" s="145"/>
    </row>
    <row r="84" spans="12:27" ht="14.25" customHeight="1">
      <c r="L84" s="145"/>
      <c r="M84" s="145"/>
      <c r="N84" s="145"/>
      <c r="O84" s="145"/>
      <c r="P84" s="183"/>
      <c r="Q84" s="145"/>
      <c r="R84" s="145"/>
      <c r="S84" s="145"/>
      <c r="T84" s="145"/>
      <c r="U84" s="145"/>
      <c r="V84" s="145"/>
      <c r="W84" s="145"/>
      <c r="X84" s="145"/>
      <c r="Y84" s="145"/>
      <c r="Z84" s="145"/>
      <c r="AA84" s="145"/>
    </row>
    <row r="85" spans="12:27" ht="14.25" customHeight="1">
      <c r="L85" s="145"/>
      <c r="M85" s="145"/>
      <c r="N85" s="145"/>
      <c r="O85" s="145"/>
      <c r="P85" s="183"/>
      <c r="Q85" s="145"/>
      <c r="R85" s="145"/>
      <c r="S85" s="465"/>
      <c r="T85" s="145"/>
      <c r="U85" s="145"/>
      <c r="V85" s="145"/>
      <c r="W85" s="145"/>
      <c r="X85" s="145"/>
      <c r="Y85" s="145"/>
      <c r="Z85" s="145"/>
      <c r="AA85" s="145"/>
    </row>
    <row r="86" spans="12:27" ht="14.25" customHeight="1">
      <c r="L86" s="145"/>
      <c r="M86" s="145"/>
      <c r="N86" s="145"/>
      <c r="O86" s="145"/>
      <c r="P86" s="183"/>
      <c r="Q86" s="145"/>
      <c r="R86" s="145"/>
      <c r="S86" s="465"/>
      <c r="T86" s="145"/>
      <c r="U86" s="145"/>
      <c r="V86" s="145"/>
      <c r="W86" s="145"/>
      <c r="X86" s="145"/>
      <c r="Y86" s="145"/>
      <c r="Z86" s="145"/>
      <c r="AA86" s="145"/>
    </row>
    <row r="87" spans="12:27" ht="14.25" customHeight="1">
      <c r="L87" s="145"/>
      <c r="M87" s="145"/>
      <c r="N87" s="145"/>
      <c r="O87" s="145"/>
      <c r="P87" s="183"/>
      <c r="Q87" s="145"/>
      <c r="R87" s="145"/>
      <c r="S87" s="465"/>
      <c r="T87" s="145"/>
      <c r="U87" s="145"/>
      <c r="V87" s="145"/>
      <c r="W87" s="145"/>
      <c r="X87" s="145"/>
      <c r="Y87" s="145"/>
      <c r="Z87" s="145"/>
      <c r="AA87" s="145"/>
    </row>
    <row r="88" spans="12:27" ht="14.25" customHeight="1">
      <c r="L88" s="145"/>
      <c r="M88" s="145"/>
      <c r="N88" s="145"/>
      <c r="O88" s="145"/>
      <c r="P88" s="183"/>
      <c r="Q88" s="145"/>
      <c r="R88" s="145"/>
      <c r="S88" s="465"/>
      <c r="T88" s="145"/>
      <c r="U88" s="145"/>
      <c r="V88" s="145"/>
      <c r="W88" s="145"/>
      <c r="X88" s="145"/>
      <c r="Y88" s="145"/>
      <c r="Z88" s="145"/>
      <c r="AA88" s="145"/>
    </row>
    <row r="89" spans="12:27" ht="14.25" customHeight="1">
      <c r="L89" s="145"/>
      <c r="M89" s="145"/>
      <c r="N89" s="145"/>
      <c r="O89" s="145"/>
      <c r="P89" s="183"/>
      <c r="Q89" s="145"/>
      <c r="R89" s="145"/>
      <c r="S89" s="465"/>
      <c r="T89" s="145"/>
      <c r="U89" s="145"/>
      <c r="V89" s="145"/>
      <c r="W89" s="145"/>
      <c r="X89" s="145"/>
      <c r="Y89" s="145"/>
      <c r="Z89" s="145"/>
      <c r="AA89" s="145"/>
    </row>
    <row r="90" spans="12:27" ht="14.25" customHeight="1">
      <c r="L90" s="145"/>
      <c r="M90" s="145"/>
      <c r="N90" s="145"/>
      <c r="O90" s="145"/>
      <c r="P90" s="183"/>
      <c r="Q90" s="145"/>
      <c r="R90" s="145"/>
      <c r="S90" s="465"/>
      <c r="T90" s="145"/>
      <c r="U90" s="145"/>
      <c r="V90" s="145"/>
      <c r="W90" s="145"/>
      <c r="X90" s="145"/>
      <c r="Y90" s="145"/>
      <c r="Z90" s="145"/>
      <c r="AA90" s="145"/>
    </row>
    <row r="91" spans="12:27" ht="14.25" customHeight="1">
      <c r="L91" s="145"/>
      <c r="M91" s="145"/>
      <c r="N91" s="145"/>
      <c r="O91" s="145"/>
      <c r="P91" s="183"/>
      <c r="Q91" s="145"/>
      <c r="R91" s="145"/>
      <c r="S91" s="465"/>
      <c r="T91" s="145"/>
      <c r="U91" s="145"/>
      <c r="V91" s="145"/>
      <c r="W91" s="145"/>
      <c r="X91" s="145"/>
      <c r="Y91" s="145"/>
      <c r="Z91" s="145"/>
      <c r="AA91" s="145"/>
    </row>
    <row r="92" spans="12:27" ht="14.25" customHeight="1">
      <c r="L92" s="145"/>
      <c r="M92" s="145"/>
      <c r="N92" s="145"/>
      <c r="O92" s="145"/>
      <c r="P92" s="183"/>
      <c r="Q92" s="145"/>
      <c r="R92" s="145"/>
      <c r="S92" s="465"/>
      <c r="T92" s="145"/>
      <c r="U92" s="145"/>
      <c r="V92" s="145"/>
      <c r="W92" s="145"/>
      <c r="X92" s="145"/>
      <c r="Y92" s="145"/>
      <c r="Z92" s="145"/>
      <c r="AA92" s="145"/>
    </row>
    <row r="93" spans="12:27" ht="14.25" customHeight="1">
      <c r="L93" s="145"/>
      <c r="M93" s="145"/>
      <c r="N93" s="145"/>
      <c r="O93" s="145"/>
      <c r="P93" s="183"/>
      <c r="Q93" s="145"/>
      <c r="R93" s="145"/>
      <c r="S93" s="465"/>
      <c r="T93" s="145"/>
      <c r="U93" s="145"/>
      <c r="V93" s="145"/>
      <c r="W93" s="145"/>
      <c r="X93" s="145"/>
      <c r="Y93" s="145"/>
      <c r="Z93" s="145"/>
      <c r="AA93" s="145"/>
    </row>
    <row r="94" spans="12:27" ht="14.25" customHeight="1">
      <c r="L94" s="145"/>
      <c r="M94" s="145"/>
      <c r="N94" s="145"/>
      <c r="O94" s="145"/>
      <c r="P94" s="183"/>
      <c r="Q94" s="145"/>
      <c r="R94" s="145"/>
      <c r="S94" s="465"/>
      <c r="T94" s="145"/>
      <c r="U94" s="145"/>
      <c r="V94" s="145"/>
      <c r="W94" s="145"/>
      <c r="X94" s="145"/>
      <c r="Y94" s="145"/>
      <c r="Z94" s="145"/>
      <c r="AA94" s="145"/>
    </row>
    <row r="95" spans="12:27" ht="14.25" customHeight="1">
      <c r="L95" s="145"/>
      <c r="M95" s="145"/>
      <c r="N95" s="145"/>
      <c r="O95" s="145"/>
      <c r="P95" s="183"/>
      <c r="Q95" s="145"/>
      <c r="R95" s="145"/>
      <c r="S95" s="145"/>
      <c r="T95" s="145"/>
      <c r="U95" s="145"/>
      <c r="V95" s="145"/>
      <c r="W95" s="145"/>
      <c r="X95" s="145"/>
      <c r="Y95" s="145"/>
      <c r="Z95" s="145"/>
      <c r="AA95" s="145"/>
    </row>
    <row r="96" spans="12:27" ht="14.25" customHeight="1">
      <c r="L96" s="145"/>
      <c r="M96" s="145"/>
      <c r="N96" s="145"/>
      <c r="O96" s="145"/>
      <c r="P96" s="183"/>
      <c r="Q96" s="145"/>
      <c r="R96" s="145"/>
      <c r="S96" s="145"/>
      <c r="T96" s="145"/>
      <c r="U96" s="145"/>
      <c r="V96" s="145"/>
      <c r="W96" s="145"/>
      <c r="X96" s="145"/>
      <c r="Y96" s="145"/>
      <c r="Z96" s="145"/>
      <c r="AA96" s="145"/>
    </row>
    <row r="97" spans="5:27" ht="14.25" customHeight="1">
      <c r="R97" s="145"/>
      <c r="S97" s="145"/>
      <c r="T97" s="145"/>
      <c r="U97" s="145"/>
      <c r="V97" s="145"/>
      <c r="W97" s="145"/>
      <c r="X97" s="145"/>
      <c r="Y97" s="145"/>
      <c r="Z97" s="145"/>
      <c r="AA97" s="145"/>
    </row>
    <row r="98" spans="5:27" ht="14.25" customHeight="1">
      <c r="R98" s="145"/>
      <c r="S98" s="145"/>
      <c r="T98" s="145"/>
      <c r="U98" s="145"/>
      <c r="V98" s="145"/>
      <c r="W98" s="145"/>
      <c r="X98" s="145"/>
      <c r="Y98" s="145"/>
      <c r="Z98" s="145"/>
      <c r="AA98" s="145"/>
    </row>
    <row r="99" spans="5:27" ht="14.25" customHeight="1">
      <c r="E99" s="476"/>
    </row>
    <row r="100" spans="5:27" ht="14.25" customHeight="1">
      <c r="E100" s="476"/>
    </row>
  </sheetData>
  <mergeCells count="6">
    <mergeCell ref="A7:H7"/>
    <mergeCell ref="C43:J43"/>
    <mergeCell ref="M66:P66"/>
    <mergeCell ref="L6:Q6"/>
    <mergeCell ref="A3:H3"/>
    <mergeCell ref="A6:H6"/>
  </mergeCells>
  <phoneticPr fontId="0" type="noConversion"/>
  <printOptions horizontalCentered="1"/>
  <pageMargins left="0.25" right="0.25" top="1.25" bottom="0.75" header="0.8" footer="0.3"/>
  <pageSetup firstPageNumber="4" orientation="portrait" r:id="rId1"/>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69"/>
  <sheetViews>
    <sheetView view="pageBreakPreview" topLeftCell="A40" zoomScaleNormal="100" zoomScaleSheetLayoutView="100" workbookViewId="0">
      <selection activeCell="I169" sqref="I169"/>
    </sheetView>
  </sheetViews>
  <sheetFormatPr defaultColWidth="10.7109375" defaultRowHeight="12.75"/>
  <cols>
    <col min="1" max="1" width="8.28515625" style="405" customWidth="1"/>
    <col min="2" max="2" width="18.7109375" style="86" customWidth="1"/>
    <col min="3" max="4" width="10.7109375" style="64" customWidth="1"/>
    <col min="5" max="5" width="10.140625" style="64" customWidth="1"/>
    <col min="6" max="6" width="14.7109375" style="67" customWidth="1"/>
    <col min="7" max="7" width="11.85546875" style="64" bestFit="1" customWidth="1"/>
    <col min="8" max="8" width="2.140625" style="64" customWidth="1"/>
    <col min="9" max="9" width="18.42578125" style="64" customWidth="1"/>
    <col min="10" max="10" width="19.140625" style="64" customWidth="1"/>
    <col min="11" max="11" width="10.85546875" style="64" bestFit="1" customWidth="1"/>
    <col min="12" max="16384" width="10.7109375" style="64"/>
  </cols>
  <sheetData>
    <row r="1" spans="1:9">
      <c r="A1" s="879" t="s">
        <v>112</v>
      </c>
      <c r="B1" s="879"/>
      <c r="C1" s="879"/>
      <c r="D1" s="879"/>
      <c r="E1" s="879"/>
      <c r="F1" s="879"/>
      <c r="G1" s="879"/>
      <c r="H1" s="879"/>
    </row>
    <row r="2" spans="1:9">
      <c r="A2" s="880" t="s">
        <v>574</v>
      </c>
      <c r="B2" s="880"/>
      <c r="C2" s="880"/>
      <c r="D2" s="880"/>
      <c r="E2" s="880"/>
      <c r="F2" s="880"/>
      <c r="G2" s="880"/>
      <c r="H2" s="880"/>
    </row>
    <row r="3" spans="1:9">
      <c r="A3" s="880" t="s">
        <v>163</v>
      </c>
      <c r="B3" s="880"/>
      <c r="C3" s="880"/>
      <c r="D3" s="880"/>
      <c r="E3" s="880"/>
      <c r="F3" s="880"/>
      <c r="G3" s="880"/>
      <c r="H3" s="880"/>
    </row>
    <row r="4" spans="1:9">
      <c r="A4" s="881" t="str">
        <f>'ADJ SUMMARY'!A4</f>
        <v>Twelve Months Ended September 31, 2015</v>
      </c>
      <c r="B4" s="881"/>
      <c r="C4" s="881"/>
      <c r="D4" s="881"/>
      <c r="E4" s="881"/>
      <c r="F4" s="881"/>
      <c r="G4" s="881"/>
      <c r="H4" s="881"/>
    </row>
    <row r="5" spans="1:9">
      <c r="A5" s="882" t="s">
        <v>142</v>
      </c>
      <c r="B5" s="882"/>
      <c r="C5" s="882"/>
      <c r="D5" s="882"/>
      <c r="E5" s="882"/>
      <c r="F5" s="882"/>
      <c r="G5" s="882"/>
      <c r="H5" s="882"/>
    </row>
    <row r="6" spans="1:9" ht="13.5" thickBot="1">
      <c r="A6" s="404"/>
      <c r="B6" s="411"/>
      <c r="C6" s="65"/>
      <c r="D6" s="66"/>
      <c r="E6" s="66"/>
      <c r="F6" s="66"/>
      <c r="I6" s="68" t="s">
        <v>575</v>
      </c>
    </row>
    <row r="7" spans="1:9" ht="13.5" thickBot="1">
      <c r="C7" s="67"/>
      <c r="D7" s="67"/>
      <c r="E7" s="876" t="s">
        <v>574</v>
      </c>
      <c r="F7" s="877"/>
      <c r="G7" s="878"/>
      <c r="I7" s="68" t="s">
        <v>576</v>
      </c>
    </row>
    <row r="8" spans="1:9">
      <c r="C8" s="67"/>
      <c r="D8" s="67"/>
      <c r="E8" s="405">
        <f>'Exh. No. BGM-13R -3'!X11</f>
        <v>2.1499999999999968</v>
      </c>
      <c r="F8" s="440"/>
      <c r="G8" s="440"/>
      <c r="I8" s="68"/>
    </row>
    <row r="9" spans="1:9">
      <c r="C9" s="67"/>
      <c r="D9" s="67"/>
      <c r="E9" s="69" t="s">
        <v>22</v>
      </c>
      <c r="F9" s="68" t="s">
        <v>607</v>
      </c>
      <c r="I9" s="68" t="s">
        <v>577</v>
      </c>
    </row>
    <row r="10" spans="1:9">
      <c r="B10" s="412" t="s">
        <v>143</v>
      </c>
      <c r="C10" s="67"/>
      <c r="D10" s="67"/>
      <c r="E10" s="416" t="s">
        <v>276</v>
      </c>
      <c r="F10" s="70" t="s">
        <v>144</v>
      </c>
      <c r="G10" s="70" t="s">
        <v>30</v>
      </c>
      <c r="I10" s="70" t="str">
        <f>F10</f>
        <v>Adjustments</v>
      </c>
    </row>
    <row r="11" spans="1:9">
      <c r="A11" s="405">
        <v>1</v>
      </c>
      <c r="B11" s="86" t="str">
        <f>'ADJ SUMMARY'!C10</f>
        <v>Results of Operations</v>
      </c>
      <c r="C11" s="67"/>
      <c r="D11" s="67"/>
      <c r="E11" s="415">
        <f>'ADJ SUMMARY'!E10</f>
        <v>1309195</v>
      </c>
      <c r="F11" s="402"/>
      <c r="G11" s="64">
        <f>SUM(E11:F11)</f>
        <v>1309195</v>
      </c>
      <c r="I11" s="441">
        <f>ROUND(E11*$E$57*-$F$64,0)+(E61*0.35)</f>
        <v>-435.05000000000109</v>
      </c>
    </row>
    <row r="12" spans="1:9">
      <c r="A12" s="405">
        <f>'ADJ SUMMARY'!A11</f>
        <v>1.01</v>
      </c>
      <c r="B12" s="413" t="str">
        <f>'ADJ SUMMARY'!C11</f>
        <v>Deferred FIT Rate Base</v>
      </c>
      <c r="C12" s="67"/>
      <c r="D12" s="67"/>
      <c r="E12" s="71"/>
      <c r="F12" s="415">
        <f>'ADJ SUMMARY'!E11</f>
        <v>-6556</v>
      </c>
      <c r="G12" s="64">
        <f>SUM(E12:F12)</f>
        <v>-6556</v>
      </c>
      <c r="I12" s="415">
        <f>ROUND(F12*$E$57*-$F$64,0)</f>
        <v>65</v>
      </c>
    </row>
    <row r="13" spans="1:9">
      <c r="A13" s="405">
        <f>'ADJ SUMMARY'!A12</f>
        <v>1.02</v>
      </c>
      <c r="B13" s="413" t="str">
        <f>'ADJ SUMMARY'!C12</f>
        <v>Deferred Debits and Credits</v>
      </c>
      <c r="C13" s="67"/>
      <c r="D13" s="67"/>
      <c r="E13" s="71"/>
      <c r="F13" s="415">
        <f>'ADJ SUMMARY'!E12</f>
        <v>-6302</v>
      </c>
      <c r="G13" s="415">
        <f t="shared" ref="G13:G17" si="0">SUM(E13:F13)</f>
        <v>-6302</v>
      </c>
      <c r="I13" s="415">
        <f>ROUND(F13*$E$57*-$F$64,0)</f>
        <v>63</v>
      </c>
    </row>
    <row r="14" spans="1:9">
      <c r="A14" s="405">
        <f>'ADJ SUMMARY'!A13</f>
        <v>1.03</v>
      </c>
      <c r="B14" s="413" t="str">
        <f>'ADJ SUMMARY'!C13</f>
        <v>Working Capital</v>
      </c>
      <c r="C14" s="67"/>
      <c r="D14" s="67"/>
      <c r="E14" s="71"/>
      <c r="F14" s="415">
        <f>'ADJ SUMMARY'!E13</f>
        <v>4352</v>
      </c>
      <c r="G14" s="64">
        <f t="shared" si="0"/>
        <v>4352</v>
      </c>
      <c r="I14" s="415">
        <f>ROUND(F14*$E$57*-$F$64,0)</f>
        <v>-43</v>
      </c>
    </row>
    <row r="15" spans="1:9">
      <c r="A15" s="405">
        <f>'ADJ SUMMARY'!A14</f>
        <v>1.04</v>
      </c>
      <c r="B15" s="413" t="str">
        <f>'ADJ SUMMARY'!C14</f>
        <v>Plant Held For Future Use</v>
      </c>
      <c r="C15" s="67"/>
      <c r="D15" s="67"/>
      <c r="E15" s="71"/>
      <c r="F15" s="415">
        <f>'ADJ SUMMARY'!E14</f>
        <v>0</v>
      </c>
      <c r="G15" s="64">
        <f t="shared" ref="G15" si="1">SUM(E15:F15)</f>
        <v>0</v>
      </c>
      <c r="I15" s="415">
        <f>ROUND(F15*$E$57*-$F$64,0)</f>
        <v>0</v>
      </c>
    </row>
    <row r="16" spans="1:9">
      <c r="B16" s="413"/>
      <c r="C16" s="67"/>
      <c r="D16" s="67"/>
      <c r="E16" s="71"/>
      <c r="F16" s="415"/>
      <c r="I16" s="415"/>
    </row>
    <row r="17" spans="1:9">
      <c r="A17" s="405">
        <f>'ADJ SUMMARY'!A15</f>
        <v>2.0099999999999998</v>
      </c>
      <c r="B17" s="413" t="str">
        <f>'ADJ SUMMARY'!C15</f>
        <v>Eliminate B &amp; O Taxes</v>
      </c>
      <c r="C17" s="67"/>
      <c r="D17" s="67"/>
      <c r="E17" s="71"/>
      <c r="F17" s="415">
        <f>'ADJ SUMMARY'!E15</f>
        <v>0</v>
      </c>
      <c r="G17" s="64">
        <f t="shared" si="0"/>
        <v>0</v>
      </c>
      <c r="I17" s="415">
        <f>ROUND(F17*$E$57*-$F$64,0)</f>
        <v>0</v>
      </c>
    </row>
    <row r="18" spans="1:9">
      <c r="A18" s="405">
        <f>'ADJ SUMMARY'!A16</f>
        <v>2.0199999999999996</v>
      </c>
      <c r="B18" s="413" t="str">
        <f>'ADJ SUMMARY'!C16</f>
        <v>Restate Property Tax</v>
      </c>
      <c r="C18" s="67"/>
      <c r="D18" s="67"/>
      <c r="E18" s="71"/>
      <c r="F18" s="415">
        <f>'ADJ SUMMARY'!E16</f>
        <v>0</v>
      </c>
      <c r="G18" s="64">
        <f t="shared" ref="G18:G32" si="2">SUM(E18:F18)</f>
        <v>0</v>
      </c>
      <c r="I18" s="415">
        <f t="shared" ref="I18:I32" si="3">ROUND(F18*$E$57*-$F$64,0)</f>
        <v>0</v>
      </c>
    </row>
    <row r="19" spans="1:9">
      <c r="A19" s="405">
        <f>'ADJ SUMMARY'!A17</f>
        <v>2.0299999999999994</v>
      </c>
      <c r="B19" s="413" t="str">
        <f>'ADJ SUMMARY'!C17</f>
        <v>Uncollect. Expense</v>
      </c>
      <c r="C19" s="67"/>
      <c r="D19" s="67"/>
      <c r="E19" s="71"/>
      <c r="F19" s="415">
        <f>'ADJ SUMMARY'!E17</f>
        <v>0</v>
      </c>
      <c r="G19" s="64">
        <f t="shared" si="2"/>
        <v>0</v>
      </c>
      <c r="I19" s="415">
        <f t="shared" si="3"/>
        <v>0</v>
      </c>
    </row>
    <row r="20" spans="1:9">
      <c r="A20" s="405">
        <f>'ADJ SUMMARY'!A18</f>
        <v>2.0399999999999991</v>
      </c>
      <c r="B20" s="413" t="str">
        <f>'ADJ SUMMARY'!C18</f>
        <v>Regulatory Expense</v>
      </c>
      <c r="C20" s="67"/>
      <c r="D20" s="67"/>
      <c r="E20" s="71"/>
      <c r="F20" s="415">
        <f>'ADJ SUMMARY'!E18</f>
        <v>0</v>
      </c>
      <c r="G20" s="64">
        <f t="shared" si="2"/>
        <v>0</v>
      </c>
      <c r="I20" s="415">
        <f t="shared" si="3"/>
        <v>0</v>
      </c>
    </row>
    <row r="21" spans="1:9">
      <c r="A21" s="405">
        <f>'ADJ SUMMARY'!A19</f>
        <v>2.0499999999999989</v>
      </c>
      <c r="B21" s="413" t="str">
        <f>'ADJ SUMMARY'!C19</f>
        <v>Injuries and Damages</v>
      </c>
      <c r="C21" s="67"/>
      <c r="D21" s="67"/>
      <c r="E21" s="71"/>
      <c r="F21" s="415">
        <f>'ADJ SUMMARY'!E19</f>
        <v>0</v>
      </c>
      <c r="G21" s="64">
        <f t="shared" si="2"/>
        <v>0</v>
      </c>
      <c r="I21" s="415">
        <f t="shared" si="3"/>
        <v>0</v>
      </c>
    </row>
    <row r="22" spans="1:9">
      <c r="A22" s="405">
        <f>'ADJ SUMMARY'!A20</f>
        <v>2.0599999999999987</v>
      </c>
      <c r="B22" s="413" t="str">
        <f>'ADJ SUMMARY'!C20</f>
        <v>FIT/DFIT/ ITC/PTC Expense</v>
      </c>
      <c r="C22" s="67"/>
      <c r="D22" s="67"/>
      <c r="E22" s="71"/>
      <c r="F22" s="415">
        <f>'ADJ SUMMARY'!E20</f>
        <v>0</v>
      </c>
      <c r="G22" s="64">
        <f t="shared" si="2"/>
        <v>0</v>
      </c>
      <c r="I22" s="415">
        <f t="shared" si="3"/>
        <v>0</v>
      </c>
    </row>
    <row r="23" spans="1:9">
      <c r="A23" s="405">
        <f>'ADJ SUMMARY'!A21</f>
        <v>2.0699999999999985</v>
      </c>
      <c r="B23" s="413" t="str">
        <f>'ADJ SUMMARY'!C21</f>
        <v>Office Space Charges to Non-Utility</v>
      </c>
      <c r="C23" s="67"/>
      <c r="D23" s="67"/>
      <c r="E23" s="71"/>
      <c r="F23" s="415">
        <f>'ADJ SUMMARY'!E21</f>
        <v>0</v>
      </c>
      <c r="G23" s="64">
        <f t="shared" si="2"/>
        <v>0</v>
      </c>
      <c r="I23" s="415">
        <f t="shared" si="3"/>
        <v>0</v>
      </c>
    </row>
    <row r="24" spans="1:9">
      <c r="A24" s="405">
        <f>'ADJ SUMMARY'!A22</f>
        <v>2.0799999999999983</v>
      </c>
      <c r="B24" s="413" t="str">
        <f>'ADJ SUMMARY'!C22</f>
        <v>Restate Excise Taxes</v>
      </c>
      <c r="C24" s="67"/>
      <c r="D24" s="67"/>
      <c r="E24" s="71"/>
      <c r="F24" s="415">
        <f>'ADJ SUMMARY'!E22</f>
        <v>0</v>
      </c>
      <c r="G24" s="64">
        <f t="shared" si="2"/>
        <v>0</v>
      </c>
      <c r="I24" s="415">
        <f t="shared" si="3"/>
        <v>0</v>
      </c>
    </row>
    <row r="25" spans="1:9">
      <c r="A25" s="405">
        <f>'ADJ SUMMARY'!A23</f>
        <v>2.0899999999999981</v>
      </c>
      <c r="B25" s="413" t="str">
        <f>'ADJ SUMMARY'!C23</f>
        <v>Net Gains / Losses</v>
      </c>
      <c r="C25" s="67"/>
      <c r="D25" s="67"/>
      <c r="E25" s="71"/>
      <c r="F25" s="415">
        <f>'ADJ SUMMARY'!E23</f>
        <v>0</v>
      </c>
      <c r="G25" s="64">
        <f t="shared" si="2"/>
        <v>0</v>
      </c>
      <c r="I25" s="415">
        <f t="shared" si="3"/>
        <v>0</v>
      </c>
    </row>
    <row r="26" spans="1:9">
      <c r="A26" s="405">
        <f>'ADJ SUMMARY'!A24</f>
        <v>2.0999999999999979</v>
      </c>
      <c r="B26" s="413" t="str">
        <f>'ADJ SUMMARY'!C24</f>
        <v>Weather Normalization</v>
      </c>
      <c r="C26" s="67"/>
      <c r="D26" s="67"/>
      <c r="E26" s="71"/>
      <c r="F26" s="415">
        <f>'ADJ SUMMARY'!E24</f>
        <v>0</v>
      </c>
      <c r="G26" s="64">
        <f t="shared" si="2"/>
        <v>0</v>
      </c>
      <c r="I26" s="415">
        <f t="shared" si="3"/>
        <v>0</v>
      </c>
    </row>
    <row r="27" spans="1:9">
      <c r="A27" s="405">
        <f>'ADJ SUMMARY'!A25</f>
        <v>2.1099999999999977</v>
      </c>
      <c r="B27" s="413" t="str">
        <f>'ADJ SUMMARY'!C25</f>
        <v>Eliminate Adder Schedules</v>
      </c>
      <c r="C27" s="67"/>
      <c r="D27" s="67"/>
      <c r="E27" s="71"/>
      <c r="F27" s="415">
        <f>'ADJ SUMMARY'!E25</f>
        <v>0</v>
      </c>
      <c r="G27" s="64">
        <f t="shared" si="2"/>
        <v>0</v>
      </c>
      <c r="I27" s="415">
        <f t="shared" si="3"/>
        <v>0</v>
      </c>
    </row>
    <row r="28" spans="1:9">
      <c r="A28" s="405">
        <f>'ADJ SUMMARY'!A26</f>
        <v>2.1199999999999974</v>
      </c>
      <c r="B28" s="413" t="str">
        <f>'ADJ SUMMARY'!C26</f>
        <v>Misc. Restating Non-Util / Non-Recurring Expenses</v>
      </c>
      <c r="C28" s="67"/>
      <c r="D28" s="67"/>
      <c r="E28" s="71"/>
      <c r="F28" s="415">
        <f>'ADJ SUMMARY'!E26</f>
        <v>0</v>
      </c>
      <c r="G28" s="64">
        <f t="shared" si="2"/>
        <v>0</v>
      </c>
      <c r="I28" s="415">
        <f t="shared" si="3"/>
        <v>0</v>
      </c>
    </row>
    <row r="29" spans="1:9">
      <c r="A29" s="405">
        <f>'ADJ SUMMARY'!A27</f>
        <v>2.1299999999999972</v>
      </c>
      <c r="B29" s="413" t="str">
        <f>'ADJ SUMMARY'!C27</f>
        <v>Eliminate WA Power Cost Defer</v>
      </c>
      <c r="C29" s="67"/>
      <c r="D29" s="67"/>
      <c r="E29" s="71"/>
      <c r="F29" s="415">
        <f>'ADJ SUMMARY'!E27</f>
        <v>0</v>
      </c>
      <c r="G29" s="64">
        <f t="shared" si="2"/>
        <v>0</v>
      </c>
      <c r="I29" s="415">
        <f t="shared" si="3"/>
        <v>0</v>
      </c>
    </row>
    <row r="30" spans="1:9">
      <c r="A30" s="405">
        <f>'ADJ SUMMARY'!A28</f>
        <v>2.139999999999997</v>
      </c>
      <c r="B30" s="413" t="str">
        <f>'ADJ SUMMARY'!C28</f>
        <v>Nez Perce Settlement Adjustment</v>
      </c>
      <c r="C30" s="67"/>
      <c r="D30" s="67"/>
      <c r="E30" s="71"/>
      <c r="F30" s="415">
        <f>'ADJ SUMMARY'!E28</f>
        <v>0</v>
      </c>
      <c r="G30" s="64">
        <f t="shared" si="2"/>
        <v>0</v>
      </c>
      <c r="I30" s="415">
        <f t="shared" si="3"/>
        <v>0</v>
      </c>
    </row>
    <row r="31" spans="1:9">
      <c r="A31" s="405">
        <f>'ADJ SUMMARY'!A29</f>
        <v>2.1499999999999968</v>
      </c>
      <c r="B31" s="413" t="str">
        <f>'ADJ SUMMARY'!C29</f>
        <v>Restate Debt Interest</v>
      </c>
      <c r="C31" s="67"/>
      <c r="D31" s="67"/>
      <c r="E31" s="71"/>
      <c r="F31" s="415">
        <f>'ADJ SUMMARY'!E29</f>
        <v>0</v>
      </c>
      <c r="G31" s="64">
        <f t="shared" si="2"/>
        <v>0</v>
      </c>
      <c r="I31" s="415">
        <f t="shared" si="3"/>
        <v>0</v>
      </c>
    </row>
    <row r="32" spans="1:9" ht="15.75" customHeight="1">
      <c r="A32" s="405">
        <f>'ADJ SUMMARY'!A30</f>
        <v>2.1599999999999966</v>
      </c>
      <c r="B32" s="413" t="str">
        <f>'ADJ SUMMARY'!C30</f>
        <v>Restate Incentive Expenses</v>
      </c>
      <c r="C32" s="67"/>
      <c r="D32" s="67"/>
      <c r="E32" s="71"/>
      <c r="F32" s="415">
        <f>'ADJ SUMMARY'!E30</f>
        <v>0</v>
      </c>
      <c r="G32" s="64">
        <f t="shared" si="2"/>
        <v>0</v>
      </c>
      <c r="I32" s="415">
        <f t="shared" si="3"/>
        <v>0</v>
      </c>
    </row>
    <row r="33" spans="1:9">
      <c r="A33" s="405">
        <f>'ADJ SUMMARY'!A36</f>
        <v>3</v>
      </c>
      <c r="B33" s="413" t="str">
        <f>'ADJ SUMMARY'!C36</f>
        <v>Pro Forma Power Supply</v>
      </c>
      <c r="C33" s="67"/>
      <c r="D33" s="67"/>
      <c r="E33" s="71"/>
      <c r="F33" s="415">
        <f>'ADJ SUMMARY'!E36</f>
        <v>0</v>
      </c>
      <c r="G33" s="64">
        <f t="shared" ref="G33:G39" si="4">SUM(E33:F33)</f>
        <v>0</v>
      </c>
      <c r="I33" s="415">
        <f t="shared" ref="I33:I47" si="5">ROUND(F33*$E$57*-$F$64,0)</f>
        <v>0</v>
      </c>
    </row>
    <row r="34" spans="1:9">
      <c r="A34" s="405">
        <f>'ADJ SUMMARY'!A37</f>
        <v>3.01</v>
      </c>
      <c r="B34" s="413" t="str">
        <f>'ADJ SUMMARY'!C37</f>
        <v>Pro Forma Transmission Rev/Exp</v>
      </c>
      <c r="C34" s="67"/>
      <c r="D34" s="67"/>
      <c r="E34" s="71"/>
      <c r="F34" s="415">
        <f>'ADJ SUMMARY'!E37</f>
        <v>0</v>
      </c>
      <c r="G34" s="64">
        <f t="shared" si="4"/>
        <v>0</v>
      </c>
      <c r="I34" s="415">
        <f t="shared" si="5"/>
        <v>0</v>
      </c>
    </row>
    <row r="35" spans="1:9">
      <c r="A35" s="405">
        <f>'ADJ SUMMARY'!A38</f>
        <v>3.0199999999999996</v>
      </c>
      <c r="B35" s="413" t="str">
        <f>'ADJ SUMMARY'!C38</f>
        <v>Pro Forma Labor Non-Exec</v>
      </c>
      <c r="C35" s="67"/>
      <c r="D35" s="67"/>
      <c r="E35" s="71"/>
      <c r="F35" s="415">
        <f>'ADJ SUMMARY'!E38</f>
        <v>0</v>
      </c>
      <c r="G35" s="64">
        <f t="shared" si="4"/>
        <v>0</v>
      </c>
      <c r="I35" s="415">
        <f t="shared" si="5"/>
        <v>0</v>
      </c>
    </row>
    <row r="36" spans="1:9">
      <c r="A36" s="405">
        <f>'ADJ SUMMARY'!A39</f>
        <v>3.0299999999999994</v>
      </c>
      <c r="B36" s="413" t="str">
        <f>'ADJ SUMMARY'!C39</f>
        <v>Pro Forma Labor Exec</v>
      </c>
      <c r="C36" s="67"/>
      <c r="D36" s="67"/>
      <c r="E36" s="71"/>
      <c r="F36" s="415">
        <f>'ADJ SUMMARY'!E39</f>
        <v>0</v>
      </c>
      <c r="G36" s="64">
        <f t="shared" si="4"/>
        <v>0</v>
      </c>
      <c r="I36" s="415">
        <f t="shared" si="5"/>
        <v>0</v>
      </c>
    </row>
    <row r="37" spans="1:9">
      <c r="A37" s="405">
        <f>'ADJ SUMMARY'!A40</f>
        <v>3.0399999999999991</v>
      </c>
      <c r="B37" s="413" t="str">
        <f>'ADJ SUMMARY'!C40</f>
        <v>Pro Forma Employee Benefits</v>
      </c>
      <c r="C37" s="67"/>
      <c r="D37" s="67"/>
      <c r="E37" s="71"/>
      <c r="F37" s="415">
        <f>'ADJ SUMMARY'!E40</f>
        <v>0</v>
      </c>
      <c r="G37" s="64">
        <f t="shared" si="4"/>
        <v>0</v>
      </c>
      <c r="I37" s="415">
        <f t="shared" si="5"/>
        <v>0</v>
      </c>
    </row>
    <row r="38" spans="1:9">
      <c r="A38" s="405">
        <f>'ADJ SUMMARY'!A41</f>
        <v>3.0499999999999989</v>
      </c>
      <c r="B38" s="413" t="str">
        <f>'ADJ SUMMARY'!C41</f>
        <v>Pro Forma Regulatory Amortization Adj</v>
      </c>
      <c r="C38" s="67"/>
      <c r="D38" s="67"/>
      <c r="E38" s="71"/>
      <c r="F38" s="415">
        <f>'ADJ SUMMARY'!E41</f>
        <v>0</v>
      </c>
      <c r="G38" s="64">
        <f t="shared" si="4"/>
        <v>0</v>
      </c>
      <c r="I38" s="415">
        <f t="shared" si="5"/>
        <v>0</v>
      </c>
    </row>
    <row r="39" spans="1:9">
      <c r="A39" s="405">
        <f>'ADJ SUMMARY'!A42</f>
        <v>3.0599999999999987</v>
      </c>
      <c r="B39" s="413" t="str">
        <f>'ADJ SUMMARY'!C42</f>
        <v>Pro Forma Property Tax</v>
      </c>
      <c r="C39" s="67"/>
      <c r="D39" s="67"/>
      <c r="E39" s="71"/>
      <c r="F39" s="415">
        <f>'ADJ SUMMARY'!E42</f>
        <v>0</v>
      </c>
      <c r="G39" s="64">
        <f t="shared" si="4"/>
        <v>0</v>
      </c>
      <c r="I39" s="415">
        <f t="shared" si="5"/>
        <v>0</v>
      </c>
    </row>
    <row r="40" spans="1:9">
      <c r="A40" s="405">
        <f>'ADJ SUMMARY'!A43</f>
        <v>3.0699999999999985</v>
      </c>
      <c r="B40" s="413" t="str">
        <f>'ADJ SUMMARY'!C43</f>
        <v>Pro Forma Meter Deferral &amp; Amortization</v>
      </c>
      <c r="C40" s="67"/>
      <c r="D40" s="67"/>
      <c r="E40" s="71"/>
      <c r="F40" s="415">
        <f>'ADJ SUMMARY'!E43</f>
        <v>0</v>
      </c>
      <c r="G40" s="64">
        <f t="shared" ref="G40:G41" si="6">SUM(E40:F40)</f>
        <v>0</v>
      </c>
      <c r="I40" s="415">
        <f t="shared" si="5"/>
        <v>0</v>
      </c>
    </row>
    <row r="41" spans="1:9">
      <c r="A41" s="405">
        <f>'ADJ SUMMARY'!A44</f>
        <v>3.0799999999999983</v>
      </c>
      <c r="B41" s="413" t="str">
        <f>'ADJ SUMMARY'!C44</f>
        <v>Pro Forma Revenue Normalization</v>
      </c>
      <c r="C41" s="67"/>
      <c r="D41" s="67"/>
      <c r="E41" s="71"/>
      <c r="F41" s="415">
        <f>'ADJ SUMMARY'!E44</f>
        <v>0</v>
      </c>
      <c r="G41" s="64">
        <f t="shared" si="6"/>
        <v>0</v>
      </c>
      <c r="I41" s="415">
        <f t="shared" si="5"/>
        <v>0</v>
      </c>
    </row>
    <row r="42" spans="1:9">
      <c r="A42" s="405">
        <f>'ADJ SUMMARY'!A45</f>
        <v>3.0899999999999981</v>
      </c>
      <c r="B42" s="413" t="str">
        <f>'ADJ SUMMARY'!C45</f>
        <v>Pro Forma Capital Add Dec 2015 AMA</v>
      </c>
      <c r="C42" s="67"/>
      <c r="D42" s="67"/>
      <c r="E42" s="71"/>
      <c r="F42" s="415">
        <f>'ADJ SUMMARY'!E45</f>
        <v>21609</v>
      </c>
      <c r="G42" s="64">
        <f t="shared" ref="G42:G45" si="7">SUM(E42:F42)</f>
        <v>21609</v>
      </c>
      <c r="I42" s="415">
        <f t="shared" si="5"/>
        <v>-215</v>
      </c>
    </row>
    <row r="43" spans="1:9">
      <c r="A43" s="405">
        <f>'ADJ SUMMARY'!A46</f>
        <v>3.0999999999999979</v>
      </c>
      <c r="B43" s="413" t="str">
        <f>'ADJ SUMMARY'!C46</f>
        <v>Pro Forma 2016 Limited Capital Adds</v>
      </c>
      <c r="C43" s="67"/>
      <c r="D43" s="67"/>
      <c r="E43" s="71"/>
      <c r="F43" s="415">
        <f>'ADJ SUMMARY'!E46</f>
        <v>60831</v>
      </c>
      <c r="G43" s="64">
        <f t="shared" si="7"/>
        <v>60831</v>
      </c>
      <c r="I43" s="415">
        <f t="shared" si="5"/>
        <v>-605</v>
      </c>
    </row>
    <row r="44" spans="1:9">
      <c r="A44" s="405">
        <f>'ADJ SUMMARY'!A47</f>
        <v>3.1099999999999977</v>
      </c>
      <c r="B44" s="413" t="str">
        <f>'ADJ SUMMARY'!C47</f>
        <v>Pro Forma O&amp;M Offsets</v>
      </c>
      <c r="C44" s="67"/>
      <c r="D44" s="67"/>
      <c r="E44" s="71"/>
      <c r="F44" s="415">
        <f>'ADJ SUMMARY'!E47</f>
        <v>0</v>
      </c>
      <c r="G44" s="64">
        <f t="shared" si="7"/>
        <v>0</v>
      </c>
      <c r="I44" s="415">
        <f t="shared" si="5"/>
        <v>0</v>
      </c>
    </row>
    <row r="45" spans="1:9">
      <c r="A45" s="405">
        <f>'ADJ SUMMARY'!A48</f>
        <v>3.1199999999999974</v>
      </c>
      <c r="B45" s="413" t="str">
        <f>'ADJ SUMMARY'!C48</f>
        <v>PF Major Maint Normalize CS2/Colstrip</v>
      </c>
      <c r="C45" s="67"/>
      <c r="D45" s="67"/>
      <c r="E45" s="71"/>
      <c r="F45" s="415">
        <f>'ADJ SUMMARY'!E48</f>
        <v>0</v>
      </c>
      <c r="G45" s="64">
        <f t="shared" si="7"/>
        <v>0</v>
      </c>
      <c r="I45" s="415">
        <f t="shared" si="5"/>
        <v>0</v>
      </c>
    </row>
    <row r="46" spans="1:9">
      <c r="A46" s="405">
        <f>'ADJ SUMMARY'!A51</f>
        <v>4</v>
      </c>
      <c r="B46" s="413" t="str">
        <f>'ADJ SUMMARY'!C51</f>
        <v>Cross Check Capital Add 2016 AMA (Inc)</v>
      </c>
      <c r="C46" s="67"/>
      <c r="D46" s="67"/>
      <c r="E46" s="71"/>
      <c r="F46" s="415">
        <f>'ADJ SUMMARY'!E51</f>
        <v>0</v>
      </c>
      <c r="G46" s="415">
        <f t="shared" ref="G46:G47" si="8">SUM(E46:F46)</f>
        <v>0</v>
      </c>
      <c r="H46" s="415"/>
      <c r="I46" s="415">
        <f t="shared" si="5"/>
        <v>0</v>
      </c>
    </row>
    <row r="47" spans="1:9">
      <c r="A47" s="405">
        <f>'ADJ SUMMARY'!A52</f>
        <v>4.01</v>
      </c>
      <c r="B47" s="413" t="str">
        <f>'ADJ SUMMARY'!C52</f>
        <v>Cross Check Capital Add 2017 AMA</v>
      </c>
      <c r="C47" s="67"/>
      <c r="D47" s="67"/>
      <c r="E47" s="71"/>
      <c r="F47" s="415">
        <f>'ADJ SUMMARY'!E52</f>
        <v>0</v>
      </c>
      <c r="G47" s="415">
        <f t="shared" si="8"/>
        <v>0</v>
      </c>
      <c r="H47" s="415"/>
      <c r="I47" s="415">
        <f t="shared" si="5"/>
        <v>0</v>
      </c>
    </row>
    <row r="48" spans="1:9">
      <c r="A48" s="405">
        <f>'ADJ SUMMARY'!A53</f>
        <v>4.0199999999999996</v>
      </c>
      <c r="B48" s="413" t="str">
        <f>'ADJ SUMMARY'!C53</f>
        <v>Cross Check Labor Non-Exec</v>
      </c>
      <c r="C48" s="67"/>
      <c r="D48" s="67"/>
      <c r="E48" s="71"/>
      <c r="F48" s="415">
        <f>'ADJ SUMMARY'!E53</f>
        <v>0</v>
      </c>
      <c r="G48" s="415">
        <f t="shared" ref="G48:G52" si="9">SUM(E48:F48)</f>
        <v>0</v>
      </c>
      <c r="H48" s="415"/>
      <c r="I48" s="415">
        <f t="shared" ref="I48:I52" si="10">ROUND(F48*$E$57*-$F$64,0)</f>
        <v>0</v>
      </c>
    </row>
    <row r="49" spans="1:12">
      <c r="A49" s="405">
        <f>'ADJ SUMMARY'!A54</f>
        <v>4.0299999999999994</v>
      </c>
      <c r="B49" s="413" t="str">
        <f>'ADJ SUMMARY'!C54</f>
        <v>Cross Check 2017 AMI Capital &amp; Expense</v>
      </c>
      <c r="C49" s="67"/>
      <c r="D49" s="67"/>
      <c r="E49" s="71"/>
      <c r="F49" s="415">
        <f>'ADJ SUMMARY'!E54</f>
        <v>0</v>
      </c>
      <c r="G49" s="415">
        <f t="shared" si="9"/>
        <v>0</v>
      </c>
      <c r="H49" s="415"/>
      <c r="I49" s="415">
        <f t="shared" si="10"/>
        <v>0</v>
      </c>
    </row>
    <row r="50" spans="1:12">
      <c r="A50" s="405">
        <f>'ADJ SUMMARY'!A55</f>
        <v>4.0399999999999991</v>
      </c>
      <c r="B50" s="413" t="str">
        <f>'ADJ SUMMARY'!C55</f>
        <v>Cross Check Information Tech/Serv Exp</v>
      </c>
      <c r="C50" s="67"/>
      <c r="D50" s="67"/>
      <c r="E50" s="71"/>
      <c r="F50" s="415">
        <f>'ADJ SUMMARY'!E55</f>
        <v>0</v>
      </c>
      <c r="G50" s="415">
        <f t="shared" si="9"/>
        <v>0</v>
      </c>
      <c r="H50" s="415"/>
      <c r="I50" s="415">
        <f t="shared" si="10"/>
        <v>0</v>
      </c>
    </row>
    <row r="51" spans="1:12">
      <c r="A51" s="405">
        <f>'ADJ SUMMARY'!A56</f>
        <v>4.0499999999999989</v>
      </c>
      <c r="B51" s="413" t="str">
        <f>'ADJ SUMMARY'!C56</f>
        <v>Cross Check Property Tax</v>
      </c>
      <c r="C51" s="67"/>
      <c r="D51" s="67"/>
      <c r="E51" s="71"/>
      <c r="F51" s="415">
        <f>'ADJ SUMMARY'!E56</f>
        <v>0</v>
      </c>
      <c r="G51" s="415">
        <f t="shared" si="9"/>
        <v>0</v>
      </c>
      <c r="H51" s="415"/>
      <c r="I51" s="415">
        <f t="shared" si="10"/>
        <v>0</v>
      </c>
    </row>
    <row r="52" spans="1:12">
      <c r="A52" s="405">
        <f>'ADJ SUMMARY'!A57</f>
        <v>4.0599999999999987</v>
      </c>
      <c r="B52" s="413" t="str">
        <f>'ADJ SUMMARY'!C57</f>
        <v>Cross Check Insurance Expense</v>
      </c>
      <c r="C52" s="67"/>
      <c r="D52" s="67"/>
      <c r="E52" s="71"/>
      <c r="F52" s="415">
        <f>'ADJ SUMMARY'!E57</f>
        <v>0</v>
      </c>
      <c r="G52" s="415">
        <f t="shared" si="9"/>
        <v>0</v>
      </c>
      <c r="H52" s="415"/>
      <c r="I52" s="415">
        <f t="shared" si="10"/>
        <v>0</v>
      </c>
    </row>
    <row r="53" spans="1:12">
      <c r="A53" s="405">
        <f>'ADJ SUMMARY'!A58</f>
        <v>4.0699999999999985</v>
      </c>
      <c r="B53" s="413" t="str">
        <f>'ADJ SUMMARY'!C58</f>
        <v>Reconcile 2017 Cross Check to Attrition</v>
      </c>
      <c r="C53" s="67"/>
      <c r="D53" s="67"/>
      <c r="E53" s="71"/>
      <c r="F53" s="415">
        <f>'ADJ SUMMARY'!E58</f>
        <v>0</v>
      </c>
      <c r="G53" s="415">
        <f t="shared" ref="G53" si="11">SUM(E53:F53)</f>
        <v>0</v>
      </c>
      <c r="H53" s="415"/>
      <c r="I53" s="415">
        <f>ROUND(F53*$E$57*-$F$64,0)</f>
        <v>0</v>
      </c>
    </row>
    <row r="54" spans="1:12">
      <c r="B54" s="413"/>
      <c r="C54" s="67"/>
      <c r="D54" s="714"/>
      <c r="E54" s="715"/>
      <c r="F54" s="716"/>
      <c r="G54" s="717"/>
      <c r="H54" s="718"/>
      <c r="I54" s="718"/>
    </row>
    <row r="55" spans="1:12">
      <c r="B55" s="413" t="s">
        <v>616</v>
      </c>
      <c r="C55" s="67"/>
      <c r="D55" s="67"/>
      <c r="E55" s="102">
        <f>SUM(E11:E52)</f>
        <v>1309195</v>
      </c>
      <c r="F55" s="102">
        <f>SUM(F11:F53)</f>
        <v>73934</v>
      </c>
      <c r="G55" s="102">
        <f>SUM(G11:G53)</f>
        <v>1383129</v>
      </c>
      <c r="H55" s="71"/>
      <c r="I55" s="71"/>
      <c r="K55" s="721">
        <f>G55-'ADJ SUMMARY'!E59</f>
        <v>0</v>
      </c>
      <c r="L55" s="437" t="s">
        <v>604</v>
      </c>
    </row>
    <row r="56" spans="1:12" ht="5.25" customHeight="1">
      <c r="C56" s="67"/>
      <c r="D56" s="67"/>
      <c r="E56" s="102"/>
      <c r="F56" s="102"/>
      <c r="G56" s="102"/>
    </row>
    <row r="57" spans="1:12">
      <c r="B57" s="86" t="s">
        <v>164</v>
      </c>
      <c r="C57" s="67"/>
      <c r="D57" s="67"/>
      <c r="E57" s="301">
        <f>'Exh. No. BGM-13R -5'!R15</f>
        <v>2.8400000000000002E-2</v>
      </c>
      <c r="F57" s="301">
        <f>E57-I57</f>
        <v>2.8400000000000002E-2</v>
      </c>
      <c r="G57" s="109"/>
      <c r="I57" s="301"/>
    </row>
    <row r="58" spans="1:12" ht="6" customHeight="1">
      <c r="C58" s="67"/>
      <c r="D58" s="67"/>
      <c r="E58" s="102"/>
      <c r="F58" s="102"/>
      <c r="G58" s="102"/>
    </row>
    <row r="59" spans="1:12">
      <c r="B59" s="86" t="s">
        <v>145</v>
      </c>
      <c r="C59" s="67"/>
      <c r="D59" s="67"/>
      <c r="E59" s="102">
        <f>E55*E57</f>
        <v>37181.137999999999</v>
      </c>
      <c r="F59" s="102">
        <f>F55*F57</f>
        <v>2099.7256000000002</v>
      </c>
      <c r="G59" s="102">
        <f>SUM(E59:F59)</f>
        <v>39280.863599999997</v>
      </c>
      <c r="I59" s="102">
        <f>SUM(I11:I53)</f>
        <v>-1170.0500000000011</v>
      </c>
    </row>
    <row r="60" spans="1:12">
      <c r="C60" s="67"/>
      <c r="D60" s="67"/>
      <c r="E60" s="102"/>
      <c r="F60" s="102"/>
      <c r="G60" s="102"/>
      <c r="I60" s="102"/>
    </row>
    <row r="61" spans="1:12">
      <c r="B61" s="86" t="s">
        <v>573</v>
      </c>
      <c r="C61" s="67"/>
      <c r="D61" s="67"/>
      <c r="E61" s="417">
        <v>35937</v>
      </c>
      <c r="F61" s="417"/>
      <c r="G61" s="109">
        <f>SUM(E61:F61)</f>
        <v>35937</v>
      </c>
      <c r="I61" s="417"/>
    </row>
    <row r="62" spans="1:12" ht="5.25" customHeight="1">
      <c r="C62" s="67"/>
      <c r="D62" s="67"/>
      <c r="E62" s="102"/>
      <c r="F62" s="102"/>
      <c r="G62" s="102"/>
      <c r="I62" s="102"/>
    </row>
    <row r="63" spans="1:12">
      <c r="B63" s="86" t="s">
        <v>147</v>
      </c>
      <c r="C63" s="67"/>
      <c r="D63" s="67"/>
      <c r="E63" s="102">
        <f>E59-E61</f>
        <v>1244.137999999999</v>
      </c>
      <c r="F63" s="102">
        <f>F59-F61</f>
        <v>2099.7256000000002</v>
      </c>
      <c r="G63" s="102">
        <f>SUM(E63:F63)</f>
        <v>3343.8635999999992</v>
      </c>
      <c r="I63" s="102"/>
    </row>
    <row r="64" spans="1:12" ht="18" customHeight="1">
      <c r="B64" s="86" t="s">
        <v>148</v>
      </c>
      <c r="D64" s="67"/>
      <c r="E64" s="419">
        <v>0.35</v>
      </c>
      <c r="F64" s="419">
        <v>0.35</v>
      </c>
      <c r="G64" s="109"/>
      <c r="I64" s="419"/>
    </row>
    <row r="65" spans="1:11" ht="5.25" customHeight="1" thickBot="1">
      <c r="D65" s="67"/>
      <c r="E65" s="102"/>
      <c r="F65" s="102"/>
      <c r="G65" s="102"/>
      <c r="I65" s="102"/>
    </row>
    <row r="66" spans="1:11" ht="13.5" thickBot="1">
      <c r="B66" s="86" t="s">
        <v>149</v>
      </c>
      <c r="D66" s="67"/>
      <c r="E66" s="444">
        <f>ROUND(E63*-E64,0)</f>
        <v>-435</v>
      </c>
      <c r="F66" s="139">
        <f>ROUND(F63*-F64,0)</f>
        <v>-735</v>
      </c>
      <c r="G66" s="139">
        <f>SUM(E66:F66)</f>
        <v>-1170</v>
      </c>
      <c r="I66" s="139">
        <f>I59</f>
        <v>-1170.0500000000011</v>
      </c>
      <c r="J66" s="442" t="s">
        <v>608</v>
      </c>
      <c r="K66" s="64">
        <f ca="1">'Exh. No. BGM-13R -3'!AZ53+'Exh. No. BGM-13R -3'!X52-I66</f>
        <v>278.66376817680111</v>
      </c>
    </row>
    <row r="67" spans="1:11" ht="13.5" thickTop="1">
      <c r="D67" s="67"/>
      <c r="E67" s="445">
        <f>E8</f>
        <v>2.1499999999999968</v>
      </c>
      <c r="F67" s="108"/>
      <c r="G67" s="108"/>
      <c r="I67" s="108"/>
    </row>
    <row r="68" spans="1:11" ht="13.5" thickBot="1">
      <c r="E68" s="446" t="s">
        <v>22</v>
      </c>
      <c r="F68" s="418"/>
    </row>
    <row r="69" spans="1:11" hidden="1">
      <c r="A69" s="406" t="s">
        <v>234</v>
      </c>
      <c r="B69" s="414" t="s">
        <v>233</v>
      </c>
    </row>
    <row r="70" spans="1:11" hidden="1">
      <c r="B70" s="412" t="s">
        <v>146</v>
      </c>
    </row>
    <row r="71" spans="1:11" hidden="1">
      <c r="B71" s="86" t="s">
        <v>150</v>
      </c>
      <c r="C71" s="123">
        <v>2430</v>
      </c>
      <c r="H71" s="64" t="s">
        <v>227</v>
      </c>
    </row>
    <row r="72" spans="1:11" hidden="1">
      <c r="B72" s="86" t="s">
        <v>151</v>
      </c>
      <c r="C72" s="122">
        <v>2935</v>
      </c>
      <c r="H72" s="64" t="s">
        <v>227</v>
      </c>
    </row>
    <row r="73" spans="1:11" hidden="1">
      <c r="B73" s="86" t="s">
        <v>152</v>
      </c>
      <c r="C73" s="72">
        <f>C71+C72</f>
        <v>5365</v>
      </c>
    </row>
    <row r="74" spans="1:11" hidden="1">
      <c r="C74" s="71"/>
    </row>
    <row r="75" spans="1:11" hidden="1">
      <c r="C75" s="76"/>
      <c r="D75" s="68"/>
      <c r="E75" s="68" t="s">
        <v>153</v>
      </c>
    </row>
    <row r="76" spans="1:11" hidden="1">
      <c r="C76" s="70" t="s">
        <v>122</v>
      </c>
      <c r="D76" s="70" t="s">
        <v>154</v>
      </c>
      <c r="E76" s="70" t="s">
        <v>28</v>
      </c>
    </row>
    <row r="77" spans="1:11" hidden="1">
      <c r="B77" s="86" t="s">
        <v>155</v>
      </c>
      <c r="C77" s="87" t="e">
        <f>#REF!</f>
        <v>#REF!</v>
      </c>
      <c r="D77" s="88" t="e">
        <f>ROUND(C77/$C$80,4)</f>
        <v>#REF!</v>
      </c>
      <c r="E77" s="87" t="e">
        <f>D77*E80</f>
        <v>#REF!</v>
      </c>
      <c r="F77" s="130"/>
    </row>
    <row r="78" spans="1:11" hidden="1">
      <c r="B78" s="86" t="s">
        <v>156</v>
      </c>
      <c r="C78" s="89" t="e">
        <f>#REF!</f>
        <v>#REF!</v>
      </c>
      <c r="D78" s="88" t="e">
        <f>ROUND(C78/$C$80,4)</f>
        <v>#REF!</v>
      </c>
      <c r="E78" s="89" t="e">
        <f>D78*E80</f>
        <v>#REF!</v>
      </c>
    </row>
    <row r="79" spans="1:11" hidden="1">
      <c r="B79" s="86" t="s">
        <v>157</v>
      </c>
      <c r="C79" s="89" t="e">
        <f>#REF!</f>
        <v>#REF!</v>
      </c>
      <c r="D79" s="88" t="e">
        <f>ROUND(C79/$C$80,4)-0.0001</f>
        <v>#REF!</v>
      </c>
      <c r="E79" s="89" t="e">
        <f>E80*D79</f>
        <v>#REF!</v>
      </c>
    </row>
    <row r="80" spans="1:11" hidden="1">
      <c r="B80" s="86" t="s">
        <v>158</v>
      </c>
      <c r="C80" s="90" t="e">
        <f>C77+C78+C79</f>
        <v>#REF!</v>
      </c>
      <c r="D80" s="91" t="e">
        <f>D77+D78+D79</f>
        <v>#REF!</v>
      </c>
      <c r="E80" s="90">
        <f>C73</f>
        <v>5365</v>
      </c>
    </row>
    <row r="81" spans="1:6" hidden="1">
      <c r="C81" s="92"/>
      <c r="D81" s="92"/>
      <c r="E81" s="92"/>
    </row>
    <row r="82" spans="1:6" hidden="1">
      <c r="B82" s="86" t="s">
        <v>159</v>
      </c>
      <c r="C82" s="87" t="e">
        <f>#REF!</f>
        <v>#REF!</v>
      </c>
      <c r="D82" s="88" t="e">
        <f>C82/C84</f>
        <v>#REF!</v>
      </c>
      <c r="E82" s="87" t="e">
        <f>D82*E84</f>
        <v>#REF!</v>
      </c>
    </row>
    <row r="83" spans="1:6" hidden="1">
      <c r="B83" s="86" t="s">
        <v>160</v>
      </c>
      <c r="C83" s="92" t="e">
        <f>#REF!</f>
        <v>#REF!</v>
      </c>
      <c r="D83" s="88" t="e">
        <f>C83/C84</f>
        <v>#REF!</v>
      </c>
      <c r="E83" s="92" t="e">
        <f>D83*E84</f>
        <v>#REF!</v>
      </c>
    </row>
    <row r="84" spans="1:6" hidden="1">
      <c r="B84" s="86" t="s">
        <v>158</v>
      </c>
      <c r="C84" s="90" t="e">
        <f>C82+C83</f>
        <v>#REF!</v>
      </c>
      <c r="D84" s="91" t="e">
        <f>D82+D83</f>
        <v>#REF!</v>
      </c>
      <c r="E84" s="90" t="e">
        <f>E77</f>
        <v>#REF!</v>
      </c>
    </row>
    <row r="85" spans="1:6" hidden="1">
      <c r="C85" s="92"/>
      <c r="D85" s="92"/>
      <c r="E85" s="92"/>
    </row>
    <row r="86" spans="1:6" hidden="1">
      <c r="B86" s="86" t="s">
        <v>161</v>
      </c>
      <c r="C86" s="87" t="e">
        <f>#REF!</f>
        <v>#REF!</v>
      </c>
      <c r="D86" s="93" t="e">
        <f>C86/C88</f>
        <v>#REF!</v>
      </c>
      <c r="E86" s="87" t="e">
        <f>E88*D86</f>
        <v>#REF!</v>
      </c>
    </row>
    <row r="87" spans="1:6" hidden="1">
      <c r="B87" s="86" t="s">
        <v>162</v>
      </c>
      <c r="C87" s="92" t="e">
        <f>#REF!</f>
        <v>#REF!</v>
      </c>
      <c r="D87" s="94" t="e">
        <f>C87/C88</f>
        <v>#REF!</v>
      </c>
      <c r="E87" s="92" t="e">
        <f>E88*D87</f>
        <v>#REF!</v>
      </c>
    </row>
    <row r="88" spans="1:6" hidden="1">
      <c r="B88" s="86" t="s">
        <v>158</v>
      </c>
      <c r="C88" s="90" t="e">
        <f>SUM(C86:C87)</f>
        <v>#REF!</v>
      </c>
      <c r="D88" s="95" t="e">
        <f>SUM(D86:D87)</f>
        <v>#REF!</v>
      </c>
      <c r="E88" s="90" t="e">
        <f>E78</f>
        <v>#REF!</v>
      </c>
    </row>
    <row r="89" spans="1:6" hidden="1">
      <c r="A89" s="407" t="str">
        <f>A1</f>
        <v>AVISTA UTILITIES</v>
      </c>
      <c r="C89" s="62"/>
      <c r="D89" s="63"/>
      <c r="E89" s="62"/>
      <c r="F89" s="63"/>
    </row>
    <row r="90" spans="1:6" hidden="1">
      <c r="A90" s="407" t="str">
        <f>A2</f>
        <v>Restate Debt Interest</v>
      </c>
      <c r="C90" s="62"/>
      <c r="D90" s="63"/>
      <c r="E90" s="62"/>
      <c r="F90" s="63"/>
    </row>
    <row r="91" spans="1:6" hidden="1">
      <c r="A91" s="407" t="s">
        <v>165</v>
      </c>
      <c r="C91" s="62"/>
      <c r="D91" s="63"/>
      <c r="E91" s="62"/>
      <c r="F91" s="63"/>
    </row>
    <row r="92" spans="1:6" hidden="1">
      <c r="A92" s="408" t="str">
        <f>A4</f>
        <v>Twelve Months Ended September 31, 2015</v>
      </c>
      <c r="C92" s="65"/>
      <c r="D92" s="63"/>
      <c r="E92" s="65"/>
      <c r="F92" s="63"/>
    </row>
    <row r="93" spans="1:6" hidden="1">
      <c r="A93" s="409" t="s">
        <v>142</v>
      </c>
      <c r="C93" s="62"/>
      <c r="D93" s="63"/>
      <c r="E93" s="63"/>
      <c r="F93" s="63"/>
    </row>
    <row r="94" spans="1:6" hidden="1">
      <c r="C94" s="67"/>
      <c r="D94" s="67"/>
      <c r="E94" s="69"/>
      <c r="F94" s="68" t="s">
        <v>21</v>
      </c>
    </row>
    <row r="95" spans="1:6" hidden="1">
      <c r="B95" s="412" t="s">
        <v>143</v>
      </c>
      <c r="C95" s="67"/>
      <c r="D95" s="67"/>
      <c r="E95" s="69"/>
      <c r="F95" s="70" t="s">
        <v>144</v>
      </c>
    </row>
    <row r="96" spans="1:6" hidden="1">
      <c r="A96" s="405" t="e">
        <f>'ADJ SUMMARY'!#REF!</f>
        <v>#REF!</v>
      </c>
      <c r="B96" s="86" t="e">
        <f>'ADJ SUMMARY'!#REF!</f>
        <v>#REF!</v>
      </c>
      <c r="C96" s="67"/>
      <c r="D96" s="67"/>
      <c r="E96" s="71"/>
      <c r="F96" s="126" t="e">
        <f>'ADJ SUMMARY'!#REF!</f>
        <v>#REF!</v>
      </c>
    </row>
    <row r="97" spans="1:6" hidden="1">
      <c r="A97" s="405" t="e">
        <f>'ADJ SUMMARY'!#REF!</f>
        <v>#REF!</v>
      </c>
      <c r="B97" s="86" t="e">
        <f>'ADJ SUMMARY'!#REF!</f>
        <v>#REF!</v>
      </c>
      <c r="C97" s="67"/>
      <c r="D97" s="67"/>
      <c r="E97" s="71"/>
      <c r="F97" s="126" t="e">
        <f>'ADJ SUMMARY'!#REF!</f>
        <v>#REF!</v>
      </c>
    </row>
    <row r="98" spans="1:6" hidden="1">
      <c r="A98" s="405" t="e">
        <f>'ADJ SUMMARY'!#REF!</f>
        <v>#REF!</v>
      </c>
      <c r="B98" s="86" t="e">
        <f>'ADJ SUMMARY'!#REF!</f>
        <v>#REF!</v>
      </c>
      <c r="C98" s="67"/>
      <c r="D98" s="67"/>
      <c r="E98" s="71"/>
      <c r="F98" s="126" t="e">
        <f>'ADJ SUMMARY'!#REF!</f>
        <v>#REF!</v>
      </c>
    </row>
    <row r="99" spans="1:6" hidden="1">
      <c r="A99" s="405" t="e">
        <f>'ADJ SUMMARY'!#REF!</f>
        <v>#REF!</v>
      </c>
      <c r="B99" s="86" t="e">
        <f>'ADJ SUMMARY'!#REF!</f>
        <v>#REF!</v>
      </c>
      <c r="C99" s="67"/>
      <c r="D99" s="67"/>
      <c r="E99" s="71"/>
      <c r="F99" s="126" t="e">
        <f>'ADJ SUMMARY'!#REF!</f>
        <v>#REF!</v>
      </c>
    </row>
    <row r="100" spans="1:6" hidden="1">
      <c r="A100" s="405" t="e">
        <f>'ADJ SUMMARY'!#REF!</f>
        <v>#REF!</v>
      </c>
      <c r="B100" s="86" t="e">
        <f>'ADJ SUMMARY'!#REF!</f>
        <v>#REF!</v>
      </c>
      <c r="C100" s="67"/>
      <c r="D100" s="67"/>
      <c r="E100" s="71"/>
      <c r="F100" s="126" t="e">
        <f>'ADJ SUMMARY'!#REF!</f>
        <v>#REF!</v>
      </c>
    </row>
    <row r="101" spans="1:6" hidden="1">
      <c r="A101" s="405" t="e">
        <f>'ADJ SUMMARY'!#REF!</f>
        <v>#REF!</v>
      </c>
      <c r="B101" s="86" t="e">
        <f>'ADJ SUMMARY'!#REF!</f>
        <v>#REF!</v>
      </c>
      <c r="C101" s="67"/>
      <c r="D101" s="67"/>
      <c r="E101" s="71"/>
      <c r="F101" s="126" t="e">
        <f>'ADJ SUMMARY'!#REF!</f>
        <v>#REF!</v>
      </c>
    </row>
    <row r="102" spans="1:6" hidden="1">
      <c r="A102" s="405" t="e">
        <f>'ADJ SUMMARY'!#REF!</f>
        <v>#REF!</v>
      </c>
      <c r="B102" s="86" t="e">
        <f>'ADJ SUMMARY'!#REF!</f>
        <v>#REF!</v>
      </c>
      <c r="C102" s="67"/>
      <c r="D102" s="67"/>
      <c r="E102" s="71"/>
      <c r="F102" s="126" t="e">
        <f>'ADJ SUMMARY'!#REF!</f>
        <v>#REF!</v>
      </c>
    </row>
    <row r="103" spans="1:6" hidden="1">
      <c r="A103" s="405" t="e">
        <f>'ADJ SUMMARY'!#REF!</f>
        <v>#REF!</v>
      </c>
      <c r="B103" s="86" t="e">
        <f>'ADJ SUMMARY'!#REF!</f>
        <v>#REF!</v>
      </c>
      <c r="C103" s="67"/>
      <c r="D103" s="67"/>
      <c r="E103" s="71"/>
      <c r="F103" s="126" t="e">
        <f>'ADJ SUMMARY'!#REF!</f>
        <v>#REF!</v>
      </c>
    </row>
    <row r="104" spans="1:6" hidden="1">
      <c r="A104" s="405" t="e">
        <f>'ADJ SUMMARY'!#REF!</f>
        <v>#REF!</v>
      </c>
      <c r="B104" s="86" t="e">
        <f>'ADJ SUMMARY'!#REF!</f>
        <v>#REF!</v>
      </c>
      <c r="C104" s="67"/>
      <c r="D104" s="67"/>
      <c r="E104" s="71"/>
      <c r="F104" s="126" t="e">
        <f>'ADJ SUMMARY'!#REF!</f>
        <v>#REF!</v>
      </c>
    </row>
    <row r="105" spans="1:6" hidden="1">
      <c r="A105" s="405" t="e">
        <f>'ADJ SUMMARY'!#REF!</f>
        <v>#REF!</v>
      </c>
      <c r="B105" s="86" t="e">
        <f>'ADJ SUMMARY'!#REF!</f>
        <v>#REF!</v>
      </c>
      <c r="C105" s="67"/>
      <c r="D105" s="67"/>
      <c r="E105" s="71"/>
      <c r="F105" s="126" t="e">
        <f>'ADJ SUMMARY'!#REF!</f>
        <v>#REF!</v>
      </c>
    </row>
    <row r="106" spans="1:6" hidden="1">
      <c r="A106" s="405" t="e">
        <f>'ADJ SUMMARY'!#REF!</f>
        <v>#REF!</v>
      </c>
      <c r="B106" s="86" t="e">
        <f>'ADJ SUMMARY'!#REF!</f>
        <v>#REF!</v>
      </c>
      <c r="C106" s="67"/>
      <c r="D106" s="67"/>
      <c r="E106" s="71"/>
      <c r="F106" s="126" t="e">
        <f>'ADJ SUMMARY'!#REF!</f>
        <v>#REF!</v>
      </c>
    </row>
    <row r="107" spans="1:6" hidden="1">
      <c r="A107" s="405" t="e">
        <f>'ADJ SUMMARY'!#REF!</f>
        <v>#REF!</v>
      </c>
      <c r="B107" s="86" t="e">
        <f>'ADJ SUMMARY'!#REF!</f>
        <v>#REF!</v>
      </c>
      <c r="C107" s="67"/>
      <c r="D107" s="67"/>
      <c r="E107" s="71"/>
      <c r="F107" s="126" t="e">
        <f>'ADJ SUMMARY'!#REF!</f>
        <v>#REF!</v>
      </c>
    </row>
    <row r="108" spans="1:6" hidden="1">
      <c r="A108" s="405" t="e">
        <f>'ADJ SUMMARY'!#REF!</f>
        <v>#REF!</v>
      </c>
      <c r="B108" s="86" t="e">
        <f>'ADJ SUMMARY'!#REF!</f>
        <v>#REF!</v>
      </c>
      <c r="C108" s="67"/>
      <c r="D108" s="67"/>
      <c r="E108" s="71"/>
      <c r="F108" s="126" t="e">
        <f>'ADJ SUMMARY'!#REF!</f>
        <v>#REF!</v>
      </c>
    </row>
    <row r="109" spans="1:6" hidden="1">
      <c r="A109" s="405" t="e">
        <f>'ADJ SUMMARY'!#REF!</f>
        <v>#REF!</v>
      </c>
      <c r="B109" s="86" t="e">
        <f>'ADJ SUMMARY'!#REF!</f>
        <v>#REF!</v>
      </c>
      <c r="C109" s="67"/>
      <c r="D109" s="67"/>
      <c r="E109" s="71"/>
      <c r="F109" s="126" t="e">
        <f>'ADJ SUMMARY'!#REF!</f>
        <v>#REF!</v>
      </c>
    </row>
    <row r="110" spans="1:6" hidden="1">
      <c r="A110" s="405" t="e">
        <f>'ADJ SUMMARY'!#REF!</f>
        <v>#REF!</v>
      </c>
      <c r="B110" s="86" t="e">
        <f>'ADJ SUMMARY'!#REF!</f>
        <v>#REF!</v>
      </c>
      <c r="C110" s="67"/>
      <c r="D110" s="67"/>
      <c r="E110" s="71"/>
      <c r="F110" s="126" t="e">
        <f>'ADJ SUMMARY'!#REF!</f>
        <v>#REF!</v>
      </c>
    </row>
    <row r="111" spans="1:6" hidden="1">
      <c r="A111" s="405" t="e">
        <f>'ADJ SUMMARY'!#REF!</f>
        <v>#REF!</v>
      </c>
      <c r="B111" s="86" t="e">
        <f>'ADJ SUMMARY'!#REF!</f>
        <v>#REF!</v>
      </c>
      <c r="C111" s="67"/>
      <c r="D111" s="67"/>
      <c r="E111" s="71"/>
      <c r="F111" s="126" t="e">
        <f>'ADJ SUMMARY'!#REF!</f>
        <v>#REF!</v>
      </c>
    </row>
    <row r="112" spans="1:6" hidden="1">
      <c r="A112" s="405" t="e">
        <f>'ADJ SUMMARY'!#REF!</f>
        <v>#REF!</v>
      </c>
      <c r="B112" s="86" t="e">
        <f>'ADJ SUMMARY'!#REF!</f>
        <v>#REF!</v>
      </c>
      <c r="C112" s="67"/>
      <c r="D112" s="67"/>
      <c r="E112" s="71"/>
      <c r="F112" s="126" t="e">
        <f>'ADJ SUMMARY'!#REF!</f>
        <v>#REF!</v>
      </c>
    </row>
    <row r="113" spans="1:6" hidden="1">
      <c r="A113" s="405" t="e">
        <f>'ADJ SUMMARY'!#REF!</f>
        <v>#REF!</v>
      </c>
      <c r="B113" s="86" t="e">
        <f>'ADJ SUMMARY'!#REF!</f>
        <v>#REF!</v>
      </c>
      <c r="C113" s="67"/>
      <c r="D113" s="67"/>
      <c r="E113" s="71"/>
      <c r="F113" s="126" t="e">
        <f>'ADJ SUMMARY'!#REF!</f>
        <v>#REF!</v>
      </c>
    </row>
    <row r="114" spans="1:6" hidden="1">
      <c r="A114" s="405" t="e">
        <f>'ADJ SUMMARY'!#REF!</f>
        <v>#REF!</v>
      </c>
      <c r="B114" s="86" t="e">
        <f>'ADJ SUMMARY'!#REF!</f>
        <v>#REF!</v>
      </c>
      <c r="C114" s="67"/>
      <c r="D114" s="67"/>
      <c r="E114" s="71"/>
      <c r="F114" s="126" t="e">
        <f>'ADJ SUMMARY'!#REF!</f>
        <v>#REF!</v>
      </c>
    </row>
    <row r="115" spans="1:6" hidden="1">
      <c r="A115" s="405" t="e">
        <f>'ADJ SUMMARY'!#REF!</f>
        <v>#REF!</v>
      </c>
      <c r="B115" s="86" t="e">
        <f>'ADJ SUMMARY'!#REF!</f>
        <v>#REF!</v>
      </c>
      <c r="C115" s="67"/>
      <c r="D115" s="67"/>
      <c r="E115" s="71"/>
      <c r="F115" s="126" t="e">
        <f>'ADJ SUMMARY'!#REF!</f>
        <v>#REF!</v>
      </c>
    </row>
    <row r="116" spans="1:6" hidden="1">
      <c r="A116" s="405" t="e">
        <f>'ADJ SUMMARY'!#REF!</f>
        <v>#REF!</v>
      </c>
      <c r="B116" s="86" t="e">
        <f>'ADJ SUMMARY'!#REF!</f>
        <v>#REF!</v>
      </c>
      <c r="C116" s="67"/>
      <c r="D116" s="67"/>
      <c r="E116" s="71"/>
      <c r="F116" s="126" t="e">
        <f>'ADJ SUMMARY'!#REF!</f>
        <v>#REF!</v>
      </c>
    </row>
    <row r="117" spans="1:6" ht="5.25" hidden="1" customHeight="1">
      <c r="C117" s="67"/>
      <c r="D117" s="67"/>
      <c r="E117" s="71"/>
      <c r="F117" s="126"/>
    </row>
    <row r="118" spans="1:6" ht="13.5" hidden="1" customHeight="1">
      <c r="A118" s="405" t="e">
        <f>'ADJ SUMMARY'!#REF!</f>
        <v>#REF!</v>
      </c>
      <c r="B118" s="86" t="e">
        <f>'ADJ SUMMARY'!#REF!</f>
        <v>#REF!</v>
      </c>
      <c r="C118" s="67"/>
      <c r="D118" s="67"/>
      <c r="E118" s="71"/>
      <c r="F118" s="126" t="e">
        <f>'ADJ SUMMARY'!#REF!</f>
        <v>#REF!</v>
      </c>
    </row>
    <row r="119" spans="1:6" hidden="1">
      <c r="A119" s="405" t="e">
        <f>'ADJ SUMMARY'!#REF!</f>
        <v>#REF!</v>
      </c>
      <c r="B119" s="86" t="e">
        <f>'ADJ SUMMARY'!#REF!</f>
        <v>#REF!</v>
      </c>
      <c r="C119" s="67"/>
      <c r="D119" s="67"/>
      <c r="E119" s="71"/>
      <c r="F119" s="126" t="e">
        <f>'ADJ SUMMARY'!#REF!</f>
        <v>#REF!</v>
      </c>
    </row>
    <row r="120" spans="1:6" hidden="1">
      <c r="A120" s="405" t="e">
        <f>'ADJ SUMMARY'!#REF!</f>
        <v>#REF!</v>
      </c>
      <c r="B120" s="86" t="e">
        <f>'ADJ SUMMARY'!#REF!</f>
        <v>#REF!</v>
      </c>
      <c r="C120" s="67"/>
      <c r="D120" s="67"/>
      <c r="E120" s="71"/>
      <c r="F120" s="126" t="e">
        <f>'ADJ SUMMARY'!#REF!</f>
        <v>#REF!</v>
      </c>
    </row>
    <row r="121" spans="1:6" hidden="1">
      <c r="A121" s="405" t="e">
        <f>'ADJ SUMMARY'!#REF!</f>
        <v>#REF!</v>
      </c>
      <c r="B121" s="86" t="e">
        <f>'ADJ SUMMARY'!#REF!</f>
        <v>#REF!</v>
      </c>
      <c r="C121" s="67"/>
      <c r="D121" s="67"/>
      <c r="E121" s="71"/>
      <c r="F121" s="126" t="e">
        <f>'ADJ SUMMARY'!#REF!</f>
        <v>#REF!</v>
      </c>
    </row>
    <row r="122" spans="1:6" hidden="1">
      <c r="A122" s="405" t="e">
        <f>'ADJ SUMMARY'!#REF!</f>
        <v>#REF!</v>
      </c>
      <c r="B122" s="86" t="e">
        <f>'ADJ SUMMARY'!#REF!</f>
        <v>#REF!</v>
      </c>
      <c r="C122" s="67"/>
      <c r="D122" s="67"/>
      <c r="E122" s="71"/>
      <c r="F122" s="126" t="e">
        <f>'ADJ SUMMARY'!#REF!</f>
        <v>#REF!</v>
      </c>
    </row>
    <row r="123" spans="1:6" hidden="1">
      <c r="A123" s="405" t="e">
        <f>'ADJ SUMMARY'!#REF!</f>
        <v>#REF!</v>
      </c>
      <c r="B123" s="86" t="e">
        <f>'ADJ SUMMARY'!#REF!</f>
        <v>#REF!</v>
      </c>
      <c r="C123" s="67"/>
      <c r="D123" s="67"/>
      <c r="E123" s="71"/>
      <c r="F123" s="126" t="e">
        <f>'ADJ SUMMARY'!#REF!</f>
        <v>#REF!</v>
      </c>
    </row>
    <row r="124" spans="1:6" hidden="1">
      <c r="A124" s="405" t="e">
        <f>'ADJ SUMMARY'!#REF!</f>
        <v>#REF!</v>
      </c>
      <c r="B124" s="86" t="e">
        <f>'ADJ SUMMARY'!#REF!</f>
        <v>#REF!</v>
      </c>
      <c r="C124" s="67"/>
      <c r="D124" s="67"/>
      <c r="E124" s="71"/>
      <c r="F124" s="126" t="e">
        <f>'ADJ SUMMARY'!#REF!</f>
        <v>#REF!</v>
      </c>
    </row>
    <row r="125" spans="1:6" hidden="1">
      <c r="A125" s="405" t="e">
        <f>'ADJ SUMMARY'!#REF!</f>
        <v>#REF!</v>
      </c>
      <c r="B125" s="86" t="e">
        <f>'ADJ SUMMARY'!#REF!</f>
        <v>#REF!</v>
      </c>
      <c r="C125" s="67"/>
      <c r="D125" s="67"/>
      <c r="E125" s="71"/>
      <c r="F125" s="126" t="e">
        <f>'ADJ SUMMARY'!#REF!</f>
        <v>#REF!</v>
      </c>
    </row>
    <row r="126" spans="1:6" hidden="1">
      <c r="A126" s="405" t="e">
        <f>'ADJ SUMMARY'!#REF!</f>
        <v>#REF!</v>
      </c>
      <c r="B126" s="86" t="e">
        <f>'ADJ SUMMARY'!#REF!</f>
        <v>#REF!</v>
      </c>
      <c r="C126" s="67"/>
      <c r="D126" s="67"/>
      <c r="E126" s="71"/>
      <c r="F126" s="126" t="e">
        <f>'ADJ SUMMARY'!#REF!</f>
        <v>#REF!</v>
      </c>
    </row>
    <row r="127" spans="1:6" hidden="1">
      <c r="A127" s="405" t="e">
        <f>'ADJ SUMMARY'!#REF!</f>
        <v>#REF!</v>
      </c>
      <c r="B127" s="86" t="e">
        <f>'ADJ SUMMARY'!#REF!</f>
        <v>#REF!</v>
      </c>
      <c r="C127" s="67"/>
      <c r="D127" s="67"/>
      <c r="E127" s="71"/>
      <c r="F127" s="126" t="e">
        <f>'ADJ SUMMARY'!#REF!</f>
        <v>#REF!</v>
      </c>
    </row>
    <row r="128" spans="1:6" hidden="1">
      <c r="A128" s="405" t="e">
        <f>'ADJ SUMMARY'!#REF!</f>
        <v>#REF!</v>
      </c>
      <c r="B128" s="86" t="e">
        <f>'ADJ SUMMARY'!#REF!</f>
        <v>#REF!</v>
      </c>
      <c r="C128" s="67"/>
      <c r="D128" s="67"/>
      <c r="E128" s="71"/>
      <c r="F128" s="126" t="e">
        <f>'ADJ SUMMARY'!#REF!</f>
        <v>#REF!</v>
      </c>
    </row>
    <row r="129" spans="1:9" hidden="1">
      <c r="A129" s="405" t="e">
        <f>'ADJ SUMMARY'!#REF!</f>
        <v>#REF!</v>
      </c>
      <c r="B129" s="86" t="e">
        <f>'ADJ SUMMARY'!#REF!</f>
        <v>#REF!</v>
      </c>
      <c r="C129" s="67"/>
      <c r="D129" s="67"/>
      <c r="E129" s="71"/>
      <c r="F129" s="126" t="e">
        <f>'ADJ SUMMARY'!#REF!</f>
        <v>#REF!</v>
      </c>
    </row>
    <row r="130" spans="1:9" hidden="1">
      <c r="A130" s="405" t="e">
        <f>'ADJ SUMMARY'!#REF!</f>
        <v>#REF!</v>
      </c>
      <c r="B130" s="86" t="e">
        <f>'ADJ SUMMARY'!#REF!</f>
        <v>#REF!</v>
      </c>
      <c r="C130" s="67"/>
      <c r="D130" s="67"/>
      <c r="E130" s="71"/>
      <c r="F130" s="126" t="e">
        <f>'ADJ SUMMARY'!#REF!</f>
        <v>#REF!</v>
      </c>
    </row>
    <row r="131" spans="1:9" hidden="1">
      <c r="A131" s="405" t="e">
        <f>'ADJ SUMMARY'!#REF!</f>
        <v>#REF!</v>
      </c>
      <c r="B131" s="86" t="e">
        <f>'ADJ SUMMARY'!#REF!</f>
        <v>#REF!</v>
      </c>
      <c r="C131" s="67"/>
      <c r="D131" s="67"/>
      <c r="E131" s="71"/>
      <c r="F131" s="126" t="e">
        <f>'ADJ SUMMARY'!#REF!</f>
        <v>#REF!</v>
      </c>
    </row>
    <row r="132" spans="1:9" ht="13.5" hidden="1" customHeight="1">
      <c r="A132" s="405" t="e">
        <f>'ADJ SUMMARY'!#REF!</f>
        <v>#REF!</v>
      </c>
      <c r="B132" s="86" t="e">
        <f>'ADJ SUMMARY'!#REF!</f>
        <v>#REF!</v>
      </c>
      <c r="C132" s="67"/>
      <c r="D132" s="67"/>
      <c r="E132" s="71"/>
      <c r="F132" s="126" t="e">
        <f>'ADJ SUMMARY'!#REF!</f>
        <v>#REF!</v>
      </c>
    </row>
    <row r="133" spans="1:9" ht="0.75" hidden="1" customHeight="1">
      <c r="A133" s="405" t="e">
        <f>'ADJ SUMMARY'!#REF!</f>
        <v>#REF!</v>
      </c>
      <c r="B133" s="86" t="e">
        <f>'ADJ SUMMARY'!#REF!</f>
        <v>#REF!</v>
      </c>
      <c r="C133" s="67"/>
      <c r="D133" s="67"/>
      <c r="E133" s="71"/>
      <c r="F133" s="126" t="e">
        <f>'ADJ SUMMARY'!#REF!</f>
        <v>#REF!</v>
      </c>
    </row>
    <row r="134" spans="1:9" ht="13.5" hidden="1" customHeight="1">
      <c r="B134" s="86" t="s">
        <v>184</v>
      </c>
      <c r="C134" s="67"/>
      <c r="D134" s="67"/>
      <c r="E134" s="71"/>
      <c r="F134" s="72" t="e">
        <f>SUM(F96:F133)</f>
        <v>#REF!</v>
      </c>
    </row>
    <row r="135" spans="1:9" hidden="1">
      <c r="C135" s="67"/>
      <c r="D135" s="67"/>
      <c r="E135" s="67"/>
      <c r="F135" s="64"/>
      <c r="G135" s="140"/>
    </row>
    <row r="136" spans="1:9" hidden="1">
      <c r="B136" s="86" t="str">
        <f>B57</f>
        <v>Weighted Average Cost of Debt</v>
      </c>
      <c r="C136" s="83"/>
      <c r="D136" s="83"/>
      <c r="E136" s="84"/>
      <c r="F136" s="167" t="e">
        <f>'Exh. No. BGM-13R -5'!#REF!</f>
        <v>#REF!</v>
      </c>
      <c r="H136" s="168" t="s">
        <v>231</v>
      </c>
      <c r="I136" s="92"/>
    </row>
    <row r="137" spans="1:9" hidden="1">
      <c r="C137" s="67"/>
      <c r="D137" s="67"/>
      <c r="F137" s="64"/>
    </row>
    <row r="138" spans="1:9" hidden="1">
      <c r="B138" s="86" t="s">
        <v>145</v>
      </c>
      <c r="C138" s="67"/>
      <c r="D138" s="67"/>
      <c r="E138" s="71"/>
      <c r="F138" s="71" t="e">
        <f>F134*F136</f>
        <v>#REF!</v>
      </c>
    </row>
    <row r="139" spans="1:9" hidden="1">
      <c r="C139" s="67"/>
      <c r="D139" s="67"/>
      <c r="E139" s="67"/>
      <c r="F139" s="64"/>
    </row>
    <row r="140" spans="1:9" hidden="1">
      <c r="B140" s="86" t="s">
        <v>235</v>
      </c>
      <c r="C140" s="67"/>
      <c r="D140" s="67"/>
      <c r="F140" s="147">
        <v>21469</v>
      </c>
      <c r="H140" s="152" t="s">
        <v>238</v>
      </c>
    </row>
    <row r="141" spans="1:9" hidden="1">
      <c r="C141" s="67"/>
      <c r="D141" s="67"/>
      <c r="E141" s="67"/>
      <c r="F141" s="64"/>
    </row>
    <row r="142" spans="1:9" hidden="1">
      <c r="B142" s="86" t="s">
        <v>147</v>
      </c>
      <c r="C142" s="67"/>
      <c r="D142" s="67"/>
      <c r="E142" s="71"/>
      <c r="F142" s="71" t="e">
        <f>F138-F140</f>
        <v>#REF!</v>
      </c>
    </row>
    <row r="143" spans="1:9" hidden="1">
      <c r="B143" s="86" t="s">
        <v>148</v>
      </c>
      <c r="D143" s="67"/>
      <c r="E143" s="74"/>
      <c r="F143" s="75">
        <v>0.35</v>
      </c>
    </row>
    <row r="144" spans="1:9" hidden="1">
      <c r="D144" s="67"/>
      <c r="E144" s="67"/>
      <c r="F144" s="64"/>
    </row>
    <row r="145" spans="1:7" hidden="1">
      <c r="B145" s="86" t="s">
        <v>149</v>
      </c>
      <c r="D145" s="67"/>
      <c r="E145" s="71"/>
      <c r="F145" s="71" t="e">
        <f>F142*-F143</f>
        <v>#REF!</v>
      </c>
      <c r="G145" s="71"/>
    </row>
    <row r="146" spans="1:7" ht="13.5" hidden="1" thickTop="1">
      <c r="D146" s="67"/>
      <c r="E146" s="71"/>
      <c r="F146" s="85"/>
    </row>
    <row r="147" spans="1:7" hidden="1">
      <c r="A147" s="410"/>
      <c r="F147" s="64"/>
    </row>
    <row r="148" spans="1:7" hidden="1">
      <c r="A148" s="410"/>
      <c r="B148" s="412" t="s">
        <v>146</v>
      </c>
      <c r="F148" s="64"/>
    </row>
    <row r="149" spans="1:7" hidden="1">
      <c r="A149" s="410"/>
      <c r="B149" s="86" t="s">
        <v>150</v>
      </c>
      <c r="C149" s="71">
        <f>C71</f>
        <v>2430</v>
      </c>
      <c r="F149" s="64"/>
    </row>
    <row r="150" spans="1:7" hidden="1">
      <c r="A150" s="410"/>
      <c r="B150" s="86" t="s">
        <v>151</v>
      </c>
      <c r="C150" s="64">
        <f>C72</f>
        <v>2935</v>
      </c>
      <c r="F150" s="64"/>
    </row>
    <row r="151" spans="1:7" hidden="1">
      <c r="A151" s="410"/>
      <c r="B151" s="86" t="s">
        <v>152</v>
      </c>
      <c r="C151" s="72">
        <f>C149+C150</f>
        <v>5365</v>
      </c>
      <c r="F151" s="64"/>
    </row>
    <row r="152" spans="1:7" hidden="1">
      <c r="A152" s="410"/>
      <c r="C152" s="71"/>
      <c r="F152" s="64"/>
    </row>
    <row r="153" spans="1:7" hidden="1">
      <c r="A153" s="410"/>
      <c r="C153" s="76"/>
      <c r="D153" s="68"/>
      <c r="E153" s="68" t="s">
        <v>153</v>
      </c>
      <c r="F153" s="64"/>
    </row>
    <row r="154" spans="1:7" hidden="1">
      <c r="A154" s="410"/>
      <c r="C154" s="70" t="s">
        <v>122</v>
      </c>
      <c r="D154" s="70" t="s">
        <v>154</v>
      </c>
      <c r="E154" s="70" t="s">
        <v>28</v>
      </c>
      <c r="F154" s="64"/>
    </row>
    <row r="155" spans="1:7" hidden="1">
      <c r="A155" s="410"/>
      <c r="B155" s="86" t="s">
        <v>155</v>
      </c>
      <c r="C155" s="71" t="e">
        <f>$C$77</f>
        <v>#REF!</v>
      </c>
      <c r="D155" s="73" t="e">
        <f>C155/C158</f>
        <v>#REF!</v>
      </c>
      <c r="E155" s="71" t="e">
        <f>D155*E158</f>
        <v>#REF!</v>
      </c>
      <c r="F155" s="64"/>
    </row>
    <row r="156" spans="1:7" hidden="1">
      <c r="A156" s="410"/>
      <c r="B156" s="86" t="s">
        <v>156</v>
      </c>
      <c r="C156" s="64" t="e">
        <f>$C$78</f>
        <v>#REF!</v>
      </c>
      <c r="D156" s="82" t="e">
        <f>C156/C158</f>
        <v>#REF!</v>
      </c>
      <c r="E156" s="77" t="e">
        <f>D156*E158</f>
        <v>#REF!</v>
      </c>
      <c r="F156" s="64"/>
    </row>
    <row r="157" spans="1:7" hidden="1">
      <c r="A157" s="410"/>
      <c r="B157" s="86" t="s">
        <v>157</v>
      </c>
      <c r="C157" s="64" t="e">
        <f>$C$79</f>
        <v>#REF!</v>
      </c>
      <c r="D157" s="82" t="e">
        <f>C157/C158</f>
        <v>#REF!</v>
      </c>
      <c r="E157" s="77" t="e">
        <f>E158*D157</f>
        <v>#REF!</v>
      </c>
      <c r="F157" s="64"/>
    </row>
    <row r="158" spans="1:7" hidden="1">
      <c r="A158" s="410"/>
      <c r="B158" s="86" t="s">
        <v>158</v>
      </c>
      <c r="C158" s="72" t="e">
        <f>C155+C156+C157</f>
        <v>#REF!</v>
      </c>
      <c r="D158" s="78" t="e">
        <f>D155+D156+D157</f>
        <v>#REF!</v>
      </c>
      <c r="E158" s="72">
        <f>C151</f>
        <v>5365</v>
      </c>
      <c r="F158" s="64"/>
    </row>
    <row r="159" spans="1:7" hidden="1">
      <c r="A159" s="410"/>
      <c r="F159" s="64"/>
    </row>
    <row r="160" spans="1:7" hidden="1">
      <c r="A160" s="410"/>
      <c r="B160" s="86" t="s">
        <v>159</v>
      </c>
      <c r="C160" s="71" t="e">
        <f>$C$82</f>
        <v>#REF!</v>
      </c>
      <c r="D160" s="73" t="e">
        <f>C160/C162</f>
        <v>#REF!</v>
      </c>
      <c r="E160" s="71" t="e">
        <f>D160*E162</f>
        <v>#REF!</v>
      </c>
      <c r="F160" s="64"/>
    </row>
    <row r="161" spans="1:8" hidden="1">
      <c r="A161" s="410"/>
      <c r="B161" s="86" t="s">
        <v>160</v>
      </c>
      <c r="C161" s="64" t="e">
        <f>$C$83</f>
        <v>#REF!</v>
      </c>
      <c r="D161" s="73" t="e">
        <f>C161/C162</f>
        <v>#REF!</v>
      </c>
      <c r="E161" s="64" t="e">
        <f>D161*E162</f>
        <v>#REF!</v>
      </c>
      <c r="F161" s="64"/>
    </row>
    <row r="162" spans="1:8" hidden="1">
      <c r="A162" s="410"/>
      <c r="B162" s="86" t="s">
        <v>158</v>
      </c>
      <c r="C162" s="72" t="e">
        <f>C160+C161</f>
        <v>#REF!</v>
      </c>
      <c r="D162" s="78" t="e">
        <f>D160+D161</f>
        <v>#REF!</v>
      </c>
      <c r="E162" s="72" t="e">
        <f>E155</f>
        <v>#REF!</v>
      </c>
      <c r="F162" s="64"/>
    </row>
    <row r="163" spans="1:8" hidden="1">
      <c r="A163" s="410"/>
      <c r="F163" s="64"/>
    </row>
    <row r="164" spans="1:8" hidden="1">
      <c r="A164" s="410"/>
      <c r="B164" s="86" t="s">
        <v>161</v>
      </c>
      <c r="C164" s="71" t="e">
        <f>$C$86</f>
        <v>#REF!</v>
      </c>
      <c r="D164" s="79" t="e">
        <f>C164/C166</f>
        <v>#REF!</v>
      </c>
      <c r="E164" s="71" t="e">
        <f>E166*D164</f>
        <v>#REF!</v>
      </c>
      <c r="F164" s="64"/>
    </row>
    <row r="165" spans="1:8" hidden="1">
      <c r="A165" s="410"/>
      <c r="B165" s="86" t="s">
        <v>162</v>
      </c>
      <c r="C165" s="64" t="e">
        <f>C$87</f>
        <v>#REF!</v>
      </c>
      <c r="D165" s="80" t="e">
        <f>C165/C166</f>
        <v>#REF!</v>
      </c>
      <c r="E165" s="64" t="e">
        <f>E166*D165</f>
        <v>#REF!</v>
      </c>
      <c r="F165" s="64"/>
    </row>
    <row r="166" spans="1:8" hidden="1">
      <c r="A166" s="410"/>
      <c r="B166" s="86" t="s">
        <v>158</v>
      </c>
      <c r="C166" s="72" t="e">
        <f>SUM(C164:C165)</f>
        <v>#REF!</v>
      </c>
      <c r="D166" s="81" t="e">
        <f>SUM(D164:D165)</f>
        <v>#REF!</v>
      </c>
      <c r="E166" s="72" t="e">
        <f>E156</f>
        <v>#REF!</v>
      </c>
      <c r="F166" s="64"/>
    </row>
    <row r="169" spans="1:8">
      <c r="F169" s="812">
        <f>+F55-'[3]DEBT CALC'!F55</f>
        <v>-92343</v>
      </c>
      <c r="G169" s="812">
        <f>+G55-'[3]DEBT CALC'!G55</f>
        <v>-92343</v>
      </c>
      <c r="H169" s="812">
        <f>+H55-'[3]DEBT CALC'!H55</f>
        <v>0</v>
      </c>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oddFooter>&amp;Lfile:  &amp;f&amp;Rkm &amp;d</oddFooter>
  </headerFooter>
  <rowBreaks count="1" manualBreakCount="1">
    <brk id="88" max="16383" man="1"/>
  </rowBreaks>
  <colBreaks count="1" manualBreakCount="1">
    <brk id="9" max="6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2"/>
  <sheetViews>
    <sheetView view="pageBreakPreview" zoomScale="90" zoomScaleNormal="100" zoomScaleSheetLayoutView="90" workbookViewId="0">
      <pane xSplit="4" ySplit="10" topLeftCell="AO11" activePane="bottomRight" state="frozen"/>
      <selection activeCell="D42" sqref="D42"/>
      <selection pane="topRight" activeCell="D42" sqref="D42"/>
      <selection pane="bottomLeft" activeCell="D42" sqref="D42"/>
      <selection pane="bottomRight" activeCell="AV42" sqref="AV42"/>
    </sheetView>
  </sheetViews>
  <sheetFormatPr defaultColWidth="10.7109375" defaultRowHeight="12"/>
  <cols>
    <col min="1" max="1" width="4.7109375" style="3" customWidth="1"/>
    <col min="2" max="3" width="1.7109375" style="2" customWidth="1"/>
    <col min="4" max="4" width="33.7109375" style="2" customWidth="1"/>
    <col min="5" max="5" width="13.5703125" style="265" bestFit="1" customWidth="1"/>
    <col min="6" max="8" width="14.140625" style="264" bestFit="1" customWidth="1"/>
    <col min="9" max="9" width="14.140625" style="601" bestFit="1" customWidth="1"/>
    <col min="10" max="20" width="14.140625" style="264" bestFit="1" customWidth="1"/>
    <col min="21" max="21" width="22.7109375" style="264" customWidth="1"/>
    <col min="22" max="40" width="14.140625" style="264" bestFit="1" customWidth="1"/>
    <col min="41" max="41" width="14.140625" style="601" bestFit="1" customWidth="1"/>
    <col min="42" max="42" width="17.28515625" style="601" customWidth="1"/>
    <col min="43" max="45" width="14.140625" style="601" bestFit="1" customWidth="1"/>
    <col min="46" max="46" width="14.140625" style="264" bestFit="1" customWidth="1"/>
    <col min="47" max="49" width="14.140625" style="601" bestFit="1" customWidth="1"/>
    <col min="50" max="50" width="17.85546875" style="601" customWidth="1"/>
    <col min="51" max="51" width="18.140625" style="601" customWidth="1"/>
    <col min="52" max="54" width="14.140625" style="601" bestFit="1" customWidth="1"/>
    <col min="55" max="16384" width="10.7109375" style="2"/>
  </cols>
  <sheetData>
    <row r="1" spans="1:54">
      <c r="E1" s="314" t="s">
        <v>279</v>
      </c>
      <c r="F1" s="265" t="s">
        <v>285</v>
      </c>
      <c r="G1" s="265" t="s">
        <v>285</v>
      </c>
      <c r="H1" s="265" t="s">
        <v>285</v>
      </c>
      <c r="I1" s="602" t="s">
        <v>285</v>
      </c>
      <c r="J1" s="265" t="s">
        <v>285</v>
      </c>
      <c r="K1" s="265" t="s">
        <v>285</v>
      </c>
      <c r="L1" s="265" t="s">
        <v>285</v>
      </c>
      <c r="M1" s="265" t="s">
        <v>285</v>
      </c>
      <c r="N1" s="265" t="s">
        <v>285</v>
      </c>
      <c r="O1" s="265" t="s">
        <v>285</v>
      </c>
      <c r="P1" s="265" t="s">
        <v>285</v>
      </c>
      <c r="Q1" s="265" t="s">
        <v>285</v>
      </c>
      <c r="R1" s="265" t="s">
        <v>285</v>
      </c>
      <c r="S1" s="265" t="s">
        <v>285</v>
      </c>
      <c r="T1" s="265" t="s">
        <v>285</v>
      </c>
      <c r="U1" s="265" t="s">
        <v>285</v>
      </c>
      <c r="V1" s="265" t="s">
        <v>285</v>
      </c>
      <c r="W1" s="265" t="s">
        <v>285</v>
      </c>
      <c r="X1" s="265" t="s">
        <v>285</v>
      </c>
      <c r="Y1" s="265" t="s">
        <v>285</v>
      </c>
      <c r="Z1" s="265" t="s">
        <v>285</v>
      </c>
      <c r="AA1" s="265" t="s">
        <v>285</v>
      </c>
      <c r="AB1" s="265" t="s">
        <v>285</v>
      </c>
      <c r="AC1" s="265" t="s">
        <v>285</v>
      </c>
      <c r="AD1" s="265" t="s">
        <v>285</v>
      </c>
      <c r="AE1" s="265" t="s">
        <v>285</v>
      </c>
      <c r="AF1" s="265" t="s">
        <v>285</v>
      </c>
      <c r="AG1" s="265" t="s">
        <v>285</v>
      </c>
      <c r="AH1" s="265" t="s">
        <v>285</v>
      </c>
      <c r="AI1" s="265" t="s">
        <v>285</v>
      </c>
      <c r="AJ1" s="265" t="s">
        <v>285</v>
      </c>
      <c r="AK1" s="265" t="s">
        <v>285</v>
      </c>
      <c r="AL1" s="265" t="s">
        <v>285</v>
      </c>
      <c r="AM1" s="265" t="s">
        <v>285</v>
      </c>
      <c r="AN1" s="265" t="s">
        <v>285</v>
      </c>
      <c r="AO1" s="602" t="s">
        <v>285</v>
      </c>
      <c r="AP1" s="602" t="s">
        <v>285</v>
      </c>
      <c r="AQ1" s="602" t="s">
        <v>285</v>
      </c>
      <c r="AR1" s="602" t="s">
        <v>285</v>
      </c>
      <c r="AS1" s="602" t="s">
        <v>285</v>
      </c>
      <c r="AT1" s="265" t="s">
        <v>285</v>
      </c>
      <c r="AU1" s="602" t="s">
        <v>285</v>
      </c>
      <c r="AV1" s="602" t="s">
        <v>285</v>
      </c>
      <c r="AW1" s="602" t="s">
        <v>285</v>
      </c>
      <c r="AX1" s="602" t="s">
        <v>285</v>
      </c>
      <c r="AY1" s="602" t="s">
        <v>285</v>
      </c>
      <c r="AZ1" s="602" t="s">
        <v>285</v>
      </c>
      <c r="BA1" s="602" t="s">
        <v>285</v>
      </c>
      <c r="BB1" s="602" t="s">
        <v>285</v>
      </c>
    </row>
    <row r="2" spans="1:54" ht="5.25" customHeight="1">
      <c r="D2" s="3"/>
      <c r="E2" s="263"/>
    </row>
    <row r="3" spans="1:54">
      <c r="A3" s="1" t="str">
        <f>'Exh. No. BGM-13R -3'!A2</f>
        <v>Traditional Revenue Requirement Calculations for Avista Corporation</v>
      </c>
      <c r="D3" s="3"/>
      <c r="E3" s="2"/>
      <c r="F3" s="267"/>
      <c r="G3" s="267"/>
      <c r="H3" s="267"/>
      <c r="I3" s="604"/>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604"/>
      <c r="AP3" s="604"/>
      <c r="AQ3" s="604"/>
      <c r="AR3" s="604"/>
      <c r="AS3" s="604"/>
      <c r="AT3" s="267"/>
      <c r="AU3" s="604"/>
      <c r="AV3" s="604"/>
      <c r="AW3" s="604"/>
      <c r="AX3" s="604"/>
      <c r="AY3" s="604"/>
      <c r="AZ3" s="604"/>
      <c r="BA3" s="604"/>
      <c r="BB3" s="604"/>
    </row>
    <row r="4" spans="1:54">
      <c r="A4" s="1" t="str">
        <f>'Exh. No. BGM-13R -3'!A3</f>
        <v>Washington Electric Pro Forma Revenue Requirement</v>
      </c>
      <c r="D4" s="3"/>
      <c r="F4" s="266"/>
      <c r="G4" s="266"/>
      <c r="H4" s="266"/>
      <c r="I4" s="603"/>
      <c r="J4" s="266"/>
      <c r="K4" s="266"/>
      <c r="L4" s="266"/>
      <c r="M4" s="266"/>
      <c r="N4" s="266"/>
      <c r="O4" s="266"/>
      <c r="P4" s="266"/>
      <c r="Q4" s="266"/>
      <c r="R4" s="266"/>
      <c r="S4" s="266"/>
      <c r="T4" s="266"/>
      <c r="U4" s="266"/>
      <c r="V4" s="266"/>
      <c r="W4" s="266"/>
      <c r="X4" s="266"/>
      <c r="Y4" s="266"/>
      <c r="Z4" s="266"/>
      <c r="AA4" s="266"/>
      <c r="AB4" s="266"/>
      <c r="AC4" s="266"/>
      <c r="AD4" s="266"/>
      <c r="AE4" s="266"/>
      <c r="AF4" s="600"/>
      <c r="AG4" s="266"/>
      <c r="AH4" s="266"/>
      <c r="AI4" s="266"/>
      <c r="AJ4" s="266"/>
      <c r="AK4" s="266"/>
      <c r="AL4" s="266"/>
      <c r="AM4" s="266"/>
      <c r="AN4" s="266"/>
      <c r="AO4" s="603"/>
      <c r="AP4" s="603"/>
      <c r="AQ4" s="603"/>
      <c r="AR4" s="603"/>
      <c r="AS4" s="603"/>
      <c r="AT4" s="266"/>
      <c r="AU4" s="603"/>
      <c r="AV4" s="603"/>
      <c r="AW4" s="603"/>
      <c r="AX4" s="603"/>
      <c r="AY4" s="603"/>
      <c r="AZ4" s="603"/>
      <c r="BA4" s="603"/>
      <c r="BB4" s="603"/>
    </row>
    <row r="5" spans="1:54">
      <c r="A5" s="1" t="str">
        <f>'Exh. No. BGM-13R -3'!A5</f>
        <v>Twelve Months Ended September 31, 2015</v>
      </c>
      <c r="D5" s="3"/>
    </row>
    <row r="6" spans="1:54" s="5" customFormat="1">
      <c r="A6" s="1" t="str">
        <f>'Exh. No. BGM-13R -3'!A6</f>
        <v xml:space="preserve">($000)   </v>
      </c>
      <c r="D6" s="4"/>
      <c r="E6" s="268"/>
      <c r="F6" s="269"/>
      <c r="G6" s="269"/>
      <c r="H6" s="269"/>
      <c r="I6" s="606"/>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606"/>
      <c r="AP6" s="606"/>
      <c r="AQ6" s="606"/>
      <c r="AR6" s="606"/>
      <c r="AS6" s="606"/>
      <c r="AT6" s="269"/>
      <c r="AU6" s="606"/>
      <c r="AV6" s="606"/>
      <c r="AW6" s="606"/>
      <c r="AX6" s="606"/>
      <c r="AY6" s="606"/>
      <c r="AZ6" s="606"/>
      <c r="BA6" s="606"/>
      <c r="BB6" s="606"/>
    </row>
    <row r="7" spans="1:54" s="5" customFormat="1" ht="12" customHeight="1">
      <c r="A7" s="424"/>
      <c r="B7" s="12"/>
      <c r="C7" s="12"/>
      <c r="D7" s="12"/>
      <c r="F7" s="426" t="str">
        <f>'Exh. No. BGM-13R -3'!F8</f>
        <v xml:space="preserve">Deferred </v>
      </c>
      <c r="G7" s="426" t="str">
        <f>'Exh. No. BGM-13R -3'!G8</f>
        <v xml:space="preserve">Deferred </v>
      </c>
      <c r="H7" s="426" t="str">
        <f>'Exh. No. BGM-13R -3'!H8</f>
        <v>Working</v>
      </c>
      <c r="I7" s="639" t="str">
        <f>'Exh. No. BGM-13R -3'!I8</f>
        <v>Plant Held</v>
      </c>
      <c r="J7" s="426" t="str">
        <f>'Exh. No. BGM-13R -3'!J8</f>
        <v>Eliminate</v>
      </c>
      <c r="K7" s="426" t="str">
        <f>'Exh. No. BGM-13R -3'!K8</f>
        <v>Restate</v>
      </c>
      <c r="L7" s="426" t="str">
        <f>'Exh. No. BGM-13R -3'!L8</f>
        <v>Uncollect.</v>
      </c>
      <c r="M7" s="426" t="str">
        <f>'Exh. No. BGM-13R -3'!M8</f>
        <v>Regulatory</v>
      </c>
      <c r="N7" s="426" t="str">
        <f>'Exh. No. BGM-13R -3'!N8</f>
        <v>Injuries</v>
      </c>
      <c r="O7" s="426" t="str">
        <f>'Exh. No. BGM-13R -3'!O8</f>
        <v>FIT/DFIT/</v>
      </c>
      <c r="P7" s="426" t="str">
        <f>'Exh. No. BGM-13R -3'!P8</f>
        <v>Office Space</v>
      </c>
      <c r="Q7" s="426" t="str">
        <f>'Exh. No. BGM-13R -3'!Q8</f>
        <v>Restate</v>
      </c>
      <c r="R7" s="426" t="str">
        <f>'Exh. No. BGM-13R -3'!R8</f>
        <v>Net</v>
      </c>
      <c r="S7" s="426" t="str">
        <f>'Exh. No. BGM-13R -3'!S8</f>
        <v xml:space="preserve">Weather </v>
      </c>
      <c r="T7" s="426" t="str">
        <f>'Exh. No. BGM-13R -3'!T8</f>
        <v>Eliminate</v>
      </c>
      <c r="U7" s="426" t="str">
        <f>'Exh. No. BGM-13R -3'!U8</f>
        <v>Misc. Restating</v>
      </c>
      <c r="V7" s="426" t="str">
        <f>'Exh. No. BGM-13R -3'!V8</f>
        <v>Eliminate</v>
      </c>
      <c r="W7" s="426" t="str">
        <f>'Exh. No. BGM-13R -3'!W8</f>
        <v>Nez Perce</v>
      </c>
      <c r="X7" s="426" t="str">
        <f>'Exh. No. BGM-13R -3'!X8</f>
        <v>Restate</v>
      </c>
      <c r="Y7" s="426" t="str">
        <f>'Exh. No. BGM-13R -3'!Y8</f>
        <v>Restate</v>
      </c>
      <c r="Z7" s="426" t="str">
        <f>'Exh. No. BGM-13R -3'!AC8</f>
        <v xml:space="preserve">Pro Forma </v>
      </c>
      <c r="AA7" s="426" t="str">
        <f>'Exh. No. BGM-13R -3'!AD8</f>
        <v xml:space="preserve">Pro Forma </v>
      </c>
      <c r="AB7" s="426" t="str">
        <f>'Exh. No. BGM-13R -3'!AE8</f>
        <v xml:space="preserve">Pro Forma </v>
      </c>
      <c r="AC7" s="426" t="str">
        <f>'Exh. No. BGM-13R -3'!AF8</f>
        <v xml:space="preserve">Pro Forma </v>
      </c>
      <c r="AD7" s="426" t="str">
        <f>'Exh. No. BGM-13R -3'!AG8</f>
        <v xml:space="preserve">Pro Forma </v>
      </c>
      <c r="AE7" s="426" t="str">
        <f>'Exh. No. BGM-13R -3'!AH8</f>
        <v xml:space="preserve">Pro Forma </v>
      </c>
      <c r="AF7" s="426" t="str">
        <f>'Exh. No. BGM-13R -3'!AI8</f>
        <v xml:space="preserve">Pro Forma </v>
      </c>
      <c r="AG7" s="426" t="str">
        <f>'Exh. No. BGM-13R -3'!AJ8</f>
        <v xml:space="preserve">Pro Forma  </v>
      </c>
      <c r="AH7" s="426" t="str">
        <f>'Exh. No. BGM-13R -3'!AK8</f>
        <v>Pro Forma</v>
      </c>
      <c r="AI7" s="426" t="str">
        <f>'Exh. No. BGM-13R -3'!AL8</f>
        <v xml:space="preserve">Pro Forma </v>
      </c>
      <c r="AJ7" s="426" t="str">
        <f>'Exh. No. BGM-13R -3'!AM8</f>
        <v xml:space="preserve">Pro Forma </v>
      </c>
      <c r="AK7" s="426" t="str">
        <f>'Exh. No. BGM-13R -3'!AN8</f>
        <v xml:space="preserve">Pro Forma </v>
      </c>
      <c r="AL7" s="426" t="str">
        <f>'Exh. No. BGM-13R -3'!AO8</f>
        <v>PF Major Maint</v>
      </c>
      <c r="AM7" s="426" t="str">
        <f>'Exh. No. BGM-13R -3'!AQ8</f>
        <v xml:space="preserve">Cross Check  </v>
      </c>
      <c r="AN7" s="426" t="str">
        <f>'Exh. No. BGM-13R -3'!AR8</f>
        <v xml:space="preserve">Cross Check  </v>
      </c>
      <c r="AO7" s="639" t="str">
        <f>'Exh. No. BGM-13R -3'!AS8</f>
        <v xml:space="preserve">Cross Check  </v>
      </c>
      <c r="AP7" s="639" t="str">
        <f>'Exh. No. BGM-13R -3'!AT8</f>
        <v xml:space="preserve">Cross Check  </v>
      </c>
      <c r="AQ7" s="639" t="str">
        <f>'Exh. No. BGM-13R -3'!AU8</f>
        <v xml:space="preserve">Cross Check  </v>
      </c>
      <c r="AR7" s="639" t="str">
        <f>'Exh. No. BGM-13R -3'!AV8</f>
        <v xml:space="preserve">Cross Check  </v>
      </c>
      <c r="AS7" s="639" t="str">
        <f>'Exh. No. BGM-13R -3'!AW8</f>
        <v xml:space="preserve">Cross Check  </v>
      </c>
      <c r="AT7" s="426" t="str">
        <f>'Exh. No. BGM-13R -3'!AY8</f>
        <v>Reconcile 2017</v>
      </c>
      <c r="AU7" s="639" t="str">
        <f>'Exh. No. BGM-13R -3'!BE8</f>
        <v xml:space="preserve">Cross Check  </v>
      </c>
      <c r="AV7" s="639" t="str">
        <f>'Exh. No. BGM-13R -3'!BF8</f>
        <v xml:space="preserve">Cross Check  </v>
      </c>
      <c r="AW7" s="639" t="str">
        <f>'Exh. No. BGM-13R -3'!BG8</f>
        <v xml:space="preserve">Cross Check  </v>
      </c>
      <c r="AX7" s="639" t="str">
        <f>'Exh. No. BGM-13R -3'!BH8</f>
        <v xml:space="preserve">Cross Check  </v>
      </c>
      <c r="AY7" s="639" t="str">
        <f>'Exh. No. BGM-13R -3'!BI8</f>
        <v xml:space="preserve">Cross Check  </v>
      </c>
      <c r="AZ7" s="639" t="str">
        <f>'Exh. No. BGM-13R -3'!BJ8</f>
        <v xml:space="preserve">Cross Check  </v>
      </c>
      <c r="BA7" s="639" t="str">
        <f>'Exh. No. BGM-13R -3'!BK8</f>
        <v xml:space="preserve">Cross Check  </v>
      </c>
      <c r="BB7" s="639" t="str">
        <f>'Exh. No. BGM-13R -3'!BM8</f>
        <v>Reconcile 2018</v>
      </c>
    </row>
    <row r="8" spans="1:54" s="5" customFormat="1">
      <c r="A8" s="424" t="str">
        <f>'Exh. No. BGM-13R -3'!A9</f>
        <v>Line</v>
      </c>
      <c r="B8" s="12"/>
      <c r="C8" s="12"/>
      <c r="D8" s="12"/>
      <c r="E8" s="425" t="s">
        <v>273</v>
      </c>
      <c r="F8" s="426" t="str">
        <f>'Exh. No. BGM-13R -3'!F9</f>
        <v>FIT</v>
      </c>
      <c r="G8" s="426" t="str">
        <f>'Exh. No. BGM-13R -3'!G9</f>
        <v xml:space="preserve">Debits and </v>
      </c>
      <c r="H8" s="426" t="str">
        <f>'Exh. No. BGM-13R -3'!H9</f>
        <v>Capital</v>
      </c>
      <c r="I8" s="639" t="str">
        <f>'Exh. No. BGM-13R -3'!I9</f>
        <v>For Future</v>
      </c>
      <c r="J8" s="426" t="str">
        <f>'Exh. No. BGM-13R -3'!J9</f>
        <v>B &amp; O</v>
      </c>
      <c r="K8" s="426" t="str">
        <f>'Exh. No. BGM-13R -3'!K9</f>
        <v>Property</v>
      </c>
      <c r="L8" s="426" t="str">
        <f>'Exh. No. BGM-13R -3'!L9</f>
        <v>Expense</v>
      </c>
      <c r="M8" s="426" t="str">
        <f>'Exh. No. BGM-13R -3'!M9</f>
        <v>Expense</v>
      </c>
      <c r="N8" s="426" t="str">
        <f>'Exh. No. BGM-13R -3'!N9</f>
        <v xml:space="preserve">and </v>
      </c>
      <c r="O8" s="426" t="str">
        <f>'Exh. No. BGM-13R -3'!O9</f>
        <v>ITC/PTC</v>
      </c>
      <c r="P8" s="426" t="str">
        <f>'Exh. No. BGM-13R -3'!P9</f>
        <v>Charges to</v>
      </c>
      <c r="Q8" s="426" t="str">
        <f>'Exh. No. BGM-13R -3'!Q9</f>
        <v>Excise</v>
      </c>
      <c r="R8" s="426" t="str">
        <f>'Exh. No. BGM-13R -3'!R9</f>
        <v xml:space="preserve">Gains / </v>
      </c>
      <c r="S8" s="426" t="str">
        <f>'Exh. No. BGM-13R -3'!S9</f>
        <v>Normalization</v>
      </c>
      <c r="T8" s="426" t="str">
        <f>'Exh. No. BGM-13R -3'!T9</f>
        <v>Adder</v>
      </c>
      <c r="U8" s="426" t="str">
        <f>'Exh. No. BGM-13R -3'!U9</f>
        <v>Non-Util / Non-Recurring</v>
      </c>
      <c r="V8" s="426" t="str">
        <f>'Exh. No. BGM-13R -3'!V9</f>
        <v>WA Power</v>
      </c>
      <c r="W8" s="426" t="str">
        <f>'Exh. No. BGM-13R -3'!W9</f>
        <v>Settlement</v>
      </c>
      <c r="X8" s="426" t="str">
        <f>'Exh. No. BGM-13R -3'!X9</f>
        <v>Debt</v>
      </c>
      <c r="Y8" s="426" t="str">
        <f>'Exh. No. BGM-13R -3'!Y9</f>
        <v>Incentive</v>
      </c>
      <c r="Z8" s="426" t="str">
        <f>'Exh. No. BGM-13R -3'!AC9</f>
        <v>Power</v>
      </c>
      <c r="AA8" s="426" t="str">
        <f>'Exh. No. BGM-13R -3'!AD9</f>
        <v>Transmission</v>
      </c>
      <c r="AB8" s="426" t="str">
        <f>'Exh. No. BGM-13R -3'!AE9</f>
        <v>Labor</v>
      </c>
      <c r="AC8" s="426" t="str">
        <f>'Exh. No. BGM-13R -3'!AF9</f>
        <v>Labor</v>
      </c>
      <c r="AD8" s="426" t="str">
        <f>'Exh. No. BGM-13R -3'!AG9</f>
        <v xml:space="preserve">Employee </v>
      </c>
      <c r="AE8" s="426" t="str">
        <f>'Exh. No. BGM-13R -3'!AH9</f>
        <v xml:space="preserve">Regulatory </v>
      </c>
      <c r="AF8" s="426" t="str">
        <f>'Exh. No. BGM-13R -3'!AI9</f>
        <v>Property</v>
      </c>
      <c r="AG8" s="426" t="str">
        <f>'Exh. No. BGM-13R -3'!AJ9</f>
        <v>Meter Deferral</v>
      </c>
      <c r="AH8" s="426" t="str">
        <f>'Exh. No. BGM-13R -3'!AK9</f>
        <v xml:space="preserve">Revenue </v>
      </c>
      <c r="AI8" s="426" t="str">
        <f>'Exh. No. BGM-13R -3'!AL9</f>
        <v>Capital Add</v>
      </c>
      <c r="AJ8" s="426" t="str">
        <f>'Exh. No. BGM-13R -3'!AM9</f>
        <v>2016 Limited</v>
      </c>
      <c r="AK8" s="426" t="str">
        <f>'Exh. No. BGM-13R -3'!AN9</f>
        <v xml:space="preserve">O&amp;M </v>
      </c>
      <c r="AL8" s="426" t="str">
        <f>'Exh. No. BGM-13R -3'!AO9</f>
        <v>Normalize</v>
      </c>
      <c r="AM8" s="426" t="str">
        <f>'Exh. No. BGM-13R -3'!AQ9</f>
        <v>Capital Add</v>
      </c>
      <c r="AN8" s="426" t="str">
        <f>'Exh. No. BGM-13R -3'!AR9</f>
        <v>Capital Add</v>
      </c>
      <c r="AO8" s="639" t="str">
        <f>'Exh. No. BGM-13R -3'!AS9</f>
        <v>Labor</v>
      </c>
      <c r="AP8" s="639" t="str">
        <f>'Exh. No. BGM-13R -3'!AT9</f>
        <v>2017 AMI</v>
      </c>
      <c r="AQ8" s="639" t="str">
        <f>'Exh. No. BGM-13R -3'!AU9</f>
        <v xml:space="preserve">Information </v>
      </c>
      <c r="AR8" s="639" t="str">
        <f>'Exh. No. BGM-13R -3'!AV9</f>
        <v>Property</v>
      </c>
      <c r="AS8" s="639" t="str">
        <f>'Exh. No. BGM-13R -3'!AW9</f>
        <v>Insurance</v>
      </c>
      <c r="AT8" s="426" t="str">
        <f>'Exh. No. BGM-13R -3'!AY9</f>
        <v>Cross Check</v>
      </c>
      <c r="AU8" s="639" t="str">
        <f>'Exh. No. BGM-13R -3'!BE9</f>
        <v>Power Supply</v>
      </c>
      <c r="AV8" s="639" t="str">
        <f>'Exh. No. BGM-13R -3'!BF9</f>
        <v xml:space="preserve">Transmission </v>
      </c>
      <c r="AW8" s="639" t="str">
        <f>'Exh. No. BGM-13R -3'!BG9</f>
        <v>Labor</v>
      </c>
      <c r="AX8" s="639" t="str">
        <f>'Exh. No. BGM-13R -3'!BH9</f>
        <v>Planned Capital</v>
      </c>
      <c r="AY8" s="639" t="str">
        <f>'Exh. No. BGM-13R -3'!BI9</f>
        <v>2018 AMI</v>
      </c>
      <c r="AZ8" s="639" t="str">
        <f>'Exh. No. BGM-13R -3'!BJ9</f>
        <v>Insurance</v>
      </c>
      <c r="BA8" s="639" t="str">
        <f>'Exh. No. BGM-13R -3'!BK9</f>
        <v xml:space="preserve">Information </v>
      </c>
      <c r="BB8" s="639" t="str">
        <f>'Exh. No. BGM-13R -3'!BM9</f>
        <v>Cross Check</v>
      </c>
    </row>
    <row r="9" spans="1:54" s="5" customFormat="1" ht="11.25" customHeight="1">
      <c r="A9" s="432" t="str">
        <f>'Exh. No. BGM-13R -3'!A10</f>
        <v>No.</v>
      </c>
      <c r="B9" s="16"/>
      <c r="C9" s="433" t="s">
        <v>20</v>
      </c>
      <c r="D9" s="16"/>
      <c r="E9" s="427" t="s">
        <v>274</v>
      </c>
      <c r="F9" s="428" t="str">
        <f>'Exh. No. BGM-13R -3'!F10</f>
        <v>Rate Base</v>
      </c>
      <c r="G9" s="428" t="str">
        <f>'Exh. No. BGM-13R -3'!G10</f>
        <v>Credits</v>
      </c>
      <c r="H9" s="428" t="str">
        <f>'Exh. No. BGM-13R -3'!H10</f>
        <v xml:space="preserve"> </v>
      </c>
      <c r="I9" s="640" t="str">
        <f>'Exh. No. BGM-13R -3'!I10</f>
        <v>Use</v>
      </c>
      <c r="J9" s="428" t="str">
        <f>'Exh. No. BGM-13R -3'!J10</f>
        <v>Taxes</v>
      </c>
      <c r="K9" s="428" t="str">
        <f>'Exh. No. BGM-13R -3'!K10</f>
        <v>Tax</v>
      </c>
      <c r="L9" s="428" t="str">
        <f>'Exh. No. BGM-13R -3'!L10</f>
        <v xml:space="preserve"> </v>
      </c>
      <c r="M9" s="428" t="str">
        <f>'Exh. No. BGM-13R -3'!M10</f>
        <v xml:space="preserve"> </v>
      </c>
      <c r="N9" s="428" t="str">
        <f>'Exh. No. BGM-13R -3'!N10</f>
        <v>Damages</v>
      </c>
      <c r="O9" s="428" t="str">
        <f>'Exh. No. BGM-13R -3'!O10</f>
        <v>Expense</v>
      </c>
      <c r="P9" s="428" t="str">
        <f>'Exh. No. BGM-13R -3'!P10</f>
        <v>Non-Utility</v>
      </c>
      <c r="Q9" s="428" t="str">
        <f>'Exh. No. BGM-13R -3'!Q10</f>
        <v>Taxes</v>
      </c>
      <c r="R9" s="428" t="str">
        <f>'Exh. No. BGM-13R -3'!R10</f>
        <v>Losses</v>
      </c>
      <c r="S9" s="428" t="str">
        <f>'Exh. No. BGM-13R -3'!S10</f>
        <v xml:space="preserve"> </v>
      </c>
      <c r="T9" s="428" t="str">
        <f>'Exh. No. BGM-13R -3'!T10</f>
        <v>Schedules</v>
      </c>
      <c r="U9" s="428" t="str">
        <f>'Exh. No. BGM-13R -3'!U10</f>
        <v>Expenses</v>
      </c>
      <c r="V9" s="428" t="str">
        <f>'Exh. No. BGM-13R -3'!V10</f>
        <v>Cost Defer</v>
      </c>
      <c r="W9" s="428" t="str">
        <f>'Exh. No. BGM-13R -3'!W10</f>
        <v>Adjustment</v>
      </c>
      <c r="X9" s="428" t="str">
        <f>'Exh. No. BGM-13R -3'!X10</f>
        <v>Interest</v>
      </c>
      <c r="Y9" s="428" t="str">
        <f>'Exh. No. BGM-13R -3'!Y10</f>
        <v>Expenses</v>
      </c>
      <c r="Z9" s="428" t="str">
        <f>'Exh. No. BGM-13R -3'!AC10</f>
        <v>Supply</v>
      </c>
      <c r="AA9" s="428" t="str">
        <f>'Exh. No. BGM-13R -3'!AD10</f>
        <v>Rev/Exp</v>
      </c>
      <c r="AB9" s="428" t="str">
        <f>'Exh. No. BGM-13R -3'!AE10</f>
        <v>Non-Exec</v>
      </c>
      <c r="AC9" s="428" t="str">
        <f>'Exh. No. BGM-13R -3'!AF10</f>
        <v>Exec</v>
      </c>
      <c r="AD9" s="428" t="str">
        <f>'Exh. No. BGM-13R -3'!AG10</f>
        <v>Benefits</v>
      </c>
      <c r="AE9" s="428" t="str">
        <f>'Exh. No. BGM-13R -3'!AH10</f>
        <v>Amortization Adj</v>
      </c>
      <c r="AF9" s="428" t="str">
        <f>'Exh. No. BGM-13R -3'!AI10</f>
        <v>Tax</v>
      </c>
      <c r="AG9" s="428" t="str">
        <f>'Exh. No. BGM-13R -3'!AJ10</f>
        <v>&amp; Amortization</v>
      </c>
      <c r="AH9" s="428" t="str">
        <f>'Exh. No. BGM-13R -3'!AK10</f>
        <v>Normalization</v>
      </c>
      <c r="AI9" s="428" t="str">
        <f>'Exh. No. BGM-13R -3'!AL10</f>
        <v>Dec 2015 AMA</v>
      </c>
      <c r="AJ9" s="428" t="str">
        <f>'Exh. No. BGM-13R -3'!AM10</f>
        <v>Capital Adds</v>
      </c>
      <c r="AK9" s="428" t="str">
        <f>'Exh. No. BGM-13R -3'!AN10</f>
        <v xml:space="preserve"> Offsets</v>
      </c>
      <c r="AL9" s="428" t="str">
        <f>'Exh. No. BGM-13R -3'!AO10</f>
        <v>CS2/Colstrip</v>
      </c>
      <c r="AM9" s="428" t="str">
        <f>'Exh. No. BGM-13R -3'!AQ10</f>
        <v>2016 AMA (Inc)</v>
      </c>
      <c r="AN9" s="428" t="str">
        <f>'Exh. No. BGM-13R -3'!AR10</f>
        <v>2017 AMA</v>
      </c>
      <c r="AO9" s="640" t="str">
        <f>'Exh. No. BGM-13R -3'!AS10</f>
        <v>Non-Exec</v>
      </c>
      <c r="AP9" s="640" t="str">
        <f>'Exh. No. BGM-13R -3'!AT10</f>
        <v>Capital &amp; Expense</v>
      </c>
      <c r="AQ9" s="640" t="str">
        <f>'Exh. No. BGM-13R -3'!AU10</f>
        <v>Tech/Serv Exp</v>
      </c>
      <c r="AR9" s="640" t="str">
        <f>'Exh. No. BGM-13R -3'!AV10</f>
        <v>Tax</v>
      </c>
      <c r="AS9" s="640" t="str">
        <f>'Exh. No. BGM-13R -3'!AW10</f>
        <v>Expense</v>
      </c>
      <c r="AT9" s="428" t="str">
        <f>'Exh. No. BGM-13R -3'!AY10</f>
        <v>to Attrition</v>
      </c>
      <c r="AU9" s="640" t="str">
        <f>'Exh. No. BGM-13R -3'!BE10</f>
        <v>Adjustment</v>
      </c>
      <c r="AV9" s="640" t="str">
        <f>'Exh. No. BGM-13R -3'!BF10</f>
        <v>Rev/Exp Adj</v>
      </c>
      <c r="AW9" s="640" t="str">
        <f>'Exh. No. BGM-13R -3'!BG10</f>
        <v>Non-Exec</v>
      </c>
      <c r="AX9" s="640" t="str">
        <f>'Exh. No. BGM-13R -3'!BH10</f>
        <v>Add 2018 AMA</v>
      </c>
      <c r="AY9" s="640" t="str">
        <f>'Exh. No. BGM-13R -3'!BI10</f>
        <v>Capital &amp; Expense</v>
      </c>
      <c r="AZ9" s="640" t="str">
        <f>'Exh. No. BGM-13R -3'!BJ10</f>
        <v>Expense</v>
      </c>
      <c r="BA9" s="640" t="str">
        <f>'Exh. No. BGM-13R -3'!BK10</f>
        <v>Tech/Serv Exp</v>
      </c>
      <c r="BB9" s="640" t="str">
        <f>'Exh. No. BGM-13R -3'!BM10</f>
        <v>to Attrition</v>
      </c>
    </row>
    <row r="10" spans="1:54" s="398" customFormat="1">
      <c r="B10" s="423" t="s">
        <v>579</v>
      </c>
      <c r="E10" s="637">
        <v>1</v>
      </c>
      <c r="F10" s="400">
        <f>'Exh. No. BGM-13R -3'!F11</f>
        <v>1.01</v>
      </c>
      <c r="G10" s="400">
        <f>'Exh. No. BGM-13R -3'!G11</f>
        <v>1.02</v>
      </c>
      <c r="H10" s="400">
        <f>'Exh. No. BGM-13R -3'!H11</f>
        <v>1.03</v>
      </c>
      <c r="I10" s="636">
        <f>'Exh. No. BGM-13R -3'!I11</f>
        <v>1.04</v>
      </c>
      <c r="J10" s="400">
        <f>'Exh. No. BGM-13R -3'!J11</f>
        <v>2.0099999999999998</v>
      </c>
      <c r="K10" s="400">
        <f>'Exh. No. BGM-13R -3'!K11</f>
        <v>2.0199999999999996</v>
      </c>
      <c r="L10" s="400">
        <f>'Exh. No. BGM-13R -3'!L11</f>
        <v>2.0299999999999994</v>
      </c>
      <c r="M10" s="400">
        <f>'Exh. No. BGM-13R -3'!M11</f>
        <v>2.0399999999999991</v>
      </c>
      <c r="N10" s="400">
        <f>'Exh. No. BGM-13R -3'!N11</f>
        <v>2.0499999999999989</v>
      </c>
      <c r="O10" s="400">
        <f>'Exh. No. BGM-13R -3'!O11</f>
        <v>2.0599999999999987</v>
      </c>
      <c r="P10" s="400">
        <f>'Exh. No. BGM-13R -3'!P11</f>
        <v>2.0699999999999985</v>
      </c>
      <c r="Q10" s="400">
        <f>'Exh. No. BGM-13R -3'!Q11</f>
        <v>2.0799999999999983</v>
      </c>
      <c r="R10" s="400">
        <f>'Exh. No. BGM-13R -3'!R11</f>
        <v>2.0899999999999981</v>
      </c>
      <c r="S10" s="400">
        <f>'Exh. No. BGM-13R -3'!S11</f>
        <v>2.0999999999999979</v>
      </c>
      <c r="T10" s="400">
        <f>'Exh. No. BGM-13R -3'!T11</f>
        <v>2.1099999999999977</v>
      </c>
      <c r="U10" s="400">
        <f>'Exh. No. BGM-13R -3'!U11</f>
        <v>2.1199999999999974</v>
      </c>
      <c r="V10" s="400">
        <f>'Exh. No. BGM-13R -3'!V11</f>
        <v>2.1299999999999972</v>
      </c>
      <c r="W10" s="400">
        <f>'Exh. No. BGM-13R -3'!W11</f>
        <v>2.139999999999997</v>
      </c>
      <c r="X10" s="400">
        <f>'Exh. No. BGM-13R -3'!X11</f>
        <v>2.1499999999999968</v>
      </c>
      <c r="Y10" s="400">
        <f>'Exh. No. BGM-13R -3'!Y11</f>
        <v>2.1599999999999966</v>
      </c>
      <c r="Z10" s="400">
        <f>'Exh. No. BGM-13R -3'!AC11</f>
        <v>3</v>
      </c>
      <c r="AA10" s="400">
        <f>'Exh. No. BGM-13R -3'!AD11</f>
        <v>3.01</v>
      </c>
      <c r="AB10" s="400">
        <f>'Exh. No. BGM-13R -3'!AE11</f>
        <v>3.0199999999999996</v>
      </c>
      <c r="AC10" s="400">
        <f>'Exh. No. BGM-13R -3'!AF11</f>
        <v>3.0299999999999994</v>
      </c>
      <c r="AD10" s="400">
        <f>'Exh. No. BGM-13R -3'!AG11</f>
        <v>3.0399999999999991</v>
      </c>
      <c r="AE10" s="400">
        <f>'Exh. No. BGM-13R -3'!AH11</f>
        <v>3.0499999999999989</v>
      </c>
      <c r="AF10" s="400">
        <f>'Exh. No. BGM-13R -3'!AI11</f>
        <v>3.0599999999999987</v>
      </c>
      <c r="AG10" s="400">
        <f>'Exh. No. BGM-13R -3'!AJ11</f>
        <v>3.0699999999999985</v>
      </c>
      <c r="AH10" s="400">
        <f>'Exh. No. BGM-13R -3'!AK11</f>
        <v>3.0799999999999983</v>
      </c>
      <c r="AI10" s="400">
        <f>'Exh. No. BGM-13R -3'!AL11</f>
        <v>3.0899999999999981</v>
      </c>
      <c r="AJ10" s="400">
        <f>'Exh. No. BGM-13R -3'!AM11</f>
        <v>3.0999999999999979</v>
      </c>
      <c r="AK10" s="400">
        <f>'Exh. No. BGM-13R -3'!AN11</f>
        <v>3.1099999999999977</v>
      </c>
      <c r="AL10" s="400">
        <f>'Exh. No. BGM-13R -3'!AO11</f>
        <v>3.1199999999999974</v>
      </c>
      <c r="AM10" s="400">
        <f>'Exh. No. BGM-13R -3'!AQ11</f>
        <v>4</v>
      </c>
      <c r="AN10" s="400">
        <f>'Exh. No. BGM-13R -3'!AR11</f>
        <v>4.01</v>
      </c>
      <c r="AO10" s="636">
        <f>'Exh. No. BGM-13R -3'!AS11</f>
        <v>4.0199999999999996</v>
      </c>
      <c r="AP10" s="636">
        <f>'Exh. No. BGM-13R -3'!AT11</f>
        <v>4.0299999999999994</v>
      </c>
      <c r="AQ10" s="636">
        <f>'Exh. No. BGM-13R -3'!AU11</f>
        <v>4.0399999999999991</v>
      </c>
      <c r="AR10" s="636">
        <f>'Exh. No. BGM-13R -3'!AV11</f>
        <v>4.0499999999999989</v>
      </c>
      <c r="AS10" s="636">
        <f>'Exh. No. BGM-13R -3'!AW11</f>
        <v>4.0599999999999987</v>
      </c>
      <c r="AT10" s="400">
        <f>'Exh. No. BGM-13R -3'!AY11</f>
        <v>4.0699999999999985</v>
      </c>
      <c r="AU10" s="636">
        <f>'Exh. No. BGM-13R -3'!BE11</f>
        <v>18.010000000000002</v>
      </c>
      <c r="AV10" s="636">
        <f>'Exh. No. BGM-13R -3'!BF11</f>
        <v>18.020000000000003</v>
      </c>
      <c r="AW10" s="636">
        <f>'Exh. No. BGM-13R -3'!BG11</f>
        <v>18.030000000000005</v>
      </c>
      <c r="AX10" s="636">
        <f>'Exh. No. BGM-13R -3'!BH11</f>
        <v>18.040000000000006</v>
      </c>
      <c r="AY10" s="636">
        <f>'Exh. No. BGM-13R -3'!BI11</f>
        <v>18.050000000000008</v>
      </c>
      <c r="AZ10" s="636">
        <f>'Exh. No. BGM-13R -3'!BJ11</f>
        <v>18.060000000000009</v>
      </c>
      <c r="BA10" s="636">
        <f>'Exh. No. BGM-13R -3'!BK11</f>
        <v>18.070000000000011</v>
      </c>
      <c r="BB10" s="636">
        <f>'Exh. No. BGM-13R -3'!BM11</f>
        <v>18.080000000000013</v>
      </c>
    </row>
    <row r="11" spans="1:54" s="398" customFormat="1">
      <c r="A11" s="429"/>
      <c r="B11" s="430" t="s">
        <v>580</v>
      </c>
      <c r="C11" s="429"/>
      <c r="D11" s="429"/>
      <c r="E11" s="431" t="str">
        <f>'Exh. No. BGM-13R -3'!E12</f>
        <v>E-ROO</v>
      </c>
      <c r="F11" s="431" t="str">
        <f>'Exh. No. BGM-13R -3'!F12</f>
        <v>E-DFIT</v>
      </c>
      <c r="G11" s="431" t="str">
        <f>'Exh. No. BGM-13R -3'!G12</f>
        <v>E-DDC</v>
      </c>
      <c r="H11" s="431" t="str">
        <f>'Exh. No. BGM-13R -3'!H12</f>
        <v xml:space="preserve">E-WC </v>
      </c>
      <c r="I11" s="641" t="str">
        <f>'Exh. No. BGM-13R -3'!I12</f>
        <v xml:space="preserve">E-PHF </v>
      </c>
      <c r="J11" s="431" t="str">
        <f>'Exh. No. BGM-13R -3'!J12</f>
        <v>E-EBO</v>
      </c>
      <c r="K11" s="431" t="str">
        <f>'Exh. No. BGM-13R -3'!K12</f>
        <v>E-RPT</v>
      </c>
      <c r="L11" s="431" t="str">
        <f>'Exh. No. BGM-13R -3'!L12</f>
        <v>E-UE</v>
      </c>
      <c r="M11" s="431" t="str">
        <f>'Exh. No. BGM-13R -3'!M12</f>
        <v>E-RE</v>
      </c>
      <c r="N11" s="431" t="str">
        <f>'Exh. No. BGM-13R -3'!N12</f>
        <v>E-ID</v>
      </c>
      <c r="O11" s="431" t="str">
        <f>'Exh. No. BGM-13R -3'!O12</f>
        <v xml:space="preserve">E-FIT </v>
      </c>
      <c r="P11" s="431" t="str">
        <f>'Exh. No. BGM-13R -3'!P12</f>
        <v>E-OSC</v>
      </c>
      <c r="Q11" s="431" t="str">
        <f>'Exh. No. BGM-13R -3'!Q12</f>
        <v>E-RET</v>
      </c>
      <c r="R11" s="431" t="str">
        <f>'Exh. No. BGM-13R -3'!R12</f>
        <v>E-NGL</v>
      </c>
      <c r="S11" s="431" t="str">
        <f>'Exh. No. BGM-13R -3'!S12</f>
        <v>E-WN</v>
      </c>
      <c r="T11" s="431" t="str">
        <f>'Exh. No. BGM-13R -3'!T12</f>
        <v>E-EAS</v>
      </c>
      <c r="U11" s="431" t="str">
        <f>'Exh. No. BGM-13R -3'!U12</f>
        <v>E-MR</v>
      </c>
      <c r="V11" s="431" t="str">
        <f>'Exh. No. BGM-13R -3'!V12</f>
        <v>E-EWPC</v>
      </c>
      <c r="W11" s="431" t="str">
        <f>'Exh. No. BGM-13R -3'!W12</f>
        <v>E-NPS</v>
      </c>
      <c r="X11" s="431" t="str">
        <f>'Exh. No. BGM-13R -3'!X12</f>
        <v>E-RDI</v>
      </c>
      <c r="Y11" s="431" t="str">
        <f>'Exh. No. BGM-13R -3'!Y12</f>
        <v>E-RI</v>
      </c>
      <c r="Z11" s="431" t="str">
        <f>'Exh. No. BGM-13R -3'!AC12</f>
        <v>E-PPS</v>
      </c>
      <c r="AA11" s="431" t="str">
        <f>'Exh. No. BGM-13R -3'!AD12</f>
        <v>E-PTR</v>
      </c>
      <c r="AB11" s="431" t="str">
        <f>'Exh. No. BGM-13R -3'!AE12</f>
        <v>E-PLN</v>
      </c>
      <c r="AC11" s="431" t="str">
        <f>'Exh. No. BGM-13R -3'!AF12</f>
        <v>E-PLE</v>
      </c>
      <c r="AD11" s="431" t="str">
        <f>'Exh. No. BGM-13R -3'!AG12</f>
        <v>E-PEB</v>
      </c>
      <c r="AE11" s="431" t="str">
        <f>'Exh. No. BGM-13R -3'!AH12</f>
        <v>E-PRA</v>
      </c>
      <c r="AF11" s="431" t="str">
        <f>'Exh. No. BGM-13R -3'!AI12</f>
        <v>E-PPT</v>
      </c>
      <c r="AG11" s="431" t="str">
        <f>'Exh. No. BGM-13R -3'!AJ12</f>
        <v>E-PMD</v>
      </c>
      <c r="AH11" s="431" t="str">
        <f>'Exh. No. BGM-13R -3'!AK12</f>
        <v>E-PREV</v>
      </c>
      <c r="AI11" s="431" t="str">
        <f>'Exh. No. BGM-13R -3'!AL12</f>
        <v>E-PCAP15</v>
      </c>
      <c r="AJ11" s="431" t="str">
        <f>'Exh. No. BGM-13R -3'!AM12</f>
        <v>E-PCAP16</v>
      </c>
      <c r="AK11" s="431" t="str">
        <f>'Exh. No. BGM-13R -3'!AN12</f>
        <v>E-POFF</v>
      </c>
      <c r="AL11" s="431" t="str">
        <f>'Exh. No. BGM-13R -3'!AO12</f>
        <v>E-PMM</v>
      </c>
      <c r="AM11" s="431" t="str">
        <f>'Exh. No. BGM-13R -3'!AQ12</f>
        <v>E-CCAP16</v>
      </c>
      <c r="AN11" s="431" t="str">
        <f>'Exh. No. BGM-13R -3'!AR12</f>
        <v>E-CCAP17</v>
      </c>
      <c r="AO11" s="641" t="str">
        <f>'Exh. No. BGM-13R -3'!AS12</f>
        <v>E-CLN</v>
      </c>
      <c r="AP11" s="641" t="str">
        <f>'Exh. No. BGM-13R -3'!AT12</f>
        <v>E-CM</v>
      </c>
      <c r="AQ11" s="641" t="str">
        <f>'Exh. No. BGM-13R -3'!AU12</f>
        <v>E-CIS</v>
      </c>
      <c r="AR11" s="641" t="str">
        <f>'Exh. No. BGM-13R -3'!AV12</f>
        <v>E-CPT</v>
      </c>
      <c r="AS11" s="641" t="str">
        <f>'Exh. No. BGM-13R -3'!AW12</f>
        <v>E-CI</v>
      </c>
      <c r="AT11" s="431" t="str">
        <f>'Exh. No. BGM-13R -3'!AY12</f>
        <v>E-CREC</v>
      </c>
      <c r="AU11" s="641" t="str">
        <f>'Exh. No. BGM-13R -3'!BE12</f>
        <v>E-CPS18</v>
      </c>
      <c r="AV11" s="641" t="str">
        <f>'Exh. No. BGM-13R -3'!BF12</f>
        <v>E-CTR18</v>
      </c>
      <c r="AW11" s="641" t="str">
        <f>'Exh. No. BGM-13R -3'!BG12</f>
        <v>E-CLN18</v>
      </c>
      <c r="AX11" s="641" t="str">
        <f>'Exh. No. BGM-13R -3'!BH12</f>
        <v>E-CCAP18</v>
      </c>
      <c r="AY11" s="641" t="str">
        <f>'Exh. No. BGM-13R -3'!BI12</f>
        <v>E-CPT18</v>
      </c>
      <c r="AZ11" s="641" t="str">
        <f>'Exh. No. BGM-13R -3'!BJ12</f>
        <v>E-CI18</v>
      </c>
      <c r="BA11" s="641" t="str">
        <f>'Exh. No. BGM-13R -3'!BK12</f>
        <v>E-CIS18</v>
      </c>
      <c r="BB11" s="641" t="str">
        <f>'Exh. No. BGM-13R -3'!BM12</f>
        <v>E-CREC18</v>
      </c>
    </row>
    <row r="12" spans="1:54" s="398" customFormat="1" ht="6" customHeight="1">
      <c r="B12" s="423"/>
      <c r="E12" s="399"/>
      <c r="F12" s="399"/>
      <c r="G12" s="399"/>
      <c r="H12" s="399"/>
      <c r="I12" s="635"/>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635"/>
      <c r="AP12" s="635"/>
      <c r="AQ12" s="635"/>
      <c r="AR12" s="635"/>
      <c r="AS12" s="635"/>
      <c r="AT12" s="399"/>
      <c r="AU12" s="635"/>
      <c r="AV12" s="635"/>
      <c r="AW12" s="635"/>
      <c r="AX12" s="635"/>
      <c r="AY12" s="635"/>
      <c r="AZ12" s="635"/>
      <c r="BA12" s="635"/>
      <c r="BB12" s="635"/>
    </row>
    <row r="13" spans="1:54">
      <c r="B13" s="2" t="str">
        <f>'Exh. No. BGM-13R -3'!B14</f>
        <v xml:space="preserve">REVENUES  </v>
      </c>
    </row>
    <row r="14" spans="1:54" s="21" customFormat="1">
      <c r="A14" s="20">
        <f>'Exh. No. BGM-13R -3'!A15</f>
        <v>1</v>
      </c>
      <c r="B14" s="21" t="str">
        <f>'Exh. No. BGM-13R -3'!B15</f>
        <v xml:space="preserve">Total General Business  </v>
      </c>
      <c r="E14" s="280">
        <f>'Exh. No. BGM-13R -3'!E15</f>
        <v>512020</v>
      </c>
      <c r="F14" s="396">
        <f>'Exh. No. BGM-13R -3'!F15</f>
        <v>0</v>
      </c>
      <c r="G14" s="396">
        <f>'Exh. No. BGM-13R -3'!G15</f>
        <v>0</v>
      </c>
      <c r="H14" s="396">
        <f>'Exh. No. BGM-13R -3'!H15</f>
        <v>0</v>
      </c>
      <c r="I14" s="632">
        <f>'Exh. No. BGM-13R -3'!I15</f>
        <v>0</v>
      </c>
      <c r="J14" s="396">
        <f>'Exh. No. BGM-13R -3'!J15</f>
        <v>-18110</v>
      </c>
      <c r="K14" s="396">
        <f>'Exh. No. BGM-13R -3'!K15</f>
        <v>0</v>
      </c>
      <c r="L14" s="396">
        <f>'Exh. No. BGM-13R -3'!L15</f>
        <v>0</v>
      </c>
      <c r="M14" s="396">
        <f>'Exh. No. BGM-13R -3'!M15</f>
        <v>0</v>
      </c>
      <c r="N14" s="396">
        <f>'Exh. No. BGM-13R -3'!N15</f>
        <v>0</v>
      </c>
      <c r="O14" s="396">
        <f>'Exh. No. BGM-13R -3'!O15</f>
        <v>0</v>
      </c>
      <c r="P14" s="396">
        <f>'Exh. No. BGM-13R -3'!P15</f>
        <v>0</v>
      </c>
      <c r="Q14" s="396">
        <f>'Exh. No. BGM-13R -3'!Q15</f>
        <v>0</v>
      </c>
      <c r="R14" s="396">
        <f>'Exh. No. BGM-13R -3'!R15</f>
        <v>0</v>
      </c>
      <c r="S14" s="396">
        <f>'Exh. No. BGM-13R -3'!S15</f>
        <v>3108</v>
      </c>
      <c r="T14" s="396">
        <f>'Exh. No. BGM-13R -3'!T15</f>
        <v>-10581</v>
      </c>
      <c r="U14" s="396">
        <f>'Exh. No. BGM-13R -3'!U15</f>
        <v>0</v>
      </c>
      <c r="V14" s="396">
        <f>'Exh. No. BGM-13R -3'!V15</f>
        <v>12886</v>
      </c>
      <c r="W14" s="396">
        <f>'Exh. No. BGM-13R -3'!W15</f>
        <v>0</v>
      </c>
      <c r="X14" s="396">
        <f>'Exh. No. BGM-13R -3'!X15</f>
        <v>0</v>
      </c>
      <c r="Y14" s="396">
        <f>'Exh. No. BGM-13R -3'!Y15</f>
        <v>0</v>
      </c>
      <c r="Z14" s="396">
        <f>'Exh. No. BGM-13R -3'!AC15</f>
        <v>0</v>
      </c>
      <c r="AA14" s="396">
        <f>'Exh. No. BGM-13R -3'!AD15</f>
        <v>0</v>
      </c>
      <c r="AB14" s="396">
        <f>'Exh. No. BGM-13R -3'!AE15</f>
        <v>0</v>
      </c>
      <c r="AC14" s="396">
        <f>'Exh. No. BGM-13R -3'!AF15</f>
        <v>0</v>
      </c>
      <c r="AD14" s="396">
        <f>'Exh. No. BGM-13R -3'!AG15</f>
        <v>0</v>
      </c>
      <c r="AE14" s="396">
        <f>'Exh. No. BGM-13R -3'!AH15</f>
        <v>0</v>
      </c>
      <c r="AF14" s="396">
        <f>'Exh. No. BGM-13R -3'!AI15</f>
        <v>0</v>
      </c>
      <c r="AG14" s="396">
        <f>'Exh. No. BGM-13R -3'!AJ15</f>
        <v>0</v>
      </c>
      <c r="AH14" s="396">
        <f>'Exh. No. BGM-13R -3'!AK15</f>
        <v>-5179</v>
      </c>
      <c r="AI14" s="396">
        <f>'Exh. No. BGM-13R -3'!AL15</f>
        <v>0</v>
      </c>
      <c r="AJ14" s="396">
        <f>'Exh. No. BGM-13R -3'!AM15</f>
        <v>0</v>
      </c>
      <c r="AK14" s="396">
        <f>'Exh. No. BGM-13R -3'!AN15</f>
        <v>0</v>
      </c>
      <c r="AL14" s="396">
        <f>'Exh. No. BGM-13R -3'!AO15</f>
        <v>0</v>
      </c>
      <c r="AM14" s="396">
        <f>'Exh. No. BGM-13R -3'!AQ15</f>
        <v>0</v>
      </c>
      <c r="AN14" s="396">
        <f>'Exh. No. BGM-13R -3'!AR15</f>
        <v>0</v>
      </c>
      <c r="AO14" s="632">
        <f>'Exh. No. BGM-13R -3'!AS15</f>
        <v>0</v>
      </c>
      <c r="AP14" s="632">
        <f>'Exh. No. BGM-13R -3'!AT15</f>
        <v>0</v>
      </c>
      <c r="AQ14" s="632">
        <f>'Exh. No. BGM-13R -3'!AU15</f>
        <v>0</v>
      </c>
      <c r="AR14" s="632">
        <f>'Exh. No. BGM-13R -3'!AV15</f>
        <v>0</v>
      </c>
      <c r="AS14" s="632">
        <f>'Exh. No. BGM-13R -3'!AW15</f>
        <v>0</v>
      </c>
      <c r="AT14" s="396">
        <f>'Exh. No. BGM-13R -3'!AY15</f>
        <v>0</v>
      </c>
      <c r="AU14" s="632">
        <f>'Exh. No. BGM-13R -3'!BE15</f>
        <v>0</v>
      </c>
      <c r="AV14" s="632">
        <f>'Exh. No. BGM-13R -3'!BF15</f>
        <v>0</v>
      </c>
      <c r="AW14" s="632">
        <f>'Exh. No. BGM-13R -3'!BG15</f>
        <v>0</v>
      </c>
      <c r="AX14" s="632">
        <f>'Exh. No. BGM-13R -3'!BH15</f>
        <v>0</v>
      </c>
      <c r="AY14" s="632">
        <f>'Exh. No. BGM-13R -3'!BI15</f>
        <v>0</v>
      </c>
      <c r="AZ14" s="632">
        <f>'Exh. No. BGM-13R -3'!BJ15</f>
        <v>0</v>
      </c>
      <c r="BA14" s="632">
        <f>'Exh. No. BGM-13R -3'!BK15</f>
        <v>0</v>
      </c>
      <c r="BB14" s="632">
        <f>'Exh. No. BGM-13R -3'!BM15</f>
        <v>0</v>
      </c>
    </row>
    <row r="15" spans="1:54" s="22" customFormat="1">
      <c r="A15" s="20">
        <f>'Exh. No. BGM-13R -3'!A16</f>
        <v>2</v>
      </c>
      <c r="B15" s="22" t="str">
        <f>'Exh. No. BGM-13R -3'!B16</f>
        <v xml:space="preserve">Interdepartmental Sales  </v>
      </c>
      <c r="E15" s="128">
        <f>'Exh. No. BGM-13R -3'!E16</f>
        <v>920</v>
      </c>
      <c r="F15" s="313">
        <f>'Exh. No. BGM-13R -3'!F16</f>
        <v>0</v>
      </c>
      <c r="G15" s="313">
        <f>'Exh. No. BGM-13R -3'!G16</f>
        <v>0</v>
      </c>
      <c r="H15" s="313">
        <f>'Exh. No. BGM-13R -3'!H16</f>
        <v>0</v>
      </c>
      <c r="I15" s="623">
        <f>'Exh. No. BGM-13R -3'!I16</f>
        <v>0</v>
      </c>
      <c r="J15" s="313">
        <f>'Exh. No. BGM-13R -3'!J16</f>
        <v>0</v>
      </c>
      <c r="K15" s="313">
        <f>'Exh. No. BGM-13R -3'!K16</f>
        <v>0</v>
      </c>
      <c r="L15" s="313">
        <f>'Exh. No. BGM-13R -3'!L16</f>
        <v>0</v>
      </c>
      <c r="M15" s="313">
        <f>'Exh. No. BGM-13R -3'!M16</f>
        <v>0</v>
      </c>
      <c r="N15" s="313">
        <f>'Exh. No. BGM-13R -3'!N16</f>
        <v>0</v>
      </c>
      <c r="O15" s="313">
        <f>'Exh. No. BGM-13R -3'!O16</f>
        <v>0</v>
      </c>
      <c r="P15" s="313">
        <f>'Exh. No. BGM-13R -3'!P16</f>
        <v>0</v>
      </c>
      <c r="Q15" s="313">
        <f>'Exh. No. BGM-13R -3'!Q16</f>
        <v>0</v>
      </c>
      <c r="R15" s="313">
        <f>'Exh. No. BGM-13R -3'!R16</f>
        <v>0</v>
      </c>
      <c r="S15" s="313">
        <f>'Exh. No. BGM-13R -3'!S16</f>
        <v>0</v>
      </c>
      <c r="T15" s="313">
        <f>'Exh. No. BGM-13R -3'!T16</f>
        <v>0</v>
      </c>
      <c r="U15" s="313">
        <f>'Exh. No. BGM-13R -3'!U16</f>
        <v>0</v>
      </c>
      <c r="V15" s="313" t="str">
        <f>'Exh. No. BGM-13R -3'!V16</f>
        <v>`</v>
      </c>
      <c r="W15" s="313">
        <f>'Exh. No. BGM-13R -3'!W16</f>
        <v>0</v>
      </c>
      <c r="X15" s="313">
        <f>'Exh. No. BGM-13R -3'!X16</f>
        <v>0</v>
      </c>
      <c r="Y15" s="313">
        <f>'Exh. No. BGM-13R -3'!Y16</f>
        <v>0</v>
      </c>
      <c r="Z15" s="313">
        <f>'Exh. No. BGM-13R -3'!AC16</f>
        <v>0</v>
      </c>
      <c r="AA15" s="313">
        <f>'Exh. No. BGM-13R -3'!AD16</f>
        <v>0</v>
      </c>
      <c r="AB15" s="313">
        <f>'Exh. No. BGM-13R -3'!AE16</f>
        <v>0</v>
      </c>
      <c r="AC15" s="313">
        <f>'Exh. No. BGM-13R -3'!AF16</f>
        <v>0</v>
      </c>
      <c r="AD15" s="313">
        <f>'Exh. No. BGM-13R -3'!AG16</f>
        <v>0</v>
      </c>
      <c r="AE15" s="313">
        <f>'Exh. No. BGM-13R -3'!AH16</f>
        <v>0</v>
      </c>
      <c r="AF15" s="313">
        <f>'Exh. No. BGM-13R -3'!AI16</f>
        <v>0</v>
      </c>
      <c r="AG15" s="313">
        <f>'Exh. No. BGM-13R -3'!AJ16</f>
        <v>0</v>
      </c>
      <c r="AH15" s="313">
        <f>'Exh. No. BGM-13R -3'!AK16</f>
        <v>0</v>
      </c>
      <c r="AI15" s="313">
        <f>'Exh. No. BGM-13R -3'!AL16</f>
        <v>0</v>
      </c>
      <c r="AJ15" s="313">
        <f>'Exh. No. BGM-13R -3'!AM16</f>
        <v>0</v>
      </c>
      <c r="AK15" s="313">
        <f>'Exh. No. BGM-13R -3'!AN16</f>
        <v>0</v>
      </c>
      <c r="AL15" s="313">
        <f>'Exh. No. BGM-13R -3'!AO16</f>
        <v>0</v>
      </c>
      <c r="AM15" s="313">
        <f>'Exh. No. BGM-13R -3'!AQ16</f>
        <v>0</v>
      </c>
      <c r="AN15" s="313">
        <f>'Exh. No. BGM-13R -3'!AR16</f>
        <v>0</v>
      </c>
      <c r="AO15" s="623">
        <f>'Exh. No. BGM-13R -3'!AS16</f>
        <v>0</v>
      </c>
      <c r="AP15" s="623">
        <f>'Exh. No. BGM-13R -3'!AT16</f>
        <v>0</v>
      </c>
      <c r="AQ15" s="623">
        <f>'Exh. No. BGM-13R -3'!AU16</f>
        <v>0</v>
      </c>
      <c r="AR15" s="623">
        <f>'Exh. No. BGM-13R -3'!AV16</f>
        <v>0</v>
      </c>
      <c r="AS15" s="623">
        <f>'Exh. No. BGM-13R -3'!AW16</f>
        <v>0</v>
      </c>
      <c r="AT15" s="313">
        <f>'Exh. No. BGM-13R -3'!AY16</f>
        <v>0</v>
      </c>
      <c r="AU15" s="623">
        <f>'Exh. No. BGM-13R -3'!BE16</f>
        <v>0</v>
      </c>
      <c r="AV15" s="623">
        <f>'Exh. No. BGM-13R -3'!BF16</f>
        <v>0</v>
      </c>
      <c r="AW15" s="623">
        <f>'Exh. No. BGM-13R -3'!BG16</f>
        <v>0</v>
      </c>
      <c r="AX15" s="623">
        <f>'Exh. No. BGM-13R -3'!BH16</f>
        <v>0</v>
      </c>
      <c r="AY15" s="623">
        <f>'Exh. No. BGM-13R -3'!BI16</f>
        <v>0</v>
      </c>
      <c r="AZ15" s="623">
        <f>'Exh. No. BGM-13R -3'!BJ16</f>
        <v>0</v>
      </c>
      <c r="BA15" s="623">
        <f>'Exh. No. BGM-13R -3'!BK16</f>
        <v>0</v>
      </c>
      <c r="BB15" s="623">
        <f>'Exh. No. BGM-13R -3'!BM16</f>
        <v>0</v>
      </c>
    </row>
    <row r="16" spans="1:54" s="22" customFormat="1">
      <c r="A16" s="20">
        <f>'Exh. No. BGM-13R -3'!A17</f>
        <v>3</v>
      </c>
      <c r="B16" s="22" t="str">
        <f>'Exh. No. BGM-13R -3'!B17</f>
        <v xml:space="preserve">Sales for Resale  </v>
      </c>
      <c r="E16" s="376">
        <f>'Exh. No. BGM-13R -3'!E17</f>
        <v>84664</v>
      </c>
      <c r="F16" s="315">
        <f>'Exh. No. BGM-13R -3'!F17</f>
        <v>0</v>
      </c>
      <c r="G16" s="315">
        <f>'Exh. No. BGM-13R -3'!G17</f>
        <v>0</v>
      </c>
      <c r="H16" s="315">
        <f>'Exh. No. BGM-13R -3'!H17</f>
        <v>0</v>
      </c>
      <c r="I16" s="625">
        <f>'Exh. No. BGM-13R -3'!I17</f>
        <v>0</v>
      </c>
      <c r="J16" s="315">
        <f>'Exh. No. BGM-13R -3'!J17</f>
        <v>0</v>
      </c>
      <c r="K16" s="315">
        <f>'Exh. No. BGM-13R -3'!K17</f>
        <v>0</v>
      </c>
      <c r="L16" s="315">
        <f>'Exh. No. BGM-13R -3'!L17</f>
        <v>0</v>
      </c>
      <c r="M16" s="315">
        <f>'Exh. No. BGM-13R -3'!M17</f>
        <v>0</v>
      </c>
      <c r="N16" s="315">
        <f>'Exh. No. BGM-13R -3'!N17</f>
        <v>0</v>
      </c>
      <c r="O16" s="315">
        <f>'Exh. No. BGM-13R -3'!O17</f>
        <v>0</v>
      </c>
      <c r="P16" s="315">
        <f>'Exh. No. BGM-13R -3'!P17</f>
        <v>0</v>
      </c>
      <c r="Q16" s="315">
        <f>'Exh. No. BGM-13R -3'!Q17</f>
        <v>0</v>
      </c>
      <c r="R16" s="315">
        <f>'Exh. No. BGM-13R -3'!R17</f>
        <v>0</v>
      </c>
      <c r="S16" s="315">
        <f>'Exh. No. BGM-13R -3'!S17</f>
        <v>0</v>
      </c>
      <c r="T16" s="315">
        <f>'Exh. No. BGM-13R -3'!T17</f>
        <v>0</v>
      </c>
      <c r="U16" s="315">
        <f>'Exh. No. BGM-13R -3'!U17</f>
        <v>0</v>
      </c>
      <c r="V16" s="315">
        <f>'Exh. No. BGM-13R -3'!V17</f>
        <v>0</v>
      </c>
      <c r="W16" s="315">
        <f>'Exh. No. BGM-13R -3'!W17</f>
        <v>0</v>
      </c>
      <c r="X16" s="315">
        <f>'Exh. No. BGM-13R -3'!X17</f>
        <v>0</v>
      </c>
      <c r="Y16" s="315">
        <f>'Exh. No. BGM-13R -3'!Y17</f>
        <v>0</v>
      </c>
      <c r="Z16" s="315">
        <f>'Exh. No. BGM-13R -3'!AC17</f>
        <v>-47454</v>
      </c>
      <c r="AA16" s="315">
        <f>'Exh. No. BGM-13R -3'!AD17</f>
        <v>0</v>
      </c>
      <c r="AB16" s="315">
        <f>'Exh. No. BGM-13R -3'!AE17</f>
        <v>0</v>
      </c>
      <c r="AC16" s="315">
        <f>'Exh. No. BGM-13R -3'!AF17</f>
        <v>0</v>
      </c>
      <c r="AD16" s="315">
        <f>'Exh. No. BGM-13R -3'!AG17</f>
        <v>0</v>
      </c>
      <c r="AE16" s="315">
        <f>'Exh. No. BGM-13R -3'!AH17</f>
        <v>0</v>
      </c>
      <c r="AF16" s="315">
        <f>'Exh. No. BGM-13R -3'!AI17</f>
        <v>0</v>
      </c>
      <c r="AG16" s="315">
        <f>'Exh. No. BGM-13R -3'!AJ17</f>
        <v>0</v>
      </c>
      <c r="AH16" s="315">
        <f>'Exh. No. BGM-13R -3'!AK17</f>
        <v>0</v>
      </c>
      <c r="AI16" s="315">
        <f>'Exh. No. BGM-13R -3'!AL17</f>
        <v>0</v>
      </c>
      <c r="AJ16" s="315">
        <f>'Exh. No. BGM-13R -3'!AM17</f>
        <v>0</v>
      </c>
      <c r="AK16" s="315">
        <f>'Exh. No. BGM-13R -3'!AN17</f>
        <v>0</v>
      </c>
      <c r="AL16" s="315">
        <f>'Exh. No. BGM-13R -3'!AO17</f>
        <v>0</v>
      </c>
      <c r="AM16" s="315">
        <f>'Exh. No. BGM-13R -3'!AQ17</f>
        <v>0</v>
      </c>
      <c r="AN16" s="315">
        <f>'Exh. No. BGM-13R -3'!AR17</f>
        <v>0</v>
      </c>
      <c r="AO16" s="625">
        <f>'Exh. No. BGM-13R -3'!AS17</f>
        <v>0</v>
      </c>
      <c r="AP16" s="625">
        <f>'Exh. No. BGM-13R -3'!AT17</f>
        <v>0</v>
      </c>
      <c r="AQ16" s="625">
        <f>'Exh. No. BGM-13R -3'!AU17</f>
        <v>0</v>
      </c>
      <c r="AR16" s="625">
        <f>'Exh. No. BGM-13R -3'!AV17</f>
        <v>0</v>
      </c>
      <c r="AS16" s="625">
        <f>'Exh. No. BGM-13R -3'!AW17</f>
        <v>0</v>
      </c>
      <c r="AT16" s="315">
        <f>'Exh. No. BGM-13R -3'!AY17</f>
        <v>0</v>
      </c>
      <c r="AU16" s="625">
        <f>'Exh. No. BGM-13R -3'!BE17</f>
        <v>0</v>
      </c>
      <c r="AV16" s="625">
        <f>'Exh. No. BGM-13R -3'!BF17</f>
        <v>0</v>
      </c>
      <c r="AW16" s="625">
        <f>'Exh. No. BGM-13R -3'!BG17</f>
        <v>0</v>
      </c>
      <c r="AX16" s="625">
        <f>'Exh. No. BGM-13R -3'!BH17</f>
        <v>0</v>
      </c>
      <c r="AY16" s="625">
        <f>'Exh. No. BGM-13R -3'!BI17</f>
        <v>0</v>
      </c>
      <c r="AZ16" s="625">
        <f>'Exh. No. BGM-13R -3'!BJ17</f>
        <v>0</v>
      </c>
      <c r="BA16" s="625">
        <f>'Exh. No. BGM-13R -3'!BK17</f>
        <v>0</v>
      </c>
      <c r="BB16" s="625">
        <f>'Exh. No. BGM-13R -3'!BM17</f>
        <v>0</v>
      </c>
    </row>
    <row r="17" spans="1:54" s="22" customFormat="1">
      <c r="A17" s="20">
        <f>'Exh. No. BGM-13R -3'!A18</f>
        <v>4</v>
      </c>
      <c r="B17" s="22" t="str">
        <f>'Exh. No. BGM-13R -3'!B18</f>
        <v xml:space="preserve">Total Sales of Electricity  </v>
      </c>
      <c r="E17" s="128">
        <f>'Exh. No. BGM-13R -3'!E18</f>
        <v>597604</v>
      </c>
      <c r="F17" s="264">
        <f>'Exh. No. BGM-13R -3'!F18</f>
        <v>0</v>
      </c>
      <c r="G17" s="264">
        <f>'Exh. No. BGM-13R -3'!G18</f>
        <v>0</v>
      </c>
      <c r="H17" s="264">
        <f>'Exh. No. BGM-13R -3'!H18</f>
        <v>0</v>
      </c>
      <c r="I17" s="601">
        <f>'Exh. No. BGM-13R -3'!I18</f>
        <v>0</v>
      </c>
      <c r="J17" s="264">
        <f>'Exh. No. BGM-13R -3'!J18</f>
        <v>-18110</v>
      </c>
      <c r="K17" s="264">
        <f>'Exh. No. BGM-13R -3'!K18</f>
        <v>0</v>
      </c>
      <c r="L17" s="264">
        <f>'Exh. No. BGM-13R -3'!L18</f>
        <v>0</v>
      </c>
      <c r="M17" s="264">
        <f>'Exh. No. BGM-13R -3'!M18</f>
        <v>0</v>
      </c>
      <c r="N17" s="264">
        <f>'Exh. No. BGM-13R -3'!N18</f>
        <v>0</v>
      </c>
      <c r="O17" s="264">
        <f>'Exh. No. BGM-13R -3'!O18</f>
        <v>0</v>
      </c>
      <c r="P17" s="264">
        <f>'Exh. No. BGM-13R -3'!P18</f>
        <v>0</v>
      </c>
      <c r="Q17" s="264">
        <f>'Exh. No. BGM-13R -3'!Q18</f>
        <v>0</v>
      </c>
      <c r="R17" s="264">
        <f>'Exh. No. BGM-13R -3'!R18</f>
        <v>0</v>
      </c>
      <c r="S17" s="264">
        <f>'Exh. No. BGM-13R -3'!S18</f>
        <v>3108</v>
      </c>
      <c r="T17" s="264">
        <f>'Exh. No. BGM-13R -3'!T18</f>
        <v>-10581</v>
      </c>
      <c r="U17" s="264">
        <f>'Exh. No. BGM-13R -3'!U18</f>
        <v>0</v>
      </c>
      <c r="V17" s="264">
        <f>'Exh. No. BGM-13R -3'!V18</f>
        <v>12886</v>
      </c>
      <c r="W17" s="264">
        <f>'Exh. No. BGM-13R -3'!W18</f>
        <v>0</v>
      </c>
      <c r="X17" s="264">
        <f>'Exh. No. BGM-13R -3'!X18</f>
        <v>0</v>
      </c>
      <c r="Y17" s="264">
        <f>'Exh. No. BGM-13R -3'!Y18</f>
        <v>0</v>
      </c>
      <c r="Z17" s="264">
        <f>'Exh. No. BGM-13R -3'!AC18</f>
        <v>-47454</v>
      </c>
      <c r="AA17" s="264">
        <f>'Exh. No. BGM-13R -3'!AD18</f>
        <v>0</v>
      </c>
      <c r="AB17" s="264">
        <f>'Exh. No. BGM-13R -3'!AE18</f>
        <v>0</v>
      </c>
      <c r="AC17" s="264">
        <f>'Exh. No. BGM-13R -3'!AF18</f>
        <v>0</v>
      </c>
      <c r="AD17" s="264">
        <f>'Exh. No. BGM-13R -3'!AG18</f>
        <v>0</v>
      </c>
      <c r="AE17" s="264">
        <f>'Exh. No. BGM-13R -3'!AH18</f>
        <v>0</v>
      </c>
      <c r="AF17" s="264">
        <f>'Exh. No. BGM-13R -3'!AI18</f>
        <v>0</v>
      </c>
      <c r="AG17" s="264">
        <f>'Exh. No. BGM-13R -3'!AJ18</f>
        <v>0</v>
      </c>
      <c r="AH17" s="264">
        <f>'Exh. No. BGM-13R -3'!AK18</f>
        <v>-5179</v>
      </c>
      <c r="AI17" s="264">
        <f>'Exh. No. BGM-13R -3'!AL18</f>
        <v>0</v>
      </c>
      <c r="AJ17" s="264">
        <f>'Exh. No. BGM-13R -3'!AM18</f>
        <v>0</v>
      </c>
      <c r="AK17" s="264">
        <f>'Exh. No. BGM-13R -3'!AN18</f>
        <v>0</v>
      </c>
      <c r="AL17" s="264">
        <f>'Exh. No. BGM-13R -3'!AO18</f>
        <v>0</v>
      </c>
      <c r="AM17" s="264">
        <f>'Exh. No. BGM-13R -3'!AQ18</f>
        <v>0</v>
      </c>
      <c r="AN17" s="264">
        <f>'Exh. No. BGM-13R -3'!AR18</f>
        <v>0</v>
      </c>
      <c r="AO17" s="601">
        <f>'Exh. No. BGM-13R -3'!AS18</f>
        <v>0</v>
      </c>
      <c r="AP17" s="601">
        <f>'Exh. No. BGM-13R -3'!AT18</f>
        <v>0</v>
      </c>
      <c r="AQ17" s="601">
        <f>'Exh. No. BGM-13R -3'!AU18</f>
        <v>0</v>
      </c>
      <c r="AR17" s="601">
        <f>'Exh. No. BGM-13R -3'!AV18</f>
        <v>0</v>
      </c>
      <c r="AS17" s="601">
        <f>'Exh. No. BGM-13R -3'!AW18</f>
        <v>0</v>
      </c>
      <c r="AT17" s="264">
        <f>'Exh. No. BGM-13R -3'!AY18</f>
        <v>0</v>
      </c>
      <c r="AU17" s="601">
        <f>'Exh. No. BGM-13R -3'!BE18</f>
        <v>0</v>
      </c>
      <c r="AV17" s="601">
        <f>'Exh. No. BGM-13R -3'!BF18</f>
        <v>0</v>
      </c>
      <c r="AW17" s="601">
        <f>'Exh. No. BGM-13R -3'!BG18</f>
        <v>0</v>
      </c>
      <c r="AX17" s="601">
        <f>'Exh. No. BGM-13R -3'!BH18</f>
        <v>0</v>
      </c>
      <c r="AY17" s="601">
        <f>'Exh. No. BGM-13R -3'!BI18</f>
        <v>0</v>
      </c>
      <c r="AZ17" s="601">
        <f>'Exh. No. BGM-13R -3'!BJ18</f>
        <v>0</v>
      </c>
      <c r="BA17" s="601">
        <f>'Exh. No. BGM-13R -3'!BK18</f>
        <v>0</v>
      </c>
      <c r="BB17" s="601">
        <f>'Exh. No. BGM-13R -3'!BM18</f>
        <v>0</v>
      </c>
    </row>
    <row r="18" spans="1:54" s="22" customFormat="1">
      <c r="A18" s="20">
        <f>'Exh. No. BGM-13R -3'!A19</f>
        <v>5</v>
      </c>
      <c r="B18" s="22" t="str">
        <f>'Exh. No. BGM-13R -3'!B19</f>
        <v xml:space="preserve">Other Revenue  </v>
      </c>
      <c r="E18" s="376">
        <f>'Exh. No. BGM-13R -3'!E19</f>
        <v>76513</v>
      </c>
      <c r="F18" s="315">
        <f>'Exh. No. BGM-13R -3'!F19</f>
        <v>0</v>
      </c>
      <c r="G18" s="315">
        <f>'Exh. No. BGM-13R -3'!G19</f>
        <v>0</v>
      </c>
      <c r="H18" s="315">
        <f>'Exh. No. BGM-13R -3'!H19</f>
        <v>0</v>
      </c>
      <c r="I18" s="625">
        <f>'Exh. No. BGM-13R -3'!I19</f>
        <v>0</v>
      </c>
      <c r="J18" s="315">
        <f>'Exh. No. BGM-13R -3'!J19</f>
        <v>-14</v>
      </c>
      <c r="K18" s="315">
        <f>'Exh. No. BGM-13R -3'!K19</f>
        <v>0</v>
      </c>
      <c r="L18" s="315">
        <f>'Exh. No. BGM-13R -3'!L19</f>
        <v>0</v>
      </c>
      <c r="M18" s="315">
        <f>'Exh. No. BGM-13R -3'!M19</f>
        <v>0</v>
      </c>
      <c r="N18" s="315">
        <f>'Exh. No. BGM-13R -3'!N19</f>
        <v>0</v>
      </c>
      <c r="O18" s="315">
        <f>'Exh. No. BGM-13R -3'!O19</f>
        <v>0</v>
      </c>
      <c r="P18" s="315">
        <f>'Exh. No. BGM-13R -3'!P19</f>
        <v>0</v>
      </c>
      <c r="Q18" s="315">
        <f>'Exh. No. BGM-13R -3'!Q19</f>
        <v>0</v>
      </c>
      <c r="R18" s="315">
        <f>'Exh. No. BGM-13R -3'!R19</f>
        <v>0</v>
      </c>
      <c r="S18" s="315">
        <f>'Exh. No. BGM-13R -3'!S19</f>
        <v>0</v>
      </c>
      <c r="T18" s="315">
        <f>'Exh. No. BGM-13R -3'!T19</f>
        <v>0</v>
      </c>
      <c r="U18" s="315">
        <f>'Exh. No. BGM-13R -3'!U19</f>
        <v>0</v>
      </c>
      <c r="V18" s="315">
        <f>'Exh. No. BGM-13R -3'!V19</f>
        <v>0</v>
      </c>
      <c r="W18" s="315">
        <f>'Exh. No. BGM-13R -3'!W19</f>
        <v>0</v>
      </c>
      <c r="X18" s="315">
        <f>'Exh. No. BGM-13R -3'!X19</f>
        <v>0</v>
      </c>
      <c r="Y18" s="315">
        <f>'Exh. No. BGM-13R -3'!Y19</f>
        <v>0</v>
      </c>
      <c r="Z18" s="315">
        <f>'Exh. No. BGM-13R -3'!AC19</f>
        <v>-63844</v>
      </c>
      <c r="AA18" s="315">
        <f>'Exh. No. BGM-13R -3'!AD19</f>
        <v>486.22131549999995</v>
      </c>
      <c r="AB18" s="315">
        <f>'Exh. No. BGM-13R -3'!AE19</f>
        <v>0</v>
      </c>
      <c r="AC18" s="315">
        <f>'Exh. No. BGM-13R -3'!AF19</f>
        <v>0</v>
      </c>
      <c r="AD18" s="315">
        <f>'Exh. No. BGM-13R -3'!AG19</f>
        <v>0</v>
      </c>
      <c r="AE18" s="315">
        <f>'Exh. No. BGM-13R -3'!AH19</f>
        <v>0</v>
      </c>
      <c r="AF18" s="315">
        <f>'Exh. No. BGM-13R -3'!AI19</f>
        <v>0</v>
      </c>
      <c r="AG18" s="315">
        <f>'Exh. No. BGM-13R -3'!AJ19</f>
        <v>0</v>
      </c>
      <c r="AH18" s="315">
        <f>'Exh. No. BGM-13R -3'!AK19</f>
        <v>1882</v>
      </c>
      <c r="AI18" s="315">
        <f>'Exh. No. BGM-13R -3'!AL19</f>
        <v>0</v>
      </c>
      <c r="AJ18" s="315">
        <f>'Exh. No. BGM-13R -3'!AM19</f>
        <v>0</v>
      </c>
      <c r="AK18" s="315">
        <f>'Exh. No. BGM-13R -3'!AN19</f>
        <v>0</v>
      </c>
      <c r="AL18" s="315">
        <f>'Exh. No. BGM-13R -3'!AO19</f>
        <v>0</v>
      </c>
      <c r="AM18" s="315">
        <f>'Exh. No. BGM-13R -3'!AQ19</f>
        <v>0</v>
      </c>
      <c r="AN18" s="315">
        <f>'Exh. No. BGM-13R -3'!AR19</f>
        <v>0</v>
      </c>
      <c r="AO18" s="625">
        <f>'Exh. No. BGM-13R -3'!AS19</f>
        <v>0</v>
      </c>
      <c r="AP18" s="625">
        <f>'Exh. No. BGM-13R -3'!AT19</f>
        <v>0</v>
      </c>
      <c r="AQ18" s="625">
        <f>'Exh. No. BGM-13R -3'!AU19</f>
        <v>0</v>
      </c>
      <c r="AR18" s="625">
        <f>'Exh. No. BGM-13R -3'!AV19</f>
        <v>0</v>
      </c>
      <c r="AS18" s="625">
        <f>'Exh. No. BGM-13R -3'!AW19</f>
        <v>0</v>
      </c>
      <c r="AT18" s="315">
        <f>'Exh. No. BGM-13R -3'!AY19</f>
        <v>0</v>
      </c>
      <c r="AU18" s="625">
        <f>'Exh. No. BGM-13R -3'!BE19</f>
        <v>0</v>
      </c>
      <c r="AV18" s="625">
        <f>'Exh. No. BGM-13R -3'!BF19</f>
        <v>0</v>
      </c>
      <c r="AW18" s="625">
        <f>'Exh. No. BGM-13R -3'!BG19</f>
        <v>0</v>
      </c>
      <c r="AX18" s="625">
        <f>'Exh. No. BGM-13R -3'!BH19</f>
        <v>0</v>
      </c>
      <c r="AY18" s="625">
        <f>'Exh. No. BGM-13R -3'!BI19</f>
        <v>0</v>
      </c>
      <c r="AZ18" s="625">
        <f>'Exh. No. BGM-13R -3'!BJ19</f>
        <v>0</v>
      </c>
      <c r="BA18" s="625">
        <f>'Exh. No. BGM-13R -3'!BK19</f>
        <v>0</v>
      </c>
      <c r="BB18" s="625">
        <f>'Exh. No. BGM-13R -3'!BM19</f>
        <v>0</v>
      </c>
    </row>
    <row r="19" spans="1:54" s="22" customFormat="1">
      <c r="A19" s="20">
        <f>'Exh. No. BGM-13R -3'!A20</f>
        <v>6</v>
      </c>
      <c r="B19" s="22" t="str">
        <f>'Exh. No. BGM-13R -3'!B20</f>
        <v xml:space="preserve">Total Electric Revenue  </v>
      </c>
      <c r="E19" s="128">
        <f>'Exh. No. BGM-13R -3'!E20</f>
        <v>674117</v>
      </c>
      <c r="F19" s="264">
        <f>'Exh. No. BGM-13R -3'!F20</f>
        <v>0</v>
      </c>
      <c r="G19" s="264">
        <f>'Exh. No. BGM-13R -3'!G20</f>
        <v>0</v>
      </c>
      <c r="H19" s="264">
        <f>'Exh. No. BGM-13R -3'!H20</f>
        <v>0</v>
      </c>
      <c r="I19" s="601">
        <f>'Exh. No. BGM-13R -3'!I20</f>
        <v>0</v>
      </c>
      <c r="J19" s="264">
        <f>'Exh. No. BGM-13R -3'!J20</f>
        <v>-18124</v>
      </c>
      <c r="K19" s="264">
        <f>'Exh. No. BGM-13R -3'!K20</f>
        <v>0</v>
      </c>
      <c r="L19" s="264">
        <f>'Exh. No. BGM-13R -3'!L20</f>
        <v>0</v>
      </c>
      <c r="M19" s="264">
        <f>'Exh. No. BGM-13R -3'!M20</f>
        <v>0</v>
      </c>
      <c r="N19" s="264">
        <f>'Exh. No. BGM-13R -3'!N20</f>
        <v>0</v>
      </c>
      <c r="O19" s="264">
        <f>'Exh. No. BGM-13R -3'!O20</f>
        <v>0</v>
      </c>
      <c r="P19" s="264">
        <f>'Exh. No. BGM-13R -3'!P20</f>
        <v>0</v>
      </c>
      <c r="Q19" s="264">
        <f>'Exh. No. BGM-13R -3'!Q20</f>
        <v>0</v>
      </c>
      <c r="R19" s="264">
        <f>'Exh. No. BGM-13R -3'!R20</f>
        <v>0</v>
      </c>
      <c r="S19" s="264">
        <f>'Exh. No. BGM-13R -3'!S20</f>
        <v>3108</v>
      </c>
      <c r="T19" s="264">
        <f>'Exh. No. BGM-13R -3'!T20</f>
        <v>-10581</v>
      </c>
      <c r="U19" s="264">
        <f>'Exh. No. BGM-13R -3'!U20</f>
        <v>0</v>
      </c>
      <c r="V19" s="264">
        <f>'Exh. No. BGM-13R -3'!V20</f>
        <v>12886</v>
      </c>
      <c r="W19" s="264">
        <f>'Exh. No. BGM-13R -3'!W20</f>
        <v>0</v>
      </c>
      <c r="X19" s="264">
        <f>'Exh. No. BGM-13R -3'!X20</f>
        <v>0</v>
      </c>
      <c r="Y19" s="264">
        <f>'Exh. No. BGM-13R -3'!Y20</f>
        <v>0</v>
      </c>
      <c r="Z19" s="264">
        <f>'Exh. No. BGM-13R -3'!AC20</f>
        <v>-111298</v>
      </c>
      <c r="AA19" s="264">
        <f>'Exh. No. BGM-13R -3'!AD20</f>
        <v>486.22131549999995</v>
      </c>
      <c r="AB19" s="264">
        <f>'Exh. No. BGM-13R -3'!AE20</f>
        <v>0</v>
      </c>
      <c r="AC19" s="264">
        <f>'Exh. No. BGM-13R -3'!AF20</f>
        <v>0</v>
      </c>
      <c r="AD19" s="264">
        <f>'Exh. No. BGM-13R -3'!AG20</f>
        <v>0</v>
      </c>
      <c r="AE19" s="264">
        <f>'Exh. No. BGM-13R -3'!AH20</f>
        <v>0</v>
      </c>
      <c r="AF19" s="264">
        <f>'Exh. No. BGM-13R -3'!AI20</f>
        <v>0</v>
      </c>
      <c r="AG19" s="264">
        <f>'Exh. No. BGM-13R -3'!AJ20</f>
        <v>0</v>
      </c>
      <c r="AH19" s="264">
        <f>'Exh. No. BGM-13R -3'!AK20</f>
        <v>-3297</v>
      </c>
      <c r="AI19" s="264">
        <f>'Exh. No. BGM-13R -3'!AL20</f>
        <v>0</v>
      </c>
      <c r="AJ19" s="264">
        <f>'Exh. No. BGM-13R -3'!AM20</f>
        <v>0</v>
      </c>
      <c r="AK19" s="264">
        <f>'Exh. No. BGM-13R -3'!AN20</f>
        <v>0</v>
      </c>
      <c r="AL19" s="264">
        <f>'Exh. No. BGM-13R -3'!AO20</f>
        <v>0</v>
      </c>
      <c r="AM19" s="264">
        <f>'Exh. No. BGM-13R -3'!AQ20</f>
        <v>0</v>
      </c>
      <c r="AN19" s="264">
        <f>'Exh. No. BGM-13R -3'!AR20</f>
        <v>0</v>
      </c>
      <c r="AO19" s="601">
        <f>'Exh. No. BGM-13R -3'!AS20</f>
        <v>0</v>
      </c>
      <c r="AP19" s="601">
        <f>'Exh. No. BGM-13R -3'!AT20</f>
        <v>0</v>
      </c>
      <c r="AQ19" s="601">
        <f>'Exh. No. BGM-13R -3'!AU20</f>
        <v>0</v>
      </c>
      <c r="AR19" s="601">
        <f>'Exh. No. BGM-13R -3'!AV20</f>
        <v>0</v>
      </c>
      <c r="AS19" s="601">
        <f>'Exh. No. BGM-13R -3'!AW20</f>
        <v>0</v>
      </c>
      <c r="AT19" s="264">
        <f>'Exh. No. BGM-13R -3'!AY20</f>
        <v>0</v>
      </c>
      <c r="AU19" s="601">
        <f>'Exh. No. BGM-13R -3'!BE20</f>
        <v>0</v>
      </c>
      <c r="AV19" s="601">
        <f>'Exh. No. BGM-13R -3'!BF20</f>
        <v>0</v>
      </c>
      <c r="AW19" s="601">
        <f>'Exh. No. BGM-13R -3'!BG20</f>
        <v>0</v>
      </c>
      <c r="AX19" s="601">
        <f>'Exh. No. BGM-13R -3'!BH20</f>
        <v>0</v>
      </c>
      <c r="AY19" s="601">
        <f>'Exh. No. BGM-13R -3'!BI20</f>
        <v>0</v>
      </c>
      <c r="AZ19" s="601">
        <f>'Exh. No. BGM-13R -3'!BJ20</f>
        <v>0</v>
      </c>
      <c r="BA19" s="601">
        <f>'Exh. No. BGM-13R -3'!BK20</f>
        <v>0</v>
      </c>
      <c r="BB19" s="601">
        <f>'Exh. No. BGM-13R -3'!BM20</f>
        <v>0</v>
      </c>
    </row>
    <row r="20" spans="1:54" s="22" customFormat="1" ht="6.75" customHeight="1">
      <c r="A20" s="20"/>
      <c r="E20" s="128"/>
      <c r="F20" s="264"/>
      <c r="G20" s="264"/>
      <c r="H20" s="264"/>
      <c r="I20" s="601"/>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601"/>
      <c r="AP20" s="601"/>
      <c r="AQ20" s="601"/>
      <c r="AR20" s="601"/>
      <c r="AS20" s="601"/>
      <c r="AT20" s="264"/>
      <c r="AU20" s="601"/>
      <c r="AV20" s="601"/>
      <c r="AW20" s="601"/>
      <c r="AX20" s="601"/>
      <c r="AY20" s="601"/>
      <c r="AZ20" s="601"/>
      <c r="BA20" s="601"/>
      <c r="BB20" s="601"/>
    </row>
    <row r="21" spans="1:54" s="22" customFormat="1">
      <c r="A21" s="20"/>
      <c r="B21" s="22" t="str">
        <f>'Exh. No. BGM-13R -3'!B22</f>
        <v xml:space="preserve">EXPENSES  </v>
      </c>
      <c r="E21" s="128"/>
      <c r="F21" s="264"/>
      <c r="G21" s="264"/>
      <c r="H21" s="264"/>
      <c r="I21" s="601"/>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601"/>
      <c r="AP21" s="601"/>
      <c r="AQ21" s="601"/>
      <c r="AR21" s="601"/>
      <c r="AS21" s="601"/>
      <c r="AT21" s="264"/>
      <c r="AU21" s="601"/>
      <c r="AV21" s="601"/>
      <c r="AW21" s="601"/>
      <c r="AX21" s="601"/>
      <c r="AY21" s="601"/>
      <c r="AZ21" s="601"/>
      <c r="BA21" s="601"/>
      <c r="BB21" s="601"/>
    </row>
    <row r="22" spans="1:54" s="22" customFormat="1">
      <c r="A22" s="20"/>
      <c r="B22" s="22" t="str">
        <f>'Exh. No. BGM-13R -3'!B23</f>
        <v xml:space="preserve">Production and Transmission  </v>
      </c>
      <c r="E22" s="128"/>
      <c r="F22" s="264"/>
      <c r="G22" s="264"/>
      <c r="H22" s="264"/>
      <c r="I22" s="601"/>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601"/>
      <c r="AP22" s="601"/>
      <c r="AQ22" s="601"/>
      <c r="AR22" s="601"/>
      <c r="AS22" s="601"/>
      <c r="AT22" s="264"/>
      <c r="AU22" s="601"/>
      <c r="AV22" s="601"/>
      <c r="AW22" s="601"/>
      <c r="AX22" s="601"/>
      <c r="AY22" s="601"/>
      <c r="AZ22" s="601"/>
      <c r="BA22" s="601"/>
      <c r="BB22" s="601"/>
    </row>
    <row r="23" spans="1:54" s="22" customFormat="1">
      <c r="A23" s="20">
        <f>'Exh. No. BGM-13R -3'!A24</f>
        <v>7</v>
      </c>
      <c r="C23" s="22" t="str">
        <f>'Exh. No. BGM-13R -3'!C24</f>
        <v xml:space="preserve">Operating Expenses  </v>
      </c>
      <c r="E23" s="128">
        <f>'Exh. No. BGM-13R -3'!E24</f>
        <v>189010</v>
      </c>
      <c r="F23" s="313">
        <f>'Exh. No. BGM-13R -3'!F24</f>
        <v>0</v>
      </c>
      <c r="G23" s="313">
        <f>'Exh. No. BGM-13R -3'!G24</f>
        <v>-3725</v>
      </c>
      <c r="H23" s="313">
        <f>'Exh. No. BGM-13R -3'!H24</f>
        <v>0</v>
      </c>
      <c r="I23" s="623">
        <f>'Exh. No. BGM-13R -3'!I24</f>
        <v>0</v>
      </c>
      <c r="J23" s="313">
        <f>'Exh. No. BGM-13R -3'!J24</f>
        <v>0</v>
      </c>
      <c r="K23" s="313">
        <f>'Exh. No. BGM-13R -3'!K24</f>
        <v>0</v>
      </c>
      <c r="L23" s="313">
        <f>'Exh. No. BGM-13R -3'!L24</f>
        <v>0</v>
      </c>
      <c r="M23" s="313">
        <f>'Exh. No. BGM-13R -3'!M24</f>
        <v>0</v>
      </c>
      <c r="N23" s="313">
        <f>'Exh. No. BGM-13R -3'!N24</f>
        <v>0</v>
      </c>
      <c r="O23" s="313">
        <f>'Exh. No. BGM-13R -3'!O24</f>
        <v>0</v>
      </c>
      <c r="P23" s="313">
        <f>'Exh. No. BGM-13R -3'!P24</f>
        <v>0</v>
      </c>
      <c r="Q23" s="313">
        <f>'Exh. No. BGM-13R -3'!Q24</f>
        <v>0</v>
      </c>
      <c r="R23" s="313">
        <f>'Exh. No. BGM-13R -3'!R24</f>
        <v>0</v>
      </c>
      <c r="S23" s="313">
        <f>'Exh. No. BGM-13R -3'!S24</f>
        <v>0</v>
      </c>
      <c r="T23" s="313">
        <f>'Exh. No. BGM-13R -3'!T24</f>
        <v>-206</v>
      </c>
      <c r="U23" s="313">
        <f>'Exh. No. BGM-13R -3'!U24</f>
        <v>-1</v>
      </c>
      <c r="V23" s="313">
        <f>'Exh. No. BGM-13R -3'!V24</f>
        <v>4557</v>
      </c>
      <c r="W23" s="313">
        <f>'Exh. No. BGM-13R -3'!W24</f>
        <v>-9</v>
      </c>
      <c r="X23" s="313">
        <f>'Exh. No. BGM-13R -3'!X24</f>
        <v>0</v>
      </c>
      <c r="Y23" s="313">
        <f>'Exh. No. BGM-13R -3'!Y24</f>
        <v>290</v>
      </c>
      <c r="Z23" s="313">
        <f>'Exh. No. BGM-13R -3'!AC24</f>
        <v>-62361.245987100003</v>
      </c>
      <c r="AA23" s="313">
        <f>'Exh. No. BGM-13R -3'!AD24</f>
        <v>153</v>
      </c>
      <c r="AB23" s="313">
        <f>'Exh. No. BGM-13R -3'!AE24</f>
        <v>410.580556</v>
      </c>
      <c r="AC23" s="313">
        <f>'Exh. No. BGM-13R -3'!AF24</f>
        <v>-31</v>
      </c>
      <c r="AD23" s="313">
        <f>'Exh. No. BGM-13R -3'!AG24</f>
        <v>385</v>
      </c>
      <c r="AE23" s="313">
        <f>'Exh. No. BGM-13R -3'!AH24</f>
        <v>0</v>
      </c>
      <c r="AF23" s="313">
        <f>'Exh. No. BGM-13R -3'!AI24</f>
        <v>0</v>
      </c>
      <c r="AG23" s="313">
        <f>'Exh. No. BGM-13R -3'!AJ24</f>
        <v>0</v>
      </c>
      <c r="AH23" s="313">
        <f>'Exh. No. BGM-13R -3'!AK24</f>
        <v>0</v>
      </c>
      <c r="AI23" s="313">
        <f>'Exh. No. BGM-13R -3'!AL24</f>
        <v>0</v>
      </c>
      <c r="AJ23" s="313">
        <f>'Exh. No. BGM-13R -3'!AM24</f>
        <v>0</v>
      </c>
      <c r="AK23" s="313">
        <f>'Exh. No. BGM-13R -3'!AN24</f>
        <v>0</v>
      </c>
      <c r="AL23" s="313">
        <f>'Exh. No. BGM-13R -3'!AO24</f>
        <v>822</v>
      </c>
      <c r="AM23" s="313">
        <f>'Exh. No. BGM-13R -3'!AQ24</f>
        <v>0</v>
      </c>
      <c r="AN23" s="313">
        <f>'Exh. No. BGM-13R -3'!AR24</f>
        <v>0</v>
      </c>
      <c r="AO23" s="623">
        <f>'Exh. No. BGM-13R -3'!AS24</f>
        <v>0</v>
      </c>
      <c r="AP23" s="623">
        <f>'Exh. No. BGM-13R -3'!AT24</f>
        <v>0</v>
      </c>
      <c r="AQ23" s="623">
        <f>'Exh. No. BGM-13R -3'!AU24</f>
        <v>0</v>
      </c>
      <c r="AR23" s="623">
        <f>'Exh. No. BGM-13R -3'!AV24</f>
        <v>0</v>
      </c>
      <c r="AS23" s="623">
        <f>'Exh. No. BGM-13R -3'!AW24</f>
        <v>0</v>
      </c>
      <c r="AT23" s="313">
        <f>'Exh. No. BGM-13R -3'!AY24</f>
        <v>0</v>
      </c>
      <c r="AU23" s="623">
        <f>'Exh. No. BGM-13R -3'!BE24</f>
        <v>0</v>
      </c>
      <c r="AV23" s="623">
        <f>'Exh. No. BGM-13R -3'!BF24</f>
        <v>0</v>
      </c>
      <c r="AW23" s="623">
        <f>'Exh. No. BGM-13R -3'!BG24</f>
        <v>0</v>
      </c>
      <c r="AX23" s="623">
        <f>'Exh. No. BGM-13R -3'!BH24</f>
        <v>0</v>
      </c>
      <c r="AY23" s="623">
        <f>'Exh. No. BGM-13R -3'!BI24</f>
        <v>0</v>
      </c>
      <c r="AZ23" s="623">
        <f>'Exh. No. BGM-13R -3'!BJ24</f>
        <v>0</v>
      </c>
      <c r="BA23" s="623">
        <f>'Exh. No. BGM-13R -3'!BK24</f>
        <v>0</v>
      </c>
      <c r="BB23" s="623">
        <f>'Exh. No. BGM-13R -3'!BM24</f>
        <v>0</v>
      </c>
    </row>
    <row r="24" spans="1:54" s="22" customFormat="1">
      <c r="A24" s="20">
        <f>'Exh. No. BGM-13R -3'!A25</f>
        <v>8</v>
      </c>
      <c r="C24" s="22" t="str">
        <f>'Exh. No. BGM-13R -3'!C25</f>
        <v xml:space="preserve">Purchased Power  </v>
      </c>
      <c r="E24" s="128">
        <f>'Exh. No. BGM-13R -3'!E25</f>
        <v>115031</v>
      </c>
      <c r="F24" s="313">
        <f>'Exh. No. BGM-13R -3'!F25</f>
        <v>0</v>
      </c>
      <c r="G24" s="313">
        <f>'Exh. No. BGM-13R -3'!G25</f>
        <v>0</v>
      </c>
      <c r="H24" s="313">
        <f>'Exh. No. BGM-13R -3'!H25</f>
        <v>0</v>
      </c>
      <c r="I24" s="623">
        <f>'Exh. No. BGM-13R -3'!I25</f>
        <v>0</v>
      </c>
      <c r="J24" s="313">
        <f>'Exh. No. BGM-13R -3'!J25</f>
        <v>0</v>
      </c>
      <c r="K24" s="313">
        <f>'Exh. No. BGM-13R -3'!K25</f>
        <v>0</v>
      </c>
      <c r="L24" s="313">
        <f>'Exh. No. BGM-13R -3'!L25</f>
        <v>0</v>
      </c>
      <c r="M24" s="313">
        <f>'Exh. No. BGM-13R -3'!M25</f>
        <v>0</v>
      </c>
      <c r="N24" s="313">
        <f>'Exh. No. BGM-13R -3'!N25</f>
        <v>0</v>
      </c>
      <c r="O24" s="313">
        <f>'Exh. No. BGM-13R -3'!O25</f>
        <v>0</v>
      </c>
      <c r="P24" s="313">
        <f>'Exh. No. BGM-13R -3'!P25</f>
        <v>0</v>
      </c>
      <c r="Q24" s="313">
        <f>'Exh. No. BGM-13R -3'!Q25</f>
        <v>0</v>
      </c>
      <c r="R24" s="313">
        <f>'Exh. No. BGM-13R -3'!R25</f>
        <v>0</v>
      </c>
      <c r="S24" s="313">
        <f>'Exh. No. BGM-13R -3'!S25</f>
        <v>0</v>
      </c>
      <c r="T24" s="313">
        <f>'Exh. No. BGM-13R -3'!T25</f>
        <v>0</v>
      </c>
      <c r="U24" s="313">
        <f>'Exh. No. BGM-13R -3'!U25</f>
        <v>0</v>
      </c>
      <c r="V24" s="313">
        <f>'Exh. No. BGM-13R -3'!V25</f>
        <v>0</v>
      </c>
      <c r="W24" s="313">
        <f>'Exh. No. BGM-13R -3'!W25</f>
        <v>0</v>
      </c>
      <c r="X24" s="313">
        <f>'Exh. No. BGM-13R -3'!X25</f>
        <v>0</v>
      </c>
      <c r="Y24" s="313">
        <f>'Exh. No. BGM-13R -3'!Y25</f>
        <v>0</v>
      </c>
      <c r="Z24" s="313">
        <f>'Exh. No. BGM-13R -3'!AC25</f>
        <v>-44662.570999999996</v>
      </c>
      <c r="AA24" s="313">
        <f>'Exh. No. BGM-13R -3'!AD25</f>
        <v>0</v>
      </c>
      <c r="AB24" s="313">
        <f>'Exh. No. BGM-13R -3'!AE25</f>
        <v>0</v>
      </c>
      <c r="AC24" s="313">
        <f>'Exh. No. BGM-13R -3'!AF25</f>
        <v>0</v>
      </c>
      <c r="AD24" s="313">
        <f>'Exh. No. BGM-13R -3'!AG25</f>
        <v>0</v>
      </c>
      <c r="AE24" s="313">
        <f>'Exh. No. BGM-13R -3'!AH25</f>
        <v>0</v>
      </c>
      <c r="AF24" s="313">
        <f>'Exh. No. BGM-13R -3'!AI25</f>
        <v>0</v>
      </c>
      <c r="AG24" s="313">
        <f>'Exh. No. BGM-13R -3'!AJ25</f>
        <v>0</v>
      </c>
      <c r="AH24" s="313">
        <f>'Exh. No. BGM-13R -3'!AK25</f>
        <v>0</v>
      </c>
      <c r="AI24" s="313">
        <f>'Exh. No. BGM-13R -3'!AL25</f>
        <v>0</v>
      </c>
      <c r="AJ24" s="313">
        <f>'Exh. No. BGM-13R -3'!AM25</f>
        <v>0</v>
      </c>
      <c r="AK24" s="313">
        <f>'Exh. No. BGM-13R -3'!AN25</f>
        <v>0</v>
      </c>
      <c r="AL24" s="313">
        <f>'Exh. No. BGM-13R -3'!AO25</f>
        <v>0</v>
      </c>
      <c r="AM24" s="313">
        <f>'Exh. No. BGM-13R -3'!AQ25</f>
        <v>0</v>
      </c>
      <c r="AN24" s="313">
        <f>'Exh. No. BGM-13R -3'!AR25</f>
        <v>0</v>
      </c>
      <c r="AO24" s="623">
        <f>'Exh. No. BGM-13R -3'!AS25</f>
        <v>0</v>
      </c>
      <c r="AP24" s="623">
        <f>'Exh. No. BGM-13R -3'!AT25</f>
        <v>0</v>
      </c>
      <c r="AQ24" s="623">
        <f>'Exh. No. BGM-13R -3'!AU25</f>
        <v>0</v>
      </c>
      <c r="AR24" s="623">
        <f>'Exh. No. BGM-13R -3'!AV25</f>
        <v>0</v>
      </c>
      <c r="AS24" s="623">
        <f>'Exh. No. BGM-13R -3'!AW25</f>
        <v>0</v>
      </c>
      <c r="AT24" s="313">
        <f>'Exh. No. BGM-13R -3'!AY25</f>
        <v>0</v>
      </c>
      <c r="AU24" s="623">
        <f>'Exh. No. BGM-13R -3'!BE25</f>
        <v>0</v>
      </c>
      <c r="AV24" s="623">
        <f>'Exh. No. BGM-13R -3'!BF25</f>
        <v>0</v>
      </c>
      <c r="AW24" s="623">
        <f>'Exh. No. BGM-13R -3'!BG25</f>
        <v>0</v>
      </c>
      <c r="AX24" s="623">
        <f>'Exh. No. BGM-13R -3'!BH25</f>
        <v>0</v>
      </c>
      <c r="AY24" s="623">
        <f>'Exh. No. BGM-13R -3'!BI25</f>
        <v>0</v>
      </c>
      <c r="AZ24" s="623">
        <f>'Exh. No. BGM-13R -3'!BJ25</f>
        <v>0</v>
      </c>
      <c r="BA24" s="623">
        <f>'Exh. No. BGM-13R -3'!BK25</f>
        <v>0</v>
      </c>
      <c r="BB24" s="623">
        <f>'Exh. No. BGM-13R -3'!BM25</f>
        <v>0</v>
      </c>
    </row>
    <row r="25" spans="1:54" s="22" customFormat="1">
      <c r="A25" s="20">
        <f>'Exh. No. BGM-13R -3'!A26</f>
        <v>9</v>
      </c>
      <c r="C25" s="22" t="str">
        <f>'Exh. No. BGM-13R -3'!C26</f>
        <v xml:space="preserve">Depreciation/Amortization  </v>
      </c>
      <c r="E25" s="128">
        <f>'Exh. No. BGM-13R -3'!E26</f>
        <v>24379</v>
      </c>
      <c r="F25" s="313">
        <f>'Exh. No. BGM-13R -3'!F26</f>
        <v>0</v>
      </c>
      <c r="G25" s="313">
        <f>'Exh. No. BGM-13R -3'!G26</f>
        <v>0</v>
      </c>
      <c r="H25" s="313">
        <f>'Exh. No. BGM-13R -3'!H26</f>
        <v>0</v>
      </c>
      <c r="I25" s="623">
        <f>'Exh. No. BGM-13R -3'!I26</f>
        <v>0</v>
      </c>
      <c r="J25" s="313">
        <f>'Exh. No. BGM-13R -3'!J26</f>
        <v>0</v>
      </c>
      <c r="K25" s="313">
        <f>'Exh. No. BGM-13R -3'!K26</f>
        <v>0</v>
      </c>
      <c r="L25" s="313">
        <f>'Exh. No. BGM-13R -3'!L26</f>
        <v>0</v>
      </c>
      <c r="M25" s="313">
        <f>'Exh. No. BGM-13R -3'!M26</f>
        <v>0</v>
      </c>
      <c r="N25" s="313">
        <f>'Exh. No. BGM-13R -3'!N26</f>
        <v>0</v>
      </c>
      <c r="O25" s="313">
        <f>'Exh. No. BGM-13R -3'!O26</f>
        <v>0</v>
      </c>
      <c r="P25" s="313">
        <f>'Exh. No. BGM-13R -3'!P26</f>
        <v>0</v>
      </c>
      <c r="Q25" s="313">
        <f>'Exh. No. BGM-13R -3'!Q26</f>
        <v>0</v>
      </c>
      <c r="R25" s="313">
        <f>'Exh. No. BGM-13R -3'!R26</f>
        <v>0</v>
      </c>
      <c r="S25" s="313">
        <f>'Exh. No. BGM-13R -3'!S26</f>
        <v>0</v>
      </c>
      <c r="T25" s="313">
        <f>'Exh. No. BGM-13R -3'!T26</f>
        <v>0</v>
      </c>
      <c r="U25" s="313">
        <f>'Exh. No. BGM-13R -3'!U26</f>
        <v>0</v>
      </c>
      <c r="V25" s="313">
        <f>'Exh. No. BGM-13R -3'!V26</f>
        <v>0</v>
      </c>
      <c r="W25" s="313">
        <f>'Exh. No. BGM-13R -3'!W26</f>
        <v>0</v>
      </c>
      <c r="X25" s="313">
        <f>'Exh. No. BGM-13R -3'!X26</f>
        <v>0</v>
      </c>
      <c r="Y25" s="313">
        <f>'Exh. No. BGM-13R -3'!Y26</f>
        <v>0</v>
      </c>
      <c r="Z25" s="313">
        <f>'Exh. No. BGM-13R -3'!AC26</f>
        <v>0</v>
      </c>
      <c r="AA25" s="313">
        <f>'Exh. No. BGM-13R -3'!AD26</f>
        <v>0</v>
      </c>
      <c r="AB25" s="313">
        <f>'Exh. No. BGM-13R -3'!AE26</f>
        <v>0</v>
      </c>
      <c r="AC25" s="313">
        <f>'Exh. No. BGM-13R -3'!AF26</f>
        <v>0</v>
      </c>
      <c r="AD25" s="313">
        <f>'Exh. No. BGM-13R -3'!AG26</f>
        <v>0</v>
      </c>
      <c r="AE25" s="313">
        <f>'Exh. No. BGM-13R -3'!AH26</f>
        <v>0</v>
      </c>
      <c r="AF25" s="313">
        <f>'Exh. No. BGM-13R -3'!AI26</f>
        <v>0</v>
      </c>
      <c r="AG25" s="313">
        <f>'Exh. No. BGM-13R -3'!AJ26</f>
        <v>0</v>
      </c>
      <c r="AH25" s="313">
        <f>'Exh. No. BGM-13R -3'!AK26</f>
        <v>0</v>
      </c>
      <c r="AI25" s="313">
        <f>'Exh. No. BGM-13R -3'!AL26</f>
        <v>546</v>
      </c>
      <c r="AJ25" s="313">
        <f>'Exh. No. BGM-13R -3'!AM26</f>
        <v>447</v>
      </c>
      <c r="AK25" s="313">
        <f>'Exh. No. BGM-13R -3'!AN26</f>
        <v>0</v>
      </c>
      <c r="AL25" s="313">
        <f>'Exh. No. BGM-13R -3'!AO26</f>
        <v>0</v>
      </c>
      <c r="AM25" s="313">
        <f>'Exh. No. BGM-13R -3'!AQ26</f>
        <v>0</v>
      </c>
      <c r="AN25" s="313">
        <f>'Exh. No. BGM-13R -3'!AR26</f>
        <v>0</v>
      </c>
      <c r="AO25" s="623">
        <f>'Exh. No. BGM-13R -3'!AS26</f>
        <v>0</v>
      </c>
      <c r="AP25" s="623">
        <f>'Exh. No. BGM-13R -3'!AT26</f>
        <v>0</v>
      </c>
      <c r="AQ25" s="623">
        <f>'Exh. No. BGM-13R -3'!AU26</f>
        <v>0</v>
      </c>
      <c r="AR25" s="623">
        <f>'Exh. No. BGM-13R -3'!AV26</f>
        <v>0</v>
      </c>
      <c r="AS25" s="623">
        <f>'Exh. No. BGM-13R -3'!AW26</f>
        <v>0</v>
      </c>
      <c r="AT25" s="313">
        <f>'Exh. No. BGM-13R -3'!AY26</f>
        <v>0</v>
      </c>
      <c r="AU25" s="623">
        <f>'Exh. No. BGM-13R -3'!BE26</f>
        <v>0</v>
      </c>
      <c r="AV25" s="623">
        <f>'Exh. No. BGM-13R -3'!BF26</f>
        <v>0</v>
      </c>
      <c r="AW25" s="623">
        <f>'Exh. No. BGM-13R -3'!BG26</f>
        <v>0</v>
      </c>
      <c r="AX25" s="623">
        <f>'Exh. No. BGM-13R -3'!BH26</f>
        <v>0</v>
      </c>
      <c r="AY25" s="623">
        <f>'Exh. No. BGM-13R -3'!BI26</f>
        <v>0</v>
      </c>
      <c r="AZ25" s="623">
        <f>'Exh. No. BGM-13R -3'!BJ26</f>
        <v>0</v>
      </c>
      <c r="BA25" s="623">
        <f>'Exh. No. BGM-13R -3'!BK26</f>
        <v>0</v>
      </c>
      <c r="BB25" s="623">
        <f>'Exh. No. BGM-13R -3'!BM26</f>
        <v>0</v>
      </c>
    </row>
    <row r="26" spans="1:54" s="22" customFormat="1">
      <c r="A26" s="20">
        <f>'Exh. No. BGM-13R -3'!A27</f>
        <v>10</v>
      </c>
      <c r="C26" s="128" t="str">
        <f>'Exh. No. BGM-13R -3'!C27</f>
        <v>Regulatory Amortization</v>
      </c>
      <c r="D26" s="128"/>
      <c r="E26" s="128">
        <f>'Exh. No. BGM-13R -3'!E27</f>
        <v>-1445</v>
      </c>
      <c r="F26" s="314">
        <f>'Exh. No. BGM-13R -3'!F27</f>
        <v>0</v>
      </c>
      <c r="G26" s="314">
        <f>'Exh. No. BGM-13R -3'!G27</f>
        <v>-1360</v>
      </c>
      <c r="H26" s="314">
        <f>'Exh. No. BGM-13R -3'!H27</f>
        <v>0</v>
      </c>
      <c r="I26" s="624">
        <f>'Exh. No. BGM-13R -3'!I27</f>
        <v>0</v>
      </c>
      <c r="J26" s="314">
        <f>'Exh. No. BGM-13R -3'!J27</f>
        <v>0</v>
      </c>
      <c r="K26" s="314">
        <f>'Exh. No. BGM-13R -3'!K27</f>
        <v>0</v>
      </c>
      <c r="L26" s="314">
        <f>'Exh. No. BGM-13R -3'!L27</f>
        <v>0</v>
      </c>
      <c r="M26" s="314">
        <f>'Exh. No. BGM-13R -3'!M27</f>
        <v>0</v>
      </c>
      <c r="N26" s="314">
        <f>'Exh. No. BGM-13R -3'!N27</f>
        <v>0</v>
      </c>
      <c r="O26" s="314">
        <f>'Exh. No. BGM-13R -3'!O27</f>
        <v>0</v>
      </c>
      <c r="P26" s="314">
        <f>'Exh. No. BGM-13R -3'!P27</f>
        <v>0</v>
      </c>
      <c r="Q26" s="314">
        <f>'Exh. No. BGM-13R -3'!Q27</f>
        <v>0</v>
      </c>
      <c r="R26" s="314">
        <f>'Exh. No. BGM-13R -3'!R27</f>
        <v>0</v>
      </c>
      <c r="S26" s="314">
        <f>'Exh. No. BGM-13R -3'!S27</f>
        <v>0</v>
      </c>
      <c r="T26" s="314">
        <f>'Exh. No. BGM-13R -3'!T27</f>
        <v>8029</v>
      </c>
      <c r="U26" s="314">
        <f>'Exh. No. BGM-13R -3'!U27</f>
        <v>0</v>
      </c>
      <c r="V26" s="314">
        <f>'Exh. No. BGM-13R -3'!V27</f>
        <v>0</v>
      </c>
      <c r="W26" s="314">
        <f>'Exh. No. BGM-13R -3'!W27</f>
        <v>0</v>
      </c>
      <c r="X26" s="314">
        <f>'Exh. No. BGM-13R -3'!X27</f>
        <v>0</v>
      </c>
      <c r="Y26" s="314">
        <f>'Exh. No. BGM-13R -3'!Y27</f>
        <v>0</v>
      </c>
      <c r="Z26" s="314">
        <f>'Exh. No. BGM-13R -3'!AC27</f>
        <v>0</v>
      </c>
      <c r="AA26" s="314">
        <f>'Exh. No. BGM-13R -3'!AD27</f>
        <v>0</v>
      </c>
      <c r="AB26" s="314">
        <f>'Exh. No. BGM-13R -3'!AE27</f>
        <v>0</v>
      </c>
      <c r="AC26" s="314">
        <f>'Exh. No. BGM-13R -3'!AF27</f>
        <v>0</v>
      </c>
      <c r="AD26" s="314">
        <f>'Exh. No. BGM-13R -3'!AG27</f>
        <v>0</v>
      </c>
      <c r="AE26" s="314">
        <f>'Exh. No. BGM-13R -3'!AH27</f>
        <v>-1705</v>
      </c>
      <c r="AF26" s="314">
        <f>'Exh. No. BGM-13R -3'!AI27</f>
        <v>0</v>
      </c>
      <c r="AG26" s="314">
        <f>'Exh. No. BGM-13R -3'!AJ27</f>
        <v>0</v>
      </c>
      <c r="AH26" s="314">
        <f>'Exh. No. BGM-13R -3'!AK27</f>
        <v>0</v>
      </c>
      <c r="AI26" s="314">
        <f>'Exh. No. BGM-13R -3'!AL27</f>
        <v>0</v>
      </c>
      <c r="AJ26" s="314">
        <f>'Exh. No. BGM-13R -3'!AM27</f>
        <v>0</v>
      </c>
      <c r="AK26" s="314">
        <f>'Exh. No. BGM-13R -3'!AN27</f>
        <v>0</v>
      </c>
      <c r="AL26" s="314">
        <f>'Exh. No. BGM-13R -3'!AO27</f>
        <v>0</v>
      </c>
      <c r="AM26" s="314">
        <f>'Exh. No. BGM-13R -3'!AQ27</f>
        <v>0</v>
      </c>
      <c r="AN26" s="314">
        <f>'Exh. No. BGM-13R -3'!AR27</f>
        <v>0</v>
      </c>
      <c r="AO26" s="624">
        <f>'Exh. No. BGM-13R -3'!AS27</f>
        <v>0</v>
      </c>
      <c r="AP26" s="624">
        <f>'Exh. No. BGM-13R -3'!AT27</f>
        <v>0</v>
      </c>
      <c r="AQ26" s="624">
        <f>'Exh. No. BGM-13R -3'!AU27</f>
        <v>0</v>
      </c>
      <c r="AR26" s="624">
        <f>'Exh. No. BGM-13R -3'!AV27</f>
        <v>0</v>
      </c>
      <c r="AS26" s="624">
        <f>'Exh. No. BGM-13R -3'!AW27</f>
        <v>0</v>
      </c>
      <c r="AT26" s="314">
        <f>'Exh. No. BGM-13R -3'!AY27</f>
        <v>0</v>
      </c>
      <c r="AU26" s="624">
        <f>'Exh. No. BGM-13R -3'!BE27</f>
        <v>0</v>
      </c>
      <c r="AV26" s="624">
        <f>'Exh. No. BGM-13R -3'!BF27</f>
        <v>0</v>
      </c>
      <c r="AW26" s="624">
        <f>'Exh. No. BGM-13R -3'!BG27</f>
        <v>0</v>
      </c>
      <c r="AX26" s="624">
        <f>'Exh. No. BGM-13R -3'!BH27</f>
        <v>0</v>
      </c>
      <c r="AY26" s="624">
        <f>'Exh. No. BGM-13R -3'!BI27</f>
        <v>0</v>
      </c>
      <c r="AZ26" s="624">
        <f>'Exh. No. BGM-13R -3'!BJ27</f>
        <v>0</v>
      </c>
      <c r="BA26" s="624">
        <f>'Exh. No. BGM-13R -3'!BK27</f>
        <v>0</v>
      </c>
      <c r="BB26" s="624">
        <f>'Exh. No. BGM-13R -3'!BM27</f>
        <v>0</v>
      </c>
    </row>
    <row r="27" spans="1:54" s="22" customFormat="1">
      <c r="A27" s="20">
        <f>'Exh. No. BGM-13R -3'!A28</f>
        <v>11</v>
      </c>
      <c r="C27" s="22" t="str">
        <f>'Exh. No. BGM-13R -3'!C28</f>
        <v xml:space="preserve">Taxes  </v>
      </c>
      <c r="E27" s="376">
        <f>'Exh. No. BGM-13R -3'!E28</f>
        <v>13890</v>
      </c>
      <c r="F27" s="315">
        <f>'Exh. No. BGM-13R -3'!F28</f>
        <v>0</v>
      </c>
      <c r="G27" s="315">
        <f>'Exh. No. BGM-13R -3'!G28</f>
        <v>0</v>
      </c>
      <c r="H27" s="315">
        <f>'Exh. No. BGM-13R -3'!H28</f>
        <v>0</v>
      </c>
      <c r="I27" s="625">
        <f>'Exh. No. BGM-13R -3'!I28</f>
        <v>0</v>
      </c>
      <c r="J27" s="315">
        <f>'Exh. No. BGM-13R -3'!J28</f>
        <v>0</v>
      </c>
      <c r="K27" s="315">
        <f>'Exh. No. BGM-13R -3'!K28</f>
        <v>-454</v>
      </c>
      <c r="L27" s="315">
        <f>'Exh. No. BGM-13R -3'!L28</f>
        <v>0</v>
      </c>
      <c r="M27" s="315">
        <f>'Exh. No. BGM-13R -3'!M28</f>
        <v>0</v>
      </c>
      <c r="N27" s="315">
        <f>'Exh. No. BGM-13R -3'!N28</f>
        <v>0</v>
      </c>
      <c r="O27" s="315">
        <f>'Exh. No. BGM-13R -3'!O28</f>
        <v>0</v>
      </c>
      <c r="P27" s="315">
        <f>'Exh. No. BGM-13R -3'!P28</f>
        <v>0</v>
      </c>
      <c r="Q27" s="315">
        <f>'Exh. No. BGM-13R -3'!Q28</f>
        <v>0</v>
      </c>
      <c r="R27" s="315">
        <f>'Exh. No. BGM-13R -3'!R28</f>
        <v>0</v>
      </c>
      <c r="S27" s="315">
        <f>'Exh. No. BGM-13R -3'!S28</f>
        <v>0</v>
      </c>
      <c r="T27" s="315">
        <f>'Exh. No. BGM-13R -3'!T28</f>
        <v>0</v>
      </c>
      <c r="U27" s="315">
        <f>'Exh. No. BGM-13R -3'!U28</f>
        <v>0</v>
      </c>
      <c r="V27" s="315">
        <f>'Exh. No. BGM-13R -3'!V28</f>
        <v>0</v>
      </c>
      <c r="W27" s="315">
        <f>'Exh. No. BGM-13R -3'!W28</f>
        <v>0</v>
      </c>
      <c r="X27" s="315">
        <f>'Exh. No. BGM-13R -3'!X28</f>
        <v>0</v>
      </c>
      <c r="Y27" s="315">
        <f>'Exh. No. BGM-13R -3'!Y28</f>
        <v>0</v>
      </c>
      <c r="Z27" s="315">
        <f>'Exh. No. BGM-13R -3'!AC28</f>
        <v>0</v>
      </c>
      <c r="AA27" s="315">
        <f>'Exh. No. BGM-13R -3'!AD28</f>
        <v>0</v>
      </c>
      <c r="AB27" s="315">
        <f>'Exh. No. BGM-13R -3'!AE28</f>
        <v>0</v>
      </c>
      <c r="AC27" s="315">
        <f>'Exh. No. BGM-13R -3'!AF28</f>
        <v>0</v>
      </c>
      <c r="AD27" s="315">
        <f>'Exh. No. BGM-13R -3'!AG28</f>
        <v>0</v>
      </c>
      <c r="AE27" s="315">
        <f>'Exh. No. BGM-13R -3'!AH28</f>
        <v>0</v>
      </c>
      <c r="AF27" s="625">
        <f>'Exh. No. BGM-13R -3'!AI28</f>
        <v>637</v>
      </c>
      <c r="AG27" s="315">
        <f>'Exh. No. BGM-13R -3'!AJ28</f>
        <v>0</v>
      </c>
      <c r="AH27" s="315">
        <f>'Exh. No. BGM-13R -3'!AK28</f>
        <v>0</v>
      </c>
      <c r="AI27" s="315">
        <f>'Exh. No. BGM-13R -3'!AL28</f>
        <v>0</v>
      </c>
      <c r="AJ27" s="315">
        <f>'Exh. No. BGM-13R -3'!AM28</f>
        <v>0</v>
      </c>
      <c r="AK27" s="315">
        <f>'Exh. No. BGM-13R -3'!AN28</f>
        <v>0</v>
      </c>
      <c r="AL27" s="315">
        <f>'Exh. No. BGM-13R -3'!AO28</f>
        <v>0</v>
      </c>
      <c r="AM27" s="315">
        <f>'Exh. No. BGM-13R -3'!AQ28</f>
        <v>0</v>
      </c>
      <c r="AN27" s="315">
        <f>'Exh. No. BGM-13R -3'!AR28</f>
        <v>0</v>
      </c>
      <c r="AO27" s="625">
        <f>'Exh. No. BGM-13R -3'!AS28</f>
        <v>0</v>
      </c>
      <c r="AP27" s="625">
        <f>'Exh. No. BGM-13R -3'!AT28</f>
        <v>0</v>
      </c>
      <c r="AQ27" s="625">
        <f>'Exh. No. BGM-13R -3'!AU28</f>
        <v>0</v>
      </c>
      <c r="AR27" s="625">
        <f>'Exh. No. BGM-13R -3'!AV28</f>
        <v>0</v>
      </c>
      <c r="AS27" s="625">
        <f>'Exh. No. BGM-13R -3'!AW28</f>
        <v>0</v>
      </c>
      <c r="AT27" s="315">
        <f>'Exh. No. BGM-13R -3'!AY28</f>
        <v>0</v>
      </c>
      <c r="AU27" s="625">
        <f>'Exh. No. BGM-13R -3'!BE28</f>
        <v>0</v>
      </c>
      <c r="AV27" s="625">
        <f>'Exh. No. BGM-13R -3'!BF28</f>
        <v>0</v>
      </c>
      <c r="AW27" s="625">
        <f>'Exh. No. BGM-13R -3'!BG28</f>
        <v>0</v>
      </c>
      <c r="AX27" s="625">
        <f>'Exh. No. BGM-13R -3'!BH28</f>
        <v>0</v>
      </c>
      <c r="AY27" s="625">
        <f>'Exh. No. BGM-13R -3'!BI28</f>
        <v>0</v>
      </c>
      <c r="AZ27" s="625">
        <f>'Exh. No. BGM-13R -3'!BJ28</f>
        <v>0</v>
      </c>
      <c r="BA27" s="625">
        <f>'Exh. No. BGM-13R -3'!BK28</f>
        <v>0</v>
      </c>
      <c r="BB27" s="625">
        <f>'Exh. No. BGM-13R -3'!BM28</f>
        <v>0</v>
      </c>
    </row>
    <row r="28" spans="1:54" s="22" customFormat="1">
      <c r="A28" s="20">
        <f>'Exh. No. BGM-13R -3'!A29</f>
        <v>12</v>
      </c>
      <c r="B28" s="22" t="str">
        <f>'Exh. No. BGM-13R -3'!B29</f>
        <v xml:space="preserve">Total Production &amp; Transmission  </v>
      </c>
      <c r="E28" s="128">
        <f>'Exh. No. BGM-13R -3'!E29</f>
        <v>340865</v>
      </c>
      <c r="F28" s="264">
        <f>'Exh. No. BGM-13R -3'!F29</f>
        <v>0</v>
      </c>
      <c r="G28" s="264">
        <f>'Exh. No. BGM-13R -3'!G29</f>
        <v>-5085</v>
      </c>
      <c r="H28" s="264">
        <f>'Exh. No. BGM-13R -3'!H29</f>
        <v>0</v>
      </c>
      <c r="I28" s="601">
        <f>'Exh. No. BGM-13R -3'!I29</f>
        <v>0</v>
      </c>
      <c r="J28" s="264">
        <f>'Exh. No. BGM-13R -3'!J29</f>
        <v>0</v>
      </c>
      <c r="K28" s="264">
        <f>'Exh. No. BGM-13R -3'!K29</f>
        <v>-454</v>
      </c>
      <c r="L28" s="264">
        <f>'Exh. No. BGM-13R -3'!L29</f>
        <v>0</v>
      </c>
      <c r="M28" s="264">
        <f>'Exh. No. BGM-13R -3'!M29</f>
        <v>0</v>
      </c>
      <c r="N28" s="264">
        <f>'Exh. No. BGM-13R -3'!N29</f>
        <v>0</v>
      </c>
      <c r="O28" s="264">
        <f>'Exh. No. BGM-13R -3'!O29</f>
        <v>0</v>
      </c>
      <c r="P28" s="264">
        <f>'Exh. No. BGM-13R -3'!P29</f>
        <v>0</v>
      </c>
      <c r="Q28" s="264">
        <f>'Exh. No. BGM-13R -3'!Q29</f>
        <v>0</v>
      </c>
      <c r="R28" s="264">
        <f>'Exh. No. BGM-13R -3'!R29</f>
        <v>0</v>
      </c>
      <c r="S28" s="264">
        <f>'Exh. No. BGM-13R -3'!S29</f>
        <v>0</v>
      </c>
      <c r="T28" s="264">
        <f>'Exh. No. BGM-13R -3'!T29</f>
        <v>7823</v>
      </c>
      <c r="U28" s="264">
        <f>'Exh. No. BGM-13R -3'!U29</f>
        <v>-1</v>
      </c>
      <c r="V28" s="264">
        <f>'Exh. No. BGM-13R -3'!V29</f>
        <v>4557</v>
      </c>
      <c r="W28" s="264">
        <f>'Exh. No. BGM-13R -3'!W29</f>
        <v>-9</v>
      </c>
      <c r="X28" s="264">
        <f>'Exh. No. BGM-13R -3'!X29</f>
        <v>0</v>
      </c>
      <c r="Y28" s="264">
        <f>'Exh. No. BGM-13R -3'!Y29</f>
        <v>290</v>
      </c>
      <c r="Z28" s="264">
        <f>'Exh. No. BGM-13R -3'!AC29</f>
        <v>-107023.8169871</v>
      </c>
      <c r="AA28" s="264">
        <f>'Exh. No. BGM-13R -3'!AD29</f>
        <v>153</v>
      </c>
      <c r="AB28" s="264">
        <f>'Exh. No. BGM-13R -3'!AE29</f>
        <v>410.580556</v>
      </c>
      <c r="AC28" s="264">
        <f>'Exh. No. BGM-13R -3'!AF29</f>
        <v>-31</v>
      </c>
      <c r="AD28" s="264">
        <f>'Exh. No. BGM-13R -3'!AG29</f>
        <v>385</v>
      </c>
      <c r="AE28" s="264">
        <f>'Exh. No. BGM-13R -3'!AH29</f>
        <v>-1705</v>
      </c>
      <c r="AF28" s="264">
        <f>'Exh. No. BGM-13R -3'!AI29</f>
        <v>637</v>
      </c>
      <c r="AG28" s="264">
        <f>'Exh. No. BGM-13R -3'!AJ29</f>
        <v>0</v>
      </c>
      <c r="AH28" s="264">
        <f>'Exh. No. BGM-13R -3'!AK29</f>
        <v>0</v>
      </c>
      <c r="AI28" s="264">
        <f>'Exh. No. BGM-13R -3'!AL29</f>
        <v>546</v>
      </c>
      <c r="AJ28" s="264">
        <f>'Exh. No. BGM-13R -3'!AM29</f>
        <v>447</v>
      </c>
      <c r="AK28" s="264">
        <f>'Exh. No. BGM-13R -3'!AN29</f>
        <v>0</v>
      </c>
      <c r="AL28" s="264">
        <f>'Exh. No. BGM-13R -3'!AO29</f>
        <v>822</v>
      </c>
      <c r="AM28" s="264">
        <f>'Exh. No. BGM-13R -3'!AQ29</f>
        <v>0</v>
      </c>
      <c r="AN28" s="264">
        <f>'Exh. No. BGM-13R -3'!AR29</f>
        <v>0</v>
      </c>
      <c r="AO28" s="601">
        <f>'Exh. No. BGM-13R -3'!AS29</f>
        <v>0</v>
      </c>
      <c r="AP28" s="601">
        <f>'Exh. No. BGM-13R -3'!AT29</f>
        <v>0</v>
      </c>
      <c r="AQ28" s="601">
        <f>'Exh. No. BGM-13R -3'!AU29</f>
        <v>0</v>
      </c>
      <c r="AR28" s="601">
        <f>'Exh. No. BGM-13R -3'!AV29</f>
        <v>0</v>
      </c>
      <c r="AS28" s="601">
        <f>'Exh. No. BGM-13R -3'!AW29</f>
        <v>0</v>
      </c>
      <c r="AT28" s="264">
        <f>'Exh. No. BGM-13R -3'!AY29</f>
        <v>0</v>
      </c>
      <c r="AU28" s="601">
        <f>'Exh. No. BGM-13R -3'!BE29</f>
        <v>0</v>
      </c>
      <c r="AV28" s="601">
        <f>'Exh. No. BGM-13R -3'!BF29</f>
        <v>0</v>
      </c>
      <c r="AW28" s="601">
        <f>'Exh. No. BGM-13R -3'!BG29</f>
        <v>0</v>
      </c>
      <c r="AX28" s="601">
        <f>'Exh. No. BGM-13R -3'!BH29</f>
        <v>0</v>
      </c>
      <c r="AY28" s="601">
        <f>'Exh. No. BGM-13R -3'!BI29</f>
        <v>0</v>
      </c>
      <c r="AZ28" s="601">
        <f>'Exh. No. BGM-13R -3'!BJ29</f>
        <v>0</v>
      </c>
      <c r="BA28" s="601">
        <f>'Exh. No. BGM-13R -3'!BK29</f>
        <v>0</v>
      </c>
      <c r="BB28" s="601">
        <f>'Exh. No. BGM-13R -3'!BM29</f>
        <v>0</v>
      </c>
    </row>
    <row r="29" spans="1:54" s="22" customFormat="1" ht="6.75" customHeight="1">
      <c r="A29" s="20"/>
      <c r="E29" s="128"/>
      <c r="F29" s="264"/>
      <c r="G29" s="264"/>
      <c r="H29" s="264"/>
      <c r="I29" s="601"/>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601"/>
      <c r="AP29" s="601"/>
      <c r="AQ29" s="601"/>
      <c r="AR29" s="601"/>
      <c r="AS29" s="601"/>
      <c r="AT29" s="264"/>
      <c r="AU29" s="601"/>
      <c r="AV29" s="601"/>
      <c r="AW29" s="601"/>
      <c r="AX29" s="601"/>
      <c r="AY29" s="601"/>
      <c r="AZ29" s="601"/>
      <c r="BA29" s="601"/>
      <c r="BB29" s="601"/>
    </row>
    <row r="30" spans="1:54" s="22" customFormat="1">
      <c r="A30" s="20"/>
      <c r="B30" s="22" t="str">
        <f>'Exh. No. BGM-13R -3'!B31</f>
        <v xml:space="preserve">Distribution  </v>
      </c>
      <c r="E30" s="128"/>
      <c r="F30" s="264"/>
      <c r="G30" s="264"/>
      <c r="H30" s="264"/>
      <c r="I30" s="601"/>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601"/>
      <c r="AP30" s="601"/>
      <c r="AQ30" s="601"/>
      <c r="AR30" s="601"/>
      <c r="AS30" s="601"/>
      <c r="AT30" s="264"/>
      <c r="AU30" s="601"/>
      <c r="AV30" s="601"/>
      <c r="AW30" s="601"/>
      <c r="AX30" s="601"/>
      <c r="AY30" s="601"/>
      <c r="AZ30" s="601"/>
      <c r="BA30" s="601"/>
      <c r="BB30" s="601"/>
    </row>
    <row r="31" spans="1:54" s="22" customFormat="1">
      <c r="A31" s="20">
        <f>'Exh. No. BGM-13R -3'!A32</f>
        <v>13</v>
      </c>
      <c r="C31" s="22" t="str">
        <f>'Exh. No. BGM-13R -3'!C32</f>
        <v xml:space="preserve">Operating Expenses  </v>
      </c>
      <c r="E31" s="187">
        <f>'Exh. No. BGM-13R -3'!E32</f>
        <v>22961</v>
      </c>
      <c r="F31" s="313">
        <f>'Exh. No. BGM-13R -3'!F32</f>
        <v>0</v>
      </c>
      <c r="G31" s="313">
        <f>'Exh. No. BGM-13R -3'!G32</f>
        <v>0</v>
      </c>
      <c r="H31" s="313">
        <f>'Exh. No. BGM-13R -3'!H32</f>
        <v>0</v>
      </c>
      <c r="I31" s="623">
        <f>'Exh. No. BGM-13R -3'!I32</f>
        <v>0</v>
      </c>
      <c r="J31" s="313">
        <f>'Exh. No. BGM-13R -3'!J32</f>
        <v>0</v>
      </c>
      <c r="K31" s="313">
        <f>'Exh. No. BGM-13R -3'!K32</f>
        <v>0</v>
      </c>
      <c r="L31" s="313">
        <f>'Exh. No. BGM-13R -3'!L32</f>
        <v>0</v>
      </c>
      <c r="M31" s="313">
        <f>'Exh. No. BGM-13R -3'!M32</f>
        <v>0</v>
      </c>
      <c r="N31" s="313">
        <f>'Exh. No. BGM-13R -3'!N32</f>
        <v>0</v>
      </c>
      <c r="O31" s="313">
        <f>'Exh. No. BGM-13R -3'!O32</f>
        <v>0</v>
      </c>
      <c r="P31" s="313">
        <f>'Exh. No. BGM-13R -3'!P32</f>
        <v>0</v>
      </c>
      <c r="Q31" s="313">
        <f>'Exh. No. BGM-13R -3'!Q32</f>
        <v>0</v>
      </c>
      <c r="R31" s="313">
        <f>'Exh. No. BGM-13R -3'!R32</f>
        <v>0</v>
      </c>
      <c r="S31" s="313">
        <f>'Exh. No. BGM-13R -3'!S32</f>
        <v>0</v>
      </c>
      <c r="T31" s="313">
        <f>'Exh. No. BGM-13R -3'!T32</f>
        <v>0</v>
      </c>
      <c r="U31" s="313">
        <f>'Exh. No. BGM-13R -3'!U32</f>
        <v>-1</v>
      </c>
      <c r="V31" s="313">
        <f>'Exh. No. BGM-13R -3'!V32</f>
        <v>0</v>
      </c>
      <c r="W31" s="313">
        <f>'Exh. No. BGM-13R -3'!W32</f>
        <v>0</v>
      </c>
      <c r="X31" s="313">
        <f>'Exh. No. BGM-13R -3'!X32</f>
        <v>0</v>
      </c>
      <c r="Y31" s="313">
        <f>'Exh. No. BGM-13R -3'!Y32</f>
        <v>213</v>
      </c>
      <c r="Z31" s="313">
        <f>'Exh. No. BGM-13R -3'!AC32</f>
        <v>0</v>
      </c>
      <c r="AA31" s="313">
        <f>'Exh. No. BGM-13R -3'!AD32</f>
        <v>0</v>
      </c>
      <c r="AB31" s="313">
        <f>'Exh. No. BGM-13R -3'!AE32</f>
        <v>297.06371100000001</v>
      </c>
      <c r="AC31" s="313">
        <f>'Exh. No. BGM-13R -3'!AF32</f>
        <v>0</v>
      </c>
      <c r="AD31" s="313">
        <f>'Exh. No. BGM-13R -3'!AG32</f>
        <v>267</v>
      </c>
      <c r="AE31" s="313">
        <f>'Exh. No. BGM-13R -3'!AH32</f>
        <v>0</v>
      </c>
      <c r="AF31" s="313">
        <f>'Exh. No. BGM-13R -3'!AI32</f>
        <v>0</v>
      </c>
      <c r="AG31" s="313">
        <f>'Exh. No. BGM-13R -3'!AJ32</f>
        <v>0</v>
      </c>
      <c r="AH31" s="313">
        <f>'Exh. No. BGM-13R -3'!AK32</f>
        <v>0</v>
      </c>
      <c r="AI31" s="313">
        <f>'Exh. No. BGM-13R -3'!AL32</f>
        <v>0</v>
      </c>
      <c r="AJ31" s="313">
        <f>'Exh. No. BGM-13R -3'!AM32</f>
        <v>0</v>
      </c>
      <c r="AK31" s="313">
        <f>'Exh. No. BGM-13R -3'!AN32</f>
        <v>0</v>
      </c>
      <c r="AL31" s="313">
        <f>'Exh. No. BGM-13R -3'!AO32</f>
        <v>0</v>
      </c>
      <c r="AM31" s="313">
        <f>'Exh. No. BGM-13R -3'!AQ32</f>
        <v>0</v>
      </c>
      <c r="AN31" s="313">
        <f>'Exh. No. BGM-13R -3'!AR32</f>
        <v>0</v>
      </c>
      <c r="AO31" s="623">
        <f>'Exh. No. BGM-13R -3'!AS32</f>
        <v>0</v>
      </c>
      <c r="AP31" s="623">
        <f>'Exh. No. BGM-13R -3'!AT32</f>
        <v>0</v>
      </c>
      <c r="AQ31" s="623">
        <f>'Exh. No. BGM-13R -3'!AU32</f>
        <v>0</v>
      </c>
      <c r="AR31" s="623">
        <f>'Exh. No. BGM-13R -3'!AV32</f>
        <v>0</v>
      </c>
      <c r="AS31" s="623">
        <f>'Exh. No. BGM-13R -3'!AW32</f>
        <v>0</v>
      </c>
      <c r="AT31" s="313">
        <f>'Exh. No. BGM-13R -3'!AY32</f>
        <v>0</v>
      </c>
      <c r="AU31" s="623">
        <f>'Exh. No. BGM-13R -3'!BE32</f>
        <v>0</v>
      </c>
      <c r="AV31" s="623">
        <f>'Exh. No. BGM-13R -3'!BF32</f>
        <v>0</v>
      </c>
      <c r="AW31" s="623">
        <f>'Exh. No. BGM-13R -3'!BG32</f>
        <v>0</v>
      </c>
      <c r="AX31" s="623">
        <f>'Exh. No. BGM-13R -3'!BH32</f>
        <v>0</v>
      </c>
      <c r="AY31" s="623">
        <f>'Exh. No. BGM-13R -3'!BI32</f>
        <v>0</v>
      </c>
      <c r="AZ31" s="623">
        <f>'Exh. No. BGM-13R -3'!BJ32</f>
        <v>0</v>
      </c>
      <c r="BA31" s="623">
        <f>'Exh. No. BGM-13R -3'!BK32</f>
        <v>0</v>
      </c>
      <c r="BB31" s="623">
        <f>'Exh. No. BGM-13R -3'!BM32</f>
        <v>0</v>
      </c>
    </row>
    <row r="32" spans="1:54" s="22" customFormat="1">
      <c r="A32" s="20">
        <f>'Exh. No. BGM-13R -3'!A33</f>
        <v>14</v>
      </c>
      <c r="C32" s="22" t="str">
        <f>'Exh. No. BGM-13R -3'!C33</f>
        <v>Depreciation/Amortization</v>
      </c>
      <c r="E32" s="187">
        <f>'Exh. No. BGM-13R -3'!E33</f>
        <v>25024</v>
      </c>
      <c r="F32" s="313">
        <f>'Exh. No. BGM-13R -3'!F33</f>
        <v>0</v>
      </c>
      <c r="G32" s="313">
        <f>'Exh. No. BGM-13R -3'!G33</f>
        <v>0</v>
      </c>
      <c r="H32" s="313">
        <f>'Exh. No. BGM-13R -3'!H33</f>
        <v>0</v>
      </c>
      <c r="I32" s="623">
        <f>'Exh. No. BGM-13R -3'!I33</f>
        <v>0</v>
      </c>
      <c r="J32" s="313">
        <f>'Exh. No. BGM-13R -3'!J33</f>
        <v>0</v>
      </c>
      <c r="K32" s="313">
        <f>'Exh. No. BGM-13R -3'!K33</f>
        <v>0</v>
      </c>
      <c r="L32" s="313">
        <f>'Exh. No. BGM-13R -3'!L33</f>
        <v>0</v>
      </c>
      <c r="M32" s="313">
        <f>'Exh. No. BGM-13R -3'!M33</f>
        <v>0</v>
      </c>
      <c r="N32" s="313">
        <f>'Exh. No. BGM-13R -3'!N33</f>
        <v>0</v>
      </c>
      <c r="O32" s="313">
        <f>'Exh. No. BGM-13R -3'!O33</f>
        <v>0</v>
      </c>
      <c r="P32" s="313">
        <f>'Exh. No. BGM-13R -3'!P33</f>
        <v>0</v>
      </c>
      <c r="Q32" s="313">
        <f>'Exh. No. BGM-13R -3'!Q33</f>
        <v>0</v>
      </c>
      <c r="R32" s="313">
        <f>'Exh. No. BGM-13R -3'!R33</f>
        <v>-79</v>
      </c>
      <c r="S32" s="313">
        <f>'Exh. No. BGM-13R -3'!S33</f>
        <v>0</v>
      </c>
      <c r="T32" s="313">
        <f>'Exh. No. BGM-13R -3'!T33</f>
        <v>0</v>
      </c>
      <c r="U32" s="313">
        <f>'Exh. No. BGM-13R -3'!U33</f>
        <v>0</v>
      </c>
      <c r="V32" s="313">
        <f>'Exh. No. BGM-13R -3'!V33</f>
        <v>0</v>
      </c>
      <c r="W32" s="313">
        <f>'Exh. No. BGM-13R -3'!W33</f>
        <v>0</v>
      </c>
      <c r="X32" s="313">
        <f>'Exh. No. BGM-13R -3'!X33</f>
        <v>0</v>
      </c>
      <c r="Y32" s="313">
        <f>'Exh. No. BGM-13R -3'!Y33</f>
        <v>0</v>
      </c>
      <c r="Z32" s="313">
        <f>'Exh. No. BGM-13R -3'!AC33</f>
        <v>0</v>
      </c>
      <c r="AA32" s="313">
        <f>'Exh. No. BGM-13R -3'!AD33</f>
        <v>0</v>
      </c>
      <c r="AB32" s="313">
        <f>'Exh. No. BGM-13R -3'!AE33</f>
        <v>0</v>
      </c>
      <c r="AC32" s="313">
        <f>'Exh. No. BGM-13R -3'!AF33</f>
        <v>0</v>
      </c>
      <c r="AD32" s="313">
        <f>'Exh. No. BGM-13R -3'!AG33</f>
        <v>0</v>
      </c>
      <c r="AE32" s="313">
        <f>'Exh. No. BGM-13R -3'!AH33</f>
        <v>0</v>
      </c>
      <c r="AF32" s="313">
        <f>'Exh. No. BGM-13R -3'!AI33</f>
        <v>0</v>
      </c>
      <c r="AG32" s="313">
        <f>'Exh. No. BGM-13R -3'!AJ33</f>
        <v>0</v>
      </c>
      <c r="AH32" s="313">
        <f>'Exh. No. BGM-13R -3'!AK33</f>
        <v>0</v>
      </c>
      <c r="AI32" s="313">
        <f>'Exh. No. BGM-13R -3'!AL33</f>
        <v>430</v>
      </c>
      <c r="AJ32" s="313">
        <f>'Exh. No. BGM-13R -3'!AM33</f>
        <v>0</v>
      </c>
      <c r="AK32" s="313">
        <f>'Exh. No. BGM-13R -3'!AN33</f>
        <v>0</v>
      </c>
      <c r="AL32" s="313">
        <f>'Exh. No. BGM-13R -3'!AO33</f>
        <v>0</v>
      </c>
      <c r="AM32" s="313">
        <f>'Exh. No. BGM-13R -3'!AQ33</f>
        <v>0</v>
      </c>
      <c r="AN32" s="313">
        <f>'Exh. No. BGM-13R -3'!AR33</f>
        <v>0</v>
      </c>
      <c r="AO32" s="623">
        <f>'Exh. No. BGM-13R -3'!AS33</f>
        <v>0</v>
      </c>
      <c r="AP32" s="623">
        <f>'Exh. No. BGM-13R -3'!AT33</f>
        <v>0</v>
      </c>
      <c r="AQ32" s="623">
        <f>'Exh. No. BGM-13R -3'!AU33</f>
        <v>0</v>
      </c>
      <c r="AR32" s="623">
        <f>'Exh. No. BGM-13R -3'!AV33</f>
        <v>0</v>
      </c>
      <c r="AS32" s="623">
        <f>'Exh. No. BGM-13R -3'!AW33</f>
        <v>0</v>
      </c>
      <c r="AT32" s="313">
        <f>'Exh. No. BGM-13R -3'!AY33</f>
        <v>0</v>
      </c>
      <c r="AU32" s="623">
        <f>'Exh. No. BGM-13R -3'!BE33</f>
        <v>0</v>
      </c>
      <c r="AV32" s="623">
        <f>'Exh. No. BGM-13R -3'!BF33</f>
        <v>0</v>
      </c>
      <c r="AW32" s="623">
        <f>'Exh. No. BGM-13R -3'!BG33</f>
        <v>0</v>
      </c>
      <c r="AX32" s="623">
        <f>'Exh. No. BGM-13R -3'!BH33</f>
        <v>0</v>
      </c>
      <c r="AY32" s="623">
        <f>'Exh. No. BGM-13R -3'!BI33</f>
        <v>0</v>
      </c>
      <c r="AZ32" s="623">
        <f>'Exh. No. BGM-13R -3'!BJ33</f>
        <v>0</v>
      </c>
      <c r="BA32" s="623">
        <f>'Exh. No. BGM-13R -3'!BK33</f>
        <v>0</v>
      </c>
      <c r="BB32" s="623">
        <f>'Exh. No. BGM-13R -3'!BM33</f>
        <v>0</v>
      </c>
    </row>
    <row r="33" spans="1:54" s="589" customFormat="1">
      <c r="A33" s="587">
        <f>'Exh. No. BGM-13R -3'!A34</f>
        <v>15</v>
      </c>
      <c r="C33" s="589" t="str">
        <f>'Exh. No. BGM-13R -3'!C34</f>
        <v>Regulatory Amortization</v>
      </c>
      <c r="E33" s="596">
        <f>'Exh. No. BGM-13R -3'!E34</f>
        <v>0</v>
      </c>
      <c r="F33" s="623">
        <f>'Exh. No. BGM-13R -3'!F34</f>
        <v>0</v>
      </c>
      <c r="G33" s="623">
        <f>'Exh. No. BGM-13R -3'!G34</f>
        <v>0</v>
      </c>
      <c r="H33" s="623">
        <f>'Exh. No. BGM-13R -3'!H34</f>
        <v>0</v>
      </c>
      <c r="I33" s="623">
        <f>'Exh. No. BGM-13R -3'!I34</f>
        <v>0</v>
      </c>
      <c r="J33" s="623">
        <f>'Exh. No. BGM-13R -3'!J34</f>
        <v>0</v>
      </c>
      <c r="K33" s="623">
        <f>'Exh. No. BGM-13R -3'!K34</f>
        <v>0</v>
      </c>
      <c r="L33" s="623">
        <f>'Exh. No. BGM-13R -3'!L34</f>
        <v>0</v>
      </c>
      <c r="M33" s="623">
        <f>'Exh. No. BGM-13R -3'!M34</f>
        <v>0</v>
      </c>
      <c r="N33" s="623">
        <f>'Exh. No. BGM-13R -3'!N34</f>
        <v>0</v>
      </c>
      <c r="O33" s="623">
        <f>'Exh. No. BGM-13R -3'!O34</f>
        <v>0</v>
      </c>
      <c r="P33" s="623">
        <f>'Exh. No. BGM-13R -3'!P34</f>
        <v>0</v>
      </c>
      <c r="Q33" s="623">
        <f>'Exh. No. BGM-13R -3'!Q34</f>
        <v>0</v>
      </c>
      <c r="R33" s="623">
        <f>'Exh. No. BGM-13R -3'!R34</f>
        <v>0</v>
      </c>
      <c r="S33" s="623">
        <f>'Exh. No. BGM-13R -3'!S34</f>
        <v>0</v>
      </c>
      <c r="T33" s="623">
        <f>'Exh. No. BGM-13R -3'!T34</f>
        <v>0</v>
      </c>
      <c r="U33" s="623">
        <f>'Exh. No. BGM-13R -3'!U34</f>
        <v>0</v>
      </c>
      <c r="V33" s="623">
        <f>'Exh. No. BGM-13R -3'!V34</f>
        <v>0</v>
      </c>
      <c r="W33" s="623">
        <f>'Exh. No. BGM-13R -3'!W34</f>
        <v>0</v>
      </c>
      <c r="X33" s="623">
        <f>'Exh. No. BGM-13R -3'!X34</f>
        <v>0</v>
      </c>
      <c r="Y33" s="623">
        <f>'Exh. No. BGM-13R -3'!Y34</f>
        <v>0</v>
      </c>
      <c r="Z33" s="623">
        <f>'Exh. No. BGM-13R -3'!AC34</f>
        <v>0</v>
      </c>
      <c r="AA33" s="623">
        <f>'Exh. No. BGM-13R -3'!AD34</f>
        <v>0</v>
      </c>
      <c r="AB33" s="623">
        <f>'Exh. No. BGM-13R -3'!AE34</f>
        <v>0</v>
      </c>
      <c r="AC33" s="623">
        <f>'Exh. No. BGM-13R -3'!AF34</f>
        <v>0</v>
      </c>
      <c r="AD33" s="623">
        <f>'Exh. No. BGM-13R -3'!AG34</f>
        <v>0</v>
      </c>
      <c r="AE33" s="623">
        <f>'Exh. No. BGM-13R -3'!AH34</f>
        <v>0</v>
      </c>
      <c r="AF33" s="623">
        <f>'Exh. No. BGM-13R -3'!AI34</f>
        <v>0</v>
      </c>
      <c r="AG33" s="623">
        <f>'Exh. No. BGM-13R -3'!AJ34</f>
        <v>0</v>
      </c>
      <c r="AH33" s="623">
        <f>'Exh. No. BGM-13R -3'!AK34</f>
        <v>0</v>
      </c>
      <c r="AI33" s="623">
        <f>'Exh. No. BGM-13R -3'!AL34</f>
        <v>0</v>
      </c>
      <c r="AJ33" s="623">
        <f>'Exh. No. BGM-13R -3'!AM34</f>
        <v>0</v>
      </c>
      <c r="AK33" s="623">
        <f>'Exh. No. BGM-13R -3'!AN34</f>
        <v>0</v>
      </c>
      <c r="AL33" s="623">
        <f>'Exh. No. BGM-13R -3'!AO34</f>
        <v>0</v>
      </c>
      <c r="AM33" s="623">
        <f>'Exh. No. BGM-13R -3'!AQ34</f>
        <v>0</v>
      </c>
      <c r="AN33" s="623">
        <f>'Exh. No. BGM-13R -3'!AR34</f>
        <v>0</v>
      </c>
      <c r="AO33" s="623">
        <f>'Exh. No. BGM-13R -3'!AS34</f>
        <v>0</v>
      </c>
      <c r="AP33" s="623">
        <f>'Exh. No. BGM-13R -3'!AT34</f>
        <v>0</v>
      </c>
      <c r="AQ33" s="623">
        <f>'Exh. No. BGM-13R -3'!AU34</f>
        <v>0</v>
      </c>
      <c r="AR33" s="623">
        <f>'Exh. No. BGM-13R -3'!AV34</f>
        <v>0</v>
      </c>
      <c r="AS33" s="623">
        <f>'Exh. No. BGM-13R -3'!AW34</f>
        <v>0</v>
      </c>
      <c r="AT33" s="623">
        <f>'Exh. No. BGM-13R -3'!AY34</f>
        <v>0</v>
      </c>
      <c r="AU33" s="623">
        <f>'Exh. No. BGM-13R -3'!BE34</f>
        <v>0</v>
      </c>
      <c r="AV33" s="623">
        <f>'Exh. No. BGM-13R -3'!BF34</f>
        <v>0</v>
      </c>
      <c r="AW33" s="623">
        <f>'Exh. No. BGM-13R -3'!BG34</f>
        <v>0</v>
      </c>
      <c r="AX33" s="623">
        <f>'Exh. No. BGM-13R -3'!BH34</f>
        <v>0</v>
      </c>
      <c r="AY33" s="623">
        <f>'Exh. No. BGM-13R -3'!BI34</f>
        <v>0</v>
      </c>
      <c r="AZ33" s="623">
        <f>'Exh. No. BGM-13R -3'!BJ34</f>
        <v>0</v>
      </c>
      <c r="BA33" s="623">
        <f>'Exh. No. BGM-13R -3'!BK34</f>
        <v>0</v>
      </c>
      <c r="BB33" s="623">
        <f>'Exh. No. BGM-13R -3'!BM34</f>
        <v>0</v>
      </c>
    </row>
    <row r="34" spans="1:54" s="22" customFormat="1">
      <c r="A34" s="20">
        <f>'Exh. No. BGM-13R -3'!A35</f>
        <v>16</v>
      </c>
      <c r="C34" s="22" t="str">
        <f>'Exh. No. BGM-13R -3'!C35</f>
        <v xml:space="preserve">Taxes  </v>
      </c>
      <c r="E34" s="376">
        <f>'Exh. No. BGM-13R -3'!E35</f>
        <v>45055</v>
      </c>
      <c r="F34" s="315">
        <f>'Exh. No. BGM-13R -3'!F35</f>
        <v>0</v>
      </c>
      <c r="G34" s="315">
        <f>'Exh. No. BGM-13R -3'!G35</f>
        <v>0</v>
      </c>
      <c r="H34" s="315">
        <f>'Exh. No. BGM-13R -3'!H35</f>
        <v>0</v>
      </c>
      <c r="I34" s="625">
        <f>'Exh. No. BGM-13R -3'!I35</f>
        <v>0</v>
      </c>
      <c r="J34" s="315">
        <f>'Exh. No. BGM-13R -3'!J35</f>
        <v>-18028</v>
      </c>
      <c r="K34" s="315">
        <f>'Exh. No. BGM-13R -3'!K35</f>
        <v>121</v>
      </c>
      <c r="L34" s="315">
        <f>'Exh. No. BGM-13R -3'!L35</f>
        <v>0</v>
      </c>
      <c r="M34" s="315">
        <f>'Exh. No. BGM-13R -3'!M35</f>
        <v>0</v>
      </c>
      <c r="N34" s="315">
        <f>'Exh. No. BGM-13R -3'!N35</f>
        <v>0</v>
      </c>
      <c r="O34" s="315">
        <f>'Exh. No. BGM-13R -3'!O35</f>
        <v>0</v>
      </c>
      <c r="P34" s="315">
        <f>'Exh. No. BGM-13R -3'!P35</f>
        <v>0</v>
      </c>
      <c r="Q34" s="315">
        <f>'Exh. No. BGM-13R -3'!Q35</f>
        <v>-333</v>
      </c>
      <c r="R34" s="315">
        <f>'Exh. No. BGM-13R -3'!R35</f>
        <v>0</v>
      </c>
      <c r="S34" s="315">
        <f>'Exh. No. BGM-13R -3'!S35</f>
        <v>120</v>
      </c>
      <c r="T34" s="315">
        <f>'Exh. No. BGM-13R -3'!T35</f>
        <v>-407</v>
      </c>
      <c r="U34" s="315">
        <f>'Exh. No. BGM-13R -3'!U35</f>
        <v>0</v>
      </c>
      <c r="V34" s="315">
        <f>'Exh. No. BGM-13R -3'!V35</f>
        <v>496</v>
      </c>
      <c r="W34" s="315">
        <f>'Exh. No. BGM-13R -3'!W35</f>
        <v>0</v>
      </c>
      <c r="X34" s="315">
        <f>'Exh. No. BGM-13R -3'!X35</f>
        <v>0</v>
      </c>
      <c r="Y34" s="315">
        <f>'Exh. No. BGM-13R -3'!Y35</f>
        <v>0</v>
      </c>
      <c r="Z34" s="315">
        <f>'Exh. No. BGM-13R -3'!AC35</f>
        <v>0</v>
      </c>
      <c r="AA34" s="315">
        <f>'Exh. No. BGM-13R -3'!AD35</f>
        <v>0</v>
      </c>
      <c r="AB34" s="315">
        <f>'Exh. No. BGM-13R -3'!AE35</f>
        <v>0</v>
      </c>
      <c r="AC34" s="315">
        <f>'Exh. No. BGM-13R -3'!AF35</f>
        <v>0</v>
      </c>
      <c r="AD34" s="315">
        <f>'Exh. No. BGM-13R -3'!AG35</f>
        <v>0</v>
      </c>
      <c r="AE34" s="315">
        <f>'Exh. No. BGM-13R -3'!AH35</f>
        <v>0</v>
      </c>
      <c r="AF34" s="315">
        <f>'Exh. No. BGM-13R -3'!AI35</f>
        <v>407</v>
      </c>
      <c r="AG34" s="315">
        <f>'Exh. No. BGM-13R -3'!AJ35</f>
        <v>0</v>
      </c>
      <c r="AH34" s="315">
        <f>'Exh. No. BGM-13R -3'!AK35</f>
        <v>-199</v>
      </c>
      <c r="AI34" s="315">
        <f>'Exh. No. BGM-13R -3'!AL35</f>
        <v>0</v>
      </c>
      <c r="AJ34" s="315">
        <f>'Exh. No. BGM-13R -3'!AM35</f>
        <v>0</v>
      </c>
      <c r="AK34" s="315">
        <f>'Exh. No. BGM-13R -3'!AN35</f>
        <v>0</v>
      </c>
      <c r="AL34" s="315">
        <f>'Exh. No. BGM-13R -3'!AO35</f>
        <v>0</v>
      </c>
      <c r="AM34" s="315">
        <f>'Exh. No. BGM-13R -3'!AQ35</f>
        <v>0</v>
      </c>
      <c r="AN34" s="315">
        <f>'Exh. No. BGM-13R -3'!AR35</f>
        <v>0</v>
      </c>
      <c r="AO34" s="625">
        <f>'Exh. No. BGM-13R -3'!AS35</f>
        <v>0</v>
      </c>
      <c r="AP34" s="625">
        <f>'Exh. No. BGM-13R -3'!AT35</f>
        <v>0</v>
      </c>
      <c r="AQ34" s="625">
        <f>'Exh. No. BGM-13R -3'!AU35</f>
        <v>0</v>
      </c>
      <c r="AR34" s="625">
        <f>'Exh. No. BGM-13R -3'!AV35</f>
        <v>0</v>
      </c>
      <c r="AS34" s="625">
        <f>'Exh. No. BGM-13R -3'!AW35</f>
        <v>0</v>
      </c>
      <c r="AT34" s="315">
        <f>'Exh. No. BGM-13R -3'!AY35</f>
        <v>0</v>
      </c>
      <c r="AU34" s="625">
        <f>'Exh. No. BGM-13R -3'!BE35</f>
        <v>0</v>
      </c>
      <c r="AV34" s="625">
        <f>'Exh. No. BGM-13R -3'!BF35</f>
        <v>0</v>
      </c>
      <c r="AW34" s="625">
        <f>'Exh. No. BGM-13R -3'!BG35</f>
        <v>0</v>
      </c>
      <c r="AX34" s="625">
        <f>'Exh. No. BGM-13R -3'!BH35</f>
        <v>0</v>
      </c>
      <c r="AY34" s="625">
        <f>'Exh. No. BGM-13R -3'!BI35</f>
        <v>0</v>
      </c>
      <c r="AZ34" s="625">
        <f>'Exh. No. BGM-13R -3'!BJ35</f>
        <v>0</v>
      </c>
      <c r="BA34" s="625">
        <f>'Exh. No. BGM-13R -3'!BK35</f>
        <v>0</v>
      </c>
      <c r="BB34" s="625">
        <f>'Exh. No. BGM-13R -3'!BM35</f>
        <v>0</v>
      </c>
    </row>
    <row r="35" spans="1:54" s="22" customFormat="1">
      <c r="A35" s="20">
        <f>'Exh. No. BGM-13R -3'!A36</f>
        <v>17</v>
      </c>
      <c r="B35" s="22" t="str">
        <f>'Exh. No. BGM-13R -3'!B36</f>
        <v xml:space="preserve">Total Distribution  </v>
      </c>
      <c r="E35" s="128">
        <f>'Exh. No. BGM-13R -3'!E36</f>
        <v>93040</v>
      </c>
      <c r="F35" s="264">
        <f>'Exh. No. BGM-13R -3'!F36</f>
        <v>0</v>
      </c>
      <c r="G35" s="264">
        <f>'Exh. No. BGM-13R -3'!G36</f>
        <v>0</v>
      </c>
      <c r="H35" s="264">
        <f>'Exh. No. BGM-13R -3'!H36</f>
        <v>0</v>
      </c>
      <c r="I35" s="601">
        <f>'Exh. No. BGM-13R -3'!I36</f>
        <v>0</v>
      </c>
      <c r="J35" s="264">
        <f>'Exh. No. BGM-13R -3'!J36</f>
        <v>-18028</v>
      </c>
      <c r="K35" s="264">
        <f>'Exh. No. BGM-13R -3'!K36</f>
        <v>121</v>
      </c>
      <c r="L35" s="264">
        <f>'Exh. No. BGM-13R -3'!L36</f>
        <v>0</v>
      </c>
      <c r="M35" s="264">
        <f>'Exh. No. BGM-13R -3'!M36</f>
        <v>0</v>
      </c>
      <c r="N35" s="264">
        <f>'Exh. No. BGM-13R -3'!N36</f>
        <v>0</v>
      </c>
      <c r="O35" s="264">
        <f>'Exh. No. BGM-13R -3'!O36</f>
        <v>0</v>
      </c>
      <c r="P35" s="264">
        <f>'Exh. No. BGM-13R -3'!P36</f>
        <v>0</v>
      </c>
      <c r="Q35" s="264">
        <f>'Exh. No. BGM-13R -3'!Q36</f>
        <v>-333</v>
      </c>
      <c r="R35" s="264">
        <f>'Exh. No. BGM-13R -3'!R36</f>
        <v>-79</v>
      </c>
      <c r="S35" s="264">
        <f>'Exh. No. BGM-13R -3'!S36</f>
        <v>120</v>
      </c>
      <c r="T35" s="264">
        <f>'Exh. No. BGM-13R -3'!T36</f>
        <v>-407</v>
      </c>
      <c r="U35" s="264">
        <f>'Exh. No. BGM-13R -3'!U36</f>
        <v>-1</v>
      </c>
      <c r="V35" s="264">
        <f>'Exh. No. BGM-13R -3'!V36</f>
        <v>496</v>
      </c>
      <c r="W35" s="264">
        <f>'Exh. No. BGM-13R -3'!W36</f>
        <v>0</v>
      </c>
      <c r="X35" s="264">
        <f>'Exh. No. BGM-13R -3'!X36</f>
        <v>0</v>
      </c>
      <c r="Y35" s="264">
        <f>'Exh. No. BGM-13R -3'!Y36</f>
        <v>213</v>
      </c>
      <c r="Z35" s="264">
        <f>'Exh. No. BGM-13R -3'!AC36</f>
        <v>0</v>
      </c>
      <c r="AA35" s="264">
        <f>'Exh. No. BGM-13R -3'!AD36</f>
        <v>0</v>
      </c>
      <c r="AB35" s="264">
        <f>'Exh. No. BGM-13R -3'!AE36</f>
        <v>297.06371100000001</v>
      </c>
      <c r="AC35" s="264">
        <f>'Exh. No. BGM-13R -3'!AF36</f>
        <v>0</v>
      </c>
      <c r="AD35" s="264">
        <f>'Exh. No. BGM-13R -3'!AG36</f>
        <v>267</v>
      </c>
      <c r="AE35" s="264">
        <f>'Exh. No. BGM-13R -3'!AH36</f>
        <v>0</v>
      </c>
      <c r="AF35" s="264">
        <f>'Exh. No. BGM-13R -3'!AI36</f>
        <v>407</v>
      </c>
      <c r="AG35" s="264">
        <f>'Exh. No. BGM-13R -3'!AJ36</f>
        <v>0</v>
      </c>
      <c r="AH35" s="264">
        <f>'Exh. No. BGM-13R -3'!AK36</f>
        <v>-199</v>
      </c>
      <c r="AI35" s="264">
        <f>'Exh. No. BGM-13R -3'!AL36</f>
        <v>430</v>
      </c>
      <c r="AJ35" s="264">
        <f>'Exh. No. BGM-13R -3'!AM36</f>
        <v>0</v>
      </c>
      <c r="AK35" s="264">
        <f>'Exh. No. BGM-13R -3'!AN36</f>
        <v>0</v>
      </c>
      <c r="AL35" s="264">
        <f>'Exh. No. BGM-13R -3'!AO36</f>
        <v>0</v>
      </c>
      <c r="AM35" s="264">
        <f>'Exh. No. BGM-13R -3'!AQ36</f>
        <v>0</v>
      </c>
      <c r="AN35" s="264">
        <f>'Exh. No. BGM-13R -3'!AR36</f>
        <v>0</v>
      </c>
      <c r="AO35" s="601">
        <f>'Exh. No. BGM-13R -3'!AS36</f>
        <v>0</v>
      </c>
      <c r="AP35" s="601">
        <f>'Exh. No. BGM-13R -3'!AT36</f>
        <v>0</v>
      </c>
      <c r="AQ35" s="601">
        <f>'Exh. No. BGM-13R -3'!AU36</f>
        <v>0</v>
      </c>
      <c r="AR35" s="601">
        <f>'Exh. No. BGM-13R -3'!AV36</f>
        <v>0</v>
      </c>
      <c r="AS35" s="601">
        <f>'Exh. No. BGM-13R -3'!AW36</f>
        <v>0</v>
      </c>
      <c r="AT35" s="264">
        <f>'Exh. No. BGM-13R -3'!AY36</f>
        <v>0</v>
      </c>
      <c r="AU35" s="601">
        <f>'Exh. No. BGM-13R -3'!BE36</f>
        <v>0</v>
      </c>
      <c r="AV35" s="601">
        <f>'Exh. No. BGM-13R -3'!BF36</f>
        <v>0</v>
      </c>
      <c r="AW35" s="601">
        <f>'Exh. No. BGM-13R -3'!BG36</f>
        <v>0</v>
      </c>
      <c r="AX35" s="601">
        <f>'Exh. No. BGM-13R -3'!BH36</f>
        <v>0</v>
      </c>
      <c r="AY35" s="601">
        <f>'Exh. No. BGM-13R -3'!BI36</f>
        <v>0</v>
      </c>
      <c r="AZ35" s="601">
        <f>'Exh. No. BGM-13R -3'!BJ36</f>
        <v>0</v>
      </c>
      <c r="BA35" s="601">
        <f>'Exh. No. BGM-13R -3'!BK36</f>
        <v>0</v>
      </c>
      <c r="BB35" s="601">
        <f>'Exh. No. BGM-13R -3'!BM36</f>
        <v>0</v>
      </c>
    </row>
    <row r="36" spans="1:54" s="22" customFormat="1" ht="6" customHeight="1">
      <c r="E36" s="128"/>
      <c r="F36" s="264"/>
      <c r="G36" s="264"/>
      <c r="H36" s="264"/>
      <c r="I36" s="601"/>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601"/>
      <c r="AP36" s="601"/>
      <c r="AQ36" s="601"/>
      <c r="AR36" s="601"/>
      <c r="AS36" s="601"/>
      <c r="AT36" s="264"/>
      <c r="AU36" s="601"/>
      <c r="AV36" s="601"/>
      <c r="AW36" s="601"/>
      <c r="AX36" s="601"/>
      <c r="AY36" s="601"/>
      <c r="AZ36" s="601"/>
      <c r="BA36" s="601"/>
      <c r="BB36" s="601"/>
    </row>
    <row r="37" spans="1:54" s="22" customFormat="1">
      <c r="A37" s="20">
        <f>'Exh. No. BGM-13R -3'!A38</f>
        <v>18</v>
      </c>
      <c r="B37" s="22" t="str">
        <f>'Exh. No. BGM-13R -3'!B38</f>
        <v xml:space="preserve">Customer Accounting  </v>
      </c>
      <c r="E37" s="187">
        <f>'Exh. No. BGM-13R -3'!E38</f>
        <v>10543</v>
      </c>
      <c r="F37" s="313">
        <f>'Exh. No. BGM-13R -3'!F38</f>
        <v>0</v>
      </c>
      <c r="G37" s="313">
        <f>'Exh. No. BGM-13R -3'!G38</f>
        <v>3</v>
      </c>
      <c r="H37" s="313">
        <f>'Exh. No. BGM-13R -3'!H38</f>
        <v>0</v>
      </c>
      <c r="I37" s="623">
        <f>'Exh. No. BGM-13R -3'!I38</f>
        <v>0</v>
      </c>
      <c r="J37" s="313">
        <f>'Exh. No. BGM-13R -3'!J38</f>
        <v>0</v>
      </c>
      <c r="K37" s="313">
        <f>'Exh. No. BGM-13R -3'!K38</f>
        <v>0</v>
      </c>
      <c r="L37" s="313">
        <f>'Exh. No. BGM-13R -3'!L38</f>
        <v>1054</v>
      </c>
      <c r="M37" s="313">
        <f>'Exh. No. BGM-13R -3'!M38</f>
        <v>0</v>
      </c>
      <c r="N37" s="313">
        <f>'Exh. No. BGM-13R -3'!N38</f>
        <v>0</v>
      </c>
      <c r="O37" s="313">
        <f>'Exh. No. BGM-13R -3'!O38</f>
        <v>0</v>
      </c>
      <c r="P37" s="313">
        <f>'Exh. No. BGM-13R -3'!P38</f>
        <v>0</v>
      </c>
      <c r="Q37" s="313">
        <f>'Exh. No. BGM-13R -3'!Q38</f>
        <v>0</v>
      </c>
      <c r="R37" s="313">
        <f>'Exh. No. BGM-13R -3'!R38</f>
        <v>0</v>
      </c>
      <c r="S37" s="313">
        <f>'Exh. No. BGM-13R -3'!S38</f>
        <v>18</v>
      </c>
      <c r="T37" s="313">
        <f>'Exh. No. BGM-13R -3'!T38</f>
        <v>-62</v>
      </c>
      <c r="U37" s="313">
        <f>'Exh. No. BGM-13R -3'!U38</f>
        <v>0</v>
      </c>
      <c r="V37" s="313">
        <f>'Exh. No. BGM-13R -3'!V38</f>
        <v>75</v>
      </c>
      <c r="W37" s="313">
        <f>'Exh. No. BGM-13R -3'!W38</f>
        <v>0</v>
      </c>
      <c r="X37" s="313">
        <f>'Exh. No. BGM-13R -3'!X38</f>
        <v>0</v>
      </c>
      <c r="Y37" s="313">
        <f>'Exh. No. BGM-13R -3'!Y38</f>
        <v>95</v>
      </c>
      <c r="Z37" s="313">
        <f>'Exh. No. BGM-13R -3'!AC38</f>
        <v>0</v>
      </c>
      <c r="AA37" s="313">
        <f>'Exh. No. BGM-13R -3'!AD38</f>
        <v>0</v>
      </c>
      <c r="AB37" s="313">
        <f>'Exh. No. BGM-13R -3'!AE38</f>
        <v>139.345766</v>
      </c>
      <c r="AC37" s="313">
        <f>'Exh. No. BGM-13R -3'!AF38</f>
        <v>0</v>
      </c>
      <c r="AD37" s="313">
        <f>'Exh. No. BGM-13R -3'!AG38</f>
        <v>130</v>
      </c>
      <c r="AE37" s="313">
        <f>'Exh. No. BGM-13R -3'!AH38</f>
        <v>0</v>
      </c>
      <c r="AF37" s="313">
        <f>'Exh. No. BGM-13R -3'!AI38</f>
        <v>0</v>
      </c>
      <c r="AG37" s="313">
        <f>'Exh. No. BGM-13R -3'!AJ38</f>
        <v>0</v>
      </c>
      <c r="AH37" s="313">
        <f>'Exh. No. BGM-13R -3'!AK38</f>
        <v>-30</v>
      </c>
      <c r="AI37" s="313">
        <f>'Exh. No. BGM-13R -3'!AL38</f>
        <v>0</v>
      </c>
      <c r="AJ37" s="313">
        <f>'Exh. No. BGM-13R -3'!AM38</f>
        <v>0</v>
      </c>
      <c r="AK37" s="313">
        <f>'Exh. No. BGM-13R -3'!AN38</f>
        <v>0</v>
      </c>
      <c r="AL37" s="313">
        <f>'Exh. No. BGM-13R -3'!AO38</f>
        <v>0</v>
      </c>
      <c r="AM37" s="313">
        <f>'Exh. No. BGM-13R -3'!AQ38</f>
        <v>0</v>
      </c>
      <c r="AN37" s="313">
        <f>'Exh. No. BGM-13R -3'!AR38</f>
        <v>0</v>
      </c>
      <c r="AO37" s="623">
        <f>'Exh. No. BGM-13R -3'!AS38</f>
        <v>0</v>
      </c>
      <c r="AP37" s="623">
        <f>'Exh. No. BGM-13R -3'!AT38</f>
        <v>0</v>
      </c>
      <c r="AQ37" s="623">
        <f>'Exh. No. BGM-13R -3'!AU38</f>
        <v>0</v>
      </c>
      <c r="AR37" s="623">
        <f>'Exh. No. BGM-13R -3'!AV38</f>
        <v>0</v>
      </c>
      <c r="AS37" s="623">
        <f>'Exh. No. BGM-13R -3'!AW38</f>
        <v>0</v>
      </c>
      <c r="AT37" s="313">
        <f>'Exh. No. BGM-13R -3'!AY38</f>
        <v>0</v>
      </c>
      <c r="AU37" s="623">
        <f>'Exh. No. BGM-13R -3'!BE38</f>
        <v>0</v>
      </c>
      <c r="AV37" s="623">
        <f>'Exh. No. BGM-13R -3'!BF38</f>
        <v>0</v>
      </c>
      <c r="AW37" s="623">
        <f>'Exh. No. BGM-13R -3'!BG38</f>
        <v>0</v>
      </c>
      <c r="AX37" s="623">
        <f>'Exh. No. BGM-13R -3'!BH38</f>
        <v>0</v>
      </c>
      <c r="AY37" s="623">
        <f>'Exh. No. BGM-13R -3'!BI38</f>
        <v>0</v>
      </c>
      <c r="AZ37" s="623">
        <f>'Exh. No. BGM-13R -3'!BJ38</f>
        <v>0</v>
      </c>
      <c r="BA37" s="623">
        <f>'Exh. No. BGM-13R -3'!BK38</f>
        <v>0</v>
      </c>
      <c r="BB37" s="623">
        <f>'Exh. No. BGM-13R -3'!BM38</f>
        <v>0</v>
      </c>
    </row>
    <row r="38" spans="1:54" s="22" customFormat="1">
      <c r="A38" s="20">
        <f>'Exh. No. BGM-13R -3'!A39</f>
        <v>19</v>
      </c>
      <c r="B38" s="22" t="str">
        <f>'Exh. No. BGM-13R -3'!B39</f>
        <v xml:space="preserve">Customer Service &amp; Information  </v>
      </c>
      <c r="E38" s="187">
        <f>'Exh. No. BGM-13R -3'!E39</f>
        <v>19433</v>
      </c>
      <c r="F38" s="313">
        <f>'Exh. No. BGM-13R -3'!F39</f>
        <v>0</v>
      </c>
      <c r="G38" s="313">
        <f>'Exh. No. BGM-13R -3'!G39</f>
        <v>0</v>
      </c>
      <c r="H38" s="313">
        <f>'Exh. No. BGM-13R -3'!H39</f>
        <v>0</v>
      </c>
      <c r="I38" s="623">
        <f>'Exh. No. BGM-13R -3'!I39</f>
        <v>0</v>
      </c>
      <c r="J38" s="313">
        <f>'Exh. No. BGM-13R -3'!J39</f>
        <v>0</v>
      </c>
      <c r="K38" s="313">
        <f>'Exh. No. BGM-13R -3'!K39</f>
        <v>0</v>
      </c>
      <c r="L38" s="313">
        <f>'Exh. No. BGM-13R -3'!L39</f>
        <v>0</v>
      </c>
      <c r="M38" s="313">
        <f>'Exh. No. BGM-13R -3'!M39</f>
        <v>0</v>
      </c>
      <c r="N38" s="313">
        <f>'Exh. No. BGM-13R -3'!N39</f>
        <v>0</v>
      </c>
      <c r="O38" s="313">
        <f>'Exh. No. BGM-13R -3'!O39</f>
        <v>0</v>
      </c>
      <c r="P38" s="313">
        <f>'Exh. No. BGM-13R -3'!P39</f>
        <v>0</v>
      </c>
      <c r="Q38" s="313">
        <f>'Exh. No. BGM-13R -3'!Q39</f>
        <v>0</v>
      </c>
      <c r="R38" s="313">
        <f>'Exh. No. BGM-13R -3'!R39</f>
        <v>0</v>
      </c>
      <c r="S38" s="313">
        <f>'Exh. No. BGM-13R -3'!S39</f>
        <v>0</v>
      </c>
      <c r="T38" s="313">
        <f>'Exh. No. BGM-13R -3'!T39</f>
        <v>-17914</v>
      </c>
      <c r="U38" s="313">
        <f>'Exh. No. BGM-13R -3'!U39</f>
        <v>0</v>
      </c>
      <c r="V38" s="313">
        <f>'Exh. No. BGM-13R -3'!V39</f>
        <v>0</v>
      </c>
      <c r="W38" s="313">
        <f>'Exh. No. BGM-13R -3'!W39</f>
        <v>0</v>
      </c>
      <c r="X38" s="313">
        <f>'Exh. No. BGM-13R -3'!X39</f>
        <v>0</v>
      </c>
      <c r="Y38" s="313">
        <f>'Exh. No. BGM-13R -3'!Y39</f>
        <v>9</v>
      </c>
      <c r="Z38" s="313">
        <f>'Exh. No. BGM-13R -3'!AC39</f>
        <v>0</v>
      </c>
      <c r="AA38" s="313">
        <f>'Exh. No. BGM-13R -3'!AD39</f>
        <v>0</v>
      </c>
      <c r="AB38" s="313">
        <f>'Exh. No. BGM-13R -3'!AE39</f>
        <v>12.666779999999999</v>
      </c>
      <c r="AC38" s="313">
        <f>'Exh. No. BGM-13R -3'!AF39</f>
        <v>0</v>
      </c>
      <c r="AD38" s="313">
        <f>'Exh. No. BGM-13R -3'!AG39</f>
        <v>12</v>
      </c>
      <c r="AE38" s="313">
        <f>'Exh. No. BGM-13R -3'!AH39</f>
        <v>0</v>
      </c>
      <c r="AF38" s="313">
        <f>'Exh. No. BGM-13R -3'!AI39</f>
        <v>0</v>
      </c>
      <c r="AG38" s="313">
        <f>'Exh. No. BGM-13R -3'!AJ39</f>
        <v>0</v>
      </c>
      <c r="AH38" s="313">
        <f>'Exh. No. BGM-13R -3'!AK39</f>
        <v>0</v>
      </c>
      <c r="AI38" s="313">
        <f>'Exh. No. BGM-13R -3'!AL39</f>
        <v>0</v>
      </c>
      <c r="AJ38" s="313">
        <f>'Exh. No. BGM-13R -3'!AM39</f>
        <v>0</v>
      </c>
      <c r="AK38" s="313">
        <f>'Exh. No. BGM-13R -3'!AN39</f>
        <v>0</v>
      </c>
      <c r="AL38" s="313">
        <f>'Exh. No. BGM-13R -3'!AO39</f>
        <v>0</v>
      </c>
      <c r="AM38" s="313">
        <f>'Exh. No. BGM-13R -3'!AQ39</f>
        <v>0</v>
      </c>
      <c r="AN38" s="313">
        <f>'Exh. No. BGM-13R -3'!AR39</f>
        <v>0</v>
      </c>
      <c r="AO38" s="623">
        <f>'Exh. No. BGM-13R -3'!AS39</f>
        <v>0</v>
      </c>
      <c r="AP38" s="623">
        <f>'Exh. No. BGM-13R -3'!AT39</f>
        <v>0</v>
      </c>
      <c r="AQ38" s="623">
        <f>'Exh. No. BGM-13R -3'!AU39</f>
        <v>0</v>
      </c>
      <c r="AR38" s="623">
        <f>'Exh. No. BGM-13R -3'!AV39</f>
        <v>0</v>
      </c>
      <c r="AS38" s="623">
        <f>'Exh. No. BGM-13R -3'!AW39</f>
        <v>0</v>
      </c>
      <c r="AT38" s="313">
        <f>'Exh. No. BGM-13R -3'!AY39</f>
        <v>0</v>
      </c>
      <c r="AU38" s="623">
        <f>'Exh. No. BGM-13R -3'!BE39</f>
        <v>0</v>
      </c>
      <c r="AV38" s="623">
        <f>'Exh. No. BGM-13R -3'!BF39</f>
        <v>0</v>
      </c>
      <c r="AW38" s="623">
        <f>'Exh. No. BGM-13R -3'!BG39</f>
        <v>0</v>
      </c>
      <c r="AX38" s="623">
        <f>'Exh. No. BGM-13R -3'!BH39</f>
        <v>0</v>
      </c>
      <c r="AY38" s="623">
        <f>'Exh. No. BGM-13R -3'!BI39</f>
        <v>0</v>
      </c>
      <c r="AZ38" s="623">
        <f>'Exh. No. BGM-13R -3'!BJ39</f>
        <v>0</v>
      </c>
      <c r="BA38" s="623">
        <f>'Exh. No. BGM-13R -3'!BK39</f>
        <v>0</v>
      </c>
      <c r="BB38" s="623">
        <f>'Exh. No. BGM-13R -3'!BM39</f>
        <v>0</v>
      </c>
    </row>
    <row r="39" spans="1:54" s="22" customFormat="1">
      <c r="A39" s="20">
        <f>'Exh. No. BGM-13R -3'!A40</f>
        <v>20</v>
      </c>
      <c r="B39" s="22" t="str">
        <f>'Exh. No. BGM-13R -3'!B40</f>
        <v xml:space="preserve">Sales Expenses  </v>
      </c>
      <c r="E39" s="187">
        <f>'Exh. No. BGM-13R -3'!E40</f>
        <v>0</v>
      </c>
      <c r="F39" s="313">
        <f>'Exh. No. BGM-13R -3'!F40</f>
        <v>0</v>
      </c>
      <c r="G39" s="313">
        <f>'Exh. No. BGM-13R -3'!G40</f>
        <v>0</v>
      </c>
      <c r="H39" s="313">
        <f>'Exh. No. BGM-13R -3'!H40</f>
        <v>0</v>
      </c>
      <c r="I39" s="623">
        <f>'Exh. No. BGM-13R -3'!I40</f>
        <v>0</v>
      </c>
      <c r="J39" s="313">
        <f>'Exh. No. BGM-13R -3'!J40</f>
        <v>0</v>
      </c>
      <c r="K39" s="313">
        <f>'Exh. No. BGM-13R -3'!K40</f>
        <v>0</v>
      </c>
      <c r="L39" s="313">
        <f>'Exh. No. BGM-13R -3'!L40</f>
        <v>0</v>
      </c>
      <c r="M39" s="313">
        <f>'Exh. No. BGM-13R -3'!M40</f>
        <v>0</v>
      </c>
      <c r="N39" s="313">
        <f>'Exh. No. BGM-13R -3'!N40</f>
        <v>0</v>
      </c>
      <c r="O39" s="313">
        <f>'Exh. No. BGM-13R -3'!O40</f>
        <v>0</v>
      </c>
      <c r="P39" s="313">
        <f>'Exh. No. BGM-13R -3'!P40</f>
        <v>0</v>
      </c>
      <c r="Q39" s="313">
        <f>'Exh. No. BGM-13R -3'!Q40</f>
        <v>0</v>
      </c>
      <c r="R39" s="313">
        <f>'Exh. No. BGM-13R -3'!R40</f>
        <v>0</v>
      </c>
      <c r="S39" s="313">
        <f>'Exh. No. BGM-13R -3'!S40</f>
        <v>0</v>
      </c>
      <c r="T39" s="313">
        <f>'Exh. No. BGM-13R -3'!T40</f>
        <v>0</v>
      </c>
      <c r="U39" s="313">
        <f>'Exh. No. BGM-13R -3'!U40</f>
        <v>0</v>
      </c>
      <c r="V39" s="313">
        <f>'Exh. No. BGM-13R -3'!V40</f>
        <v>0</v>
      </c>
      <c r="W39" s="313">
        <f>'Exh. No. BGM-13R -3'!W40</f>
        <v>0</v>
      </c>
      <c r="X39" s="313">
        <f>'Exh. No. BGM-13R -3'!X40</f>
        <v>0</v>
      </c>
      <c r="Y39" s="313">
        <f>'Exh. No. BGM-13R -3'!Y40</f>
        <v>0</v>
      </c>
      <c r="Z39" s="313">
        <f>'Exh. No. BGM-13R -3'!AC40</f>
        <v>0</v>
      </c>
      <c r="AA39" s="313">
        <f>'Exh. No. BGM-13R -3'!AD40</f>
        <v>0</v>
      </c>
      <c r="AB39" s="313">
        <f>'Exh. No. BGM-13R -3'!AE40</f>
        <v>0.20499999999999999</v>
      </c>
      <c r="AC39" s="313">
        <f>'Exh. No. BGM-13R -3'!AF40</f>
        <v>0</v>
      </c>
      <c r="AD39" s="313">
        <f>'Exh. No. BGM-13R -3'!AG40</f>
        <v>0</v>
      </c>
      <c r="AE39" s="313">
        <f>'Exh. No. BGM-13R -3'!AH40</f>
        <v>0</v>
      </c>
      <c r="AF39" s="313">
        <f>'Exh. No. BGM-13R -3'!AI40</f>
        <v>0</v>
      </c>
      <c r="AG39" s="313">
        <f>'Exh. No. BGM-13R -3'!AJ40</f>
        <v>0</v>
      </c>
      <c r="AH39" s="313">
        <f>'Exh. No. BGM-13R -3'!AK40</f>
        <v>0</v>
      </c>
      <c r="AI39" s="313">
        <f>'Exh. No. BGM-13R -3'!AL40</f>
        <v>0</v>
      </c>
      <c r="AJ39" s="313">
        <f>'Exh. No. BGM-13R -3'!AM40</f>
        <v>0</v>
      </c>
      <c r="AK39" s="313">
        <f>'Exh. No. BGM-13R -3'!AN40</f>
        <v>0</v>
      </c>
      <c r="AL39" s="313">
        <f>'Exh. No. BGM-13R -3'!AO40</f>
        <v>0</v>
      </c>
      <c r="AM39" s="313">
        <f>'Exh. No. BGM-13R -3'!AQ40</f>
        <v>0</v>
      </c>
      <c r="AN39" s="313">
        <f>'Exh. No. BGM-13R -3'!AR40</f>
        <v>0</v>
      </c>
      <c r="AO39" s="623">
        <f>'Exh. No. BGM-13R -3'!AS40</f>
        <v>0</v>
      </c>
      <c r="AP39" s="623">
        <f>'Exh. No. BGM-13R -3'!AT40</f>
        <v>0</v>
      </c>
      <c r="AQ39" s="623">
        <f>'Exh. No. BGM-13R -3'!AU40</f>
        <v>0</v>
      </c>
      <c r="AR39" s="623">
        <f>'Exh. No. BGM-13R -3'!AV40</f>
        <v>0</v>
      </c>
      <c r="AS39" s="623">
        <f>'Exh. No. BGM-13R -3'!AW40</f>
        <v>0</v>
      </c>
      <c r="AT39" s="313">
        <f>'Exh. No. BGM-13R -3'!AY40</f>
        <v>0</v>
      </c>
      <c r="AU39" s="623">
        <f>'Exh. No. BGM-13R -3'!BE40</f>
        <v>0</v>
      </c>
      <c r="AV39" s="623">
        <f>'Exh. No. BGM-13R -3'!BF40</f>
        <v>0</v>
      </c>
      <c r="AW39" s="623">
        <f>'Exh. No. BGM-13R -3'!BG40</f>
        <v>0</v>
      </c>
      <c r="AX39" s="623">
        <f>'Exh. No. BGM-13R -3'!BH40</f>
        <v>0</v>
      </c>
      <c r="AY39" s="623">
        <f>'Exh. No. BGM-13R -3'!BI40</f>
        <v>0</v>
      </c>
      <c r="AZ39" s="623">
        <f>'Exh. No. BGM-13R -3'!BJ40</f>
        <v>0</v>
      </c>
      <c r="BA39" s="623">
        <f>'Exh. No. BGM-13R -3'!BK40</f>
        <v>0</v>
      </c>
      <c r="BB39" s="623">
        <f>'Exh. No. BGM-13R -3'!BM40</f>
        <v>0</v>
      </c>
    </row>
    <row r="40" spans="1:54" s="22" customFormat="1" ht="6" customHeight="1">
      <c r="A40" s="20"/>
      <c r="E40" s="128"/>
      <c r="F40" s="313"/>
      <c r="G40" s="313"/>
      <c r="H40" s="313"/>
      <c r="I40" s="62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623"/>
      <c r="AP40" s="623"/>
      <c r="AQ40" s="623"/>
      <c r="AR40" s="623"/>
      <c r="AS40" s="623"/>
      <c r="AT40" s="313"/>
      <c r="AU40" s="623"/>
      <c r="AV40" s="623"/>
      <c r="AW40" s="623"/>
      <c r="AX40" s="623"/>
      <c r="AY40" s="623"/>
      <c r="AZ40" s="623"/>
      <c r="BA40" s="623"/>
      <c r="BB40" s="623"/>
    </row>
    <row r="41" spans="1:54" s="22" customFormat="1">
      <c r="B41" s="22" t="str">
        <f>'Exh. No. BGM-13R -3'!B42</f>
        <v xml:space="preserve">Administrative &amp; General  </v>
      </c>
      <c r="E41" s="128"/>
      <c r="F41" s="313"/>
      <c r="G41" s="313"/>
      <c r="H41" s="313"/>
      <c r="I41" s="62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623"/>
      <c r="AP41" s="623"/>
      <c r="AQ41" s="623"/>
      <c r="AR41" s="623"/>
      <c r="AS41" s="623"/>
      <c r="AT41" s="313"/>
      <c r="AU41" s="623"/>
      <c r="AV41" s="623"/>
      <c r="AW41" s="623"/>
      <c r="AX41" s="623"/>
      <c r="AY41" s="623"/>
      <c r="AZ41" s="623"/>
      <c r="BA41" s="623"/>
      <c r="BB41" s="623"/>
    </row>
    <row r="42" spans="1:54" s="22" customFormat="1">
      <c r="A42" s="20">
        <f>'Exh. No. BGM-13R -3'!A43</f>
        <v>21</v>
      </c>
      <c r="C42" s="22" t="str">
        <f>'Exh. No. BGM-13R -3'!C43</f>
        <v xml:space="preserve">Operating Expenses  </v>
      </c>
      <c r="E42" s="187">
        <f>'Exh. No. BGM-13R -3'!E43</f>
        <v>49315</v>
      </c>
      <c r="F42" s="313">
        <f>'Exh. No. BGM-13R -3'!F43</f>
        <v>0</v>
      </c>
      <c r="G42" s="313">
        <f>'Exh. No. BGM-13R -3'!G43</f>
        <v>0</v>
      </c>
      <c r="H42" s="313">
        <f>'Exh. No. BGM-13R -3'!H43</f>
        <v>0</v>
      </c>
      <c r="I42" s="623">
        <f>'Exh. No. BGM-13R -3'!I43</f>
        <v>0</v>
      </c>
      <c r="J42" s="313">
        <f>'Exh. No. BGM-13R -3'!J43</f>
        <v>0</v>
      </c>
      <c r="K42" s="313">
        <f>'Exh. No. BGM-13R -3'!K43</f>
        <v>0</v>
      </c>
      <c r="L42" s="313">
        <f>'Exh. No. BGM-13R -3'!L43</f>
        <v>0</v>
      </c>
      <c r="M42" s="313">
        <f>'Exh. No. BGM-13R -3'!M43</f>
        <v>18</v>
      </c>
      <c r="N42" s="313">
        <f>'Exh. No. BGM-13R -3'!N43</f>
        <v>181</v>
      </c>
      <c r="O42" s="313">
        <f>'Exh. No. BGM-13R -3'!O43</f>
        <v>0</v>
      </c>
      <c r="P42" s="313">
        <f>'Exh. No. BGM-13R -3'!P43</f>
        <v>-33</v>
      </c>
      <c r="Q42" s="313">
        <f>'Exh. No. BGM-13R -3'!Q43</f>
        <v>0</v>
      </c>
      <c r="R42" s="313">
        <f>'Exh. No. BGM-13R -3'!R43</f>
        <v>0</v>
      </c>
      <c r="S42" s="313">
        <f>'Exh. No. BGM-13R -3'!S43</f>
        <v>6</v>
      </c>
      <c r="T42" s="313">
        <f>'Exh. No. BGM-13R -3'!T43</f>
        <v>-21</v>
      </c>
      <c r="U42" s="313">
        <f>'Exh. No. BGM-13R -3'!U43</f>
        <v>-1146.473</v>
      </c>
      <c r="V42" s="313">
        <f>'Exh. No. BGM-13R -3'!V43</f>
        <v>26</v>
      </c>
      <c r="W42" s="313">
        <f>'Exh. No. BGM-13R -3'!W43</f>
        <v>0</v>
      </c>
      <c r="X42" s="313">
        <f>'Exh. No. BGM-13R -3'!X43</f>
        <v>0</v>
      </c>
      <c r="Y42" s="313">
        <f>'Exh. No. BGM-13R -3'!Y43</f>
        <v>255</v>
      </c>
      <c r="Z42" s="313">
        <f>'Exh. No. BGM-13R -3'!AC43</f>
        <v>0</v>
      </c>
      <c r="AA42" s="313">
        <f>'Exh. No. BGM-13R -3'!AD43</f>
        <v>0</v>
      </c>
      <c r="AB42" s="313">
        <f>'Exh. No. BGM-13R -3'!AE43</f>
        <v>375.21618699999999</v>
      </c>
      <c r="AC42" s="313">
        <f>'Exh. No. BGM-13R -3'!AF43</f>
        <v>85</v>
      </c>
      <c r="AD42" s="313">
        <f>'Exh. No. BGM-13R -3'!AG43</f>
        <v>360</v>
      </c>
      <c r="AE42" s="313">
        <f>'Exh. No. BGM-13R -3'!AH43</f>
        <v>0</v>
      </c>
      <c r="AF42" s="313">
        <f>'Exh. No. BGM-13R -3'!AI43</f>
        <v>0</v>
      </c>
      <c r="AG42" s="313">
        <f>'Exh. No. BGM-13R -3'!AJ43</f>
        <v>0</v>
      </c>
      <c r="AH42" s="313">
        <f>'Exh. No. BGM-13R -3'!AK43</f>
        <v>-10</v>
      </c>
      <c r="AI42" s="313">
        <f>'Exh. No. BGM-13R -3'!AL43</f>
        <v>0</v>
      </c>
      <c r="AJ42" s="313">
        <f>'Exh. No. BGM-13R -3'!AM43</f>
        <v>0</v>
      </c>
      <c r="AK42" s="313">
        <f>'Exh. No. BGM-13R -3'!AN43</f>
        <v>0</v>
      </c>
      <c r="AL42" s="313">
        <f>'Exh. No. BGM-13R -3'!AO43</f>
        <v>0</v>
      </c>
      <c r="AM42" s="313">
        <f>'Exh. No. BGM-13R -3'!AQ43</f>
        <v>0</v>
      </c>
      <c r="AN42" s="313">
        <f>'Exh. No. BGM-13R -3'!AR43</f>
        <v>0</v>
      </c>
      <c r="AO42" s="623">
        <f>'Exh. No. BGM-13R -3'!AS43</f>
        <v>0</v>
      </c>
      <c r="AP42" s="623">
        <f>'Exh. No. BGM-13R -3'!AT43</f>
        <v>0</v>
      </c>
      <c r="AQ42" s="623">
        <f>'Exh. No. BGM-13R -3'!AU43</f>
        <v>0</v>
      </c>
      <c r="AR42" s="623">
        <f>'Exh. No. BGM-13R -3'!AV43</f>
        <v>0</v>
      </c>
      <c r="AS42" s="623">
        <f>'Exh. No. BGM-13R -3'!AW43</f>
        <v>0</v>
      </c>
      <c r="AT42" s="313">
        <f>'Exh. No. BGM-13R -3'!AY43</f>
        <v>0</v>
      </c>
      <c r="AU42" s="623">
        <f>'Exh. No. BGM-13R -3'!BE43</f>
        <v>0</v>
      </c>
      <c r="AV42" s="623">
        <f>'Exh. No. BGM-13R -3'!BF43</f>
        <v>0</v>
      </c>
      <c r="AW42" s="623">
        <f>'Exh. No. BGM-13R -3'!BG43</f>
        <v>0</v>
      </c>
      <c r="AX42" s="623">
        <f>'Exh. No. BGM-13R -3'!BH43</f>
        <v>0</v>
      </c>
      <c r="AY42" s="623">
        <f>'Exh. No. BGM-13R -3'!BI43</f>
        <v>0</v>
      </c>
      <c r="AZ42" s="623">
        <f>'Exh. No. BGM-13R -3'!BJ43</f>
        <v>0</v>
      </c>
      <c r="BA42" s="623">
        <f>'Exh. No. BGM-13R -3'!BK43</f>
        <v>0</v>
      </c>
      <c r="BB42" s="623">
        <f>'Exh. No. BGM-13R -3'!BM43</f>
        <v>0</v>
      </c>
    </row>
    <row r="43" spans="1:54" s="22" customFormat="1">
      <c r="A43" s="20">
        <f>'Exh. No. BGM-13R -3'!A44</f>
        <v>22</v>
      </c>
      <c r="C43" s="22" t="str">
        <f>'Exh. No. BGM-13R -3'!C44</f>
        <v>Depreciation/Amortization</v>
      </c>
      <c r="E43" s="187">
        <f>'Exh. No. BGM-13R -3'!E44</f>
        <v>20268</v>
      </c>
      <c r="F43" s="313">
        <f>'Exh. No. BGM-13R -3'!F44</f>
        <v>0</v>
      </c>
      <c r="G43" s="313">
        <f>'Exh. No. BGM-13R -3'!G44</f>
        <v>0</v>
      </c>
      <c r="H43" s="313">
        <f>'Exh. No. BGM-13R -3'!H44</f>
        <v>0</v>
      </c>
      <c r="I43" s="623">
        <f>'Exh. No. BGM-13R -3'!I44</f>
        <v>0</v>
      </c>
      <c r="J43" s="313">
        <f>'Exh. No. BGM-13R -3'!J44</f>
        <v>0</v>
      </c>
      <c r="K43" s="313">
        <f>'Exh. No. BGM-13R -3'!K44</f>
        <v>0</v>
      </c>
      <c r="L43" s="313">
        <f>'Exh. No. BGM-13R -3'!L44</f>
        <v>0</v>
      </c>
      <c r="M43" s="313">
        <f>'Exh. No. BGM-13R -3'!M44</f>
        <v>0</v>
      </c>
      <c r="N43" s="313">
        <f>'Exh. No. BGM-13R -3'!N44</f>
        <v>0</v>
      </c>
      <c r="O43" s="313">
        <f>'Exh. No. BGM-13R -3'!O44</f>
        <v>0</v>
      </c>
      <c r="P43" s="313">
        <f>'Exh. No. BGM-13R -3'!P44</f>
        <v>0</v>
      </c>
      <c r="Q43" s="313">
        <f>'Exh. No. BGM-13R -3'!Q44</f>
        <v>0</v>
      </c>
      <c r="R43" s="313">
        <f>'Exh. No. BGM-13R -3'!R44</f>
        <v>0</v>
      </c>
      <c r="S43" s="313">
        <f>'Exh. No. BGM-13R -3'!S44</f>
        <v>0</v>
      </c>
      <c r="T43" s="313">
        <f>'Exh. No. BGM-13R -3'!T44</f>
        <v>0</v>
      </c>
      <c r="U43" s="313">
        <f>'Exh. No. BGM-13R -3'!U44</f>
        <v>0</v>
      </c>
      <c r="V43" s="313">
        <f>'Exh. No. BGM-13R -3'!V44</f>
        <v>0</v>
      </c>
      <c r="W43" s="313">
        <f>'Exh. No. BGM-13R -3'!W44</f>
        <v>0</v>
      </c>
      <c r="X43" s="313">
        <f>'Exh. No. BGM-13R -3'!X44</f>
        <v>0</v>
      </c>
      <c r="Y43" s="313">
        <f>'Exh. No. BGM-13R -3'!Y44</f>
        <v>0</v>
      </c>
      <c r="Z43" s="313">
        <f>'Exh. No. BGM-13R -3'!AC44</f>
        <v>0</v>
      </c>
      <c r="AA43" s="313">
        <f>'Exh. No. BGM-13R -3'!AD44</f>
        <v>0</v>
      </c>
      <c r="AB43" s="313">
        <f>'Exh. No. BGM-13R -3'!AE44</f>
        <v>0</v>
      </c>
      <c r="AC43" s="313">
        <f>'Exh. No. BGM-13R -3'!AF44</f>
        <v>0</v>
      </c>
      <c r="AD43" s="313">
        <f>'Exh. No. BGM-13R -3'!AG44</f>
        <v>0</v>
      </c>
      <c r="AE43" s="313">
        <f>'Exh. No. BGM-13R -3'!AH44</f>
        <v>0</v>
      </c>
      <c r="AF43" s="313">
        <f>'Exh. No. BGM-13R -3'!AI44</f>
        <v>0</v>
      </c>
      <c r="AG43" s="313">
        <f>'Exh. No. BGM-13R -3'!AJ44</f>
        <v>0</v>
      </c>
      <c r="AH43" s="313">
        <f>'Exh. No. BGM-13R -3'!AK44</f>
        <v>0</v>
      </c>
      <c r="AI43" s="313">
        <f>'Exh. No. BGM-13R -3'!AL44</f>
        <v>1255</v>
      </c>
      <c r="AJ43" s="313">
        <f>'Exh. No. BGM-13R -3'!AM44</f>
        <v>429</v>
      </c>
      <c r="AK43" s="313">
        <f>'Exh. No. BGM-13R -3'!AN44</f>
        <v>0</v>
      </c>
      <c r="AL43" s="313">
        <f>'Exh. No. BGM-13R -3'!AO44</f>
        <v>0</v>
      </c>
      <c r="AM43" s="313">
        <f>'Exh. No. BGM-13R -3'!AQ44</f>
        <v>0</v>
      </c>
      <c r="AN43" s="313">
        <f>'Exh. No. BGM-13R -3'!AR44</f>
        <v>0</v>
      </c>
      <c r="AO43" s="623">
        <f>'Exh. No. BGM-13R -3'!AS44</f>
        <v>0</v>
      </c>
      <c r="AP43" s="623">
        <f>'Exh. No. BGM-13R -3'!AT44</f>
        <v>0</v>
      </c>
      <c r="AQ43" s="623">
        <f>'Exh. No. BGM-13R -3'!AU44</f>
        <v>0</v>
      </c>
      <c r="AR43" s="623">
        <f>'Exh. No. BGM-13R -3'!AV44</f>
        <v>0</v>
      </c>
      <c r="AS43" s="623">
        <f>'Exh. No. BGM-13R -3'!AW44</f>
        <v>0</v>
      </c>
      <c r="AT43" s="313">
        <f>'Exh. No. BGM-13R -3'!AY44</f>
        <v>0</v>
      </c>
      <c r="AU43" s="623">
        <f>'Exh. No. BGM-13R -3'!BE44</f>
        <v>0</v>
      </c>
      <c r="AV43" s="623">
        <f>'Exh. No. BGM-13R -3'!BF44</f>
        <v>0</v>
      </c>
      <c r="AW43" s="623">
        <f>'Exh. No. BGM-13R -3'!BG44</f>
        <v>0</v>
      </c>
      <c r="AX43" s="623">
        <f>'Exh. No. BGM-13R -3'!BH44</f>
        <v>0</v>
      </c>
      <c r="AY43" s="623">
        <f>'Exh. No. BGM-13R -3'!BI44</f>
        <v>0</v>
      </c>
      <c r="AZ43" s="623">
        <f>'Exh. No. BGM-13R -3'!BJ44</f>
        <v>0</v>
      </c>
      <c r="BA43" s="623">
        <f>'Exh. No. BGM-13R -3'!BK44</f>
        <v>0</v>
      </c>
      <c r="BB43" s="623">
        <f>'Exh. No. BGM-13R -3'!BM44</f>
        <v>0</v>
      </c>
    </row>
    <row r="44" spans="1:54" s="22" customFormat="1">
      <c r="A44" s="279">
        <f>'Exh. No. BGM-13R -3'!A45</f>
        <v>23</v>
      </c>
      <c r="C44" s="22" t="str">
        <f>'Exh. No. BGM-13R -3'!C45</f>
        <v xml:space="preserve">Taxes  </v>
      </c>
      <c r="E44" s="376">
        <f>'Exh. No. BGM-13R -3'!E45</f>
        <v>0</v>
      </c>
      <c r="F44" s="315">
        <f>'Exh. No. BGM-13R -3'!F45</f>
        <v>0</v>
      </c>
      <c r="G44" s="315">
        <f>'Exh. No. BGM-13R -3'!G45</f>
        <v>0</v>
      </c>
      <c r="H44" s="315">
        <f>'Exh. No. BGM-13R -3'!H45</f>
        <v>0</v>
      </c>
      <c r="I44" s="625">
        <f>'Exh. No. BGM-13R -3'!I45</f>
        <v>0</v>
      </c>
      <c r="J44" s="315">
        <f>'Exh. No. BGM-13R -3'!J45</f>
        <v>0</v>
      </c>
      <c r="K44" s="315">
        <f>'Exh. No. BGM-13R -3'!K45</f>
        <v>0</v>
      </c>
      <c r="L44" s="315">
        <f>'Exh. No. BGM-13R -3'!L45</f>
        <v>0</v>
      </c>
      <c r="M44" s="315">
        <f>'Exh. No. BGM-13R -3'!M45</f>
        <v>0</v>
      </c>
      <c r="N44" s="315">
        <f>'Exh. No. BGM-13R -3'!N45</f>
        <v>0</v>
      </c>
      <c r="O44" s="315">
        <f>'Exh. No. BGM-13R -3'!O45</f>
        <v>0</v>
      </c>
      <c r="P44" s="315">
        <f>'Exh. No. BGM-13R -3'!P45</f>
        <v>0</v>
      </c>
      <c r="Q44" s="315">
        <f>'Exh. No. BGM-13R -3'!Q45</f>
        <v>0</v>
      </c>
      <c r="R44" s="315">
        <f>'Exh. No. BGM-13R -3'!R45</f>
        <v>0</v>
      </c>
      <c r="S44" s="315">
        <f>'Exh. No. BGM-13R -3'!S45</f>
        <v>0</v>
      </c>
      <c r="T44" s="315">
        <f>'Exh. No. BGM-13R -3'!T45</f>
        <v>0</v>
      </c>
      <c r="U44" s="315">
        <f>'Exh. No. BGM-13R -3'!U45</f>
        <v>0</v>
      </c>
      <c r="V44" s="315">
        <f>'Exh. No. BGM-13R -3'!V45</f>
        <v>0</v>
      </c>
      <c r="W44" s="315">
        <f>'Exh. No. BGM-13R -3'!W45</f>
        <v>0</v>
      </c>
      <c r="X44" s="315">
        <f>'Exh. No. BGM-13R -3'!X45</f>
        <v>0</v>
      </c>
      <c r="Y44" s="315">
        <f>'Exh. No. BGM-13R -3'!Y45</f>
        <v>0</v>
      </c>
      <c r="Z44" s="315">
        <f>'Exh. No. BGM-13R -3'!AC45</f>
        <v>0</v>
      </c>
      <c r="AA44" s="315">
        <f>'Exh. No. BGM-13R -3'!AD45</f>
        <v>0</v>
      </c>
      <c r="AB44" s="315">
        <f>'Exh. No. BGM-13R -3'!AE45</f>
        <v>0</v>
      </c>
      <c r="AC44" s="315">
        <f>'Exh. No. BGM-13R -3'!AF45</f>
        <v>0</v>
      </c>
      <c r="AD44" s="315">
        <f>'Exh. No. BGM-13R -3'!AG45</f>
        <v>0</v>
      </c>
      <c r="AE44" s="315">
        <f>'Exh. No. BGM-13R -3'!AH45</f>
        <v>0</v>
      </c>
      <c r="AF44" s="315">
        <f>'Exh. No. BGM-13R -3'!AI45</f>
        <v>0</v>
      </c>
      <c r="AG44" s="315">
        <f>'Exh. No. BGM-13R -3'!AJ45</f>
        <v>0</v>
      </c>
      <c r="AH44" s="315">
        <f>'Exh. No. BGM-13R -3'!AK45</f>
        <v>0</v>
      </c>
      <c r="AI44" s="315">
        <f>'Exh. No. BGM-13R -3'!AL45</f>
        <v>0</v>
      </c>
      <c r="AJ44" s="315">
        <f>'Exh. No. BGM-13R -3'!AM45</f>
        <v>0</v>
      </c>
      <c r="AK44" s="315">
        <f>'Exh. No. BGM-13R -3'!AN45</f>
        <v>0</v>
      </c>
      <c r="AL44" s="315">
        <f>'Exh. No. BGM-13R -3'!AO45</f>
        <v>0</v>
      </c>
      <c r="AM44" s="315">
        <f>'Exh. No. BGM-13R -3'!AQ45</f>
        <v>0</v>
      </c>
      <c r="AN44" s="315">
        <f>'Exh. No. BGM-13R -3'!AR45</f>
        <v>0</v>
      </c>
      <c r="AO44" s="625">
        <f>'Exh. No. BGM-13R -3'!AS45</f>
        <v>0</v>
      </c>
      <c r="AP44" s="625">
        <f>'Exh. No. BGM-13R -3'!AT45</f>
        <v>0</v>
      </c>
      <c r="AQ44" s="625">
        <f>'Exh. No. BGM-13R -3'!AU45</f>
        <v>0</v>
      </c>
      <c r="AR44" s="625">
        <f>'Exh. No. BGM-13R -3'!AV45</f>
        <v>0</v>
      </c>
      <c r="AS44" s="625">
        <f>'Exh. No. BGM-13R -3'!AW45</f>
        <v>0</v>
      </c>
      <c r="AT44" s="315">
        <f>'Exh. No. BGM-13R -3'!AY45</f>
        <v>0</v>
      </c>
      <c r="AU44" s="625">
        <f>'Exh. No. BGM-13R -3'!BE45</f>
        <v>0</v>
      </c>
      <c r="AV44" s="625">
        <f>'Exh. No. BGM-13R -3'!BF45</f>
        <v>0</v>
      </c>
      <c r="AW44" s="625">
        <f>'Exh. No. BGM-13R -3'!BG45</f>
        <v>0</v>
      </c>
      <c r="AX44" s="625">
        <f>'Exh. No. BGM-13R -3'!BH45</f>
        <v>0</v>
      </c>
      <c r="AY44" s="625">
        <f>'Exh. No. BGM-13R -3'!BI45</f>
        <v>0</v>
      </c>
      <c r="AZ44" s="625">
        <f>'Exh. No. BGM-13R -3'!BJ45</f>
        <v>0</v>
      </c>
      <c r="BA44" s="625">
        <f>'Exh. No. BGM-13R -3'!BK45</f>
        <v>0</v>
      </c>
      <c r="BB44" s="625">
        <f>'Exh. No. BGM-13R -3'!BM45</f>
        <v>0</v>
      </c>
    </row>
    <row r="45" spans="1:54" s="22" customFormat="1">
      <c r="A45" s="20">
        <f>'Exh. No. BGM-13R -3'!A46</f>
        <v>24</v>
      </c>
      <c r="B45" s="22" t="str">
        <f>'Exh. No. BGM-13R -3'!B46</f>
        <v xml:space="preserve">Total Admin. &amp; General  </v>
      </c>
      <c r="E45" s="376">
        <f>'Exh. No. BGM-13R -3'!E46</f>
        <v>69583</v>
      </c>
      <c r="F45" s="276">
        <f>'Exh. No. BGM-13R -3'!F46</f>
        <v>0</v>
      </c>
      <c r="G45" s="276">
        <f>'Exh. No. BGM-13R -3'!G46</f>
        <v>0</v>
      </c>
      <c r="H45" s="276">
        <f>'Exh. No. BGM-13R -3'!H46</f>
        <v>0</v>
      </c>
      <c r="I45" s="614">
        <f>'Exh. No. BGM-13R -3'!I46</f>
        <v>0</v>
      </c>
      <c r="J45" s="276">
        <f>'Exh. No. BGM-13R -3'!J46</f>
        <v>0</v>
      </c>
      <c r="K45" s="276">
        <f>'Exh. No. BGM-13R -3'!K46</f>
        <v>0</v>
      </c>
      <c r="L45" s="276">
        <f>'Exh. No. BGM-13R -3'!L46</f>
        <v>0</v>
      </c>
      <c r="M45" s="276">
        <f>'Exh. No. BGM-13R -3'!M46</f>
        <v>18</v>
      </c>
      <c r="N45" s="276">
        <f>'Exh. No. BGM-13R -3'!N46</f>
        <v>181</v>
      </c>
      <c r="O45" s="276">
        <f>'Exh. No. BGM-13R -3'!O46</f>
        <v>0</v>
      </c>
      <c r="P45" s="276">
        <f>'Exh. No. BGM-13R -3'!P46</f>
        <v>-33</v>
      </c>
      <c r="Q45" s="276">
        <f>'Exh. No. BGM-13R -3'!Q46</f>
        <v>0</v>
      </c>
      <c r="R45" s="276">
        <f>'Exh. No. BGM-13R -3'!R46</f>
        <v>0</v>
      </c>
      <c r="S45" s="276">
        <f>'Exh. No. BGM-13R -3'!S46</f>
        <v>6</v>
      </c>
      <c r="T45" s="276">
        <f>'Exh. No. BGM-13R -3'!T46</f>
        <v>-21</v>
      </c>
      <c r="U45" s="276">
        <f>'Exh. No. BGM-13R -3'!U46</f>
        <v>-1146.473</v>
      </c>
      <c r="V45" s="276">
        <f>'Exh. No. BGM-13R -3'!V46</f>
        <v>26</v>
      </c>
      <c r="W45" s="276">
        <f>'Exh. No. BGM-13R -3'!W46</f>
        <v>0</v>
      </c>
      <c r="X45" s="276">
        <f>'Exh. No. BGM-13R -3'!X46</f>
        <v>0</v>
      </c>
      <c r="Y45" s="276">
        <f>'Exh. No. BGM-13R -3'!Y46</f>
        <v>255</v>
      </c>
      <c r="Z45" s="276">
        <f>'Exh. No. BGM-13R -3'!AC46</f>
        <v>0</v>
      </c>
      <c r="AA45" s="276">
        <f>'Exh. No. BGM-13R -3'!AD46</f>
        <v>0</v>
      </c>
      <c r="AB45" s="276">
        <f>'Exh. No. BGM-13R -3'!AE46</f>
        <v>375.21618699999999</v>
      </c>
      <c r="AC45" s="276">
        <f>'Exh. No. BGM-13R -3'!AF46</f>
        <v>85</v>
      </c>
      <c r="AD45" s="276">
        <f>'Exh. No. BGM-13R -3'!AG46</f>
        <v>360</v>
      </c>
      <c r="AE45" s="276">
        <f>'Exh. No. BGM-13R -3'!AH46</f>
        <v>0</v>
      </c>
      <c r="AF45" s="276">
        <f>'Exh. No. BGM-13R -3'!AI46</f>
        <v>0</v>
      </c>
      <c r="AG45" s="276">
        <f>'Exh. No. BGM-13R -3'!AJ46</f>
        <v>0</v>
      </c>
      <c r="AH45" s="276">
        <f>'Exh. No. BGM-13R -3'!AK46</f>
        <v>-10</v>
      </c>
      <c r="AI45" s="276">
        <f>'Exh. No. BGM-13R -3'!AL46</f>
        <v>1255</v>
      </c>
      <c r="AJ45" s="276">
        <f>'Exh. No. BGM-13R -3'!AM46</f>
        <v>429</v>
      </c>
      <c r="AK45" s="276">
        <f>'Exh. No. BGM-13R -3'!AN46</f>
        <v>0</v>
      </c>
      <c r="AL45" s="276">
        <f>'Exh. No. BGM-13R -3'!AO46</f>
        <v>0</v>
      </c>
      <c r="AM45" s="276">
        <f>'Exh. No. BGM-13R -3'!AQ46</f>
        <v>0</v>
      </c>
      <c r="AN45" s="276">
        <f>'Exh. No. BGM-13R -3'!AR46</f>
        <v>0</v>
      </c>
      <c r="AO45" s="614">
        <f>'Exh. No. BGM-13R -3'!AS46</f>
        <v>0</v>
      </c>
      <c r="AP45" s="614">
        <f>'Exh. No. BGM-13R -3'!AT46</f>
        <v>0</v>
      </c>
      <c r="AQ45" s="614">
        <f>'Exh. No. BGM-13R -3'!AU46</f>
        <v>0</v>
      </c>
      <c r="AR45" s="614">
        <f>'Exh. No. BGM-13R -3'!AV46</f>
        <v>0</v>
      </c>
      <c r="AS45" s="614">
        <f>'Exh. No. BGM-13R -3'!AW46</f>
        <v>0</v>
      </c>
      <c r="AT45" s="276">
        <f>'Exh. No. BGM-13R -3'!AY46</f>
        <v>0</v>
      </c>
      <c r="AU45" s="614">
        <f>'Exh. No. BGM-13R -3'!BE46</f>
        <v>0</v>
      </c>
      <c r="AV45" s="614">
        <f>'Exh. No. BGM-13R -3'!BF46</f>
        <v>0</v>
      </c>
      <c r="AW45" s="614">
        <f>'Exh. No. BGM-13R -3'!BG46</f>
        <v>0</v>
      </c>
      <c r="AX45" s="614">
        <f>'Exh. No. BGM-13R -3'!BH46</f>
        <v>0</v>
      </c>
      <c r="AY45" s="614">
        <f>'Exh. No. BGM-13R -3'!BI46</f>
        <v>0</v>
      </c>
      <c r="AZ45" s="614">
        <f>'Exh. No. BGM-13R -3'!BJ46</f>
        <v>0</v>
      </c>
      <c r="BA45" s="614">
        <f>'Exh. No. BGM-13R -3'!BK46</f>
        <v>0</v>
      </c>
      <c r="BB45" s="614">
        <f>'Exh. No. BGM-13R -3'!BM46</f>
        <v>0</v>
      </c>
    </row>
    <row r="46" spans="1:54" s="22" customFormat="1">
      <c r="A46" s="20">
        <f>'Exh. No. BGM-13R -3'!A47</f>
        <v>25</v>
      </c>
      <c r="B46" s="22" t="str">
        <f>'Exh. No. BGM-13R -3'!B47</f>
        <v xml:space="preserve">Total Electric Expenses  </v>
      </c>
      <c r="E46" s="376">
        <f>'Exh. No. BGM-13R -3'!E47</f>
        <v>533464</v>
      </c>
      <c r="F46" s="276">
        <f>'Exh. No. BGM-13R -3'!F47</f>
        <v>0</v>
      </c>
      <c r="G46" s="276">
        <f>'Exh. No. BGM-13R -3'!G47</f>
        <v>-5082</v>
      </c>
      <c r="H46" s="276">
        <f>'Exh. No. BGM-13R -3'!H47</f>
        <v>0</v>
      </c>
      <c r="I46" s="614">
        <f>'Exh. No. BGM-13R -3'!I47</f>
        <v>0</v>
      </c>
      <c r="J46" s="276">
        <f>'Exh. No. BGM-13R -3'!J47</f>
        <v>-18028</v>
      </c>
      <c r="K46" s="276">
        <f>'Exh. No. BGM-13R -3'!K47</f>
        <v>-333</v>
      </c>
      <c r="L46" s="276">
        <f>'Exh. No. BGM-13R -3'!L47</f>
        <v>1054</v>
      </c>
      <c r="M46" s="276">
        <f>'Exh. No. BGM-13R -3'!M47</f>
        <v>18</v>
      </c>
      <c r="N46" s="276">
        <f>'Exh. No. BGM-13R -3'!N47</f>
        <v>181</v>
      </c>
      <c r="O46" s="276">
        <f>'Exh. No. BGM-13R -3'!O47</f>
        <v>0</v>
      </c>
      <c r="P46" s="276">
        <f>'Exh. No. BGM-13R -3'!P47</f>
        <v>-33</v>
      </c>
      <c r="Q46" s="276">
        <f>'Exh. No. BGM-13R -3'!Q47</f>
        <v>-333</v>
      </c>
      <c r="R46" s="276">
        <f>'Exh. No. BGM-13R -3'!R47</f>
        <v>-79</v>
      </c>
      <c r="S46" s="276">
        <f>'Exh. No. BGM-13R -3'!S47</f>
        <v>144</v>
      </c>
      <c r="T46" s="276">
        <f>'Exh. No. BGM-13R -3'!T47</f>
        <v>-10581</v>
      </c>
      <c r="U46" s="276">
        <f>'Exh. No. BGM-13R -3'!U47</f>
        <v>-1148.473</v>
      </c>
      <c r="V46" s="276">
        <f>'Exh. No. BGM-13R -3'!V47</f>
        <v>5154</v>
      </c>
      <c r="W46" s="276">
        <f>'Exh. No. BGM-13R -3'!W47</f>
        <v>-9</v>
      </c>
      <c r="X46" s="276">
        <f>'Exh. No. BGM-13R -3'!X47</f>
        <v>0</v>
      </c>
      <c r="Y46" s="276">
        <f>'Exh. No. BGM-13R -3'!Y47</f>
        <v>862</v>
      </c>
      <c r="Z46" s="276">
        <f>'Exh. No. BGM-13R -3'!AC47</f>
        <v>-107023.8169871</v>
      </c>
      <c r="AA46" s="276">
        <f>'Exh. No. BGM-13R -3'!AD47</f>
        <v>153</v>
      </c>
      <c r="AB46" s="276">
        <f>'Exh. No. BGM-13R -3'!AE47</f>
        <v>1235.078</v>
      </c>
      <c r="AC46" s="276">
        <f>'Exh. No. BGM-13R -3'!AF47</f>
        <v>54</v>
      </c>
      <c r="AD46" s="276">
        <f>'Exh. No. BGM-13R -3'!AG47</f>
        <v>1154</v>
      </c>
      <c r="AE46" s="276">
        <f>'Exh. No. BGM-13R -3'!AH47</f>
        <v>-1705</v>
      </c>
      <c r="AF46" s="276">
        <f>'Exh. No. BGM-13R -3'!AI47</f>
        <v>1044</v>
      </c>
      <c r="AG46" s="276">
        <f>'Exh. No. BGM-13R -3'!AJ47</f>
        <v>0</v>
      </c>
      <c r="AH46" s="276">
        <f>'Exh. No. BGM-13R -3'!AK47</f>
        <v>-239</v>
      </c>
      <c r="AI46" s="276">
        <f>'Exh. No. BGM-13R -3'!AL47</f>
        <v>2231</v>
      </c>
      <c r="AJ46" s="276">
        <f>'Exh. No. BGM-13R -3'!AM47</f>
        <v>876</v>
      </c>
      <c r="AK46" s="276">
        <f>'Exh. No. BGM-13R -3'!AN47</f>
        <v>0</v>
      </c>
      <c r="AL46" s="276">
        <f>'Exh. No. BGM-13R -3'!AO47</f>
        <v>822</v>
      </c>
      <c r="AM46" s="276">
        <f>'Exh. No. BGM-13R -3'!AQ47</f>
        <v>0</v>
      </c>
      <c r="AN46" s="276">
        <f>'Exh. No. BGM-13R -3'!AR47</f>
        <v>0</v>
      </c>
      <c r="AO46" s="614">
        <f>'Exh. No. BGM-13R -3'!AS47</f>
        <v>0</v>
      </c>
      <c r="AP46" s="614">
        <f>'Exh. No. BGM-13R -3'!AT47</f>
        <v>0</v>
      </c>
      <c r="AQ46" s="614">
        <f>'Exh. No. BGM-13R -3'!AU47</f>
        <v>0</v>
      </c>
      <c r="AR46" s="614">
        <f>'Exh. No. BGM-13R -3'!AV47</f>
        <v>0</v>
      </c>
      <c r="AS46" s="614">
        <f>'Exh. No. BGM-13R -3'!AW47</f>
        <v>0</v>
      </c>
      <c r="AT46" s="276">
        <f>'Exh. No. BGM-13R -3'!AY47</f>
        <v>0</v>
      </c>
      <c r="AU46" s="614">
        <f>'Exh. No. BGM-13R -3'!BE47</f>
        <v>0</v>
      </c>
      <c r="AV46" s="614">
        <f>'Exh. No. BGM-13R -3'!BF47</f>
        <v>0</v>
      </c>
      <c r="AW46" s="614">
        <f>'Exh. No. BGM-13R -3'!BG47</f>
        <v>0</v>
      </c>
      <c r="AX46" s="614">
        <f>'Exh. No. BGM-13R -3'!BH47</f>
        <v>0</v>
      </c>
      <c r="AY46" s="614">
        <f>'Exh. No. BGM-13R -3'!BI47</f>
        <v>0</v>
      </c>
      <c r="AZ46" s="614">
        <f>'Exh. No. BGM-13R -3'!BJ47</f>
        <v>0</v>
      </c>
      <c r="BA46" s="614">
        <f>'Exh. No. BGM-13R -3'!BK47</f>
        <v>0</v>
      </c>
      <c r="BB46" s="614">
        <f>'Exh. No. BGM-13R -3'!BM47</f>
        <v>0</v>
      </c>
    </row>
    <row r="47" spans="1:54" s="22" customFormat="1" ht="6.75" customHeight="1">
      <c r="E47" s="128"/>
      <c r="F47" s="264"/>
      <c r="G47" s="264"/>
      <c r="H47" s="264"/>
      <c r="I47" s="601"/>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601"/>
      <c r="AP47" s="601"/>
      <c r="AQ47" s="601"/>
      <c r="AR47" s="601"/>
      <c r="AS47" s="601"/>
      <c r="AT47" s="264"/>
      <c r="AU47" s="601"/>
      <c r="AV47" s="601"/>
      <c r="AW47" s="601"/>
      <c r="AX47" s="601"/>
      <c r="AY47" s="601"/>
      <c r="AZ47" s="601"/>
      <c r="BA47" s="601"/>
      <c r="BB47" s="601"/>
    </row>
    <row r="48" spans="1:54" s="22" customFormat="1">
      <c r="A48" s="20">
        <f>'Exh. No. BGM-13R -3'!A49</f>
        <v>26</v>
      </c>
      <c r="B48" s="22" t="str">
        <f>'Exh. No. BGM-13R -3'!B49</f>
        <v xml:space="preserve">OPERATING INCOME BEFORE FIT  </v>
      </c>
      <c r="E48" s="128">
        <f>'Exh. No. BGM-13R -3'!E49</f>
        <v>140653</v>
      </c>
      <c r="F48" s="264">
        <f>'Exh. No. BGM-13R -3'!F49</f>
        <v>0</v>
      </c>
      <c r="G48" s="264">
        <f>'Exh. No. BGM-13R -3'!G49</f>
        <v>5082</v>
      </c>
      <c r="H48" s="264">
        <f>'Exh. No. BGM-13R -3'!H49</f>
        <v>0</v>
      </c>
      <c r="I48" s="601">
        <f>'Exh. No. BGM-13R -3'!I49</f>
        <v>0</v>
      </c>
      <c r="J48" s="264">
        <f>'Exh. No. BGM-13R -3'!J49</f>
        <v>-96</v>
      </c>
      <c r="K48" s="264">
        <f>'Exh. No. BGM-13R -3'!K49</f>
        <v>333</v>
      </c>
      <c r="L48" s="264">
        <f>'Exh. No. BGM-13R -3'!L49</f>
        <v>-1054</v>
      </c>
      <c r="M48" s="264">
        <f>'Exh. No. BGM-13R -3'!M49</f>
        <v>-18</v>
      </c>
      <c r="N48" s="264">
        <f>'Exh. No. BGM-13R -3'!N49</f>
        <v>-181</v>
      </c>
      <c r="O48" s="264">
        <f>'Exh. No. BGM-13R -3'!O49</f>
        <v>0</v>
      </c>
      <c r="P48" s="264">
        <f>'Exh. No. BGM-13R -3'!P49</f>
        <v>33</v>
      </c>
      <c r="Q48" s="264">
        <f>'Exh. No. BGM-13R -3'!Q49</f>
        <v>333</v>
      </c>
      <c r="R48" s="264">
        <f>'Exh. No. BGM-13R -3'!R49</f>
        <v>79</v>
      </c>
      <c r="S48" s="264">
        <f>'Exh. No. BGM-13R -3'!S49</f>
        <v>2964</v>
      </c>
      <c r="T48" s="264">
        <f>'Exh. No. BGM-13R -3'!T49</f>
        <v>0</v>
      </c>
      <c r="U48" s="264">
        <f>'Exh. No. BGM-13R -3'!U49</f>
        <v>1148.473</v>
      </c>
      <c r="V48" s="264">
        <f>'Exh. No. BGM-13R -3'!V49</f>
        <v>7732</v>
      </c>
      <c r="W48" s="264">
        <f>'Exh. No. BGM-13R -3'!W49</f>
        <v>9</v>
      </c>
      <c r="X48" s="264">
        <f>'Exh. No. BGM-13R -3'!X49</f>
        <v>0</v>
      </c>
      <c r="Y48" s="264">
        <f>'Exh. No. BGM-13R -3'!Y49</f>
        <v>-862</v>
      </c>
      <c r="Z48" s="264">
        <f>'Exh. No. BGM-13R -3'!AC49</f>
        <v>-4274.1830129000009</v>
      </c>
      <c r="AA48" s="264">
        <f>'Exh. No. BGM-13R -3'!AD49</f>
        <v>333.22131549999995</v>
      </c>
      <c r="AB48" s="264">
        <f>'Exh. No. BGM-13R -3'!AE49</f>
        <v>-1235.078</v>
      </c>
      <c r="AC48" s="264">
        <f>'Exh. No. BGM-13R -3'!AF49</f>
        <v>-54</v>
      </c>
      <c r="AD48" s="264">
        <f>'Exh. No. BGM-13R -3'!AG49</f>
        <v>-1154</v>
      </c>
      <c r="AE48" s="264">
        <f>'Exh. No. BGM-13R -3'!AH49</f>
        <v>1705</v>
      </c>
      <c r="AF48" s="264">
        <f>'Exh. No. BGM-13R -3'!AI49</f>
        <v>-1044</v>
      </c>
      <c r="AG48" s="264">
        <f>'Exh. No. BGM-13R -3'!AJ49</f>
        <v>0</v>
      </c>
      <c r="AH48" s="264">
        <f>'Exh. No. BGM-13R -3'!AK49</f>
        <v>-3058</v>
      </c>
      <c r="AI48" s="264">
        <f>'Exh. No. BGM-13R -3'!AL49</f>
        <v>-2231</v>
      </c>
      <c r="AJ48" s="264">
        <f>'Exh. No. BGM-13R -3'!AM49</f>
        <v>-876</v>
      </c>
      <c r="AK48" s="264">
        <f>'Exh. No. BGM-13R -3'!AN49</f>
        <v>0</v>
      </c>
      <c r="AL48" s="264">
        <f>'Exh. No. BGM-13R -3'!AO49</f>
        <v>-822</v>
      </c>
      <c r="AM48" s="264">
        <f>'Exh. No. BGM-13R -3'!AQ49</f>
        <v>0</v>
      </c>
      <c r="AN48" s="264">
        <f>'Exh. No. BGM-13R -3'!AR49</f>
        <v>0</v>
      </c>
      <c r="AO48" s="601">
        <f>'Exh. No. BGM-13R -3'!AS49</f>
        <v>0</v>
      </c>
      <c r="AP48" s="601">
        <f>'Exh. No. BGM-13R -3'!AT49</f>
        <v>0</v>
      </c>
      <c r="AQ48" s="601">
        <f>'Exh. No. BGM-13R -3'!AU49</f>
        <v>0</v>
      </c>
      <c r="AR48" s="601">
        <f>'Exh. No. BGM-13R -3'!AV49</f>
        <v>0</v>
      </c>
      <c r="AS48" s="601">
        <f>'Exh. No. BGM-13R -3'!AW49</f>
        <v>0</v>
      </c>
      <c r="AT48" s="264">
        <f>'Exh. No. BGM-13R -3'!AY49</f>
        <v>0</v>
      </c>
      <c r="AU48" s="601">
        <f>'Exh. No. BGM-13R -3'!BE49</f>
        <v>0</v>
      </c>
      <c r="AV48" s="601">
        <f>'Exh. No. BGM-13R -3'!BF49</f>
        <v>0</v>
      </c>
      <c r="AW48" s="601">
        <f>'Exh. No. BGM-13R -3'!BG49</f>
        <v>0</v>
      </c>
      <c r="AX48" s="601">
        <f>'Exh. No. BGM-13R -3'!BH49</f>
        <v>0</v>
      </c>
      <c r="AY48" s="601">
        <f>'Exh. No. BGM-13R -3'!BI49</f>
        <v>0</v>
      </c>
      <c r="AZ48" s="601">
        <f>'Exh. No. BGM-13R -3'!BJ49</f>
        <v>0</v>
      </c>
      <c r="BA48" s="601">
        <f>'Exh. No. BGM-13R -3'!BK49</f>
        <v>0</v>
      </c>
      <c r="BB48" s="601">
        <f>'Exh. No. BGM-13R -3'!BM49</f>
        <v>0</v>
      </c>
    </row>
    <row r="49" spans="1:54" s="22" customFormat="1" ht="6.75" customHeight="1">
      <c r="A49" s="20"/>
      <c r="E49" s="128"/>
      <c r="F49" s="264"/>
      <c r="G49" s="264"/>
      <c r="H49" s="264"/>
      <c r="I49" s="601"/>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601"/>
      <c r="AP49" s="601"/>
      <c r="AQ49" s="601"/>
      <c r="AR49" s="601"/>
      <c r="AS49" s="601"/>
      <c r="AT49" s="264"/>
      <c r="AU49" s="601"/>
      <c r="AV49" s="601"/>
      <c r="AW49" s="601"/>
      <c r="AX49" s="601"/>
      <c r="AY49" s="601"/>
      <c r="AZ49" s="601"/>
      <c r="BA49" s="601"/>
      <c r="BB49" s="601"/>
    </row>
    <row r="50" spans="1:54" s="22" customFormat="1">
      <c r="A50" s="24"/>
      <c r="B50" s="22" t="str">
        <f>'Exh. No. BGM-13R -3'!B51</f>
        <v xml:space="preserve">FEDERAL INCOME TAX  </v>
      </c>
      <c r="E50" s="128">
        <f>'Exh. No. BGM-13R -3'!E51</f>
        <v>0</v>
      </c>
      <c r="F50" s="264">
        <f>'Exh. No. BGM-13R -3'!F51</f>
        <v>0</v>
      </c>
      <c r="G50" s="264">
        <f>'Exh. No. BGM-13R -3'!G51</f>
        <v>0</v>
      </c>
      <c r="H50" s="264">
        <f>'Exh. No. BGM-13R -3'!H51</f>
        <v>0</v>
      </c>
      <c r="I50" s="601">
        <f>'Exh. No. BGM-13R -3'!I51</f>
        <v>0</v>
      </c>
      <c r="J50" s="264">
        <f>'Exh. No. BGM-13R -3'!J51</f>
        <v>0</v>
      </c>
      <c r="K50" s="264">
        <f>'Exh. No. BGM-13R -3'!K51</f>
        <v>0</v>
      </c>
      <c r="L50" s="264">
        <f>'Exh. No. BGM-13R -3'!L51</f>
        <v>0</v>
      </c>
      <c r="M50" s="264">
        <f>'Exh. No. BGM-13R -3'!M51</f>
        <v>0</v>
      </c>
      <c r="N50" s="264">
        <f>'Exh. No. BGM-13R -3'!N51</f>
        <v>0</v>
      </c>
      <c r="O50" s="264">
        <f>'Exh. No. BGM-13R -3'!O51</f>
        <v>0</v>
      </c>
      <c r="P50" s="264">
        <f>'Exh. No. BGM-13R -3'!P51</f>
        <v>0</v>
      </c>
      <c r="Q50" s="264">
        <f>'Exh. No. BGM-13R -3'!Q51</f>
        <v>0</v>
      </c>
      <c r="R50" s="264">
        <f>'Exh. No. BGM-13R -3'!R51</f>
        <v>0</v>
      </c>
      <c r="S50" s="264">
        <f>'Exh. No. BGM-13R -3'!S51</f>
        <v>0</v>
      </c>
      <c r="T50" s="264">
        <f>'Exh. No. BGM-13R -3'!T51</f>
        <v>0</v>
      </c>
      <c r="U50" s="264">
        <f>'Exh. No. BGM-13R -3'!U51</f>
        <v>0</v>
      </c>
      <c r="V50" s="264">
        <f>'Exh. No. BGM-13R -3'!V51</f>
        <v>0</v>
      </c>
      <c r="W50" s="264">
        <f>'Exh. No. BGM-13R -3'!W51</f>
        <v>0</v>
      </c>
      <c r="X50" s="264">
        <f>'Exh. No. BGM-13R -3'!X51</f>
        <v>0</v>
      </c>
      <c r="Y50" s="264">
        <f>'Exh. No. BGM-13R -3'!Y51</f>
        <v>0</v>
      </c>
      <c r="Z50" s="264">
        <f>'Exh. No. BGM-13R -3'!AC51</f>
        <v>0</v>
      </c>
      <c r="AA50" s="264">
        <f>'Exh. No. BGM-13R -3'!AD51</f>
        <v>0</v>
      </c>
      <c r="AB50" s="264">
        <f>'Exh. No. BGM-13R -3'!AE51</f>
        <v>0</v>
      </c>
      <c r="AC50" s="264">
        <f>'Exh. No. BGM-13R -3'!AF51</f>
        <v>0</v>
      </c>
      <c r="AD50" s="264">
        <f>'Exh. No. BGM-13R -3'!AG51</f>
        <v>0</v>
      </c>
      <c r="AE50" s="264">
        <f>'Exh. No. BGM-13R -3'!AH51</f>
        <v>0</v>
      </c>
      <c r="AF50" s="264">
        <f>'Exh. No. BGM-13R -3'!AI51</f>
        <v>0</v>
      </c>
      <c r="AG50" s="264">
        <f>'Exh. No. BGM-13R -3'!AJ51</f>
        <v>0</v>
      </c>
      <c r="AH50" s="264">
        <f>'Exh. No. BGM-13R -3'!AK51</f>
        <v>0</v>
      </c>
      <c r="AI50" s="264">
        <f>'Exh. No. BGM-13R -3'!AL51</f>
        <v>0</v>
      </c>
      <c r="AJ50" s="264">
        <f>'Exh. No. BGM-13R -3'!AM51</f>
        <v>0</v>
      </c>
      <c r="AK50" s="264">
        <f>'Exh. No. BGM-13R -3'!AN51</f>
        <v>0</v>
      </c>
      <c r="AL50" s="264">
        <f>'Exh. No. BGM-13R -3'!AO51</f>
        <v>0</v>
      </c>
      <c r="AM50" s="264">
        <f>'Exh. No. BGM-13R -3'!AQ51</f>
        <v>0</v>
      </c>
      <c r="AN50" s="264">
        <f>'Exh. No. BGM-13R -3'!AR51</f>
        <v>0</v>
      </c>
      <c r="AO50" s="601">
        <f>'Exh. No. BGM-13R -3'!AS51</f>
        <v>0</v>
      </c>
      <c r="AP50" s="601">
        <f>'Exh. No. BGM-13R -3'!AT51</f>
        <v>0</v>
      </c>
      <c r="AQ50" s="601">
        <f>'Exh. No. BGM-13R -3'!AU51</f>
        <v>0</v>
      </c>
      <c r="AR50" s="601">
        <f>'Exh. No. BGM-13R -3'!AV51</f>
        <v>0</v>
      </c>
      <c r="AS50" s="601">
        <f>'Exh. No. BGM-13R -3'!AW51</f>
        <v>0</v>
      </c>
      <c r="AT50" s="264">
        <f>'Exh. No. BGM-13R -3'!AY51</f>
        <v>0</v>
      </c>
      <c r="AU50" s="601">
        <f>'Exh. No. BGM-13R -3'!BE51</f>
        <v>0</v>
      </c>
      <c r="AV50" s="601">
        <f>'Exh. No. BGM-13R -3'!BF51</f>
        <v>0</v>
      </c>
      <c r="AW50" s="601">
        <f>'Exh. No. BGM-13R -3'!BG51</f>
        <v>0</v>
      </c>
      <c r="AX50" s="601">
        <f>'Exh. No. BGM-13R -3'!BH51</f>
        <v>0</v>
      </c>
      <c r="AY50" s="601">
        <f>'Exh. No. BGM-13R -3'!BI51</f>
        <v>0</v>
      </c>
      <c r="AZ50" s="601">
        <f>'Exh. No. BGM-13R -3'!BJ51</f>
        <v>0</v>
      </c>
      <c r="BA50" s="601">
        <f>'Exh. No. BGM-13R -3'!BK51</f>
        <v>0</v>
      </c>
      <c r="BB50" s="601">
        <f>'Exh. No. BGM-13R -3'!BM51</f>
        <v>0</v>
      </c>
    </row>
    <row r="51" spans="1:54" s="22" customFormat="1">
      <c r="A51" s="279">
        <f>'Exh. No. BGM-13R -3'!A52</f>
        <v>27</v>
      </c>
      <c r="B51" s="22" t="str">
        <f>'Exh. No. BGM-13R -3'!B52</f>
        <v xml:space="preserve">Current Accrual </v>
      </c>
      <c r="E51" s="187">
        <f>'Exh. No. BGM-13R -3'!E52</f>
        <v>-7654</v>
      </c>
      <c r="F51" s="264">
        <f>'Exh. No. BGM-13R -3'!F52</f>
        <v>0</v>
      </c>
      <c r="G51" s="264">
        <f>'Exh. No. BGM-13R -3'!G52</f>
        <v>1778.6999999999998</v>
      </c>
      <c r="H51" s="264">
        <f>'Exh. No. BGM-13R -3'!H52</f>
        <v>0</v>
      </c>
      <c r="I51" s="601">
        <f>'Exh. No. BGM-13R -3'!I52</f>
        <v>0</v>
      </c>
      <c r="J51" s="264">
        <f>'Exh. No. BGM-13R -3'!J52</f>
        <v>-33.599999999999994</v>
      </c>
      <c r="K51" s="264">
        <f>'Exh. No. BGM-13R -3'!K52</f>
        <v>116.55</v>
      </c>
      <c r="L51" s="264">
        <f>'Exh. No. BGM-13R -3'!L52</f>
        <v>-368.9</v>
      </c>
      <c r="M51" s="264">
        <f>'Exh. No. BGM-13R -3'!M52</f>
        <v>-6.3</v>
      </c>
      <c r="N51" s="264">
        <f>'Exh. No. BGM-13R -3'!N52</f>
        <v>-63.349999999999994</v>
      </c>
      <c r="O51" s="264">
        <f>'Exh. No. BGM-13R -3'!O52</f>
        <v>-566</v>
      </c>
      <c r="P51" s="264">
        <f>'Exh. No. BGM-13R -3'!P52</f>
        <v>11.549999999999999</v>
      </c>
      <c r="Q51" s="264">
        <f>'Exh. No. BGM-13R -3'!Q52</f>
        <v>116.55</v>
      </c>
      <c r="R51" s="264">
        <f>'Exh. No. BGM-13R -3'!R52</f>
        <v>27.65</v>
      </c>
      <c r="S51" s="264">
        <f>'Exh. No. BGM-13R -3'!S52</f>
        <v>1037.3999999999999</v>
      </c>
      <c r="T51" s="264">
        <f>'Exh. No. BGM-13R -3'!T52</f>
        <v>0</v>
      </c>
      <c r="U51" s="264">
        <f>'Exh. No. BGM-13R -3'!U52</f>
        <v>401.96554999999995</v>
      </c>
      <c r="V51" s="264">
        <f>'Exh. No. BGM-13R -3'!V52</f>
        <v>4301</v>
      </c>
      <c r="W51" s="264">
        <f>'Exh. No. BGM-13R -3'!W52</f>
        <v>3.15</v>
      </c>
      <c r="X51" s="264">
        <f ca="1">'Exh. No. BGM-13R -3'!X52</f>
        <v>-156.79928000000001</v>
      </c>
      <c r="Y51" s="264">
        <f>'Exh. No. BGM-13R -3'!Y52</f>
        <v>-302.04999999999995</v>
      </c>
      <c r="Z51" s="264">
        <f>'Exh. No. BGM-13R -3'!AC52</f>
        <v>-1495.9640545150003</v>
      </c>
      <c r="AA51" s="264">
        <f>'Exh. No. BGM-13R -3'!AD52</f>
        <v>116.62746042499997</v>
      </c>
      <c r="AB51" s="264">
        <f>'Exh. No. BGM-13R -3'!AE52</f>
        <v>-432.27729999999997</v>
      </c>
      <c r="AC51" s="264">
        <f>'Exh. No. BGM-13R -3'!AF52</f>
        <v>-18.899999999999999</v>
      </c>
      <c r="AD51" s="264">
        <f>'Exh. No. BGM-13R -3'!AG52</f>
        <v>-403.9</v>
      </c>
      <c r="AE51" s="264">
        <f>'Exh. No. BGM-13R -3'!AH52</f>
        <v>596.75</v>
      </c>
      <c r="AF51" s="264">
        <f>'Exh. No. BGM-13R -3'!AI52</f>
        <v>-365.4</v>
      </c>
      <c r="AG51" s="264">
        <f>'Exh. No. BGM-13R -3'!AJ52</f>
        <v>0</v>
      </c>
      <c r="AH51" s="264">
        <f>'Exh. No. BGM-13R -3'!AK52</f>
        <v>-1070.3</v>
      </c>
      <c r="AI51" s="264">
        <f>'Exh. No. BGM-13R -3'!AL52</f>
        <v>-780.84999999999991</v>
      </c>
      <c r="AJ51" s="264">
        <f>'Exh. No. BGM-13R -3'!AM52</f>
        <v>-306.59999999999997</v>
      </c>
      <c r="AK51" s="264">
        <f>'Exh. No. BGM-13R -3'!AN52</f>
        <v>0</v>
      </c>
      <c r="AL51" s="264">
        <f>'Exh. No. BGM-13R -3'!AO52</f>
        <v>-287.7</v>
      </c>
      <c r="AM51" s="264">
        <f>'Exh. No. BGM-13R -3'!AQ52</f>
        <v>0</v>
      </c>
      <c r="AN51" s="264">
        <f>'Exh. No. BGM-13R -3'!AR52</f>
        <v>0</v>
      </c>
      <c r="AO51" s="601">
        <f>'Exh. No. BGM-13R -3'!AS52</f>
        <v>0</v>
      </c>
      <c r="AP51" s="601">
        <f>'Exh. No. BGM-13R -3'!AT52</f>
        <v>0</v>
      </c>
      <c r="AQ51" s="601">
        <f>'Exh. No. BGM-13R -3'!AU52</f>
        <v>0</v>
      </c>
      <c r="AR51" s="601">
        <f>'Exh. No. BGM-13R -3'!AV52</f>
        <v>0</v>
      </c>
      <c r="AS51" s="601">
        <f>'Exh. No. BGM-13R -3'!AW52</f>
        <v>0</v>
      </c>
      <c r="AT51" s="264">
        <f>'Exh. No. BGM-13R -3'!AY52</f>
        <v>0</v>
      </c>
      <c r="AU51" s="601">
        <f>'Exh. No. BGM-13R -3'!BE52</f>
        <v>0</v>
      </c>
      <c r="AV51" s="601">
        <f>'Exh. No. BGM-13R -3'!BF52</f>
        <v>0</v>
      </c>
      <c r="AW51" s="601">
        <f>'Exh. No. BGM-13R -3'!BG52</f>
        <v>0</v>
      </c>
      <c r="AX51" s="601">
        <f>'Exh. No. BGM-13R -3'!BH52</f>
        <v>0</v>
      </c>
      <c r="AY51" s="601">
        <f>'Exh. No. BGM-13R -3'!BI52</f>
        <v>0</v>
      </c>
      <c r="AZ51" s="601">
        <f>'Exh. No. BGM-13R -3'!BJ52</f>
        <v>0</v>
      </c>
      <c r="BA51" s="601">
        <f>'Exh. No. BGM-13R -3'!BK52</f>
        <v>0</v>
      </c>
      <c r="BB51" s="601">
        <f>'Exh. No. BGM-13R -3'!BM52</f>
        <v>0</v>
      </c>
    </row>
    <row r="52" spans="1:54" s="128" customFormat="1">
      <c r="A52" s="20">
        <f>'Exh. No. BGM-13R -3'!A53</f>
        <v>28</v>
      </c>
      <c r="B52" s="128" t="str">
        <f>'Exh. No. BGM-13R -3'!B53</f>
        <v>Debt Interest</v>
      </c>
      <c r="E52" s="187">
        <f>'Exh. No. BGM-13R -3'!E53</f>
        <v>0</v>
      </c>
      <c r="F52" s="265">
        <f>'Exh. No. BGM-13R -3'!F53</f>
        <v>65.166640000000001</v>
      </c>
      <c r="G52" s="265">
        <f>'Exh. No. BGM-13R -3'!G53</f>
        <v>62.615640992799996</v>
      </c>
      <c r="H52" s="265">
        <f>'Exh. No. BGM-13R -3'!H53</f>
        <v>-43.258879999999998</v>
      </c>
      <c r="I52" s="602">
        <f>'Exh. No. BGM-13R -3'!I53</f>
        <v>0</v>
      </c>
      <c r="J52" s="265">
        <f>'Exh. No. BGM-13R -3'!J53</f>
        <v>0</v>
      </c>
      <c r="K52" s="265">
        <f>'Exh. No. BGM-13R -3'!K53</f>
        <v>0</v>
      </c>
      <c r="L52" s="265">
        <f>'Exh. No. BGM-13R -3'!L53</f>
        <v>0</v>
      </c>
      <c r="M52" s="265">
        <f>'Exh. No. BGM-13R -3'!M53</f>
        <v>0</v>
      </c>
      <c r="N52" s="265">
        <f>'Exh. No. BGM-13R -3'!N53</f>
        <v>0</v>
      </c>
      <c r="O52" s="265">
        <f>'Exh. No. BGM-13R -3'!O53</f>
        <v>0</v>
      </c>
      <c r="P52" s="265">
        <f>'Exh. No. BGM-13R -3'!P53</f>
        <v>0</v>
      </c>
      <c r="Q52" s="265">
        <f>'Exh. No. BGM-13R -3'!Q53</f>
        <v>0</v>
      </c>
      <c r="R52" s="265">
        <f>'Exh. No. BGM-13R -3'!R53</f>
        <v>0</v>
      </c>
      <c r="S52" s="265">
        <f>'Exh. No. BGM-13R -3'!S53</f>
        <v>0</v>
      </c>
      <c r="T52" s="265">
        <f>'Exh. No. BGM-13R -3'!T53</f>
        <v>0</v>
      </c>
      <c r="U52" s="265">
        <f>'Exh. No. BGM-13R -3'!U53</f>
        <v>0</v>
      </c>
      <c r="V52" s="265">
        <f>'Exh. No. BGM-13R -3'!V53</f>
        <v>0</v>
      </c>
      <c r="W52" s="265">
        <f>'Exh. No. BGM-13R -3'!W53</f>
        <v>0</v>
      </c>
      <c r="X52" s="265">
        <f>'Exh. No. BGM-13R -3'!X53</f>
        <v>0</v>
      </c>
      <c r="Y52" s="265">
        <f>'Exh. No. BGM-13R -3'!Y53</f>
        <v>0</v>
      </c>
      <c r="Z52" s="265">
        <f>'Exh. No. BGM-13R -3'!AC53</f>
        <v>0</v>
      </c>
      <c r="AA52" s="265">
        <f>'Exh. No. BGM-13R -3'!AD53</f>
        <v>0</v>
      </c>
      <c r="AB52" s="265">
        <f>'Exh. No. BGM-13R -3'!AE53</f>
        <v>0</v>
      </c>
      <c r="AC52" s="265">
        <f>'Exh. No. BGM-13R -3'!AF53</f>
        <v>0</v>
      </c>
      <c r="AD52" s="265">
        <f>'Exh. No. BGM-13R -3'!AG53</f>
        <v>0</v>
      </c>
      <c r="AE52" s="265">
        <f>'Exh. No. BGM-13R -3'!AH53</f>
        <v>0</v>
      </c>
      <c r="AF52" s="265">
        <f>'Exh. No. BGM-13R -3'!AI53</f>
        <v>0</v>
      </c>
      <c r="AG52" s="265">
        <f>'Exh. No. BGM-13R -3'!AJ53</f>
        <v>0</v>
      </c>
      <c r="AH52" s="265">
        <f>'Exh. No. BGM-13R -3'!AK53</f>
        <v>0</v>
      </c>
      <c r="AI52" s="265">
        <f>'Exh. No. BGM-13R -3'!AL53</f>
        <v>-214.70348876759996</v>
      </c>
      <c r="AJ52" s="265">
        <f>'Exh. No. BGM-13R -3'!AM53</f>
        <v>-604.40686404839994</v>
      </c>
      <c r="AK52" s="265">
        <f>'Exh. No. BGM-13R -3'!AN53</f>
        <v>0</v>
      </c>
      <c r="AL52" s="265">
        <f>'Exh. No. BGM-13R -3'!AO53</f>
        <v>0</v>
      </c>
      <c r="AM52" s="265">
        <f>'Exh. No. BGM-13R -3'!AQ53</f>
        <v>0</v>
      </c>
      <c r="AN52" s="265">
        <f>'Exh. No. BGM-13R -3'!AR53</f>
        <v>0</v>
      </c>
      <c r="AO52" s="602">
        <f>'Exh. No. BGM-13R -3'!AS53</f>
        <v>0</v>
      </c>
      <c r="AP52" s="602">
        <f>'Exh. No. BGM-13R -3'!AT53</f>
        <v>0</v>
      </c>
      <c r="AQ52" s="602">
        <f>'Exh. No. BGM-13R -3'!AU53</f>
        <v>0</v>
      </c>
      <c r="AR52" s="602">
        <f>'Exh. No. BGM-13R -3'!AV53</f>
        <v>0</v>
      </c>
      <c r="AS52" s="602">
        <f>'Exh. No. BGM-13R -3'!AW53</f>
        <v>0</v>
      </c>
      <c r="AT52" s="265">
        <f>'Exh. No. BGM-13R -3'!AY53</f>
        <v>0</v>
      </c>
      <c r="AU52" s="602">
        <f>'Exh. No. BGM-13R -3'!BE53</f>
        <v>0</v>
      </c>
      <c r="AV52" s="602">
        <f>'Exh. No. BGM-13R -3'!BF53</f>
        <v>0</v>
      </c>
      <c r="AW52" s="602">
        <f>'Exh. No. BGM-13R -3'!BG53</f>
        <v>0</v>
      </c>
      <c r="AX52" s="602">
        <f>'Exh. No. BGM-13R -3'!BH53</f>
        <v>0</v>
      </c>
      <c r="AY52" s="602">
        <f>'Exh. No. BGM-13R -3'!BI53</f>
        <v>0</v>
      </c>
      <c r="AZ52" s="602">
        <f>'Exh. No. BGM-13R -3'!BJ53</f>
        <v>0</v>
      </c>
      <c r="BA52" s="602">
        <f>'Exh. No. BGM-13R -3'!BK53</f>
        <v>0</v>
      </c>
      <c r="BB52" s="602">
        <f>'Exh. No. BGM-13R -3'!BM53</f>
        <v>0</v>
      </c>
    </row>
    <row r="53" spans="1:54" s="22" customFormat="1">
      <c r="A53" s="20">
        <f>'Exh. No. BGM-13R -3'!A54</f>
        <v>29</v>
      </c>
      <c r="B53" s="22" t="str">
        <f>'Exh. No. BGM-13R -3'!B54</f>
        <v xml:space="preserve">Deferred Income Taxes  </v>
      </c>
      <c r="E53" s="187">
        <f>'Exh. No. BGM-13R -3'!E54</f>
        <v>46391</v>
      </c>
      <c r="F53" s="313">
        <f>'Exh. No. BGM-13R -3'!F54</f>
        <v>0</v>
      </c>
      <c r="G53" s="313">
        <f>'Exh. No. BGM-13R -3'!G54</f>
        <v>0</v>
      </c>
      <c r="H53" s="313">
        <f>'Exh. No. BGM-13R -3'!H54</f>
        <v>0</v>
      </c>
      <c r="I53" s="623">
        <f>'Exh. No. BGM-13R -3'!I54</f>
        <v>0</v>
      </c>
      <c r="J53" s="313">
        <f>'Exh. No. BGM-13R -3'!J54</f>
        <v>0</v>
      </c>
      <c r="K53" s="313">
        <f>'Exh. No. BGM-13R -3'!K54</f>
        <v>0</v>
      </c>
      <c r="L53" s="313">
        <f>'Exh. No. BGM-13R -3'!L54</f>
        <v>0</v>
      </c>
      <c r="M53" s="313">
        <f>'Exh. No. BGM-13R -3'!M54</f>
        <v>0</v>
      </c>
      <c r="N53" s="313">
        <f>'Exh. No. BGM-13R -3'!N54</f>
        <v>0</v>
      </c>
      <c r="O53" s="313">
        <f>'Exh. No. BGM-13R -3'!O54</f>
        <v>0</v>
      </c>
      <c r="P53" s="313">
        <f>'Exh. No. BGM-13R -3'!P54</f>
        <v>0</v>
      </c>
      <c r="Q53" s="313">
        <f>'Exh. No. BGM-13R -3'!Q54</f>
        <v>0</v>
      </c>
      <c r="R53" s="313">
        <f>'Exh. No. BGM-13R -3'!R54</f>
        <v>0</v>
      </c>
      <c r="S53" s="313">
        <f>'Exh. No. BGM-13R -3'!S54</f>
        <v>0</v>
      </c>
      <c r="T53" s="313">
        <f>'Exh. No. BGM-13R -3'!T54</f>
        <v>0</v>
      </c>
      <c r="U53" s="313">
        <f>'Exh. No. BGM-13R -3'!U54</f>
        <v>0</v>
      </c>
      <c r="V53" s="313">
        <f>'Exh. No. BGM-13R -3'!V54</f>
        <v>-1603</v>
      </c>
      <c r="W53" s="313">
        <f>'Exh. No. BGM-13R -3'!W54</f>
        <v>0</v>
      </c>
      <c r="X53" s="313">
        <f>'Exh. No. BGM-13R -3'!X54</f>
        <v>0</v>
      </c>
      <c r="Y53" s="313">
        <f>'Exh. No. BGM-13R -3'!Y54</f>
        <v>0</v>
      </c>
      <c r="Z53" s="313">
        <f>'Exh. No. BGM-13R -3'!AC54</f>
        <v>0</v>
      </c>
      <c r="AA53" s="313">
        <f>'Exh. No. BGM-13R -3'!AD54</f>
        <v>0</v>
      </c>
      <c r="AB53" s="313">
        <f>'Exh. No. BGM-13R -3'!AE54</f>
        <v>0</v>
      </c>
      <c r="AC53" s="313">
        <f>'Exh. No. BGM-13R -3'!AF54</f>
        <v>0</v>
      </c>
      <c r="AD53" s="313">
        <f>'Exh. No. BGM-13R -3'!AG54</f>
        <v>0</v>
      </c>
      <c r="AE53" s="313">
        <f>'Exh. No. BGM-13R -3'!AH54</f>
        <v>0</v>
      </c>
      <c r="AF53" s="313">
        <f>'Exh. No. BGM-13R -3'!AI54</f>
        <v>0</v>
      </c>
      <c r="AG53" s="313">
        <f>'Exh. No. BGM-13R -3'!AJ54</f>
        <v>0</v>
      </c>
      <c r="AH53" s="313">
        <f>'Exh. No. BGM-13R -3'!AK54</f>
        <v>0</v>
      </c>
      <c r="AI53" s="313">
        <f>'Exh. No. BGM-13R -3'!AL54</f>
        <v>0</v>
      </c>
      <c r="AJ53" s="313">
        <f>'Exh. No. BGM-13R -3'!AM54</f>
        <v>0</v>
      </c>
      <c r="AK53" s="313">
        <f>'Exh. No. BGM-13R -3'!AN54</f>
        <v>0</v>
      </c>
      <c r="AL53" s="313">
        <f>'Exh. No. BGM-13R -3'!AO54</f>
        <v>0</v>
      </c>
      <c r="AM53" s="313">
        <f>'Exh. No. BGM-13R -3'!AQ54</f>
        <v>0</v>
      </c>
      <c r="AN53" s="313">
        <f>'Exh. No. BGM-13R -3'!AR54</f>
        <v>0</v>
      </c>
      <c r="AO53" s="623">
        <f>'Exh. No. BGM-13R -3'!AS54</f>
        <v>0</v>
      </c>
      <c r="AP53" s="623">
        <f>'Exh. No. BGM-13R -3'!AT54</f>
        <v>0</v>
      </c>
      <c r="AQ53" s="623">
        <f>'Exh. No. BGM-13R -3'!AU54</f>
        <v>0</v>
      </c>
      <c r="AR53" s="623">
        <f>'Exh. No. BGM-13R -3'!AV54</f>
        <v>0</v>
      </c>
      <c r="AS53" s="623">
        <f>'Exh. No. BGM-13R -3'!AW54</f>
        <v>0</v>
      </c>
      <c r="AT53" s="313">
        <f>'Exh. No. BGM-13R -3'!AY54</f>
        <v>0</v>
      </c>
      <c r="AU53" s="623">
        <f>'Exh. No. BGM-13R -3'!BE54</f>
        <v>0</v>
      </c>
      <c r="AV53" s="623">
        <f>'Exh. No. BGM-13R -3'!BF54</f>
        <v>0</v>
      </c>
      <c r="AW53" s="623">
        <f>'Exh. No. BGM-13R -3'!BG54</f>
        <v>0</v>
      </c>
      <c r="AX53" s="623">
        <f>'Exh. No. BGM-13R -3'!BH54</f>
        <v>0</v>
      </c>
      <c r="AY53" s="623">
        <f>'Exh. No. BGM-13R -3'!BI54</f>
        <v>0</v>
      </c>
      <c r="AZ53" s="623">
        <f>'Exh. No. BGM-13R -3'!BJ54</f>
        <v>0</v>
      </c>
      <c r="BA53" s="623">
        <f>'Exh. No. BGM-13R -3'!BK54</f>
        <v>0</v>
      </c>
      <c r="BB53" s="623">
        <f>'Exh. No. BGM-13R -3'!BM54</f>
        <v>0</v>
      </c>
    </row>
    <row r="54" spans="1:54" s="22" customFormat="1">
      <c r="A54" s="24">
        <f>'Exh. No. BGM-13R -3'!A55</f>
        <v>30</v>
      </c>
      <c r="B54" s="22" t="str">
        <f>'Exh. No. BGM-13R -3'!B55</f>
        <v>Amortized ITC - Noxon</v>
      </c>
      <c r="E54" s="376">
        <f>'Exh. No. BGM-13R -3'!E55</f>
        <v>-127</v>
      </c>
      <c r="F54" s="315">
        <f>'Exh. No. BGM-13R -3'!F55</f>
        <v>0</v>
      </c>
      <c r="G54" s="315">
        <f>'Exh. No. BGM-13R -3'!G55</f>
        <v>0</v>
      </c>
      <c r="H54" s="315">
        <f>'Exh. No. BGM-13R -3'!H55</f>
        <v>0</v>
      </c>
      <c r="I54" s="625">
        <f>'Exh. No. BGM-13R -3'!I55</f>
        <v>0</v>
      </c>
      <c r="J54" s="315">
        <f>'Exh. No. BGM-13R -3'!J55</f>
        <v>0</v>
      </c>
      <c r="K54" s="315">
        <f>'Exh. No. BGM-13R -3'!K55</f>
        <v>0</v>
      </c>
      <c r="L54" s="315">
        <f>'Exh. No. BGM-13R -3'!L55</f>
        <v>0</v>
      </c>
      <c r="M54" s="315">
        <f>'Exh. No. BGM-13R -3'!M55</f>
        <v>0</v>
      </c>
      <c r="N54" s="315">
        <f>'Exh. No. BGM-13R -3'!N55</f>
        <v>0</v>
      </c>
      <c r="O54" s="315">
        <f>'Exh. No. BGM-13R -3'!O55</f>
        <v>0</v>
      </c>
      <c r="P54" s="315">
        <f>'Exh. No. BGM-13R -3'!P55</f>
        <v>0</v>
      </c>
      <c r="Q54" s="315">
        <f>'Exh. No. BGM-13R -3'!Q55</f>
        <v>0</v>
      </c>
      <c r="R54" s="315">
        <f>'Exh. No. BGM-13R -3'!R55</f>
        <v>0</v>
      </c>
      <c r="S54" s="315">
        <f>'Exh. No. BGM-13R -3'!S55</f>
        <v>0</v>
      </c>
      <c r="T54" s="315">
        <f>'Exh. No. BGM-13R -3'!T55</f>
        <v>0</v>
      </c>
      <c r="U54" s="315">
        <f>'Exh. No. BGM-13R -3'!U55</f>
        <v>0</v>
      </c>
      <c r="V54" s="315">
        <f>'Exh. No. BGM-13R -3'!V55</f>
        <v>0</v>
      </c>
      <c r="W54" s="315">
        <f>'Exh. No. BGM-13R -3'!W55</f>
        <v>0</v>
      </c>
      <c r="X54" s="315">
        <f>'Exh. No. BGM-13R -3'!X55</f>
        <v>0</v>
      </c>
      <c r="Y54" s="315">
        <f>'Exh. No. BGM-13R -3'!Y55</f>
        <v>0</v>
      </c>
      <c r="Z54" s="315">
        <f>'Exh. No. BGM-13R -3'!AC55</f>
        <v>0</v>
      </c>
      <c r="AA54" s="315">
        <f>'Exh. No. BGM-13R -3'!AD55</f>
        <v>0</v>
      </c>
      <c r="AB54" s="315">
        <f>'Exh. No. BGM-13R -3'!AE55</f>
        <v>0</v>
      </c>
      <c r="AC54" s="315">
        <f>'Exh. No. BGM-13R -3'!AF55</f>
        <v>0</v>
      </c>
      <c r="AD54" s="315">
        <f>'Exh. No. BGM-13R -3'!AG55</f>
        <v>0</v>
      </c>
      <c r="AE54" s="315">
        <f>'Exh. No. BGM-13R -3'!AH55</f>
        <v>0</v>
      </c>
      <c r="AF54" s="315">
        <f>'Exh. No. BGM-13R -3'!AI55</f>
        <v>0</v>
      </c>
      <c r="AG54" s="315">
        <f>'Exh. No. BGM-13R -3'!AJ55</f>
        <v>0</v>
      </c>
      <c r="AH54" s="315">
        <f>'Exh. No. BGM-13R -3'!AK55</f>
        <v>0</v>
      </c>
      <c r="AI54" s="315">
        <f>'Exh. No. BGM-13R -3'!AL55</f>
        <v>0</v>
      </c>
      <c r="AJ54" s="315">
        <f>'Exh. No. BGM-13R -3'!AM55</f>
        <v>0</v>
      </c>
      <c r="AK54" s="315">
        <f>'Exh. No. BGM-13R -3'!AN55</f>
        <v>0</v>
      </c>
      <c r="AL54" s="315">
        <f>'Exh. No. BGM-13R -3'!AO55</f>
        <v>0</v>
      </c>
      <c r="AM54" s="315">
        <f>'Exh. No. BGM-13R -3'!AQ55</f>
        <v>0</v>
      </c>
      <c r="AN54" s="315">
        <f>'Exh. No. BGM-13R -3'!AR55</f>
        <v>0</v>
      </c>
      <c r="AO54" s="625">
        <f>'Exh. No. BGM-13R -3'!AS55</f>
        <v>0</v>
      </c>
      <c r="AP54" s="625">
        <f>'Exh. No. BGM-13R -3'!AT55</f>
        <v>0</v>
      </c>
      <c r="AQ54" s="625">
        <f>'Exh. No. BGM-13R -3'!AU55</f>
        <v>0</v>
      </c>
      <c r="AR54" s="625">
        <f>'Exh. No. BGM-13R -3'!AV55</f>
        <v>0</v>
      </c>
      <c r="AS54" s="625">
        <f>'Exh. No. BGM-13R -3'!AW55</f>
        <v>0</v>
      </c>
      <c r="AT54" s="315">
        <f>'Exh. No. BGM-13R -3'!AY55</f>
        <v>0</v>
      </c>
      <c r="AU54" s="625">
        <f>'Exh. No. BGM-13R -3'!BE55</f>
        <v>0</v>
      </c>
      <c r="AV54" s="625">
        <f>'Exh. No. BGM-13R -3'!BF55</f>
        <v>0</v>
      </c>
      <c r="AW54" s="625">
        <f>'Exh. No. BGM-13R -3'!BG55</f>
        <v>0</v>
      </c>
      <c r="AX54" s="625">
        <f>'Exh. No. BGM-13R -3'!BH55</f>
        <v>0</v>
      </c>
      <c r="AY54" s="625">
        <f>'Exh. No. BGM-13R -3'!BI55</f>
        <v>0</v>
      </c>
      <c r="AZ54" s="625">
        <f>'Exh. No. BGM-13R -3'!BJ55</f>
        <v>0</v>
      </c>
      <c r="BA54" s="625">
        <f>'Exh. No. BGM-13R -3'!BK55</f>
        <v>0</v>
      </c>
      <c r="BB54" s="625">
        <f>'Exh. No. BGM-13R -3'!BM55</f>
        <v>0</v>
      </c>
    </row>
    <row r="55" spans="1:54" ht="6.75" customHeight="1"/>
    <row r="56" spans="1:54" s="21" customFormat="1" ht="12.75" thickBot="1">
      <c r="A56" s="23">
        <f>'Exh. No. BGM-13R -3'!A57</f>
        <v>31</v>
      </c>
      <c r="B56" s="21" t="str">
        <f>'Exh. No. BGM-13R -3'!B57</f>
        <v xml:space="preserve">NET OPERATING INCOME  </v>
      </c>
      <c r="E56" s="377">
        <f>'Exh. No. BGM-13R -3'!E57</f>
        <v>102043</v>
      </c>
      <c r="F56" s="394">
        <f>'Exh. No. BGM-13R -3'!F57</f>
        <v>-65.166640000000001</v>
      </c>
      <c r="G56" s="394">
        <f>'Exh. No. BGM-13R -3'!G57</f>
        <v>3240.6843590072003</v>
      </c>
      <c r="H56" s="394">
        <f>'Exh. No. BGM-13R -3'!H57</f>
        <v>43.258879999999998</v>
      </c>
      <c r="I56" s="631">
        <f>'Exh. No. BGM-13R -3'!I57</f>
        <v>0</v>
      </c>
      <c r="J56" s="394">
        <f>'Exh. No. BGM-13R -3'!J57</f>
        <v>-62.400000000000006</v>
      </c>
      <c r="K56" s="394">
        <f>'Exh. No. BGM-13R -3'!K57</f>
        <v>216.45</v>
      </c>
      <c r="L56" s="394">
        <f>'Exh. No. BGM-13R -3'!L57</f>
        <v>-685.1</v>
      </c>
      <c r="M56" s="394">
        <f>'Exh. No. BGM-13R -3'!M57</f>
        <v>-11.7</v>
      </c>
      <c r="N56" s="394">
        <f>'Exh. No. BGM-13R -3'!N57</f>
        <v>-117.65</v>
      </c>
      <c r="O56" s="394">
        <f>'Exh. No. BGM-13R -3'!O57</f>
        <v>566</v>
      </c>
      <c r="P56" s="394">
        <f>'Exh. No. BGM-13R -3'!P57</f>
        <v>21.450000000000003</v>
      </c>
      <c r="Q56" s="394">
        <f>'Exh. No. BGM-13R -3'!Q57</f>
        <v>216.45</v>
      </c>
      <c r="R56" s="394">
        <f>'Exh. No. BGM-13R -3'!R57</f>
        <v>51.35</v>
      </c>
      <c r="S56" s="394">
        <f>'Exh. No. BGM-13R -3'!S57</f>
        <v>1926.6000000000001</v>
      </c>
      <c r="T56" s="394">
        <f>'Exh. No. BGM-13R -3'!T57</f>
        <v>0</v>
      </c>
      <c r="U56" s="394">
        <f>'Exh. No. BGM-13R -3'!U57</f>
        <v>746.50745000000006</v>
      </c>
      <c r="V56" s="394">
        <f>'Exh. No. BGM-13R -3'!V57</f>
        <v>5034</v>
      </c>
      <c r="W56" s="394">
        <f>'Exh. No. BGM-13R -3'!W57</f>
        <v>5.85</v>
      </c>
      <c r="X56" s="394">
        <f ca="1">'Exh. No. BGM-13R -3'!X57</f>
        <v>156.79928000000001</v>
      </c>
      <c r="Y56" s="394">
        <f>'Exh. No. BGM-13R -3'!Y57</f>
        <v>-559.95000000000005</v>
      </c>
      <c r="Z56" s="394">
        <f>'Exh. No. BGM-13R -3'!AC57</f>
        <v>-2778.2189583850004</v>
      </c>
      <c r="AA56" s="394">
        <f>'Exh. No. BGM-13R -3'!AD57</f>
        <v>216.59385507499996</v>
      </c>
      <c r="AB56" s="394">
        <f>'Exh. No. BGM-13R -3'!AE57</f>
        <v>-802.80070000000001</v>
      </c>
      <c r="AC56" s="394">
        <f>'Exh. No. BGM-13R -3'!AF57</f>
        <v>-35.1</v>
      </c>
      <c r="AD56" s="394">
        <f>'Exh. No. BGM-13R -3'!AG57</f>
        <v>-750.1</v>
      </c>
      <c r="AE56" s="394">
        <f>'Exh. No. BGM-13R -3'!AH57</f>
        <v>1108.25</v>
      </c>
      <c r="AF56" s="394">
        <f>'Exh. No. BGM-13R -3'!AI57</f>
        <v>-678.6</v>
      </c>
      <c r="AG56" s="394">
        <f>'Exh. No. BGM-13R -3'!AJ57</f>
        <v>0</v>
      </c>
      <c r="AH56" s="394">
        <f>'Exh. No. BGM-13R -3'!AK57</f>
        <v>-1987.7</v>
      </c>
      <c r="AI56" s="394">
        <f>'Exh. No. BGM-13R -3'!AL57</f>
        <v>-1235.4465112324001</v>
      </c>
      <c r="AJ56" s="394">
        <f>'Exh. No. BGM-13R -3'!AM57</f>
        <v>35.006864048399848</v>
      </c>
      <c r="AK56" s="394">
        <f>'Exh. No. BGM-13R -3'!AN57</f>
        <v>0</v>
      </c>
      <c r="AL56" s="394">
        <f>'Exh. No. BGM-13R -3'!AO57</f>
        <v>-534.29999999999995</v>
      </c>
      <c r="AM56" s="394">
        <f>'Exh. No. BGM-13R -3'!AQ57</f>
        <v>0</v>
      </c>
      <c r="AN56" s="394">
        <f>'Exh. No. BGM-13R -3'!AR57</f>
        <v>0</v>
      </c>
      <c r="AO56" s="631">
        <f>'Exh. No. BGM-13R -3'!AS57</f>
        <v>0</v>
      </c>
      <c r="AP56" s="631">
        <f>'Exh. No. BGM-13R -3'!AT57</f>
        <v>0</v>
      </c>
      <c r="AQ56" s="631">
        <f>'Exh. No. BGM-13R -3'!AU57</f>
        <v>0</v>
      </c>
      <c r="AR56" s="631">
        <f>'Exh. No. BGM-13R -3'!AV57</f>
        <v>0</v>
      </c>
      <c r="AS56" s="631">
        <f>'Exh. No. BGM-13R -3'!AW57</f>
        <v>0</v>
      </c>
      <c r="AT56" s="394">
        <f>'Exh. No. BGM-13R -3'!AY57</f>
        <v>0</v>
      </c>
      <c r="AU56" s="631">
        <f>'Exh. No. BGM-13R -3'!BE57</f>
        <v>0</v>
      </c>
      <c r="AV56" s="631">
        <f>'Exh. No. BGM-13R -3'!BF57</f>
        <v>0</v>
      </c>
      <c r="AW56" s="631">
        <f>'Exh. No. BGM-13R -3'!BG57</f>
        <v>0</v>
      </c>
      <c r="AX56" s="631">
        <f>'Exh. No. BGM-13R -3'!BH57</f>
        <v>0</v>
      </c>
      <c r="AY56" s="631">
        <f>'Exh. No. BGM-13R -3'!BI57</f>
        <v>0</v>
      </c>
      <c r="AZ56" s="631">
        <f>'Exh. No. BGM-13R -3'!BJ57</f>
        <v>0</v>
      </c>
      <c r="BA56" s="631">
        <f>'Exh. No. BGM-13R -3'!BK57</f>
        <v>0</v>
      </c>
      <c r="BB56" s="631">
        <f>'Exh. No. BGM-13R -3'!BM57</f>
        <v>0</v>
      </c>
    </row>
    <row r="57" spans="1:54" ht="8.25" customHeight="1" thickTop="1">
      <c r="A57" s="23"/>
    </row>
    <row r="58" spans="1:54">
      <c r="A58" s="23"/>
      <c r="B58" s="2" t="str">
        <f>'Exh. No. BGM-13R -3'!B59</f>
        <v xml:space="preserve">RATE BASE  </v>
      </c>
    </row>
    <row r="59" spans="1:54">
      <c r="B59" s="2" t="str">
        <f>'Exh. No. BGM-13R -3'!B60</f>
        <v xml:space="preserve">PLANT IN SERVICE  </v>
      </c>
    </row>
    <row r="60" spans="1:54" s="21" customFormat="1">
      <c r="A60" s="349">
        <f>'Exh. No. BGM-13R -3'!A61</f>
        <v>32</v>
      </c>
      <c r="C60" s="21" t="str">
        <f>'Exh. No. BGM-13R -3'!C61</f>
        <v xml:space="preserve">Intangible  </v>
      </c>
      <c r="E60" s="247">
        <f>'Exh. No. BGM-13R -3'!E61</f>
        <v>132877</v>
      </c>
      <c r="F60" s="378">
        <f>'Exh. No. BGM-13R -3'!F61</f>
        <v>0</v>
      </c>
      <c r="G60" s="378">
        <f>'Exh. No. BGM-13R -3'!G61</f>
        <v>0</v>
      </c>
      <c r="H60" s="378">
        <f>'Exh. No. BGM-13R -3'!H61</f>
        <v>0</v>
      </c>
      <c r="I60" s="630">
        <f>'Exh. No. BGM-13R -3'!I61</f>
        <v>0</v>
      </c>
      <c r="J60" s="378">
        <f>'Exh. No. BGM-13R -3'!J61</f>
        <v>0</v>
      </c>
      <c r="K60" s="378">
        <f>'Exh. No. BGM-13R -3'!K61</f>
        <v>0</v>
      </c>
      <c r="L60" s="378">
        <f>'Exh. No. BGM-13R -3'!L61</f>
        <v>0</v>
      </c>
      <c r="M60" s="378">
        <f>'Exh. No. BGM-13R -3'!M61</f>
        <v>0</v>
      </c>
      <c r="N60" s="378">
        <f>'Exh. No. BGM-13R -3'!N61</f>
        <v>0</v>
      </c>
      <c r="O60" s="378">
        <f>'Exh. No. BGM-13R -3'!O61</f>
        <v>0</v>
      </c>
      <c r="P60" s="378">
        <f>'Exh. No. BGM-13R -3'!P61</f>
        <v>0</v>
      </c>
      <c r="Q60" s="378">
        <f>'Exh. No. BGM-13R -3'!Q61</f>
        <v>0</v>
      </c>
      <c r="R60" s="378">
        <f>'Exh. No. BGM-13R -3'!R61</f>
        <v>0</v>
      </c>
      <c r="S60" s="378">
        <f>'Exh. No. BGM-13R -3'!S61</f>
        <v>0</v>
      </c>
      <c r="T60" s="378">
        <f>'Exh. No. BGM-13R -3'!T61</f>
        <v>0</v>
      </c>
      <c r="U60" s="378">
        <f>'Exh. No. BGM-13R -3'!U61</f>
        <v>0</v>
      </c>
      <c r="V60" s="378">
        <f>'Exh. No. BGM-13R -3'!V61</f>
        <v>0</v>
      </c>
      <c r="W60" s="378">
        <f>'Exh. No. BGM-13R -3'!W61</f>
        <v>0</v>
      </c>
      <c r="X60" s="378">
        <f>'Exh. No. BGM-13R -3'!X61</f>
        <v>0</v>
      </c>
      <c r="Y60" s="378">
        <f>'Exh. No. BGM-13R -3'!Y61</f>
        <v>0</v>
      </c>
      <c r="Z60" s="378">
        <f>'Exh. No. BGM-13R -3'!AC61</f>
        <v>0</v>
      </c>
      <c r="AA60" s="378">
        <f>'Exh. No. BGM-13R -3'!AD61</f>
        <v>0</v>
      </c>
      <c r="AB60" s="378">
        <f>'Exh. No. BGM-13R -3'!AE61</f>
        <v>0</v>
      </c>
      <c r="AC60" s="378">
        <f>'Exh. No. BGM-13R -3'!AF61</f>
        <v>0</v>
      </c>
      <c r="AD60" s="378">
        <f>'Exh. No. BGM-13R -3'!AG61</f>
        <v>0</v>
      </c>
      <c r="AE60" s="378">
        <f>'Exh. No. BGM-13R -3'!AH61</f>
        <v>0</v>
      </c>
      <c r="AF60" s="378">
        <f>'Exh. No. BGM-13R -3'!AI61</f>
        <v>0</v>
      </c>
      <c r="AG60" s="378">
        <f>'Exh. No. BGM-13R -3'!AJ61</f>
        <v>0</v>
      </c>
      <c r="AH60" s="378">
        <f>'Exh. No. BGM-13R -3'!AK61</f>
        <v>0</v>
      </c>
      <c r="AI60" s="378">
        <f>'Exh. No. BGM-13R -3'!AL61</f>
        <v>12093</v>
      </c>
      <c r="AJ60" s="378">
        <f>'Exh. No. BGM-13R -3'!AM61</f>
        <v>4278</v>
      </c>
      <c r="AK60" s="378">
        <f>'Exh. No. BGM-13R -3'!AN61</f>
        <v>0</v>
      </c>
      <c r="AL60" s="378">
        <f>'Exh. No. BGM-13R -3'!AO61</f>
        <v>0</v>
      </c>
      <c r="AM60" s="378">
        <f>'Exh. No. BGM-13R -3'!AQ61</f>
        <v>0</v>
      </c>
      <c r="AN60" s="378">
        <f>'Exh. No. BGM-13R -3'!AR61</f>
        <v>0</v>
      </c>
      <c r="AO60" s="630">
        <f>'Exh. No. BGM-13R -3'!AS61</f>
        <v>0</v>
      </c>
      <c r="AP60" s="630">
        <f>'Exh. No. BGM-13R -3'!AT61</f>
        <v>0</v>
      </c>
      <c r="AQ60" s="630">
        <f>'Exh. No. BGM-13R -3'!AU61</f>
        <v>0</v>
      </c>
      <c r="AR60" s="630">
        <f>'Exh. No. BGM-13R -3'!AV61</f>
        <v>0</v>
      </c>
      <c r="AS60" s="630">
        <f>'Exh. No. BGM-13R -3'!AW61</f>
        <v>0</v>
      </c>
      <c r="AT60" s="378">
        <f>'Exh. No. BGM-13R -3'!AY61</f>
        <v>0</v>
      </c>
      <c r="AU60" s="630">
        <f>'Exh. No. BGM-13R -3'!BE61</f>
        <v>0</v>
      </c>
      <c r="AV60" s="630">
        <f>'Exh. No. BGM-13R -3'!BF61</f>
        <v>0</v>
      </c>
      <c r="AW60" s="630">
        <f>'Exh. No. BGM-13R -3'!BG61</f>
        <v>0</v>
      </c>
      <c r="AX60" s="630">
        <f>'Exh. No. BGM-13R -3'!BH61</f>
        <v>0</v>
      </c>
      <c r="AY60" s="630">
        <f>'Exh. No. BGM-13R -3'!BI61</f>
        <v>0</v>
      </c>
      <c r="AZ60" s="630">
        <f>'Exh. No. BGM-13R -3'!BJ61</f>
        <v>0</v>
      </c>
      <c r="BA60" s="630">
        <f>'Exh. No. BGM-13R -3'!BK61</f>
        <v>0</v>
      </c>
      <c r="BB60" s="630">
        <f>'Exh. No. BGM-13R -3'!BM61</f>
        <v>0</v>
      </c>
    </row>
    <row r="61" spans="1:54" s="22" customFormat="1">
      <c r="A61" s="23">
        <f>'Exh. No. BGM-13R -3'!A62</f>
        <v>33</v>
      </c>
      <c r="C61" s="22" t="str">
        <f>'Exh. No. BGM-13R -3'!C62</f>
        <v xml:space="preserve">Production  </v>
      </c>
      <c r="E61" s="187">
        <f>'Exh. No. BGM-13R -3'!E62</f>
        <v>762834</v>
      </c>
      <c r="F61" s="313">
        <f>'Exh. No. BGM-13R -3'!F62</f>
        <v>0</v>
      </c>
      <c r="G61" s="313">
        <f>'Exh. No. BGM-13R -3'!G62</f>
        <v>0</v>
      </c>
      <c r="H61" s="313">
        <f>'Exh. No. BGM-13R -3'!H62</f>
        <v>0</v>
      </c>
      <c r="I61" s="623">
        <f>'Exh. No. BGM-13R -3'!I62</f>
        <v>0</v>
      </c>
      <c r="J61" s="313">
        <f>'Exh. No. BGM-13R -3'!J62</f>
        <v>0</v>
      </c>
      <c r="K61" s="313">
        <f>'Exh. No. BGM-13R -3'!K62</f>
        <v>0</v>
      </c>
      <c r="L61" s="313">
        <f>'Exh. No. BGM-13R -3'!L62</f>
        <v>0</v>
      </c>
      <c r="M61" s="313">
        <f>'Exh. No. BGM-13R -3'!M62</f>
        <v>0</v>
      </c>
      <c r="N61" s="313">
        <f>'Exh. No. BGM-13R -3'!N62</f>
        <v>0</v>
      </c>
      <c r="O61" s="313">
        <f>'Exh. No. BGM-13R -3'!O62</f>
        <v>0</v>
      </c>
      <c r="P61" s="313">
        <f>'Exh. No. BGM-13R -3'!P62</f>
        <v>0</v>
      </c>
      <c r="Q61" s="313">
        <f>'Exh. No. BGM-13R -3'!Q62</f>
        <v>0</v>
      </c>
      <c r="R61" s="313">
        <f>'Exh. No. BGM-13R -3'!R62</f>
        <v>0</v>
      </c>
      <c r="S61" s="313">
        <f>'Exh. No. BGM-13R -3'!S62</f>
        <v>0</v>
      </c>
      <c r="T61" s="313">
        <f>'Exh. No. BGM-13R -3'!T62</f>
        <v>0</v>
      </c>
      <c r="U61" s="313">
        <f>'Exh. No. BGM-13R -3'!U62</f>
        <v>0</v>
      </c>
      <c r="V61" s="313">
        <f>'Exh. No. BGM-13R -3'!V62</f>
        <v>0</v>
      </c>
      <c r="W61" s="313">
        <f>'Exh. No. BGM-13R -3'!W62</f>
        <v>0</v>
      </c>
      <c r="X61" s="313">
        <f>'Exh. No. BGM-13R -3'!X62</f>
        <v>0</v>
      </c>
      <c r="Y61" s="313">
        <f>'Exh. No. BGM-13R -3'!Y62</f>
        <v>0</v>
      </c>
      <c r="Z61" s="313">
        <f>'Exh. No. BGM-13R -3'!AC62</f>
        <v>0</v>
      </c>
      <c r="AA61" s="313">
        <f>'Exh. No. BGM-13R -3'!AD62</f>
        <v>0</v>
      </c>
      <c r="AB61" s="313">
        <f>'Exh. No. BGM-13R -3'!AE62</f>
        <v>0</v>
      </c>
      <c r="AC61" s="313">
        <f>'Exh. No. BGM-13R -3'!AF62</f>
        <v>0</v>
      </c>
      <c r="AD61" s="313">
        <f>'Exh. No. BGM-13R -3'!AG62</f>
        <v>0</v>
      </c>
      <c r="AE61" s="313">
        <f>'Exh. No. BGM-13R -3'!AH62</f>
        <v>0</v>
      </c>
      <c r="AF61" s="313">
        <f>'Exh. No. BGM-13R -3'!AI62</f>
        <v>0</v>
      </c>
      <c r="AG61" s="313">
        <f>'Exh. No. BGM-13R -3'!AJ62</f>
        <v>0</v>
      </c>
      <c r="AH61" s="313">
        <f>'Exh. No. BGM-13R -3'!AK62</f>
        <v>0</v>
      </c>
      <c r="AI61" s="313">
        <f>'Exh. No. BGM-13R -3'!AL62</f>
        <v>16608</v>
      </c>
      <c r="AJ61" s="313">
        <f>'Exh. No. BGM-13R -3'!AM62</f>
        <v>72751</v>
      </c>
      <c r="AK61" s="313">
        <f>'Exh. No. BGM-13R -3'!AN62</f>
        <v>0</v>
      </c>
      <c r="AL61" s="313">
        <f>'Exh. No. BGM-13R -3'!AO62</f>
        <v>0</v>
      </c>
      <c r="AM61" s="313">
        <f>'Exh. No. BGM-13R -3'!AQ62</f>
        <v>0</v>
      </c>
      <c r="AN61" s="313">
        <f>'Exh. No. BGM-13R -3'!AR62</f>
        <v>0</v>
      </c>
      <c r="AO61" s="623">
        <f>'Exh. No. BGM-13R -3'!AS62</f>
        <v>0</v>
      </c>
      <c r="AP61" s="623">
        <f>'Exh. No. BGM-13R -3'!AT62</f>
        <v>0</v>
      </c>
      <c r="AQ61" s="623">
        <f>'Exh. No. BGM-13R -3'!AU62</f>
        <v>0</v>
      </c>
      <c r="AR61" s="623">
        <f>'Exh. No. BGM-13R -3'!AV62</f>
        <v>0</v>
      </c>
      <c r="AS61" s="623">
        <f>'Exh. No. BGM-13R -3'!AW62</f>
        <v>0</v>
      </c>
      <c r="AT61" s="313">
        <f>'Exh. No. BGM-13R -3'!AY62</f>
        <v>0</v>
      </c>
      <c r="AU61" s="623">
        <f>'Exh. No. BGM-13R -3'!BE62</f>
        <v>0</v>
      </c>
      <c r="AV61" s="623">
        <f>'Exh. No. BGM-13R -3'!BF62</f>
        <v>0</v>
      </c>
      <c r="AW61" s="623">
        <f>'Exh. No. BGM-13R -3'!BG62</f>
        <v>0</v>
      </c>
      <c r="AX61" s="623">
        <f>'Exh. No. BGM-13R -3'!BH62</f>
        <v>0</v>
      </c>
      <c r="AY61" s="623">
        <f>'Exh. No. BGM-13R -3'!BI62</f>
        <v>0</v>
      </c>
      <c r="AZ61" s="623">
        <f>'Exh. No. BGM-13R -3'!BJ62</f>
        <v>0</v>
      </c>
      <c r="BA61" s="623">
        <f>'Exh. No. BGM-13R -3'!BK62</f>
        <v>0</v>
      </c>
      <c r="BB61" s="623">
        <f>'Exh. No. BGM-13R -3'!BM62</f>
        <v>0</v>
      </c>
    </row>
    <row r="62" spans="1:54" s="22" customFormat="1">
      <c r="A62" s="23">
        <f>'Exh. No. BGM-13R -3'!A63</f>
        <v>34</v>
      </c>
      <c r="C62" s="22" t="str">
        <f>'Exh. No. BGM-13R -3'!C63</f>
        <v xml:space="preserve">Transmission  </v>
      </c>
      <c r="E62" s="187">
        <f>'Exh. No. BGM-13R -3'!E63</f>
        <v>390240</v>
      </c>
      <c r="F62" s="313">
        <f>'Exh. No. BGM-13R -3'!F63</f>
        <v>0</v>
      </c>
      <c r="G62" s="313">
        <f>'Exh. No. BGM-13R -3'!G63</f>
        <v>0</v>
      </c>
      <c r="H62" s="313">
        <f>'Exh. No. BGM-13R -3'!H63</f>
        <v>0</v>
      </c>
      <c r="I62" s="623">
        <f>'Exh. No. BGM-13R -3'!I63</f>
        <v>0</v>
      </c>
      <c r="J62" s="313">
        <f>'Exh. No. BGM-13R -3'!J63</f>
        <v>0</v>
      </c>
      <c r="K62" s="313">
        <f>'Exh. No. BGM-13R -3'!K63</f>
        <v>0</v>
      </c>
      <c r="L62" s="313">
        <f>'Exh. No. BGM-13R -3'!L63</f>
        <v>0</v>
      </c>
      <c r="M62" s="313">
        <f>'Exh. No. BGM-13R -3'!M63</f>
        <v>0</v>
      </c>
      <c r="N62" s="313">
        <f>'Exh. No. BGM-13R -3'!N63</f>
        <v>0</v>
      </c>
      <c r="O62" s="313">
        <f>'Exh. No. BGM-13R -3'!O63</f>
        <v>0</v>
      </c>
      <c r="P62" s="313">
        <f>'Exh. No. BGM-13R -3'!P63</f>
        <v>0</v>
      </c>
      <c r="Q62" s="313">
        <f>'Exh. No. BGM-13R -3'!Q63</f>
        <v>0</v>
      </c>
      <c r="R62" s="313">
        <f>'Exh. No. BGM-13R -3'!R63</f>
        <v>0</v>
      </c>
      <c r="S62" s="313">
        <f>'Exh. No. BGM-13R -3'!S63</f>
        <v>0</v>
      </c>
      <c r="T62" s="313">
        <f>'Exh. No. BGM-13R -3'!T63</f>
        <v>0</v>
      </c>
      <c r="U62" s="313">
        <f>'Exh. No. BGM-13R -3'!U63</f>
        <v>0</v>
      </c>
      <c r="V62" s="313">
        <f>'Exh. No. BGM-13R -3'!V63</f>
        <v>0</v>
      </c>
      <c r="W62" s="313">
        <f>'Exh. No. BGM-13R -3'!W63</f>
        <v>0</v>
      </c>
      <c r="X62" s="313">
        <f>'Exh. No. BGM-13R -3'!X63</f>
        <v>0</v>
      </c>
      <c r="Y62" s="313">
        <f>'Exh. No. BGM-13R -3'!Y63</f>
        <v>0</v>
      </c>
      <c r="Z62" s="313">
        <f>'Exh. No. BGM-13R -3'!AC63</f>
        <v>0</v>
      </c>
      <c r="AA62" s="313">
        <f>'Exh. No. BGM-13R -3'!AD63</f>
        <v>0</v>
      </c>
      <c r="AB62" s="313">
        <f>'Exh. No. BGM-13R -3'!AE63</f>
        <v>0</v>
      </c>
      <c r="AC62" s="313">
        <f>'Exh. No. BGM-13R -3'!AF63</f>
        <v>0</v>
      </c>
      <c r="AD62" s="313">
        <f>'Exh. No. BGM-13R -3'!AG63</f>
        <v>0</v>
      </c>
      <c r="AE62" s="313">
        <f>'Exh. No. BGM-13R -3'!AH63</f>
        <v>0</v>
      </c>
      <c r="AF62" s="313">
        <f>'Exh. No. BGM-13R -3'!AI63</f>
        <v>0</v>
      </c>
      <c r="AG62" s="313">
        <f>'Exh. No. BGM-13R -3'!AJ63</f>
        <v>0</v>
      </c>
      <c r="AH62" s="313">
        <f>'Exh. No. BGM-13R -3'!AK63</f>
        <v>0</v>
      </c>
      <c r="AI62" s="313">
        <f>'Exh. No. BGM-13R -3'!AL63</f>
        <v>11460</v>
      </c>
      <c r="AJ62" s="313">
        <f>'Exh. No. BGM-13R -3'!AM63</f>
        <v>756</v>
      </c>
      <c r="AK62" s="313">
        <f>'Exh. No. BGM-13R -3'!AN63</f>
        <v>0</v>
      </c>
      <c r="AL62" s="313">
        <f>'Exh. No. BGM-13R -3'!AO63</f>
        <v>0</v>
      </c>
      <c r="AM62" s="313">
        <f>'Exh. No. BGM-13R -3'!AQ63</f>
        <v>0</v>
      </c>
      <c r="AN62" s="313">
        <f>'Exh. No. BGM-13R -3'!AR63</f>
        <v>0</v>
      </c>
      <c r="AO62" s="623">
        <f>'Exh. No. BGM-13R -3'!AS63</f>
        <v>0</v>
      </c>
      <c r="AP62" s="623">
        <f>'Exh. No. BGM-13R -3'!AT63</f>
        <v>0</v>
      </c>
      <c r="AQ62" s="623">
        <f>'Exh. No. BGM-13R -3'!AU63</f>
        <v>0</v>
      </c>
      <c r="AR62" s="623">
        <f>'Exh. No. BGM-13R -3'!AV63</f>
        <v>0</v>
      </c>
      <c r="AS62" s="623">
        <f>'Exh. No. BGM-13R -3'!AW63</f>
        <v>0</v>
      </c>
      <c r="AT62" s="313">
        <f>'Exh. No. BGM-13R -3'!AY63</f>
        <v>0</v>
      </c>
      <c r="AU62" s="623">
        <f>'Exh. No. BGM-13R -3'!BE63</f>
        <v>0</v>
      </c>
      <c r="AV62" s="623">
        <f>'Exh. No. BGM-13R -3'!BF63</f>
        <v>0</v>
      </c>
      <c r="AW62" s="623">
        <f>'Exh. No. BGM-13R -3'!BG63</f>
        <v>0</v>
      </c>
      <c r="AX62" s="623">
        <f>'Exh. No. BGM-13R -3'!BH63</f>
        <v>0</v>
      </c>
      <c r="AY62" s="623">
        <f>'Exh. No. BGM-13R -3'!BI63</f>
        <v>0</v>
      </c>
      <c r="AZ62" s="623">
        <f>'Exh. No. BGM-13R -3'!BJ63</f>
        <v>0</v>
      </c>
      <c r="BA62" s="623">
        <f>'Exh. No. BGM-13R -3'!BK63</f>
        <v>0</v>
      </c>
      <c r="BB62" s="623">
        <f>'Exh. No. BGM-13R -3'!BM63</f>
        <v>0</v>
      </c>
    </row>
    <row r="63" spans="1:54" s="22" customFormat="1">
      <c r="A63" s="23">
        <f>'Exh. No. BGM-13R -3'!A64</f>
        <v>35</v>
      </c>
      <c r="C63" s="22" t="str">
        <f>'Exh. No. BGM-13R -3'!C64</f>
        <v xml:space="preserve">Distribution  </v>
      </c>
      <c r="E63" s="187">
        <f>'Exh. No. BGM-13R -3'!E64</f>
        <v>880960</v>
      </c>
      <c r="F63" s="313">
        <f>'Exh. No. BGM-13R -3'!F64</f>
        <v>0</v>
      </c>
      <c r="G63" s="313">
        <f>'Exh. No. BGM-13R -3'!G64</f>
        <v>0</v>
      </c>
      <c r="H63" s="313">
        <f>'Exh. No. BGM-13R -3'!H64</f>
        <v>0</v>
      </c>
      <c r="I63" s="623">
        <f>'Exh. No. BGM-13R -3'!I64</f>
        <v>0</v>
      </c>
      <c r="J63" s="313">
        <f>'Exh. No. BGM-13R -3'!J64</f>
        <v>0</v>
      </c>
      <c r="K63" s="313">
        <f>'Exh. No. BGM-13R -3'!K64</f>
        <v>0</v>
      </c>
      <c r="L63" s="313">
        <f>'Exh. No. BGM-13R -3'!L64</f>
        <v>0</v>
      </c>
      <c r="M63" s="313">
        <f>'Exh. No. BGM-13R -3'!M64</f>
        <v>0</v>
      </c>
      <c r="N63" s="313">
        <f>'Exh. No. BGM-13R -3'!N64</f>
        <v>0</v>
      </c>
      <c r="O63" s="313">
        <f>'Exh. No. BGM-13R -3'!O64</f>
        <v>0</v>
      </c>
      <c r="P63" s="313">
        <f>'Exh. No. BGM-13R -3'!P64</f>
        <v>0</v>
      </c>
      <c r="Q63" s="313">
        <f>'Exh. No. BGM-13R -3'!Q64</f>
        <v>0</v>
      </c>
      <c r="R63" s="313">
        <f>'Exh. No. BGM-13R -3'!R64</f>
        <v>0</v>
      </c>
      <c r="S63" s="313">
        <f>'Exh. No. BGM-13R -3'!S64</f>
        <v>0</v>
      </c>
      <c r="T63" s="313">
        <f>'Exh. No. BGM-13R -3'!T64</f>
        <v>0</v>
      </c>
      <c r="U63" s="313">
        <f>'Exh. No. BGM-13R -3'!U64</f>
        <v>0</v>
      </c>
      <c r="V63" s="313">
        <f>'Exh. No. BGM-13R -3'!V64</f>
        <v>0</v>
      </c>
      <c r="W63" s="313">
        <f>'Exh. No. BGM-13R -3'!W64</f>
        <v>0</v>
      </c>
      <c r="X63" s="313">
        <f>'Exh. No. BGM-13R -3'!X64</f>
        <v>0</v>
      </c>
      <c r="Y63" s="313">
        <f>'Exh. No. BGM-13R -3'!Y64</f>
        <v>0</v>
      </c>
      <c r="Z63" s="313">
        <f>'Exh. No. BGM-13R -3'!AC64</f>
        <v>0</v>
      </c>
      <c r="AA63" s="313">
        <f>'Exh. No. BGM-13R -3'!AD64</f>
        <v>0</v>
      </c>
      <c r="AB63" s="313">
        <f>'Exh. No. BGM-13R -3'!AE64</f>
        <v>0</v>
      </c>
      <c r="AC63" s="313">
        <f>'Exh. No. BGM-13R -3'!AF64</f>
        <v>0</v>
      </c>
      <c r="AD63" s="313">
        <f>'Exh. No. BGM-13R -3'!AG64</f>
        <v>0</v>
      </c>
      <c r="AE63" s="313">
        <f>'Exh. No. BGM-13R -3'!AH64</f>
        <v>0</v>
      </c>
      <c r="AF63" s="313">
        <f>'Exh. No. BGM-13R -3'!AI64</f>
        <v>0</v>
      </c>
      <c r="AG63" s="313">
        <f>'Exh. No. BGM-13R -3'!AJ64</f>
        <v>0</v>
      </c>
      <c r="AH63" s="313">
        <f>'Exh. No. BGM-13R -3'!AK64</f>
        <v>0</v>
      </c>
      <c r="AI63" s="313">
        <f>'Exh. No. BGM-13R -3'!AL64</f>
        <v>14092</v>
      </c>
      <c r="AJ63" s="313">
        <f>'Exh. No. BGM-13R -3'!AM64</f>
        <v>0</v>
      </c>
      <c r="AK63" s="313">
        <f>'Exh. No. BGM-13R -3'!AN64</f>
        <v>0</v>
      </c>
      <c r="AL63" s="313">
        <f>'Exh. No. BGM-13R -3'!AO64</f>
        <v>0</v>
      </c>
      <c r="AM63" s="313">
        <f>'Exh. No. BGM-13R -3'!AQ64</f>
        <v>0</v>
      </c>
      <c r="AN63" s="313">
        <f>'Exh. No. BGM-13R -3'!AR64</f>
        <v>0</v>
      </c>
      <c r="AO63" s="623">
        <f>'Exh. No. BGM-13R -3'!AS64</f>
        <v>0</v>
      </c>
      <c r="AP63" s="623">
        <f>'Exh. No. BGM-13R -3'!AT64</f>
        <v>0</v>
      </c>
      <c r="AQ63" s="623">
        <f>'Exh. No. BGM-13R -3'!AU64</f>
        <v>0</v>
      </c>
      <c r="AR63" s="623">
        <f>'Exh. No. BGM-13R -3'!AV64</f>
        <v>0</v>
      </c>
      <c r="AS63" s="623">
        <f>'Exh. No. BGM-13R -3'!AW64</f>
        <v>0</v>
      </c>
      <c r="AT63" s="313">
        <f>'Exh. No. BGM-13R -3'!AY64</f>
        <v>0</v>
      </c>
      <c r="AU63" s="623">
        <f>'Exh. No. BGM-13R -3'!BE64</f>
        <v>0</v>
      </c>
      <c r="AV63" s="623">
        <f>'Exh. No. BGM-13R -3'!BF64</f>
        <v>0</v>
      </c>
      <c r="AW63" s="623">
        <f>'Exh. No. BGM-13R -3'!BG64</f>
        <v>0</v>
      </c>
      <c r="AX63" s="623">
        <f>'Exh. No. BGM-13R -3'!BH64</f>
        <v>0</v>
      </c>
      <c r="AY63" s="623">
        <f>'Exh. No. BGM-13R -3'!BI64</f>
        <v>0</v>
      </c>
      <c r="AZ63" s="623">
        <f>'Exh. No. BGM-13R -3'!BJ64</f>
        <v>0</v>
      </c>
      <c r="BA63" s="623">
        <f>'Exh. No. BGM-13R -3'!BK64</f>
        <v>0</v>
      </c>
      <c r="BB63" s="623">
        <f>'Exh. No. BGM-13R -3'!BM64</f>
        <v>0</v>
      </c>
    </row>
    <row r="64" spans="1:54" s="22" customFormat="1">
      <c r="A64" s="23">
        <f>'Exh. No. BGM-13R -3'!A65</f>
        <v>36</v>
      </c>
      <c r="C64" s="22" t="str">
        <f>'Exh. No. BGM-13R -3'!C65</f>
        <v xml:space="preserve">General  </v>
      </c>
      <c r="E64" s="376">
        <f>'Exh. No. BGM-13R -3'!E65</f>
        <v>207659</v>
      </c>
      <c r="F64" s="315">
        <f>'Exh. No. BGM-13R -3'!F65</f>
        <v>0</v>
      </c>
      <c r="G64" s="315">
        <f>'Exh. No. BGM-13R -3'!G65</f>
        <v>0</v>
      </c>
      <c r="H64" s="315">
        <f>'Exh. No. BGM-13R -3'!H65</f>
        <v>0</v>
      </c>
      <c r="I64" s="625">
        <f>'Exh. No. BGM-13R -3'!I65</f>
        <v>0</v>
      </c>
      <c r="J64" s="315">
        <f>'Exh. No. BGM-13R -3'!J65</f>
        <v>0</v>
      </c>
      <c r="K64" s="315">
        <f>'Exh. No. BGM-13R -3'!K65</f>
        <v>0</v>
      </c>
      <c r="L64" s="315">
        <f>'Exh. No. BGM-13R -3'!L65</f>
        <v>0</v>
      </c>
      <c r="M64" s="315">
        <f>'Exh. No. BGM-13R -3'!M65</f>
        <v>0</v>
      </c>
      <c r="N64" s="315">
        <f>'Exh. No. BGM-13R -3'!N65</f>
        <v>0</v>
      </c>
      <c r="O64" s="315">
        <f>'Exh. No. BGM-13R -3'!O65</f>
        <v>0</v>
      </c>
      <c r="P64" s="315">
        <f>'Exh. No. BGM-13R -3'!P65</f>
        <v>0</v>
      </c>
      <c r="Q64" s="315">
        <f>'Exh. No. BGM-13R -3'!Q65</f>
        <v>0</v>
      </c>
      <c r="R64" s="315">
        <f>'Exh. No. BGM-13R -3'!R65</f>
        <v>0</v>
      </c>
      <c r="S64" s="315">
        <f>'Exh. No. BGM-13R -3'!S65</f>
        <v>0</v>
      </c>
      <c r="T64" s="315">
        <f>'Exh. No. BGM-13R -3'!T65</f>
        <v>0</v>
      </c>
      <c r="U64" s="315">
        <f>'Exh. No. BGM-13R -3'!U65</f>
        <v>0</v>
      </c>
      <c r="V64" s="315">
        <f>'Exh. No. BGM-13R -3'!V65</f>
        <v>0</v>
      </c>
      <c r="W64" s="315">
        <f>'Exh. No. BGM-13R -3'!W65</f>
        <v>0</v>
      </c>
      <c r="X64" s="315">
        <f>'Exh. No. BGM-13R -3'!X65</f>
        <v>0</v>
      </c>
      <c r="Y64" s="315">
        <f>'Exh. No. BGM-13R -3'!Y65</f>
        <v>0</v>
      </c>
      <c r="Z64" s="315">
        <f>'Exh. No. BGM-13R -3'!AC65</f>
        <v>0</v>
      </c>
      <c r="AA64" s="315">
        <f>'Exh. No. BGM-13R -3'!AD65</f>
        <v>0</v>
      </c>
      <c r="AB64" s="315">
        <f>'Exh. No. BGM-13R -3'!AE65</f>
        <v>0</v>
      </c>
      <c r="AC64" s="315">
        <f>'Exh. No. BGM-13R -3'!AF65</f>
        <v>0</v>
      </c>
      <c r="AD64" s="315">
        <f>'Exh. No. BGM-13R -3'!AG65</f>
        <v>0</v>
      </c>
      <c r="AE64" s="315">
        <f>'Exh. No. BGM-13R -3'!AH65</f>
        <v>0</v>
      </c>
      <c r="AF64" s="315">
        <f>'Exh. No. BGM-13R -3'!AI65</f>
        <v>0</v>
      </c>
      <c r="AG64" s="315">
        <f>'Exh. No. BGM-13R -3'!AJ65</f>
        <v>0</v>
      </c>
      <c r="AH64" s="315">
        <f>'Exh. No. BGM-13R -3'!AK65</f>
        <v>0</v>
      </c>
      <c r="AI64" s="315">
        <f>'Exh. No. BGM-13R -3'!AL65</f>
        <v>5066</v>
      </c>
      <c r="AJ64" s="315">
        <f>'Exh. No. BGM-13R -3'!AM65</f>
        <v>152</v>
      </c>
      <c r="AK64" s="315">
        <f>'Exh. No. BGM-13R -3'!AN65</f>
        <v>0</v>
      </c>
      <c r="AL64" s="315">
        <f>'Exh. No. BGM-13R -3'!AO65</f>
        <v>0</v>
      </c>
      <c r="AM64" s="315">
        <f>'Exh. No. BGM-13R -3'!AQ65</f>
        <v>0</v>
      </c>
      <c r="AN64" s="315">
        <f>'Exh. No. BGM-13R -3'!AR65</f>
        <v>0</v>
      </c>
      <c r="AO64" s="625">
        <f>'Exh. No. BGM-13R -3'!AS65</f>
        <v>0</v>
      </c>
      <c r="AP64" s="625">
        <f>'Exh. No. BGM-13R -3'!AT65</f>
        <v>0</v>
      </c>
      <c r="AQ64" s="625">
        <f>'Exh. No. BGM-13R -3'!AU65</f>
        <v>0</v>
      </c>
      <c r="AR64" s="625">
        <f>'Exh. No. BGM-13R -3'!AV65</f>
        <v>0</v>
      </c>
      <c r="AS64" s="625">
        <f>'Exh. No. BGM-13R -3'!AW65</f>
        <v>0</v>
      </c>
      <c r="AT64" s="315">
        <f>'Exh. No. BGM-13R -3'!AY65</f>
        <v>0</v>
      </c>
      <c r="AU64" s="625">
        <f>'Exh. No. BGM-13R -3'!BE65</f>
        <v>0</v>
      </c>
      <c r="AV64" s="625">
        <f>'Exh. No. BGM-13R -3'!BF65</f>
        <v>0</v>
      </c>
      <c r="AW64" s="625">
        <f>'Exh. No. BGM-13R -3'!BG65</f>
        <v>0</v>
      </c>
      <c r="AX64" s="625">
        <f>'Exh. No. BGM-13R -3'!BH65</f>
        <v>0</v>
      </c>
      <c r="AY64" s="625">
        <f>'Exh. No. BGM-13R -3'!BI65</f>
        <v>0</v>
      </c>
      <c r="AZ64" s="625">
        <f>'Exh. No. BGM-13R -3'!BJ65</f>
        <v>0</v>
      </c>
      <c r="BA64" s="625">
        <f>'Exh. No. BGM-13R -3'!BK65</f>
        <v>0</v>
      </c>
      <c r="BB64" s="625">
        <f>'Exh. No. BGM-13R -3'!BM65</f>
        <v>0</v>
      </c>
    </row>
    <row r="65" spans="1:54" s="22" customFormat="1">
      <c r="A65" s="23">
        <f>'Exh. No. BGM-13R -3'!A66</f>
        <v>37</v>
      </c>
      <c r="B65" s="22" t="str">
        <f>'Exh. No. BGM-13R -3'!B66</f>
        <v xml:space="preserve">Total Plant in Service  </v>
      </c>
      <c r="E65" s="265">
        <f>'Exh. No. BGM-13R -3'!E66</f>
        <v>2374570</v>
      </c>
      <c r="F65" s="264">
        <f>'Exh. No. BGM-13R -3'!F66</f>
        <v>0</v>
      </c>
      <c r="G65" s="264">
        <f>'Exh. No. BGM-13R -3'!G66</f>
        <v>0</v>
      </c>
      <c r="H65" s="264">
        <f>'Exh. No. BGM-13R -3'!H66</f>
        <v>0</v>
      </c>
      <c r="I65" s="601">
        <f>'Exh. No. BGM-13R -3'!I66</f>
        <v>0</v>
      </c>
      <c r="J65" s="264">
        <f>'Exh. No. BGM-13R -3'!J66</f>
        <v>0</v>
      </c>
      <c r="K65" s="264">
        <f>'Exh. No. BGM-13R -3'!K66</f>
        <v>0</v>
      </c>
      <c r="L65" s="264">
        <f>'Exh. No. BGM-13R -3'!L66</f>
        <v>0</v>
      </c>
      <c r="M65" s="264">
        <f>'Exh. No. BGM-13R -3'!M66</f>
        <v>0</v>
      </c>
      <c r="N65" s="264">
        <f>'Exh. No. BGM-13R -3'!N66</f>
        <v>0</v>
      </c>
      <c r="O65" s="264">
        <f>'Exh. No. BGM-13R -3'!O66</f>
        <v>0</v>
      </c>
      <c r="P65" s="264">
        <f>'Exh. No. BGM-13R -3'!P66</f>
        <v>0</v>
      </c>
      <c r="Q65" s="264">
        <f>'Exh. No. BGM-13R -3'!Q66</f>
        <v>0</v>
      </c>
      <c r="R65" s="264">
        <f>'Exh. No. BGM-13R -3'!R66</f>
        <v>0</v>
      </c>
      <c r="S65" s="264">
        <f>'Exh. No. BGM-13R -3'!S66</f>
        <v>0</v>
      </c>
      <c r="T65" s="264">
        <f>'Exh. No. BGM-13R -3'!T66</f>
        <v>0</v>
      </c>
      <c r="U65" s="264">
        <f>'Exh. No. BGM-13R -3'!U66</f>
        <v>0</v>
      </c>
      <c r="V65" s="264">
        <f>'Exh. No. BGM-13R -3'!V66</f>
        <v>0</v>
      </c>
      <c r="W65" s="264">
        <f>'Exh. No. BGM-13R -3'!W66</f>
        <v>0</v>
      </c>
      <c r="X65" s="264">
        <f>'Exh. No. BGM-13R -3'!X66</f>
        <v>0</v>
      </c>
      <c r="Y65" s="264">
        <f>'Exh. No. BGM-13R -3'!Y66</f>
        <v>0</v>
      </c>
      <c r="Z65" s="264">
        <f>'Exh. No. BGM-13R -3'!AC66</f>
        <v>0</v>
      </c>
      <c r="AA65" s="264">
        <f>'Exh. No. BGM-13R -3'!AD66</f>
        <v>0</v>
      </c>
      <c r="AB65" s="264">
        <f>'Exh. No. BGM-13R -3'!AE66</f>
        <v>0</v>
      </c>
      <c r="AC65" s="264">
        <f>'Exh. No. BGM-13R -3'!AF66</f>
        <v>0</v>
      </c>
      <c r="AD65" s="264">
        <f>'Exh. No. BGM-13R -3'!AG66</f>
        <v>0</v>
      </c>
      <c r="AE65" s="264">
        <f>'Exh. No. BGM-13R -3'!AH66</f>
        <v>0</v>
      </c>
      <c r="AF65" s="264">
        <f>'Exh. No. BGM-13R -3'!AI66</f>
        <v>0</v>
      </c>
      <c r="AG65" s="264">
        <f>'Exh. No. BGM-13R -3'!AJ66</f>
        <v>0</v>
      </c>
      <c r="AH65" s="264">
        <f>'Exh. No. BGM-13R -3'!AK66</f>
        <v>0</v>
      </c>
      <c r="AI65" s="264">
        <f>'Exh. No. BGM-13R -3'!AL66</f>
        <v>59319</v>
      </c>
      <c r="AJ65" s="264">
        <f>'Exh. No. BGM-13R -3'!AM66</f>
        <v>77937</v>
      </c>
      <c r="AK65" s="264">
        <f>'Exh. No. BGM-13R -3'!AN66</f>
        <v>0</v>
      </c>
      <c r="AL65" s="264">
        <f>'Exh. No. BGM-13R -3'!AO66</f>
        <v>0</v>
      </c>
      <c r="AM65" s="264">
        <f>'Exh. No. BGM-13R -3'!AQ66</f>
        <v>0</v>
      </c>
      <c r="AN65" s="264">
        <f>'Exh. No. BGM-13R -3'!AR66</f>
        <v>0</v>
      </c>
      <c r="AO65" s="601">
        <f>'Exh. No. BGM-13R -3'!AS66</f>
        <v>0</v>
      </c>
      <c r="AP65" s="601">
        <f>'Exh. No. BGM-13R -3'!AT66</f>
        <v>0</v>
      </c>
      <c r="AQ65" s="601">
        <f>'Exh. No. BGM-13R -3'!AU66</f>
        <v>0</v>
      </c>
      <c r="AR65" s="601">
        <f>'Exh. No. BGM-13R -3'!AV66</f>
        <v>0</v>
      </c>
      <c r="AS65" s="601">
        <f>'Exh. No. BGM-13R -3'!AW66</f>
        <v>0</v>
      </c>
      <c r="AT65" s="264">
        <f>'Exh. No. BGM-13R -3'!AY66</f>
        <v>0</v>
      </c>
      <c r="AU65" s="601">
        <f>'Exh. No. BGM-13R -3'!BE66</f>
        <v>0</v>
      </c>
      <c r="AV65" s="601">
        <f>'Exh. No. BGM-13R -3'!BF66</f>
        <v>0</v>
      </c>
      <c r="AW65" s="601">
        <f>'Exh. No. BGM-13R -3'!BG66</f>
        <v>0</v>
      </c>
      <c r="AX65" s="601">
        <f>'Exh. No. BGM-13R -3'!BH66</f>
        <v>0</v>
      </c>
      <c r="AY65" s="601">
        <f>'Exh. No. BGM-13R -3'!BI66</f>
        <v>0</v>
      </c>
      <c r="AZ65" s="601">
        <f>'Exh. No. BGM-13R -3'!BJ66</f>
        <v>0</v>
      </c>
      <c r="BA65" s="601">
        <f>'Exh. No. BGM-13R -3'!BK66</f>
        <v>0</v>
      </c>
      <c r="BB65" s="601">
        <f>'Exh. No. BGM-13R -3'!BM66</f>
        <v>0</v>
      </c>
    </row>
    <row r="66" spans="1:54" s="22" customFormat="1">
      <c r="A66" s="23"/>
      <c r="B66" s="22" t="str">
        <f>'Exh. No. BGM-13R -3'!B67</f>
        <v>ACCUMULATED DEPRECIATION/AMORT</v>
      </c>
      <c r="E66" s="265"/>
      <c r="F66" s="313"/>
      <c r="G66" s="313"/>
      <c r="H66" s="313"/>
      <c r="I66" s="62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623"/>
      <c r="AP66" s="623"/>
      <c r="AQ66" s="623"/>
      <c r="AR66" s="623"/>
      <c r="AS66" s="623"/>
      <c r="AT66" s="313"/>
      <c r="AU66" s="623"/>
      <c r="AV66" s="623"/>
      <c r="AW66" s="623"/>
      <c r="AX66" s="623"/>
      <c r="AY66" s="623"/>
      <c r="AZ66" s="623"/>
      <c r="BA66" s="623"/>
      <c r="BB66" s="623"/>
    </row>
    <row r="67" spans="1:54" s="22" customFormat="1">
      <c r="A67" s="23">
        <f>'Exh. No. BGM-13R -3'!A68</f>
        <v>38</v>
      </c>
      <c r="C67" s="21" t="str">
        <f>'Exh. No. BGM-13R -3'!C68</f>
        <v xml:space="preserve">Intangible  </v>
      </c>
      <c r="E67" s="187">
        <f>'Exh. No. BGM-13R -3'!E68</f>
        <v>-23450</v>
      </c>
      <c r="F67" s="313">
        <f>'Exh. No. BGM-13R -3'!F68</f>
        <v>0</v>
      </c>
      <c r="G67" s="313">
        <f>'Exh. No. BGM-13R -3'!G68</f>
        <v>0</v>
      </c>
      <c r="H67" s="313">
        <f>'Exh. No. BGM-13R -3'!H68</f>
        <v>0</v>
      </c>
      <c r="I67" s="623">
        <f>'Exh. No. BGM-13R -3'!I68</f>
        <v>0</v>
      </c>
      <c r="J67" s="313">
        <f>'Exh. No. BGM-13R -3'!J68</f>
        <v>0</v>
      </c>
      <c r="K67" s="313">
        <f>'Exh. No. BGM-13R -3'!K68</f>
        <v>0</v>
      </c>
      <c r="L67" s="313">
        <f>'Exh. No. BGM-13R -3'!L68</f>
        <v>0</v>
      </c>
      <c r="M67" s="313">
        <f>'Exh. No. BGM-13R -3'!M68</f>
        <v>0</v>
      </c>
      <c r="N67" s="313">
        <f>'Exh. No. BGM-13R -3'!N68</f>
        <v>0</v>
      </c>
      <c r="O67" s="313">
        <f>'Exh. No. BGM-13R -3'!O68</f>
        <v>0</v>
      </c>
      <c r="P67" s="313">
        <f>'Exh. No. BGM-13R -3'!P68</f>
        <v>0</v>
      </c>
      <c r="Q67" s="313">
        <f>'Exh. No. BGM-13R -3'!Q68</f>
        <v>0</v>
      </c>
      <c r="R67" s="313">
        <f>'Exh. No. BGM-13R -3'!R68</f>
        <v>0</v>
      </c>
      <c r="S67" s="313">
        <f>'Exh. No. BGM-13R -3'!S68</f>
        <v>0</v>
      </c>
      <c r="T67" s="313">
        <f>'Exh. No. BGM-13R -3'!T68</f>
        <v>0</v>
      </c>
      <c r="U67" s="313">
        <f>'Exh. No. BGM-13R -3'!U68</f>
        <v>0</v>
      </c>
      <c r="V67" s="313">
        <f>'Exh. No. BGM-13R -3'!V68</f>
        <v>0</v>
      </c>
      <c r="W67" s="313">
        <f>'Exh. No. BGM-13R -3'!W68</f>
        <v>0</v>
      </c>
      <c r="X67" s="313">
        <f>'Exh. No. BGM-13R -3'!X68</f>
        <v>0</v>
      </c>
      <c r="Y67" s="313">
        <f>'Exh. No. BGM-13R -3'!Y68</f>
        <v>0</v>
      </c>
      <c r="Z67" s="313">
        <f>'Exh. No. BGM-13R -3'!AC68</f>
        <v>0</v>
      </c>
      <c r="AA67" s="313">
        <f>'Exh. No. BGM-13R -3'!AD68</f>
        <v>0</v>
      </c>
      <c r="AB67" s="313">
        <f>'Exh. No. BGM-13R -3'!AE68</f>
        <v>0</v>
      </c>
      <c r="AC67" s="313">
        <f>'Exh. No. BGM-13R -3'!AF68</f>
        <v>0</v>
      </c>
      <c r="AD67" s="313">
        <f>'Exh. No. BGM-13R -3'!AG68</f>
        <v>0</v>
      </c>
      <c r="AE67" s="313">
        <f>'Exh. No. BGM-13R -3'!AH68</f>
        <v>0</v>
      </c>
      <c r="AF67" s="313">
        <f>'Exh. No. BGM-13R -3'!AI68</f>
        <v>0</v>
      </c>
      <c r="AG67" s="313">
        <f>'Exh. No. BGM-13R -3'!AJ68</f>
        <v>0</v>
      </c>
      <c r="AH67" s="313">
        <f>'Exh. No. BGM-13R -3'!AK68</f>
        <v>0</v>
      </c>
      <c r="AI67" s="313">
        <f>'Exh. No. BGM-13R -3'!AL68</f>
        <v>-1496</v>
      </c>
      <c r="AJ67" s="313">
        <f>'Exh. No. BGM-13R -3'!AM68</f>
        <v>-888</v>
      </c>
      <c r="AK67" s="313">
        <f>'Exh. No. BGM-13R -3'!AN68</f>
        <v>0</v>
      </c>
      <c r="AL67" s="313">
        <f>'Exh. No. BGM-13R -3'!AO68</f>
        <v>0</v>
      </c>
      <c r="AM67" s="313">
        <f>'Exh. No. BGM-13R -3'!AQ68</f>
        <v>0</v>
      </c>
      <c r="AN67" s="313">
        <f>'Exh. No. BGM-13R -3'!AR68</f>
        <v>0</v>
      </c>
      <c r="AO67" s="623">
        <f>'Exh. No. BGM-13R -3'!AS68</f>
        <v>0</v>
      </c>
      <c r="AP67" s="623">
        <f>'Exh. No. BGM-13R -3'!AT68</f>
        <v>0</v>
      </c>
      <c r="AQ67" s="623">
        <f>'Exh. No. BGM-13R -3'!AU68</f>
        <v>0</v>
      </c>
      <c r="AR67" s="623">
        <f>'Exh. No. BGM-13R -3'!AV68</f>
        <v>0</v>
      </c>
      <c r="AS67" s="623">
        <f>'Exh. No. BGM-13R -3'!AW68</f>
        <v>0</v>
      </c>
      <c r="AT67" s="313">
        <f>'Exh. No. BGM-13R -3'!AY68</f>
        <v>0</v>
      </c>
      <c r="AU67" s="623">
        <f>'Exh. No. BGM-13R -3'!BE68</f>
        <v>0</v>
      </c>
      <c r="AV67" s="623">
        <f>'Exh. No. BGM-13R -3'!BF68</f>
        <v>0</v>
      </c>
      <c r="AW67" s="623">
        <f>'Exh. No. BGM-13R -3'!BG68</f>
        <v>0</v>
      </c>
      <c r="AX67" s="623">
        <f>'Exh. No. BGM-13R -3'!BH68</f>
        <v>0</v>
      </c>
      <c r="AY67" s="623">
        <f>'Exh. No. BGM-13R -3'!BI68</f>
        <v>0</v>
      </c>
      <c r="AZ67" s="623">
        <f>'Exh. No. BGM-13R -3'!BJ68</f>
        <v>0</v>
      </c>
      <c r="BA67" s="623">
        <f>'Exh. No. BGM-13R -3'!BK68</f>
        <v>0</v>
      </c>
      <c r="BB67" s="623">
        <f>'Exh. No. BGM-13R -3'!BM68</f>
        <v>0</v>
      </c>
    </row>
    <row r="68" spans="1:54" s="22" customFormat="1">
      <c r="A68" s="23">
        <f>'Exh. No. BGM-13R -3'!A69</f>
        <v>39</v>
      </c>
      <c r="C68" s="22" t="str">
        <f>'Exh. No. BGM-13R -3'!C69</f>
        <v xml:space="preserve">Production  </v>
      </c>
      <c r="E68" s="187">
        <f>'Exh. No. BGM-13R -3'!E69</f>
        <v>-334622</v>
      </c>
      <c r="F68" s="313">
        <f>'Exh. No. BGM-13R -3'!F69</f>
        <v>0</v>
      </c>
      <c r="G68" s="313">
        <f>'Exh. No. BGM-13R -3'!G69</f>
        <v>0</v>
      </c>
      <c r="H68" s="313">
        <f>'Exh. No. BGM-13R -3'!H69</f>
        <v>0</v>
      </c>
      <c r="I68" s="623">
        <f>'Exh. No. BGM-13R -3'!I69</f>
        <v>0</v>
      </c>
      <c r="J68" s="313">
        <f>'Exh. No. BGM-13R -3'!J69</f>
        <v>0</v>
      </c>
      <c r="K68" s="313">
        <f>'Exh. No. BGM-13R -3'!K69</f>
        <v>0</v>
      </c>
      <c r="L68" s="313">
        <f>'Exh. No. BGM-13R -3'!L69</f>
        <v>0</v>
      </c>
      <c r="M68" s="313">
        <f>'Exh. No. BGM-13R -3'!M69</f>
        <v>0</v>
      </c>
      <c r="N68" s="313">
        <f>'Exh. No. BGM-13R -3'!N69</f>
        <v>0</v>
      </c>
      <c r="O68" s="313">
        <f>'Exh. No. BGM-13R -3'!O69</f>
        <v>0</v>
      </c>
      <c r="P68" s="313">
        <f>'Exh. No. BGM-13R -3'!P69</f>
        <v>0</v>
      </c>
      <c r="Q68" s="313">
        <f>'Exh. No. BGM-13R -3'!Q69</f>
        <v>0</v>
      </c>
      <c r="R68" s="313">
        <f>'Exh. No. BGM-13R -3'!R69</f>
        <v>0</v>
      </c>
      <c r="S68" s="313">
        <f>'Exh. No. BGM-13R -3'!S69</f>
        <v>0</v>
      </c>
      <c r="T68" s="313">
        <f>'Exh. No. BGM-13R -3'!T69</f>
        <v>0</v>
      </c>
      <c r="U68" s="313">
        <f>'Exh. No. BGM-13R -3'!U69</f>
        <v>0</v>
      </c>
      <c r="V68" s="313">
        <f>'Exh. No. BGM-13R -3'!V69</f>
        <v>0</v>
      </c>
      <c r="W68" s="313">
        <f>'Exh. No. BGM-13R -3'!W69</f>
        <v>0</v>
      </c>
      <c r="X68" s="313">
        <f>'Exh. No. BGM-13R -3'!X69</f>
        <v>0</v>
      </c>
      <c r="Y68" s="313">
        <f>'Exh. No. BGM-13R -3'!Y69</f>
        <v>0</v>
      </c>
      <c r="Z68" s="313">
        <f>'Exh. No. BGM-13R -3'!AC69</f>
        <v>0</v>
      </c>
      <c r="AA68" s="313">
        <f>'Exh. No. BGM-13R -3'!AD69</f>
        <v>0</v>
      </c>
      <c r="AB68" s="313">
        <f>'Exh. No. BGM-13R -3'!AE69</f>
        <v>0</v>
      </c>
      <c r="AC68" s="313">
        <f>'Exh. No. BGM-13R -3'!AF69</f>
        <v>0</v>
      </c>
      <c r="AD68" s="313">
        <f>'Exh. No. BGM-13R -3'!AG69</f>
        <v>0</v>
      </c>
      <c r="AE68" s="313">
        <f>'Exh. No. BGM-13R -3'!AH69</f>
        <v>0</v>
      </c>
      <c r="AF68" s="313">
        <f>'Exh. No. BGM-13R -3'!AI69</f>
        <v>0</v>
      </c>
      <c r="AG68" s="313">
        <f>'Exh. No. BGM-13R -3'!AJ69</f>
        <v>0</v>
      </c>
      <c r="AH68" s="313">
        <f>'Exh. No. BGM-13R -3'!AK69</f>
        <v>0</v>
      </c>
      <c r="AI68" s="313">
        <f>'Exh. No. BGM-13R -3'!AL69</f>
        <v>-8277</v>
      </c>
      <c r="AJ68" s="313">
        <f>'Exh. No. BGM-13R -3'!AM69</f>
        <v>-1127</v>
      </c>
      <c r="AK68" s="313">
        <f>'Exh. No. BGM-13R -3'!AN69</f>
        <v>0</v>
      </c>
      <c r="AL68" s="313">
        <f>'Exh. No. BGM-13R -3'!AO69</f>
        <v>0</v>
      </c>
      <c r="AM68" s="313">
        <f>'Exh. No. BGM-13R -3'!AQ69</f>
        <v>0</v>
      </c>
      <c r="AN68" s="313">
        <f>'Exh. No. BGM-13R -3'!AR69</f>
        <v>0</v>
      </c>
      <c r="AO68" s="623">
        <f>'Exh. No. BGM-13R -3'!AS69</f>
        <v>0</v>
      </c>
      <c r="AP68" s="623">
        <f>'Exh. No. BGM-13R -3'!AT69</f>
        <v>0</v>
      </c>
      <c r="AQ68" s="623">
        <f>'Exh. No. BGM-13R -3'!AU69</f>
        <v>0</v>
      </c>
      <c r="AR68" s="623">
        <f>'Exh. No. BGM-13R -3'!AV69</f>
        <v>0</v>
      </c>
      <c r="AS68" s="623">
        <f>'Exh. No. BGM-13R -3'!AW69</f>
        <v>0</v>
      </c>
      <c r="AT68" s="313">
        <f>'Exh. No. BGM-13R -3'!AY69</f>
        <v>0</v>
      </c>
      <c r="AU68" s="623">
        <f>'Exh. No. BGM-13R -3'!BE69</f>
        <v>0</v>
      </c>
      <c r="AV68" s="623">
        <f>'Exh. No. BGM-13R -3'!BF69</f>
        <v>0</v>
      </c>
      <c r="AW68" s="623">
        <f>'Exh. No. BGM-13R -3'!BG69</f>
        <v>0</v>
      </c>
      <c r="AX68" s="623">
        <f>'Exh. No. BGM-13R -3'!BH69</f>
        <v>0</v>
      </c>
      <c r="AY68" s="623">
        <f>'Exh. No. BGM-13R -3'!BI69</f>
        <v>0</v>
      </c>
      <c r="AZ68" s="623">
        <f>'Exh. No. BGM-13R -3'!BJ69</f>
        <v>0</v>
      </c>
      <c r="BA68" s="623">
        <f>'Exh. No. BGM-13R -3'!BK69</f>
        <v>0</v>
      </c>
      <c r="BB68" s="623">
        <f>'Exh. No. BGM-13R -3'!BM69</f>
        <v>0</v>
      </c>
    </row>
    <row r="69" spans="1:54" s="22" customFormat="1">
      <c r="A69" s="23">
        <f>'Exh. No. BGM-13R -3'!A70</f>
        <v>40</v>
      </c>
      <c r="C69" s="22" t="str">
        <f>'Exh. No. BGM-13R -3'!C70</f>
        <v xml:space="preserve">Transmission  </v>
      </c>
      <c r="E69" s="187">
        <f>'Exh. No. BGM-13R -3'!E70</f>
        <v>-126839</v>
      </c>
      <c r="F69" s="313">
        <f>'Exh. No. BGM-13R -3'!F70</f>
        <v>0</v>
      </c>
      <c r="G69" s="313">
        <f>'Exh. No. BGM-13R -3'!G70</f>
        <v>0</v>
      </c>
      <c r="H69" s="313">
        <f>'Exh. No. BGM-13R -3'!H70</f>
        <v>0</v>
      </c>
      <c r="I69" s="623">
        <f>'Exh. No. BGM-13R -3'!I70</f>
        <v>0</v>
      </c>
      <c r="J69" s="313">
        <f>'Exh. No. BGM-13R -3'!J70</f>
        <v>0</v>
      </c>
      <c r="K69" s="313">
        <f>'Exh. No. BGM-13R -3'!K70</f>
        <v>0</v>
      </c>
      <c r="L69" s="313">
        <f>'Exh. No. BGM-13R -3'!L70</f>
        <v>0</v>
      </c>
      <c r="M69" s="313">
        <f>'Exh. No. BGM-13R -3'!M70</f>
        <v>0</v>
      </c>
      <c r="N69" s="313">
        <f>'Exh. No. BGM-13R -3'!N70</f>
        <v>0</v>
      </c>
      <c r="O69" s="313">
        <f>'Exh. No. BGM-13R -3'!O70</f>
        <v>0</v>
      </c>
      <c r="P69" s="313">
        <f>'Exh. No. BGM-13R -3'!P70</f>
        <v>0</v>
      </c>
      <c r="Q69" s="313">
        <f>'Exh. No. BGM-13R -3'!Q70</f>
        <v>0</v>
      </c>
      <c r="R69" s="313">
        <f>'Exh. No. BGM-13R -3'!R70</f>
        <v>0</v>
      </c>
      <c r="S69" s="313">
        <f>'Exh. No. BGM-13R -3'!S70</f>
        <v>0</v>
      </c>
      <c r="T69" s="313">
        <f>'Exh. No. BGM-13R -3'!T70</f>
        <v>0</v>
      </c>
      <c r="U69" s="313">
        <f>'Exh. No. BGM-13R -3'!U70</f>
        <v>0</v>
      </c>
      <c r="V69" s="313">
        <f>'Exh. No. BGM-13R -3'!V70</f>
        <v>0</v>
      </c>
      <c r="W69" s="313">
        <f>'Exh. No. BGM-13R -3'!W70</f>
        <v>0</v>
      </c>
      <c r="X69" s="313">
        <f>'Exh. No. BGM-13R -3'!X70</f>
        <v>0</v>
      </c>
      <c r="Y69" s="313">
        <f>'Exh. No. BGM-13R -3'!Y70</f>
        <v>0</v>
      </c>
      <c r="Z69" s="313">
        <f>'Exh. No. BGM-13R -3'!AC70</f>
        <v>0</v>
      </c>
      <c r="AA69" s="313">
        <f>'Exh. No. BGM-13R -3'!AD70</f>
        <v>0</v>
      </c>
      <c r="AB69" s="313">
        <f>'Exh. No. BGM-13R -3'!AE70</f>
        <v>0</v>
      </c>
      <c r="AC69" s="313">
        <f>'Exh. No. BGM-13R -3'!AF70</f>
        <v>0</v>
      </c>
      <c r="AD69" s="313">
        <f>'Exh. No. BGM-13R -3'!AG70</f>
        <v>0</v>
      </c>
      <c r="AE69" s="313">
        <f>'Exh. No. BGM-13R -3'!AH70</f>
        <v>0</v>
      </c>
      <c r="AF69" s="313">
        <f>'Exh. No. BGM-13R -3'!AI70</f>
        <v>0</v>
      </c>
      <c r="AG69" s="313">
        <f>'Exh. No. BGM-13R -3'!AJ70</f>
        <v>0</v>
      </c>
      <c r="AH69" s="313">
        <f>'Exh. No. BGM-13R -3'!AK70</f>
        <v>0</v>
      </c>
      <c r="AI69" s="313">
        <f>'Exh. No. BGM-13R -3'!AL70</f>
        <v>-3097</v>
      </c>
      <c r="AJ69" s="313">
        <f>'Exh. No. BGM-13R -3'!AM70</f>
        <v>-8</v>
      </c>
      <c r="AK69" s="313">
        <f>'Exh. No. BGM-13R -3'!AN70</f>
        <v>0</v>
      </c>
      <c r="AL69" s="313">
        <f>'Exh. No. BGM-13R -3'!AO70</f>
        <v>0</v>
      </c>
      <c r="AM69" s="313">
        <f>'Exh. No. BGM-13R -3'!AQ70</f>
        <v>0</v>
      </c>
      <c r="AN69" s="313">
        <f>'Exh. No. BGM-13R -3'!AR70</f>
        <v>0</v>
      </c>
      <c r="AO69" s="623">
        <f>'Exh. No. BGM-13R -3'!AS70</f>
        <v>0</v>
      </c>
      <c r="AP69" s="623">
        <f>'Exh. No. BGM-13R -3'!AT70</f>
        <v>0</v>
      </c>
      <c r="AQ69" s="623">
        <f>'Exh. No. BGM-13R -3'!AU70</f>
        <v>0</v>
      </c>
      <c r="AR69" s="623">
        <f>'Exh. No. BGM-13R -3'!AV70</f>
        <v>0</v>
      </c>
      <c r="AS69" s="623">
        <f>'Exh. No. BGM-13R -3'!AW70</f>
        <v>0</v>
      </c>
      <c r="AT69" s="313">
        <f>'Exh. No. BGM-13R -3'!AY70</f>
        <v>0</v>
      </c>
      <c r="AU69" s="623">
        <f>'Exh. No. BGM-13R -3'!BE70</f>
        <v>0</v>
      </c>
      <c r="AV69" s="623">
        <f>'Exh. No. BGM-13R -3'!BF70</f>
        <v>0</v>
      </c>
      <c r="AW69" s="623">
        <f>'Exh. No. BGM-13R -3'!BG70</f>
        <v>0</v>
      </c>
      <c r="AX69" s="623">
        <f>'Exh. No. BGM-13R -3'!BH70</f>
        <v>0</v>
      </c>
      <c r="AY69" s="623">
        <f>'Exh. No. BGM-13R -3'!BI70</f>
        <v>0</v>
      </c>
      <c r="AZ69" s="623">
        <f>'Exh. No. BGM-13R -3'!BJ70</f>
        <v>0</v>
      </c>
      <c r="BA69" s="623">
        <f>'Exh. No. BGM-13R -3'!BK70</f>
        <v>0</v>
      </c>
      <c r="BB69" s="623">
        <f>'Exh. No. BGM-13R -3'!BM70</f>
        <v>0</v>
      </c>
    </row>
    <row r="70" spans="1:54" s="22" customFormat="1">
      <c r="A70" s="23">
        <f>'Exh. No. BGM-13R -3'!A71</f>
        <v>41</v>
      </c>
      <c r="C70" s="22" t="str">
        <f>'Exh. No. BGM-13R -3'!C71</f>
        <v xml:space="preserve">Distribution  </v>
      </c>
      <c r="E70" s="187">
        <f>'Exh. No. BGM-13R -3'!E71</f>
        <v>-268267</v>
      </c>
      <c r="F70" s="313">
        <f>'Exh. No. BGM-13R -3'!F71</f>
        <v>0</v>
      </c>
      <c r="G70" s="313">
        <f>'Exh. No. BGM-13R -3'!G71</f>
        <v>0</v>
      </c>
      <c r="H70" s="313">
        <f>'Exh. No. BGM-13R -3'!H71</f>
        <v>0</v>
      </c>
      <c r="I70" s="623">
        <f>'Exh. No. BGM-13R -3'!I71</f>
        <v>0</v>
      </c>
      <c r="J70" s="313">
        <f>'Exh. No. BGM-13R -3'!J71</f>
        <v>0</v>
      </c>
      <c r="K70" s="313">
        <f>'Exh. No. BGM-13R -3'!K71</f>
        <v>0</v>
      </c>
      <c r="L70" s="313">
        <f>'Exh. No. BGM-13R -3'!L71</f>
        <v>0</v>
      </c>
      <c r="M70" s="313">
        <f>'Exh. No. BGM-13R -3'!M71</f>
        <v>0</v>
      </c>
      <c r="N70" s="313">
        <f>'Exh. No. BGM-13R -3'!N71</f>
        <v>0</v>
      </c>
      <c r="O70" s="313">
        <f>'Exh. No. BGM-13R -3'!O71</f>
        <v>0</v>
      </c>
      <c r="P70" s="313">
        <f>'Exh. No. BGM-13R -3'!P71</f>
        <v>0</v>
      </c>
      <c r="Q70" s="313">
        <f>'Exh. No. BGM-13R -3'!Q71</f>
        <v>0</v>
      </c>
      <c r="R70" s="313">
        <f>'Exh. No. BGM-13R -3'!R71</f>
        <v>0</v>
      </c>
      <c r="S70" s="313">
        <f>'Exh. No. BGM-13R -3'!S71</f>
        <v>0</v>
      </c>
      <c r="T70" s="313">
        <f>'Exh. No. BGM-13R -3'!T71</f>
        <v>0</v>
      </c>
      <c r="U70" s="313">
        <f>'Exh. No. BGM-13R -3'!U71</f>
        <v>0</v>
      </c>
      <c r="V70" s="313">
        <f>'Exh. No. BGM-13R -3'!V71</f>
        <v>0</v>
      </c>
      <c r="W70" s="313">
        <f>'Exh. No. BGM-13R -3'!W71</f>
        <v>0</v>
      </c>
      <c r="X70" s="313">
        <f>'Exh. No. BGM-13R -3'!X71</f>
        <v>0</v>
      </c>
      <c r="Y70" s="313">
        <f>'Exh. No. BGM-13R -3'!Y71</f>
        <v>0</v>
      </c>
      <c r="Z70" s="313">
        <f>'Exh. No. BGM-13R -3'!AC71</f>
        <v>0</v>
      </c>
      <c r="AA70" s="313">
        <f>'Exh. No. BGM-13R -3'!AD71</f>
        <v>0</v>
      </c>
      <c r="AB70" s="313">
        <f>'Exh. No. BGM-13R -3'!AE71</f>
        <v>0</v>
      </c>
      <c r="AC70" s="313">
        <f>'Exh. No. BGM-13R -3'!AF71</f>
        <v>0</v>
      </c>
      <c r="AD70" s="313">
        <f>'Exh. No. BGM-13R -3'!AG71</f>
        <v>0</v>
      </c>
      <c r="AE70" s="313">
        <f>'Exh. No. BGM-13R -3'!AH71</f>
        <v>0</v>
      </c>
      <c r="AF70" s="313">
        <f>'Exh. No. BGM-13R -3'!AI71</f>
        <v>0</v>
      </c>
      <c r="AG70" s="313">
        <f>'Exh. No. BGM-13R -3'!AJ71</f>
        <v>0</v>
      </c>
      <c r="AH70" s="313">
        <f>'Exh. No. BGM-13R -3'!AK71</f>
        <v>0</v>
      </c>
      <c r="AI70" s="313">
        <f>'Exh. No. BGM-13R -3'!AL71</f>
        <v>-5311</v>
      </c>
      <c r="AJ70" s="313">
        <f>'Exh. No. BGM-13R -3'!AM71</f>
        <v>0</v>
      </c>
      <c r="AK70" s="313">
        <f>'Exh. No. BGM-13R -3'!AN71</f>
        <v>0</v>
      </c>
      <c r="AL70" s="313">
        <f>'Exh. No. BGM-13R -3'!AO71</f>
        <v>0</v>
      </c>
      <c r="AM70" s="313">
        <f>'Exh. No. BGM-13R -3'!AQ71</f>
        <v>0</v>
      </c>
      <c r="AN70" s="313">
        <f>'Exh. No. BGM-13R -3'!AR71</f>
        <v>0</v>
      </c>
      <c r="AO70" s="623">
        <f>'Exh. No. BGM-13R -3'!AS71</f>
        <v>0</v>
      </c>
      <c r="AP70" s="623">
        <f>'Exh. No. BGM-13R -3'!AT71</f>
        <v>0</v>
      </c>
      <c r="AQ70" s="623">
        <f>'Exh. No. BGM-13R -3'!AU71</f>
        <v>0</v>
      </c>
      <c r="AR70" s="623">
        <f>'Exh. No. BGM-13R -3'!AV71</f>
        <v>0</v>
      </c>
      <c r="AS70" s="623">
        <f>'Exh. No. BGM-13R -3'!AW71</f>
        <v>0</v>
      </c>
      <c r="AT70" s="313">
        <f>'Exh. No. BGM-13R -3'!AY71</f>
        <v>0</v>
      </c>
      <c r="AU70" s="623">
        <f>'Exh. No. BGM-13R -3'!BE71</f>
        <v>0</v>
      </c>
      <c r="AV70" s="623">
        <f>'Exh. No. BGM-13R -3'!BF71</f>
        <v>0</v>
      </c>
      <c r="AW70" s="623">
        <f>'Exh. No. BGM-13R -3'!BG71</f>
        <v>0</v>
      </c>
      <c r="AX70" s="623">
        <f>'Exh. No. BGM-13R -3'!BH71</f>
        <v>0</v>
      </c>
      <c r="AY70" s="623">
        <f>'Exh. No. BGM-13R -3'!BI71</f>
        <v>0</v>
      </c>
      <c r="AZ70" s="623">
        <f>'Exh. No. BGM-13R -3'!BJ71</f>
        <v>0</v>
      </c>
      <c r="BA70" s="623">
        <f>'Exh. No. BGM-13R -3'!BK71</f>
        <v>0</v>
      </c>
      <c r="BB70" s="623">
        <f>'Exh. No. BGM-13R -3'!BM71</f>
        <v>0</v>
      </c>
    </row>
    <row r="71" spans="1:54" s="22" customFormat="1">
      <c r="A71" s="23">
        <f>'Exh. No. BGM-13R -3'!A72</f>
        <v>42</v>
      </c>
      <c r="C71" s="22" t="str">
        <f>'Exh. No. BGM-13R -3'!C72</f>
        <v xml:space="preserve">General  </v>
      </c>
      <c r="E71" s="187">
        <f>'Exh. No. BGM-13R -3'!E72</f>
        <v>-70794</v>
      </c>
      <c r="F71" s="313">
        <f>'Exh. No. BGM-13R -3'!F72</f>
        <v>0</v>
      </c>
      <c r="G71" s="313">
        <f>'Exh. No. BGM-13R -3'!G72</f>
        <v>0</v>
      </c>
      <c r="H71" s="313">
        <f>'Exh. No. BGM-13R -3'!H72</f>
        <v>0</v>
      </c>
      <c r="I71" s="623">
        <f>'Exh. No. BGM-13R -3'!I72</f>
        <v>0</v>
      </c>
      <c r="J71" s="313">
        <f>'Exh. No. BGM-13R -3'!J72</f>
        <v>0</v>
      </c>
      <c r="K71" s="313">
        <f>'Exh. No. BGM-13R -3'!K72</f>
        <v>0</v>
      </c>
      <c r="L71" s="313">
        <f>'Exh. No. BGM-13R -3'!L72</f>
        <v>0</v>
      </c>
      <c r="M71" s="313">
        <f>'Exh. No. BGM-13R -3'!M72</f>
        <v>0</v>
      </c>
      <c r="N71" s="313">
        <f>'Exh. No. BGM-13R -3'!N72</f>
        <v>0</v>
      </c>
      <c r="O71" s="313">
        <f>'Exh. No. BGM-13R -3'!O72</f>
        <v>0</v>
      </c>
      <c r="P71" s="313">
        <f>'Exh. No. BGM-13R -3'!P72</f>
        <v>0</v>
      </c>
      <c r="Q71" s="313">
        <f>'Exh. No. BGM-13R -3'!Q72</f>
        <v>0</v>
      </c>
      <c r="R71" s="313">
        <f>'Exh. No. BGM-13R -3'!R72</f>
        <v>0</v>
      </c>
      <c r="S71" s="313">
        <f>'Exh. No. BGM-13R -3'!S72</f>
        <v>0</v>
      </c>
      <c r="T71" s="313">
        <f>'Exh. No. BGM-13R -3'!T72</f>
        <v>0</v>
      </c>
      <c r="U71" s="313">
        <f>'Exh. No. BGM-13R -3'!U72</f>
        <v>0</v>
      </c>
      <c r="V71" s="313">
        <f>'Exh. No. BGM-13R -3'!V72</f>
        <v>0</v>
      </c>
      <c r="W71" s="313">
        <f>'Exh. No. BGM-13R -3'!W72</f>
        <v>0</v>
      </c>
      <c r="X71" s="313">
        <f>'Exh. No. BGM-13R -3'!X72</f>
        <v>0</v>
      </c>
      <c r="Y71" s="313">
        <f>'Exh. No. BGM-13R -3'!Y72</f>
        <v>0</v>
      </c>
      <c r="Z71" s="313">
        <f>'Exh. No. BGM-13R -3'!AC72</f>
        <v>0</v>
      </c>
      <c r="AA71" s="313">
        <f>'Exh. No. BGM-13R -3'!AD72</f>
        <v>0</v>
      </c>
      <c r="AB71" s="313">
        <f>'Exh. No. BGM-13R -3'!AE72</f>
        <v>0</v>
      </c>
      <c r="AC71" s="313">
        <f>'Exh. No. BGM-13R -3'!AF72</f>
        <v>0</v>
      </c>
      <c r="AD71" s="313">
        <f>'Exh. No. BGM-13R -3'!AG72</f>
        <v>0</v>
      </c>
      <c r="AE71" s="313">
        <f>'Exh. No. BGM-13R -3'!AH72</f>
        <v>0</v>
      </c>
      <c r="AF71" s="313">
        <f>'Exh. No. BGM-13R -3'!AI72</f>
        <v>0</v>
      </c>
      <c r="AG71" s="313">
        <f>'Exh. No. BGM-13R -3'!AJ72</f>
        <v>0</v>
      </c>
      <c r="AH71" s="313">
        <f>'Exh. No. BGM-13R -3'!AK72</f>
        <v>0</v>
      </c>
      <c r="AI71" s="313">
        <f>'Exh. No. BGM-13R -3'!AL72</f>
        <v>-2251</v>
      </c>
      <c r="AJ71" s="313">
        <f>'Exh. No. BGM-13R -3'!AM72</f>
        <v>-5</v>
      </c>
      <c r="AK71" s="313">
        <f>'Exh. No. BGM-13R -3'!AN72</f>
        <v>0</v>
      </c>
      <c r="AL71" s="313">
        <f>'Exh. No. BGM-13R -3'!AO72</f>
        <v>0</v>
      </c>
      <c r="AM71" s="313">
        <f>'Exh. No. BGM-13R -3'!AQ72</f>
        <v>0</v>
      </c>
      <c r="AN71" s="313">
        <f>'Exh. No. BGM-13R -3'!AR72</f>
        <v>0</v>
      </c>
      <c r="AO71" s="623">
        <f>'Exh. No. BGM-13R -3'!AS72</f>
        <v>0</v>
      </c>
      <c r="AP71" s="623">
        <f>'Exh. No. BGM-13R -3'!AT72</f>
        <v>0</v>
      </c>
      <c r="AQ71" s="623">
        <f>'Exh. No. BGM-13R -3'!AU72</f>
        <v>0</v>
      </c>
      <c r="AR71" s="623">
        <f>'Exh. No. BGM-13R -3'!AV72</f>
        <v>0</v>
      </c>
      <c r="AS71" s="623">
        <f>'Exh. No. BGM-13R -3'!AW72</f>
        <v>0</v>
      </c>
      <c r="AT71" s="313">
        <f>'Exh. No. BGM-13R -3'!AY72</f>
        <v>0</v>
      </c>
      <c r="AU71" s="623">
        <f>'Exh. No. BGM-13R -3'!BE72</f>
        <v>0</v>
      </c>
      <c r="AV71" s="623">
        <f>'Exh. No. BGM-13R -3'!BF72</f>
        <v>0</v>
      </c>
      <c r="AW71" s="623">
        <f>'Exh. No. BGM-13R -3'!BG72</f>
        <v>0</v>
      </c>
      <c r="AX71" s="623">
        <f>'Exh. No. BGM-13R -3'!BH72</f>
        <v>0</v>
      </c>
      <c r="AY71" s="623">
        <f>'Exh. No. BGM-13R -3'!BI72</f>
        <v>0</v>
      </c>
      <c r="AZ71" s="623">
        <f>'Exh. No. BGM-13R -3'!BJ72</f>
        <v>0</v>
      </c>
      <c r="BA71" s="623">
        <f>'Exh. No. BGM-13R -3'!BK72</f>
        <v>0</v>
      </c>
      <c r="BB71" s="623">
        <f>'Exh. No. BGM-13R -3'!BM72</f>
        <v>0</v>
      </c>
    </row>
    <row r="72" spans="1:54" s="22" customFormat="1">
      <c r="A72" s="23">
        <f>'Exh. No. BGM-13R -3'!A73</f>
        <v>43</v>
      </c>
      <c r="B72" s="22" t="str">
        <f>'Exh. No. BGM-13R -3'!B73</f>
        <v>Total Accumulated Depreciation</v>
      </c>
      <c r="E72" s="374">
        <f>'Exh. No. BGM-13R -3'!E73</f>
        <v>-823972</v>
      </c>
      <c r="F72" s="374">
        <f>'Exh. No. BGM-13R -3'!F73</f>
        <v>0</v>
      </c>
      <c r="G72" s="374">
        <f>'Exh. No. BGM-13R -3'!G73</f>
        <v>0</v>
      </c>
      <c r="H72" s="374">
        <f>'Exh. No. BGM-13R -3'!H73</f>
        <v>0</v>
      </c>
      <c r="I72" s="627">
        <f>'Exh. No. BGM-13R -3'!I73</f>
        <v>0</v>
      </c>
      <c r="J72" s="374">
        <f>'Exh. No. BGM-13R -3'!J73</f>
        <v>0</v>
      </c>
      <c r="K72" s="374">
        <f>'Exh. No. BGM-13R -3'!K73</f>
        <v>0</v>
      </c>
      <c r="L72" s="374">
        <f>'Exh. No. BGM-13R -3'!L73</f>
        <v>0</v>
      </c>
      <c r="M72" s="374">
        <f>'Exh. No. BGM-13R -3'!M73</f>
        <v>0</v>
      </c>
      <c r="N72" s="374">
        <f>'Exh. No. BGM-13R -3'!N73</f>
        <v>0</v>
      </c>
      <c r="O72" s="374">
        <f>'Exh. No. BGM-13R -3'!O73</f>
        <v>0</v>
      </c>
      <c r="P72" s="374">
        <f>'Exh. No. BGM-13R -3'!P73</f>
        <v>0</v>
      </c>
      <c r="Q72" s="374">
        <f>'Exh. No. BGM-13R -3'!Q73</f>
        <v>0</v>
      </c>
      <c r="R72" s="374">
        <f>'Exh. No. BGM-13R -3'!R73</f>
        <v>0</v>
      </c>
      <c r="S72" s="374">
        <f>'Exh. No. BGM-13R -3'!S73</f>
        <v>0</v>
      </c>
      <c r="T72" s="374">
        <f>'Exh. No. BGM-13R -3'!T73</f>
        <v>0</v>
      </c>
      <c r="U72" s="374">
        <f>'Exh. No. BGM-13R -3'!U73</f>
        <v>0</v>
      </c>
      <c r="V72" s="374">
        <f>'Exh. No. BGM-13R -3'!V73</f>
        <v>0</v>
      </c>
      <c r="W72" s="374">
        <f>'Exh. No. BGM-13R -3'!W73</f>
        <v>0</v>
      </c>
      <c r="X72" s="374">
        <f>'Exh. No. BGM-13R -3'!X73</f>
        <v>0</v>
      </c>
      <c r="Y72" s="374">
        <f>'Exh. No. BGM-13R -3'!Y73</f>
        <v>0</v>
      </c>
      <c r="Z72" s="374">
        <f>'Exh. No. BGM-13R -3'!AC73</f>
        <v>0</v>
      </c>
      <c r="AA72" s="374">
        <f>'Exh. No. BGM-13R -3'!AD73</f>
        <v>0</v>
      </c>
      <c r="AB72" s="374">
        <f>'Exh. No. BGM-13R -3'!AE73</f>
        <v>0</v>
      </c>
      <c r="AC72" s="374">
        <f>'Exh. No. BGM-13R -3'!AF73</f>
        <v>0</v>
      </c>
      <c r="AD72" s="374">
        <f>'Exh. No. BGM-13R -3'!AG73</f>
        <v>0</v>
      </c>
      <c r="AE72" s="374">
        <f>'Exh. No. BGM-13R -3'!AH73</f>
        <v>0</v>
      </c>
      <c r="AF72" s="374">
        <f>'Exh. No. BGM-13R -3'!AI73</f>
        <v>0</v>
      </c>
      <c r="AG72" s="374">
        <f>'Exh. No. BGM-13R -3'!AJ73</f>
        <v>0</v>
      </c>
      <c r="AH72" s="374">
        <f>'Exh. No. BGM-13R -3'!AK73</f>
        <v>0</v>
      </c>
      <c r="AI72" s="374">
        <f>'Exh. No. BGM-13R -3'!AL73</f>
        <v>-20432</v>
      </c>
      <c r="AJ72" s="374">
        <f>'Exh. No. BGM-13R -3'!AM73</f>
        <v>-2028</v>
      </c>
      <c r="AK72" s="374">
        <f>'Exh. No. BGM-13R -3'!AN73</f>
        <v>0</v>
      </c>
      <c r="AL72" s="374">
        <f>'Exh. No. BGM-13R -3'!AO73</f>
        <v>0</v>
      </c>
      <c r="AM72" s="374">
        <f>'Exh. No. BGM-13R -3'!AQ73</f>
        <v>0</v>
      </c>
      <c r="AN72" s="374">
        <f>'Exh. No. BGM-13R -3'!AR73</f>
        <v>0</v>
      </c>
      <c r="AO72" s="627">
        <f>'Exh. No. BGM-13R -3'!AS73</f>
        <v>0</v>
      </c>
      <c r="AP72" s="627">
        <f>'Exh. No. BGM-13R -3'!AT73</f>
        <v>0</v>
      </c>
      <c r="AQ72" s="627">
        <f>'Exh. No. BGM-13R -3'!AU73</f>
        <v>0</v>
      </c>
      <c r="AR72" s="627">
        <f>'Exh. No. BGM-13R -3'!AV73</f>
        <v>0</v>
      </c>
      <c r="AS72" s="627">
        <f>'Exh. No. BGM-13R -3'!AW73</f>
        <v>0</v>
      </c>
      <c r="AT72" s="374">
        <f>'Exh. No. BGM-13R -3'!AY73</f>
        <v>0</v>
      </c>
      <c r="AU72" s="627">
        <f>'Exh. No. BGM-13R -3'!BE73</f>
        <v>0</v>
      </c>
      <c r="AV72" s="627">
        <f>'Exh. No. BGM-13R -3'!BF73</f>
        <v>0</v>
      </c>
      <c r="AW72" s="627">
        <f>'Exh. No. BGM-13R -3'!BG73</f>
        <v>0</v>
      </c>
      <c r="AX72" s="627">
        <f>'Exh. No. BGM-13R -3'!BH73</f>
        <v>0</v>
      </c>
      <c r="AY72" s="627">
        <f>'Exh. No. BGM-13R -3'!BI73</f>
        <v>0</v>
      </c>
      <c r="AZ72" s="627">
        <f>'Exh. No. BGM-13R -3'!BJ73</f>
        <v>0</v>
      </c>
      <c r="BA72" s="627">
        <f>'Exh. No. BGM-13R -3'!BK73</f>
        <v>0</v>
      </c>
      <c r="BB72" s="627">
        <f>'Exh. No. BGM-13R -3'!BM73</f>
        <v>0</v>
      </c>
    </row>
    <row r="73" spans="1:54" s="22" customFormat="1">
      <c r="A73" s="23">
        <f>'Exh. No. BGM-13R -3'!A74</f>
        <v>44</v>
      </c>
      <c r="B73" s="22" t="str">
        <f>'Exh. No. BGM-13R -3'!B74</f>
        <v xml:space="preserve">NET PLANT </v>
      </c>
      <c r="E73" s="374">
        <f>'Exh. No. BGM-13R -3'!E74</f>
        <v>1550598</v>
      </c>
      <c r="F73" s="374">
        <f>'Exh. No. BGM-13R -3'!F74</f>
        <v>0</v>
      </c>
      <c r="G73" s="374">
        <f>'Exh. No. BGM-13R -3'!G74</f>
        <v>0</v>
      </c>
      <c r="H73" s="374">
        <f>'Exh. No. BGM-13R -3'!H74</f>
        <v>0</v>
      </c>
      <c r="I73" s="627">
        <f>'Exh. No. BGM-13R -3'!I74</f>
        <v>0</v>
      </c>
      <c r="J73" s="374">
        <f>'Exh. No. BGM-13R -3'!J74</f>
        <v>0</v>
      </c>
      <c r="K73" s="374">
        <f>'Exh. No. BGM-13R -3'!K74</f>
        <v>0</v>
      </c>
      <c r="L73" s="374">
        <f>'Exh. No. BGM-13R -3'!L74</f>
        <v>0</v>
      </c>
      <c r="M73" s="374">
        <f>'Exh. No. BGM-13R -3'!M74</f>
        <v>0</v>
      </c>
      <c r="N73" s="374">
        <f>'Exh. No. BGM-13R -3'!N74</f>
        <v>0</v>
      </c>
      <c r="O73" s="374">
        <f>'Exh. No. BGM-13R -3'!O74</f>
        <v>0</v>
      </c>
      <c r="P73" s="374">
        <f>'Exh. No. BGM-13R -3'!P74</f>
        <v>0</v>
      </c>
      <c r="Q73" s="374">
        <f>'Exh. No. BGM-13R -3'!Q74</f>
        <v>0</v>
      </c>
      <c r="R73" s="374">
        <f>'Exh. No. BGM-13R -3'!R74</f>
        <v>0</v>
      </c>
      <c r="S73" s="374">
        <f>'Exh. No. BGM-13R -3'!S74</f>
        <v>0</v>
      </c>
      <c r="T73" s="374">
        <f>'Exh. No. BGM-13R -3'!T74</f>
        <v>0</v>
      </c>
      <c r="U73" s="374">
        <f>'Exh. No. BGM-13R -3'!U74</f>
        <v>0</v>
      </c>
      <c r="V73" s="374">
        <f>'Exh. No. BGM-13R -3'!V74</f>
        <v>0</v>
      </c>
      <c r="W73" s="374">
        <f>'Exh. No. BGM-13R -3'!W74</f>
        <v>0</v>
      </c>
      <c r="X73" s="374">
        <f>'Exh. No. BGM-13R -3'!X74</f>
        <v>0</v>
      </c>
      <c r="Y73" s="374">
        <f>'Exh. No. BGM-13R -3'!Y74</f>
        <v>0</v>
      </c>
      <c r="Z73" s="374">
        <f>'Exh. No. BGM-13R -3'!AC74</f>
        <v>0</v>
      </c>
      <c r="AA73" s="374">
        <f>'Exh. No. BGM-13R -3'!AD74</f>
        <v>0</v>
      </c>
      <c r="AB73" s="374">
        <f>'Exh. No. BGM-13R -3'!AE74</f>
        <v>0</v>
      </c>
      <c r="AC73" s="374">
        <f>'Exh. No. BGM-13R -3'!AF74</f>
        <v>0</v>
      </c>
      <c r="AD73" s="374">
        <f>'Exh. No. BGM-13R -3'!AG74</f>
        <v>0</v>
      </c>
      <c r="AE73" s="374">
        <f>'Exh. No. BGM-13R -3'!AH74</f>
        <v>0</v>
      </c>
      <c r="AF73" s="374">
        <f>'Exh. No. BGM-13R -3'!AI74</f>
        <v>0</v>
      </c>
      <c r="AG73" s="374">
        <f>'Exh. No. BGM-13R -3'!AJ74</f>
        <v>0</v>
      </c>
      <c r="AH73" s="374">
        <f>'Exh. No. BGM-13R -3'!AK74</f>
        <v>0</v>
      </c>
      <c r="AI73" s="374">
        <f>'Exh. No. BGM-13R -3'!AL74</f>
        <v>38887</v>
      </c>
      <c r="AJ73" s="374">
        <f>'Exh. No. BGM-13R -3'!AM74</f>
        <v>75909</v>
      </c>
      <c r="AK73" s="374">
        <f>'Exh. No. BGM-13R -3'!AN74</f>
        <v>0</v>
      </c>
      <c r="AL73" s="374">
        <f>'Exh. No. BGM-13R -3'!AO74</f>
        <v>0</v>
      </c>
      <c r="AM73" s="374">
        <f>'Exh. No. BGM-13R -3'!AQ74</f>
        <v>0</v>
      </c>
      <c r="AN73" s="374">
        <f>'Exh. No. BGM-13R -3'!AR74</f>
        <v>0</v>
      </c>
      <c r="AO73" s="627">
        <f>'Exh. No. BGM-13R -3'!AS74</f>
        <v>0</v>
      </c>
      <c r="AP73" s="627">
        <f>'Exh. No. BGM-13R -3'!AT74</f>
        <v>0</v>
      </c>
      <c r="AQ73" s="627">
        <f>'Exh. No. BGM-13R -3'!AU74</f>
        <v>0</v>
      </c>
      <c r="AR73" s="627">
        <f>'Exh. No. BGM-13R -3'!AV74</f>
        <v>0</v>
      </c>
      <c r="AS73" s="627">
        <f>'Exh. No. BGM-13R -3'!AW74</f>
        <v>0</v>
      </c>
      <c r="AT73" s="374">
        <f>'Exh. No. BGM-13R -3'!AY74</f>
        <v>0</v>
      </c>
      <c r="AU73" s="627">
        <f>'Exh. No. BGM-13R -3'!BE74</f>
        <v>0</v>
      </c>
      <c r="AV73" s="627">
        <f>'Exh. No. BGM-13R -3'!BF74</f>
        <v>0</v>
      </c>
      <c r="AW73" s="627">
        <f>'Exh. No. BGM-13R -3'!BG74</f>
        <v>0</v>
      </c>
      <c r="AX73" s="627">
        <f>'Exh. No. BGM-13R -3'!BH74</f>
        <v>0</v>
      </c>
      <c r="AY73" s="627">
        <f>'Exh. No. BGM-13R -3'!BI74</f>
        <v>0</v>
      </c>
      <c r="AZ73" s="627">
        <f>'Exh. No. BGM-13R -3'!BJ74</f>
        <v>0</v>
      </c>
      <c r="BA73" s="627">
        <f>'Exh. No. BGM-13R -3'!BK74</f>
        <v>0</v>
      </c>
      <c r="BB73" s="627">
        <f>'Exh. No. BGM-13R -3'!BM74</f>
        <v>0</v>
      </c>
    </row>
    <row r="74" spans="1:54" s="22" customFormat="1" ht="6.75" customHeight="1">
      <c r="A74" s="23"/>
      <c r="E74" s="274"/>
      <c r="F74" s="274"/>
      <c r="G74" s="274"/>
      <c r="H74" s="274"/>
      <c r="I74" s="612"/>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612"/>
      <c r="AP74" s="612"/>
      <c r="AQ74" s="612"/>
      <c r="AR74" s="612"/>
      <c r="AS74" s="612"/>
      <c r="AT74" s="274"/>
      <c r="AU74" s="612"/>
      <c r="AV74" s="612"/>
      <c r="AW74" s="612"/>
      <c r="AX74" s="612"/>
      <c r="AY74" s="612"/>
      <c r="AZ74" s="612"/>
      <c r="BA74" s="612"/>
      <c r="BB74" s="612"/>
    </row>
    <row r="75" spans="1:54" s="22" customFormat="1">
      <c r="A75" s="24">
        <f>'Exh. No. BGM-13R -3'!A76</f>
        <v>45</v>
      </c>
      <c r="B75" s="22" t="str">
        <f>'Exh. No. BGM-13R -3'!B76</f>
        <v xml:space="preserve">DEFERRED TAXES  </v>
      </c>
      <c r="E75" s="275">
        <f>'Exh. No. BGM-13R -3'!E76</f>
        <v>-294027</v>
      </c>
      <c r="F75" s="315">
        <f>'Exh. No. BGM-13R -3'!F76</f>
        <v>-6556</v>
      </c>
      <c r="G75" s="315">
        <f>'Exh. No. BGM-13R -3'!G76</f>
        <v>0</v>
      </c>
      <c r="H75" s="315">
        <f>'Exh. No. BGM-13R -3'!H76</f>
        <v>0</v>
      </c>
      <c r="I75" s="625">
        <f>'Exh. No. BGM-13R -3'!I76</f>
        <v>0</v>
      </c>
      <c r="J75" s="315">
        <f>'Exh. No. BGM-13R -3'!J76</f>
        <v>0</v>
      </c>
      <c r="K75" s="315">
        <f>'Exh. No. BGM-13R -3'!K76</f>
        <v>0</v>
      </c>
      <c r="L75" s="315">
        <f>'Exh. No. BGM-13R -3'!L76</f>
        <v>0</v>
      </c>
      <c r="M75" s="315">
        <f>'Exh. No. BGM-13R -3'!M76</f>
        <v>0</v>
      </c>
      <c r="N75" s="315">
        <f>'Exh. No. BGM-13R -3'!N76</f>
        <v>0</v>
      </c>
      <c r="O75" s="315">
        <f>'Exh. No. BGM-13R -3'!O76</f>
        <v>0</v>
      </c>
      <c r="P75" s="315">
        <f>'Exh. No. BGM-13R -3'!P76</f>
        <v>0</v>
      </c>
      <c r="Q75" s="315">
        <f>'Exh. No. BGM-13R -3'!Q76</f>
        <v>0</v>
      </c>
      <c r="R75" s="315">
        <f>'Exh. No. BGM-13R -3'!R76</f>
        <v>0</v>
      </c>
      <c r="S75" s="315">
        <f>'Exh. No. BGM-13R -3'!S76</f>
        <v>0</v>
      </c>
      <c r="T75" s="315">
        <f>'Exh. No. BGM-13R -3'!T76</f>
        <v>0</v>
      </c>
      <c r="U75" s="315">
        <f>'Exh. No. BGM-13R -3'!U76</f>
        <v>0</v>
      </c>
      <c r="V75" s="315">
        <f>'Exh. No. BGM-13R -3'!V76</f>
        <v>0</v>
      </c>
      <c r="W75" s="315">
        <f>'Exh. No. BGM-13R -3'!W76</f>
        <v>0</v>
      </c>
      <c r="X75" s="315">
        <f>'Exh. No. BGM-13R -3'!X76</f>
        <v>0</v>
      </c>
      <c r="Y75" s="315">
        <f>'Exh. No. BGM-13R -3'!Y76</f>
        <v>0</v>
      </c>
      <c r="Z75" s="315">
        <f>'Exh. No. BGM-13R -3'!AC76</f>
        <v>0</v>
      </c>
      <c r="AA75" s="315">
        <f>'Exh. No. BGM-13R -3'!AD76</f>
        <v>0</v>
      </c>
      <c r="AB75" s="315">
        <f>'Exh. No. BGM-13R -3'!AE76</f>
        <v>0</v>
      </c>
      <c r="AC75" s="315">
        <f>'Exh. No. BGM-13R -3'!AF76</f>
        <v>0</v>
      </c>
      <c r="AD75" s="315">
        <f>'Exh. No. BGM-13R -3'!AG76</f>
        <v>0</v>
      </c>
      <c r="AE75" s="315">
        <f>'Exh. No. BGM-13R -3'!AH76</f>
        <v>0</v>
      </c>
      <c r="AF75" s="315">
        <f>'Exh. No. BGM-13R -3'!AI76</f>
        <v>0</v>
      </c>
      <c r="AG75" s="315">
        <f>'Exh. No. BGM-13R -3'!AJ76</f>
        <v>0</v>
      </c>
      <c r="AH75" s="315">
        <f>'Exh. No. BGM-13R -3'!AK76</f>
        <v>0</v>
      </c>
      <c r="AI75" s="315">
        <f>'Exh. No. BGM-13R -3'!AL76</f>
        <v>-17278</v>
      </c>
      <c r="AJ75" s="315">
        <f>'Exh. No. BGM-13R -3'!AM76</f>
        <v>-15078</v>
      </c>
      <c r="AK75" s="315">
        <f>'Exh. No. BGM-13R -3'!AN76</f>
        <v>0</v>
      </c>
      <c r="AL75" s="315">
        <f>'Exh. No. BGM-13R -3'!AO76</f>
        <v>0</v>
      </c>
      <c r="AM75" s="315">
        <f>'Exh. No. BGM-13R -3'!AQ76</f>
        <v>0</v>
      </c>
      <c r="AN75" s="315">
        <f>'Exh. No. BGM-13R -3'!AR76</f>
        <v>0</v>
      </c>
      <c r="AO75" s="625">
        <f>'Exh. No. BGM-13R -3'!AS76</f>
        <v>0</v>
      </c>
      <c r="AP75" s="625">
        <f>'Exh. No. BGM-13R -3'!AT76</f>
        <v>0</v>
      </c>
      <c r="AQ75" s="625">
        <f>'Exh. No. BGM-13R -3'!AU76</f>
        <v>0</v>
      </c>
      <c r="AR75" s="625">
        <f>'Exh. No. BGM-13R -3'!AV76</f>
        <v>0</v>
      </c>
      <c r="AS75" s="625">
        <f>'Exh. No. BGM-13R -3'!AW76</f>
        <v>0</v>
      </c>
      <c r="AT75" s="315">
        <f>'Exh. No. BGM-13R -3'!AY76</f>
        <v>0</v>
      </c>
      <c r="AU75" s="625">
        <f>'Exh. No. BGM-13R -3'!BE76</f>
        <v>0</v>
      </c>
      <c r="AV75" s="625">
        <f>'Exh. No. BGM-13R -3'!BF76</f>
        <v>0</v>
      </c>
      <c r="AW75" s="625">
        <f>'Exh. No. BGM-13R -3'!BG76</f>
        <v>0</v>
      </c>
      <c r="AX75" s="625">
        <f>'Exh. No. BGM-13R -3'!BH76</f>
        <v>0</v>
      </c>
      <c r="AY75" s="625">
        <f>'Exh. No. BGM-13R -3'!BI76</f>
        <v>0</v>
      </c>
      <c r="AZ75" s="625">
        <f>'Exh. No. BGM-13R -3'!BJ76</f>
        <v>0</v>
      </c>
      <c r="BA75" s="625">
        <f>'Exh. No. BGM-13R -3'!BK76</f>
        <v>0</v>
      </c>
      <c r="BB75" s="625">
        <f>'Exh. No. BGM-13R -3'!BM76</f>
        <v>0</v>
      </c>
    </row>
    <row r="76" spans="1:54" s="22" customFormat="1">
      <c r="A76" s="24">
        <f>'Exh. No. BGM-13R -3'!A77</f>
        <v>46</v>
      </c>
      <c r="C76" s="22" t="str">
        <f>'Exh. No. BGM-13R -3'!C77</f>
        <v>Net Plant After DFIT</v>
      </c>
      <c r="E76" s="274">
        <f>'Exh. No. BGM-13R -3'!E77</f>
        <v>1256571</v>
      </c>
      <c r="F76" s="274">
        <f>'Exh. No. BGM-13R -3'!F77</f>
        <v>-6556</v>
      </c>
      <c r="G76" s="274">
        <f>'Exh. No. BGM-13R -3'!G77</f>
        <v>0</v>
      </c>
      <c r="H76" s="274">
        <f>'Exh. No. BGM-13R -3'!H77</f>
        <v>0</v>
      </c>
      <c r="I76" s="612">
        <f>'Exh. No. BGM-13R -3'!I77</f>
        <v>0</v>
      </c>
      <c r="J76" s="274">
        <f>'Exh. No. BGM-13R -3'!J77</f>
        <v>0</v>
      </c>
      <c r="K76" s="274">
        <f>'Exh. No. BGM-13R -3'!K77</f>
        <v>0</v>
      </c>
      <c r="L76" s="274">
        <f>'Exh. No. BGM-13R -3'!L77</f>
        <v>0</v>
      </c>
      <c r="M76" s="274">
        <f>'Exh. No. BGM-13R -3'!M77</f>
        <v>0</v>
      </c>
      <c r="N76" s="274">
        <f>'Exh. No. BGM-13R -3'!N77</f>
        <v>0</v>
      </c>
      <c r="O76" s="274">
        <f>'Exh. No. BGM-13R -3'!O77</f>
        <v>0</v>
      </c>
      <c r="P76" s="274">
        <f>'Exh. No. BGM-13R -3'!P77</f>
        <v>0</v>
      </c>
      <c r="Q76" s="274">
        <f>'Exh. No. BGM-13R -3'!Q77</f>
        <v>0</v>
      </c>
      <c r="R76" s="274">
        <f>'Exh. No. BGM-13R -3'!R77</f>
        <v>0</v>
      </c>
      <c r="S76" s="274">
        <f>'Exh. No. BGM-13R -3'!S77</f>
        <v>0</v>
      </c>
      <c r="T76" s="274">
        <f>'Exh. No. BGM-13R -3'!T77</f>
        <v>0</v>
      </c>
      <c r="U76" s="274">
        <f>'Exh. No. BGM-13R -3'!U77</f>
        <v>0</v>
      </c>
      <c r="V76" s="274">
        <f>'Exh. No. BGM-13R -3'!V77</f>
        <v>0</v>
      </c>
      <c r="W76" s="274">
        <f>'Exh. No. BGM-13R -3'!W77</f>
        <v>0</v>
      </c>
      <c r="X76" s="274">
        <f>'Exh. No. BGM-13R -3'!X77</f>
        <v>0</v>
      </c>
      <c r="Y76" s="274">
        <f>'Exh. No. BGM-13R -3'!Y77</f>
        <v>0</v>
      </c>
      <c r="Z76" s="274">
        <f>'Exh. No. BGM-13R -3'!AC77</f>
        <v>0</v>
      </c>
      <c r="AA76" s="274">
        <f>'Exh. No. BGM-13R -3'!AD77</f>
        <v>0</v>
      </c>
      <c r="AB76" s="274">
        <f>'Exh. No. BGM-13R -3'!AE77</f>
        <v>0</v>
      </c>
      <c r="AC76" s="274">
        <f>'Exh. No. BGM-13R -3'!AF77</f>
        <v>0</v>
      </c>
      <c r="AD76" s="274">
        <f>'Exh. No. BGM-13R -3'!AG77</f>
        <v>0</v>
      </c>
      <c r="AE76" s="274">
        <f>'Exh. No. BGM-13R -3'!AH77</f>
        <v>0</v>
      </c>
      <c r="AF76" s="274">
        <f>'Exh. No. BGM-13R -3'!AI77</f>
        <v>0</v>
      </c>
      <c r="AG76" s="274">
        <f>'Exh. No. BGM-13R -3'!AJ77</f>
        <v>0</v>
      </c>
      <c r="AH76" s="274">
        <f>'Exh. No. BGM-13R -3'!AK77</f>
        <v>0</v>
      </c>
      <c r="AI76" s="274">
        <f>'Exh. No. BGM-13R -3'!AL77</f>
        <v>21609</v>
      </c>
      <c r="AJ76" s="274">
        <f>'Exh. No. BGM-13R -3'!AM77</f>
        <v>60831</v>
      </c>
      <c r="AK76" s="274">
        <f>'Exh. No. BGM-13R -3'!AN77</f>
        <v>0</v>
      </c>
      <c r="AL76" s="274">
        <f>'Exh. No. BGM-13R -3'!AO77</f>
        <v>0</v>
      </c>
      <c r="AM76" s="274">
        <f>'Exh. No. BGM-13R -3'!AQ77</f>
        <v>0</v>
      </c>
      <c r="AN76" s="274">
        <f>'Exh. No. BGM-13R -3'!AR77</f>
        <v>0</v>
      </c>
      <c r="AO76" s="612">
        <f>'Exh. No. BGM-13R -3'!AS77</f>
        <v>0</v>
      </c>
      <c r="AP76" s="612">
        <f>'Exh. No. BGM-13R -3'!AT77</f>
        <v>0</v>
      </c>
      <c r="AQ76" s="612">
        <f>'Exh. No. BGM-13R -3'!AU77</f>
        <v>0</v>
      </c>
      <c r="AR76" s="612">
        <f>'Exh. No. BGM-13R -3'!AV77</f>
        <v>0</v>
      </c>
      <c r="AS76" s="612">
        <f>'Exh. No. BGM-13R -3'!AW77</f>
        <v>0</v>
      </c>
      <c r="AT76" s="274">
        <f>'Exh. No. BGM-13R -3'!AY77</f>
        <v>0</v>
      </c>
      <c r="AU76" s="612">
        <f>'Exh. No. BGM-13R -3'!BE77</f>
        <v>0</v>
      </c>
      <c r="AV76" s="612">
        <f>'Exh. No. BGM-13R -3'!BF77</f>
        <v>0</v>
      </c>
      <c r="AW76" s="612">
        <f>'Exh. No. BGM-13R -3'!BG77</f>
        <v>0</v>
      </c>
      <c r="AX76" s="612">
        <f>'Exh. No. BGM-13R -3'!BH77</f>
        <v>0</v>
      </c>
      <c r="AY76" s="612">
        <f>'Exh. No. BGM-13R -3'!BI77</f>
        <v>0</v>
      </c>
      <c r="AZ76" s="612">
        <f>'Exh. No. BGM-13R -3'!BJ77</f>
        <v>0</v>
      </c>
      <c r="BA76" s="612">
        <f>'Exh. No. BGM-13R -3'!BK77</f>
        <v>0</v>
      </c>
      <c r="BB76" s="612">
        <f>'Exh. No. BGM-13R -3'!BM77</f>
        <v>0</v>
      </c>
    </row>
    <row r="77" spans="1:54" s="22" customFormat="1">
      <c r="A77" s="23">
        <f>'Exh. No. BGM-13R -3'!A78</f>
        <v>47</v>
      </c>
      <c r="B77" s="22" t="str">
        <f>'Exh. No. BGM-13R -3'!B78</f>
        <v>DEFERRED DEBITS AND CREDITS &amp; OTHER</v>
      </c>
      <c r="E77" s="274">
        <f>'Exh. No. BGM-13R -3'!E78</f>
        <v>8204</v>
      </c>
      <c r="F77" s="313">
        <f>'Exh. No. BGM-13R -3'!F78</f>
        <v>0</v>
      </c>
      <c r="G77" s="313">
        <f>'Exh. No. BGM-13R -3'!G78</f>
        <v>-6302</v>
      </c>
      <c r="H77" s="313">
        <f>'Exh. No. BGM-13R -3'!H78</f>
        <v>0</v>
      </c>
      <c r="I77" s="623">
        <f>'Exh. No. BGM-13R -3'!I78</f>
        <v>0</v>
      </c>
      <c r="J77" s="313">
        <f>'Exh. No. BGM-13R -3'!J78</f>
        <v>0</v>
      </c>
      <c r="K77" s="313">
        <f>'Exh. No. BGM-13R -3'!K78</f>
        <v>0</v>
      </c>
      <c r="L77" s="313">
        <f>'Exh. No. BGM-13R -3'!L78</f>
        <v>0</v>
      </c>
      <c r="M77" s="313">
        <f>'Exh. No. BGM-13R -3'!M78</f>
        <v>0</v>
      </c>
      <c r="N77" s="313">
        <f>'Exh. No. BGM-13R -3'!N78</f>
        <v>0</v>
      </c>
      <c r="O77" s="313">
        <f>'Exh. No. BGM-13R -3'!O78</f>
        <v>0</v>
      </c>
      <c r="P77" s="313">
        <f>'Exh. No. BGM-13R -3'!P78</f>
        <v>0</v>
      </c>
      <c r="Q77" s="313">
        <f>'Exh. No. BGM-13R -3'!Q78</f>
        <v>0</v>
      </c>
      <c r="R77" s="313">
        <f>'Exh. No. BGM-13R -3'!R78</f>
        <v>0</v>
      </c>
      <c r="S77" s="313">
        <f>'Exh. No. BGM-13R -3'!S78</f>
        <v>0</v>
      </c>
      <c r="T77" s="313">
        <f>'Exh. No. BGM-13R -3'!T78</f>
        <v>0</v>
      </c>
      <c r="U77" s="313">
        <f>'Exh. No. BGM-13R -3'!U78</f>
        <v>0</v>
      </c>
      <c r="V77" s="313">
        <f>'Exh. No. BGM-13R -3'!V78</f>
        <v>0</v>
      </c>
      <c r="W77" s="313">
        <f>'Exh. No. BGM-13R -3'!W78</f>
        <v>0</v>
      </c>
      <c r="X77" s="313">
        <f>'Exh. No. BGM-13R -3'!X78</f>
        <v>0</v>
      </c>
      <c r="Y77" s="313">
        <f>'Exh. No. BGM-13R -3'!Y78</f>
        <v>0</v>
      </c>
      <c r="Z77" s="313">
        <f>'Exh. No. BGM-13R -3'!AC78</f>
        <v>0</v>
      </c>
      <c r="AA77" s="313">
        <f>'Exh. No. BGM-13R -3'!AD78</f>
        <v>0</v>
      </c>
      <c r="AB77" s="313">
        <f>'Exh. No. BGM-13R -3'!AE78</f>
        <v>0</v>
      </c>
      <c r="AC77" s="313">
        <f>'Exh. No. BGM-13R -3'!AF78</f>
        <v>0</v>
      </c>
      <c r="AD77" s="313">
        <f>'Exh. No. BGM-13R -3'!AG78</f>
        <v>0</v>
      </c>
      <c r="AE77" s="313">
        <f>'Exh. No. BGM-13R -3'!AH78</f>
        <v>0</v>
      </c>
      <c r="AF77" s="313">
        <f>'Exh. No. BGM-13R -3'!AI78</f>
        <v>0</v>
      </c>
      <c r="AG77" s="313">
        <f>'Exh. No. BGM-13R -3'!AJ78</f>
        <v>0</v>
      </c>
      <c r="AH77" s="313">
        <f>'Exh. No. BGM-13R -3'!AK78</f>
        <v>0</v>
      </c>
      <c r="AI77" s="313">
        <f>'Exh. No. BGM-13R -3'!AL78</f>
        <v>0</v>
      </c>
      <c r="AJ77" s="313">
        <f>'Exh. No. BGM-13R -3'!AM78</f>
        <v>0</v>
      </c>
      <c r="AK77" s="313">
        <f>'Exh. No. BGM-13R -3'!AN78</f>
        <v>0</v>
      </c>
      <c r="AL77" s="313">
        <f>'Exh. No. BGM-13R -3'!AO78</f>
        <v>0</v>
      </c>
      <c r="AM77" s="313">
        <f>'Exh. No. BGM-13R -3'!AQ78</f>
        <v>0</v>
      </c>
      <c r="AN77" s="313">
        <f>'Exh. No. BGM-13R -3'!AR78</f>
        <v>0</v>
      </c>
      <c r="AO77" s="623">
        <f>'Exh. No. BGM-13R -3'!AS78</f>
        <v>0</v>
      </c>
      <c r="AP77" s="623">
        <f>'Exh. No. BGM-13R -3'!AT78</f>
        <v>0</v>
      </c>
      <c r="AQ77" s="623">
        <f>'Exh. No. BGM-13R -3'!AU78</f>
        <v>0</v>
      </c>
      <c r="AR77" s="623">
        <f>'Exh. No. BGM-13R -3'!AV78</f>
        <v>0</v>
      </c>
      <c r="AS77" s="623">
        <f>'Exh. No. BGM-13R -3'!AW78</f>
        <v>0</v>
      </c>
      <c r="AT77" s="313">
        <f>'Exh. No. BGM-13R -3'!AY78</f>
        <v>0</v>
      </c>
      <c r="AU77" s="623">
        <f>'Exh. No. BGM-13R -3'!BE78</f>
        <v>0</v>
      </c>
      <c r="AV77" s="623">
        <f>'Exh. No. BGM-13R -3'!BF78</f>
        <v>0</v>
      </c>
      <c r="AW77" s="623">
        <f>'Exh. No. BGM-13R -3'!BG78</f>
        <v>0</v>
      </c>
      <c r="AX77" s="623">
        <f>'Exh. No. BGM-13R -3'!BH78</f>
        <v>0</v>
      </c>
      <c r="AY77" s="623">
        <f>'Exh. No. BGM-13R -3'!BI78</f>
        <v>0</v>
      </c>
      <c r="AZ77" s="623">
        <f>'Exh. No. BGM-13R -3'!BJ78</f>
        <v>0</v>
      </c>
      <c r="BA77" s="623">
        <f>'Exh. No. BGM-13R -3'!BK78</f>
        <v>0</v>
      </c>
      <c r="BB77" s="623">
        <f>'Exh. No. BGM-13R -3'!BM78</f>
        <v>0</v>
      </c>
    </row>
    <row r="78" spans="1:54" s="22" customFormat="1">
      <c r="A78" s="23">
        <f>'Exh. No. BGM-13R -3'!A79</f>
        <v>48</v>
      </c>
      <c r="B78" s="22" t="str">
        <f>'Exh. No. BGM-13R -3'!B79</f>
        <v xml:space="preserve">WORKING CAPITAL </v>
      </c>
      <c r="E78" s="274">
        <f>'Exh. No. BGM-13R -3'!E79</f>
        <v>44420</v>
      </c>
      <c r="F78" s="315">
        <f>'Exh. No. BGM-13R -3'!F79</f>
        <v>0</v>
      </c>
      <c r="G78" s="315">
        <f>'Exh. No. BGM-13R -3'!G79</f>
        <v>0</v>
      </c>
      <c r="H78" s="315">
        <f>'Exh. No. BGM-13R -3'!H79</f>
        <v>4352</v>
      </c>
      <c r="I78" s="625">
        <f>'Exh. No. BGM-13R -3'!I79</f>
        <v>0</v>
      </c>
      <c r="J78" s="315">
        <f>'Exh. No. BGM-13R -3'!J79</f>
        <v>0</v>
      </c>
      <c r="K78" s="315">
        <f>'Exh. No. BGM-13R -3'!K79</f>
        <v>0</v>
      </c>
      <c r="L78" s="315">
        <f>'Exh. No. BGM-13R -3'!L79</f>
        <v>0</v>
      </c>
      <c r="M78" s="315">
        <f>'Exh. No. BGM-13R -3'!M79</f>
        <v>0</v>
      </c>
      <c r="N78" s="315">
        <f>'Exh. No. BGM-13R -3'!N79</f>
        <v>0</v>
      </c>
      <c r="O78" s="315">
        <f>'Exh. No. BGM-13R -3'!O79</f>
        <v>0</v>
      </c>
      <c r="P78" s="315">
        <f>'Exh. No. BGM-13R -3'!P79</f>
        <v>0</v>
      </c>
      <c r="Q78" s="315">
        <f>'Exh. No. BGM-13R -3'!Q79</f>
        <v>0</v>
      </c>
      <c r="R78" s="315">
        <f>'Exh. No. BGM-13R -3'!R79</f>
        <v>0</v>
      </c>
      <c r="S78" s="315">
        <f>'Exh. No. BGM-13R -3'!S79</f>
        <v>0</v>
      </c>
      <c r="T78" s="315">
        <f>'Exh. No. BGM-13R -3'!T79</f>
        <v>0</v>
      </c>
      <c r="U78" s="315">
        <f>'Exh. No. BGM-13R -3'!U79</f>
        <v>0</v>
      </c>
      <c r="V78" s="315">
        <f>'Exh. No. BGM-13R -3'!V79</f>
        <v>0</v>
      </c>
      <c r="W78" s="315">
        <f>'Exh. No. BGM-13R -3'!W79</f>
        <v>0</v>
      </c>
      <c r="X78" s="315">
        <f>'Exh. No. BGM-13R -3'!X79</f>
        <v>0</v>
      </c>
      <c r="Y78" s="315">
        <f>'Exh. No. BGM-13R -3'!Y79</f>
        <v>0</v>
      </c>
      <c r="Z78" s="315">
        <f>'Exh. No. BGM-13R -3'!AC79</f>
        <v>0</v>
      </c>
      <c r="AA78" s="315">
        <f>'Exh. No. BGM-13R -3'!AD79</f>
        <v>0</v>
      </c>
      <c r="AB78" s="315">
        <f>'Exh. No. BGM-13R -3'!AE79</f>
        <v>0</v>
      </c>
      <c r="AC78" s="315">
        <f>'Exh. No. BGM-13R -3'!AF79</f>
        <v>0</v>
      </c>
      <c r="AD78" s="315">
        <f>'Exh. No. BGM-13R -3'!AG79</f>
        <v>0</v>
      </c>
      <c r="AE78" s="315">
        <f>'Exh. No. BGM-13R -3'!AH79</f>
        <v>0</v>
      </c>
      <c r="AF78" s="315">
        <f>'Exh. No. BGM-13R -3'!AI79</f>
        <v>0</v>
      </c>
      <c r="AG78" s="315">
        <f>'Exh. No. BGM-13R -3'!AJ79</f>
        <v>0</v>
      </c>
      <c r="AH78" s="315">
        <f>'Exh. No. BGM-13R -3'!AK79</f>
        <v>0</v>
      </c>
      <c r="AI78" s="315">
        <f>'Exh. No. BGM-13R -3'!AL79</f>
        <v>0</v>
      </c>
      <c r="AJ78" s="315">
        <f>'Exh. No. BGM-13R -3'!AM79</f>
        <v>0</v>
      </c>
      <c r="AK78" s="315">
        <f>'Exh. No. BGM-13R -3'!AN79</f>
        <v>0</v>
      </c>
      <c r="AL78" s="315">
        <f>'Exh. No. BGM-13R -3'!AO79</f>
        <v>0</v>
      </c>
      <c r="AM78" s="315">
        <f>'Exh. No. BGM-13R -3'!AQ79</f>
        <v>0</v>
      </c>
      <c r="AN78" s="315">
        <f>'Exh. No. BGM-13R -3'!AR79</f>
        <v>0</v>
      </c>
      <c r="AO78" s="625">
        <f>'Exh. No. BGM-13R -3'!AS79</f>
        <v>0</v>
      </c>
      <c r="AP78" s="625">
        <f>'Exh. No. BGM-13R -3'!AT79</f>
        <v>0</v>
      </c>
      <c r="AQ78" s="625">
        <f>'Exh. No. BGM-13R -3'!AU79</f>
        <v>0</v>
      </c>
      <c r="AR78" s="625">
        <f>'Exh. No. BGM-13R -3'!AV79</f>
        <v>0</v>
      </c>
      <c r="AS78" s="625">
        <f>'Exh. No. BGM-13R -3'!AW79</f>
        <v>0</v>
      </c>
      <c r="AT78" s="315">
        <f>'Exh. No. BGM-13R -3'!AY79</f>
        <v>0</v>
      </c>
      <c r="AU78" s="625">
        <f>'Exh. No. BGM-13R -3'!BE79</f>
        <v>0</v>
      </c>
      <c r="AV78" s="625">
        <f>'Exh. No. BGM-13R -3'!BF79</f>
        <v>0</v>
      </c>
      <c r="AW78" s="625">
        <f>'Exh. No. BGM-13R -3'!BG79</f>
        <v>0</v>
      </c>
      <c r="AX78" s="625">
        <f>'Exh. No. BGM-13R -3'!BH79</f>
        <v>0</v>
      </c>
      <c r="AY78" s="625">
        <f>'Exh. No. BGM-13R -3'!BI79</f>
        <v>0</v>
      </c>
      <c r="AZ78" s="625">
        <f>'Exh. No. BGM-13R -3'!BJ79</f>
        <v>0</v>
      </c>
      <c r="BA78" s="625">
        <f>'Exh. No. BGM-13R -3'!BK79</f>
        <v>0</v>
      </c>
      <c r="BB78" s="625">
        <f>'Exh. No. BGM-13R -3'!BM79</f>
        <v>0</v>
      </c>
    </row>
    <row r="79" spans="1:54" s="22" customFormat="1" ht="6.75" customHeight="1">
      <c r="A79" s="24"/>
      <c r="E79" s="374">
        <f>'Exh. No. BGM-13R -3'!E80</f>
        <v>0</v>
      </c>
      <c r="F79" s="264">
        <f>'Exh. No. BGM-13R -3'!F80</f>
        <v>0</v>
      </c>
      <c r="G79" s="264">
        <f>'Exh. No. BGM-13R -3'!G80</f>
        <v>0</v>
      </c>
      <c r="H79" s="264">
        <f>'Exh. No. BGM-13R -3'!H80</f>
        <v>0</v>
      </c>
      <c r="I79" s="601">
        <f>'Exh. No. BGM-13R -3'!I80</f>
        <v>0</v>
      </c>
      <c r="J79" s="264">
        <f>'Exh. No. BGM-13R -3'!J80</f>
        <v>0</v>
      </c>
      <c r="K79" s="264">
        <f>'Exh. No. BGM-13R -3'!K80</f>
        <v>0</v>
      </c>
      <c r="L79" s="264">
        <f>'Exh. No. BGM-13R -3'!L80</f>
        <v>0</v>
      </c>
      <c r="M79" s="264">
        <f>'Exh. No. BGM-13R -3'!M80</f>
        <v>0</v>
      </c>
      <c r="N79" s="264">
        <f>'Exh. No. BGM-13R -3'!N80</f>
        <v>0</v>
      </c>
      <c r="O79" s="264">
        <f>'Exh. No. BGM-13R -3'!O80</f>
        <v>0</v>
      </c>
      <c r="P79" s="264">
        <f>'Exh. No. BGM-13R -3'!P80</f>
        <v>0</v>
      </c>
      <c r="Q79" s="264">
        <f>'Exh. No. BGM-13R -3'!Q80</f>
        <v>0</v>
      </c>
      <c r="R79" s="264">
        <f>'Exh. No. BGM-13R -3'!R80</f>
        <v>0</v>
      </c>
      <c r="S79" s="264">
        <f>'Exh. No. BGM-13R -3'!S80</f>
        <v>0</v>
      </c>
      <c r="T79" s="264">
        <f>'Exh. No. BGM-13R -3'!T80</f>
        <v>0</v>
      </c>
      <c r="U79" s="264">
        <f>'Exh. No. BGM-13R -3'!U80</f>
        <v>0</v>
      </c>
      <c r="V79" s="264">
        <f>'Exh. No. BGM-13R -3'!V80</f>
        <v>0</v>
      </c>
      <c r="W79" s="264">
        <f>'Exh. No. BGM-13R -3'!W80</f>
        <v>0</v>
      </c>
      <c r="X79" s="264">
        <f>'Exh. No. BGM-13R -3'!X80</f>
        <v>0</v>
      </c>
      <c r="Y79" s="264">
        <f>'Exh. No. BGM-13R -3'!Y80</f>
        <v>0</v>
      </c>
      <c r="Z79" s="264">
        <f>'Exh. No. BGM-13R -3'!AC80</f>
        <v>0</v>
      </c>
      <c r="AA79" s="264">
        <f>'Exh. No. BGM-13R -3'!AD80</f>
        <v>0</v>
      </c>
      <c r="AB79" s="264">
        <f>'Exh. No. BGM-13R -3'!AE80</f>
        <v>0</v>
      </c>
      <c r="AC79" s="264">
        <f>'Exh. No. BGM-13R -3'!AF80</f>
        <v>0</v>
      </c>
      <c r="AD79" s="264">
        <f>'Exh. No. BGM-13R -3'!AG80</f>
        <v>0</v>
      </c>
      <c r="AE79" s="264">
        <f>'Exh. No. BGM-13R -3'!AH80</f>
        <v>0</v>
      </c>
      <c r="AF79" s="264">
        <f>'Exh. No. BGM-13R -3'!AI80</f>
        <v>0</v>
      </c>
      <c r="AG79" s="264">
        <f>'Exh. No. BGM-13R -3'!AJ80</f>
        <v>0</v>
      </c>
      <c r="AH79" s="264">
        <f>'Exh. No. BGM-13R -3'!AK80</f>
        <v>0</v>
      </c>
      <c r="AI79" s="264">
        <f>'Exh. No. BGM-13R -3'!AL80</f>
        <v>0</v>
      </c>
      <c r="AJ79" s="264">
        <f>'Exh. No. BGM-13R -3'!AM80</f>
        <v>0</v>
      </c>
      <c r="AK79" s="264">
        <f>'Exh. No. BGM-13R -3'!AN80</f>
        <v>0</v>
      </c>
      <c r="AL79" s="264">
        <f>'Exh. No. BGM-13R -3'!AO80</f>
        <v>0</v>
      </c>
      <c r="AM79" s="264">
        <f>'Exh. No. BGM-13R -3'!AQ80</f>
        <v>0</v>
      </c>
      <c r="AN79" s="264">
        <f>'Exh. No. BGM-13R -3'!AR80</f>
        <v>0</v>
      </c>
      <c r="AO79" s="601">
        <f>'Exh. No. BGM-13R -3'!AS80</f>
        <v>0</v>
      </c>
      <c r="AP79" s="601">
        <f>'Exh. No. BGM-13R -3'!AT80</f>
        <v>0</v>
      </c>
      <c r="AQ79" s="601">
        <f>'Exh. No. BGM-13R -3'!AU80</f>
        <v>0</v>
      </c>
      <c r="AR79" s="601">
        <f>'Exh. No. BGM-13R -3'!AV80</f>
        <v>0</v>
      </c>
      <c r="AS79" s="601">
        <f>'Exh. No. BGM-13R -3'!AW80</f>
        <v>0</v>
      </c>
      <c r="AT79" s="264">
        <f>'Exh. No. BGM-13R -3'!AY80</f>
        <v>0</v>
      </c>
      <c r="AU79" s="601">
        <f>'Exh. No. BGM-13R -3'!BE80</f>
        <v>0</v>
      </c>
      <c r="AV79" s="601">
        <f>'Exh. No. BGM-13R -3'!BF80</f>
        <v>0</v>
      </c>
      <c r="AW79" s="601">
        <f>'Exh. No. BGM-13R -3'!BG80</f>
        <v>0</v>
      </c>
      <c r="AX79" s="601">
        <f>'Exh. No. BGM-13R -3'!BH80</f>
        <v>0</v>
      </c>
      <c r="AY79" s="601">
        <f>'Exh. No. BGM-13R -3'!BI80</f>
        <v>0</v>
      </c>
      <c r="AZ79" s="601">
        <f>'Exh. No. BGM-13R -3'!BJ80</f>
        <v>0</v>
      </c>
      <c r="BA79" s="601">
        <f>'Exh. No. BGM-13R -3'!BK80</f>
        <v>0</v>
      </c>
      <c r="BB79" s="601">
        <f>'Exh. No. BGM-13R -3'!BM80</f>
        <v>0</v>
      </c>
    </row>
    <row r="80" spans="1:54" s="21" customFormat="1" ht="12.75" thickBot="1">
      <c r="A80" s="20">
        <f>'Exh. No. BGM-13R -3'!A81</f>
        <v>49</v>
      </c>
      <c r="B80" s="21" t="str">
        <f>'Exh. No. BGM-13R -3'!B81</f>
        <v xml:space="preserve">TOTAL RATE BASE  </v>
      </c>
      <c r="E80" s="377">
        <f>'Exh. No. BGM-13R -3'!E81</f>
        <v>1309195</v>
      </c>
      <c r="F80" s="377">
        <f>'Exh. No. BGM-13R -3'!F81</f>
        <v>-6556</v>
      </c>
      <c r="G80" s="377">
        <f>'Exh. No. BGM-13R -3'!G81</f>
        <v>-6302</v>
      </c>
      <c r="H80" s="377">
        <f>'Exh. No. BGM-13R -3'!H81</f>
        <v>4352</v>
      </c>
      <c r="I80" s="629">
        <f>'Exh. No. BGM-13R -3'!I81</f>
        <v>0</v>
      </c>
      <c r="J80" s="377">
        <f>'Exh. No. BGM-13R -3'!J81</f>
        <v>0</v>
      </c>
      <c r="K80" s="377">
        <f>'Exh. No. BGM-13R -3'!K81</f>
        <v>0</v>
      </c>
      <c r="L80" s="377">
        <f>'Exh. No. BGM-13R -3'!L81</f>
        <v>0</v>
      </c>
      <c r="M80" s="377">
        <f>'Exh. No. BGM-13R -3'!M81</f>
        <v>0</v>
      </c>
      <c r="N80" s="377">
        <f>'Exh. No. BGM-13R -3'!N81</f>
        <v>0</v>
      </c>
      <c r="O80" s="377">
        <f>'Exh. No. BGM-13R -3'!O81</f>
        <v>0</v>
      </c>
      <c r="P80" s="377">
        <f>'Exh. No. BGM-13R -3'!P81</f>
        <v>0</v>
      </c>
      <c r="Q80" s="377">
        <f>'Exh. No. BGM-13R -3'!Q81</f>
        <v>0</v>
      </c>
      <c r="R80" s="377">
        <f>'Exh. No. BGM-13R -3'!R81</f>
        <v>0</v>
      </c>
      <c r="S80" s="377">
        <f>'Exh. No. BGM-13R -3'!S81</f>
        <v>0</v>
      </c>
      <c r="T80" s="377">
        <f>'Exh. No. BGM-13R -3'!T81</f>
        <v>0</v>
      </c>
      <c r="U80" s="377">
        <f>'Exh. No. BGM-13R -3'!U81</f>
        <v>0</v>
      </c>
      <c r="V80" s="377">
        <f>'Exh. No. BGM-13R -3'!V81</f>
        <v>0</v>
      </c>
      <c r="W80" s="377">
        <f>'Exh. No. BGM-13R -3'!W81</f>
        <v>0</v>
      </c>
      <c r="X80" s="377">
        <f>'Exh. No. BGM-13R -3'!X81</f>
        <v>0</v>
      </c>
      <c r="Y80" s="377">
        <f>'Exh. No. BGM-13R -3'!Y81</f>
        <v>0</v>
      </c>
      <c r="Z80" s="377">
        <f>'Exh. No. BGM-13R -3'!AC81</f>
        <v>0</v>
      </c>
      <c r="AA80" s="377">
        <f>'Exh. No. BGM-13R -3'!AD81</f>
        <v>0</v>
      </c>
      <c r="AB80" s="377">
        <f>'Exh. No. BGM-13R -3'!AE81</f>
        <v>0</v>
      </c>
      <c r="AC80" s="377">
        <f>'Exh. No. BGM-13R -3'!AF81</f>
        <v>0</v>
      </c>
      <c r="AD80" s="377">
        <f>'Exh. No. BGM-13R -3'!AG81</f>
        <v>0</v>
      </c>
      <c r="AE80" s="377">
        <f>'Exh. No. BGM-13R -3'!AH81</f>
        <v>0</v>
      </c>
      <c r="AF80" s="377">
        <f>'Exh. No. BGM-13R -3'!AI81</f>
        <v>0</v>
      </c>
      <c r="AG80" s="377">
        <f>'Exh. No. BGM-13R -3'!AJ81</f>
        <v>0</v>
      </c>
      <c r="AH80" s="377">
        <f>'Exh. No. BGM-13R -3'!AK81</f>
        <v>0</v>
      </c>
      <c r="AI80" s="377">
        <f>'Exh. No. BGM-13R -3'!AL81</f>
        <v>21609</v>
      </c>
      <c r="AJ80" s="377">
        <f>'Exh. No. BGM-13R -3'!AM81</f>
        <v>60831</v>
      </c>
      <c r="AK80" s="377">
        <f>'Exh. No. BGM-13R -3'!AN81</f>
        <v>0</v>
      </c>
      <c r="AL80" s="377">
        <f>'Exh. No. BGM-13R -3'!AO81</f>
        <v>0</v>
      </c>
      <c r="AM80" s="377">
        <f>'Exh. No. BGM-13R -3'!AQ81</f>
        <v>0</v>
      </c>
      <c r="AN80" s="377">
        <f>'Exh. No. BGM-13R -3'!AR81</f>
        <v>0</v>
      </c>
      <c r="AO80" s="629">
        <f>'Exh. No. BGM-13R -3'!AS81</f>
        <v>0</v>
      </c>
      <c r="AP80" s="629">
        <f>'Exh. No. BGM-13R -3'!AT81</f>
        <v>0</v>
      </c>
      <c r="AQ80" s="629">
        <f>'Exh. No. BGM-13R -3'!AU81</f>
        <v>0</v>
      </c>
      <c r="AR80" s="629">
        <f>'Exh. No. BGM-13R -3'!AV81</f>
        <v>0</v>
      </c>
      <c r="AS80" s="629">
        <f>'Exh. No. BGM-13R -3'!AW81</f>
        <v>0</v>
      </c>
      <c r="AT80" s="377">
        <f>'Exh. No. BGM-13R -3'!AY81</f>
        <v>0</v>
      </c>
      <c r="AU80" s="629">
        <f>'Exh. No. BGM-13R -3'!BE81</f>
        <v>0</v>
      </c>
      <c r="AV80" s="629">
        <f>'Exh. No. BGM-13R -3'!BF81</f>
        <v>0</v>
      </c>
      <c r="AW80" s="629">
        <f>'Exh. No. BGM-13R -3'!BG81</f>
        <v>0</v>
      </c>
      <c r="AX80" s="629">
        <f>'Exh. No. BGM-13R -3'!BH81</f>
        <v>0</v>
      </c>
      <c r="AY80" s="629">
        <f>'Exh. No. BGM-13R -3'!BI81</f>
        <v>0</v>
      </c>
      <c r="AZ80" s="629">
        <f>'Exh. No. BGM-13R -3'!BJ81</f>
        <v>0</v>
      </c>
      <c r="BA80" s="629">
        <f>'Exh. No. BGM-13R -3'!BK81</f>
        <v>0</v>
      </c>
      <c r="BB80" s="629">
        <f>'Exh. No. BGM-13R -3'!BM81</f>
        <v>0</v>
      </c>
    </row>
    <row r="81" spans="4:5" ht="12.75" thickTop="1">
      <c r="D81" s="129"/>
      <c r="E81" s="264"/>
    </row>
    <row r="82" spans="4:5">
      <c r="E82" s="264"/>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51" manualBreakCount="51">
    <brk id="5" min="1" max="78" man="1"/>
    <brk id="6" min="1" max="78" man="1"/>
    <brk id="7" min="1" max="78" man="1"/>
    <brk id="8" max="1048575" man="1"/>
    <brk id="9" min="1" max="78" man="1"/>
    <brk id="10" max="1048575"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in="1" max="78" man="1"/>
    <brk id="23" max="1048575" man="1"/>
    <brk id="24" max="1048575" man="1"/>
    <brk id="25" min="1" max="78" man="1"/>
    <brk id="26" min="1" max="78" man="1"/>
    <brk id="27" min="1" max="78"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2" max="1048575" man="1"/>
    <brk id="43" max="1048575" man="1"/>
    <brk id="45" max="1048575" man="1"/>
    <brk id="46" max="1048575" man="1"/>
    <brk id="47" max="1048575" man="1"/>
    <brk id="48" max="1048575" man="1"/>
    <brk id="49" max="1048575" man="1"/>
    <brk id="50" max="1048575" man="1"/>
    <brk id="51" max="1048575" man="1"/>
    <brk id="52" max="1048575" man="1"/>
    <brk id="5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4"/>
  <sheetViews>
    <sheetView view="pageBreakPreview" topLeftCell="A52" zoomScale="130" zoomScaleNormal="115" zoomScaleSheetLayoutView="130" workbookViewId="0">
      <selection activeCell="E55" sqref="E55"/>
    </sheetView>
  </sheetViews>
  <sheetFormatPr defaultColWidth="11.42578125" defaultRowHeight="12.75"/>
  <cols>
    <col min="1" max="1" width="11.28515625" style="25" customWidth="1"/>
    <col min="2" max="2" width="9.42578125" style="25" customWidth="1"/>
    <col min="3" max="3" width="39.85546875" style="25" customWidth="1"/>
    <col min="4" max="4" width="11.42578125" style="289" customWidth="1"/>
    <col min="5" max="5" width="12.5703125" style="289" customWidth="1"/>
    <col min="6" max="6" width="8.7109375" style="54" customWidth="1"/>
    <col min="7" max="7" width="11.42578125" style="29" hidden="1" customWidth="1"/>
    <col min="8" max="8" width="11.42578125" style="210" hidden="1" customWidth="1"/>
    <col min="9" max="9" width="8.85546875" style="435" customWidth="1"/>
    <col min="10" max="10" width="8.42578125" style="509" bestFit="1" customWidth="1"/>
    <col min="11" max="11" width="9.5703125" style="25" customWidth="1"/>
    <col min="12" max="12" width="15" style="25" customWidth="1"/>
    <col min="13" max="16384" width="11.42578125" style="25"/>
  </cols>
  <sheetData>
    <row r="1" spans="1:16">
      <c r="A1" s="870" t="str">
        <f>'Exh. No. BGM-13R -3'!A2</f>
        <v>Traditional Revenue Requirement Calculations for Avista Corporation</v>
      </c>
      <c r="B1" s="870"/>
      <c r="C1" s="870"/>
      <c r="D1" s="870"/>
      <c r="E1" s="870"/>
      <c r="F1" s="870"/>
    </row>
    <row r="2" spans="1:16">
      <c r="A2" s="883" t="s">
        <v>74</v>
      </c>
      <c r="B2" s="883"/>
      <c r="C2" s="883"/>
      <c r="D2" s="883"/>
      <c r="E2" s="883"/>
      <c r="F2" s="883"/>
    </row>
    <row r="3" spans="1:16">
      <c r="A3" s="883" t="s">
        <v>75</v>
      </c>
      <c r="B3" s="883"/>
      <c r="C3" s="883"/>
      <c r="D3" s="883"/>
      <c r="E3" s="883"/>
      <c r="F3" s="883"/>
    </row>
    <row r="4" spans="1:16">
      <c r="A4" s="884" t="str">
        <f>'Exh. No. BGM-13R -3'!A5</f>
        <v>Twelve Months Ended September 31, 2015</v>
      </c>
      <c r="B4" s="884"/>
      <c r="C4" s="884"/>
      <c r="D4" s="884"/>
      <c r="E4" s="884"/>
      <c r="F4" s="884"/>
    </row>
    <row r="5" spans="1:16" ht="5.25" customHeight="1"/>
    <row r="7" spans="1:16">
      <c r="D7" s="290"/>
      <c r="E7" s="291" t="s">
        <v>75</v>
      </c>
      <c r="F7" s="55"/>
      <c r="G7" s="44" t="s">
        <v>254</v>
      </c>
      <c r="H7" s="207" t="s">
        <v>255</v>
      </c>
    </row>
    <row r="8" spans="1:16">
      <c r="A8" s="32" t="s">
        <v>76</v>
      </c>
      <c r="B8" s="420" t="s">
        <v>578</v>
      </c>
      <c r="C8" s="55" t="s">
        <v>139</v>
      </c>
      <c r="D8" s="291" t="s">
        <v>78</v>
      </c>
      <c r="E8" s="291" t="s">
        <v>21</v>
      </c>
      <c r="F8" s="55" t="s">
        <v>79</v>
      </c>
    </row>
    <row r="9" spans="1:16">
      <c r="A9" s="208" t="s">
        <v>722</v>
      </c>
      <c r="B9" s="208"/>
      <c r="C9" s="60"/>
      <c r="D9" s="292"/>
      <c r="E9" s="292"/>
      <c r="F9" s="60"/>
      <c r="I9" s="436" t="s">
        <v>254</v>
      </c>
      <c r="J9" s="510" t="s">
        <v>255</v>
      </c>
      <c r="K9" s="25" t="s">
        <v>603</v>
      </c>
    </row>
    <row r="10" spans="1:16">
      <c r="A10" s="281">
        <f>'Exh. No. BGM-13R -3'!E$11</f>
        <v>1</v>
      </c>
      <c r="B10" s="434" t="str">
        <f>'Exh. No. BGM-13R -3'!E$12</f>
        <v>E-ROO</v>
      </c>
      <c r="C10" s="36" t="str">
        <f>TRIM(CONCATENATE('Exh. No. BGM-13R -3'!E$8," ",'Exh. No. BGM-13R -3'!E$9," ",'Exh. No. BGM-13R -3'!E$10))</f>
        <v>Results of Operations</v>
      </c>
      <c r="D10" s="289">
        <f>'Exh. No. BGM-13R -3'!E$57</f>
        <v>102043</v>
      </c>
      <c r="E10" s="289">
        <f>'Exh. No. BGM-13R -3'!E$81</f>
        <v>1309195</v>
      </c>
      <c r="F10" s="224">
        <f>D10/E10</f>
        <v>7.7943316312695965E-2</v>
      </c>
      <c r="G10" s="29" t="s">
        <v>260</v>
      </c>
      <c r="I10" s="200" t="s">
        <v>257</v>
      </c>
      <c r="J10" s="514"/>
      <c r="K10" s="200" t="s">
        <v>259</v>
      </c>
      <c r="L10" s="707"/>
      <c r="M10" s="707"/>
    </row>
    <row r="11" spans="1:16" s="51" customFormat="1">
      <c r="A11" s="281">
        <f>'Exh. No. BGM-13R -3'!F$11</f>
        <v>1.01</v>
      </c>
      <c r="B11" s="434" t="str">
        <f>'Exh. No. BGM-13R -3'!F$12</f>
        <v>E-DFIT</v>
      </c>
      <c r="C11" s="36" t="str">
        <f>TRIM(CONCATENATE('Exh. No. BGM-13R -3'!F$8," ",'Exh. No. BGM-13R -3'!F$9," ",'Exh. No. BGM-13R -3'!F$10))</f>
        <v>Deferred FIT Rate Base</v>
      </c>
      <c r="D11" s="102">
        <f>'Exh. No. BGM-13R -3'!F$57</f>
        <v>-65.166640000000001</v>
      </c>
      <c r="E11" s="102">
        <f>'Exh. No. BGM-13R -3'!F$81</f>
        <v>-6556</v>
      </c>
      <c r="F11" s="136"/>
      <c r="G11" s="29" t="s">
        <v>253</v>
      </c>
      <c r="I11" s="200" t="s">
        <v>257</v>
      </c>
      <c r="K11" s="200" t="s">
        <v>259</v>
      </c>
      <c r="L11" s="707"/>
      <c r="M11" s="707"/>
    </row>
    <row r="12" spans="1:16" s="51" customFormat="1">
      <c r="A12" s="281">
        <f>'Exh. No. BGM-13R -3'!G$11</f>
        <v>1.02</v>
      </c>
      <c r="B12" s="434" t="str">
        <f>'Exh. No. BGM-13R -3'!G$12</f>
        <v>E-DDC</v>
      </c>
      <c r="C12" s="36" t="str">
        <f>TRIM(CONCATENATE('Exh. No. BGM-13R -3'!G$8," ",'Exh. No. BGM-13R -3'!G$9," ",'Exh. No. BGM-13R -3'!G$10))</f>
        <v>Deferred Debits and Credits</v>
      </c>
      <c r="D12" s="102">
        <f>'Exh. No. BGM-13R -3'!G$57</f>
        <v>3240.6843590072003</v>
      </c>
      <c r="E12" s="102">
        <f>'Exh. No. BGM-13R -3'!G$81</f>
        <v>-6302</v>
      </c>
      <c r="F12" s="136"/>
      <c r="G12" s="29" t="s">
        <v>260</v>
      </c>
      <c r="H12" s="210"/>
      <c r="I12" s="200" t="s">
        <v>632</v>
      </c>
      <c r="J12" s="555"/>
      <c r="K12" s="200" t="s">
        <v>259</v>
      </c>
    </row>
    <row r="13" spans="1:16" s="134" customFormat="1">
      <c r="A13" s="281">
        <f>'Exh. No. BGM-13R -3'!H$11</f>
        <v>1.03</v>
      </c>
      <c r="B13" s="434" t="str">
        <f>'Exh. No. BGM-13R -3'!H$12</f>
        <v xml:space="preserve">E-WC </v>
      </c>
      <c r="C13" s="36" t="str">
        <f>TRIM(CONCATENATE('Exh. No. BGM-13R -3'!H$8," ",'Exh. No. BGM-13R -3'!H$9," ",'Exh. No. BGM-13R -3'!H$10))</f>
        <v>Working Capital</v>
      </c>
      <c r="D13" s="102">
        <f>'Exh. No. BGM-13R -3'!H$57</f>
        <v>43.258879999999998</v>
      </c>
      <c r="E13" s="233">
        <f>'Exh. No. BGM-13R -3'!H$81</f>
        <v>4352</v>
      </c>
      <c r="F13" s="135"/>
      <c r="G13" s="29" t="s">
        <v>260</v>
      </c>
      <c r="H13" s="210"/>
      <c r="I13" s="200" t="s">
        <v>257</v>
      </c>
      <c r="K13" s="200" t="s">
        <v>259</v>
      </c>
    </row>
    <row r="14" spans="1:16" s="134" customFormat="1">
      <c r="A14" s="281">
        <f>'Exh. No. BGM-13R -3'!I$11</f>
        <v>1.04</v>
      </c>
      <c r="B14" s="434" t="str">
        <f>'Exh. No. BGM-13R -3'!I$12</f>
        <v xml:space="preserve">E-PHF </v>
      </c>
      <c r="C14" s="36" t="str">
        <f>TRIM(CONCATENATE('Exh. No. BGM-13R -3'!I$8," ",'Exh. No. BGM-13R -3'!I$9," ",'Exh. No. BGM-13R -3'!I$10))</f>
        <v>Plant Held For Future Use</v>
      </c>
      <c r="D14" s="102">
        <f>'Exh. No. BGM-13R -3'!I$57</f>
        <v>0</v>
      </c>
      <c r="E14" s="233">
        <f>'Exh. No. BGM-13R -3'!I$81</f>
        <v>0</v>
      </c>
      <c r="F14" s="135"/>
      <c r="G14" s="678" t="s">
        <v>260</v>
      </c>
      <c r="H14" s="210"/>
      <c r="I14" s="200" t="s">
        <v>257</v>
      </c>
      <c r="K14" s="200" t="s">
        <v>259</v>
      </c>
    </row>
    <row r="15" spans="1:16" s="45" customFormat="1">
      <c r="A15" s="281">
        <f>'Exh. No. BGM-13R -3'!J$11</f>
        <v>2.0099999999999998</v>
      </c>
      <c r="B15" s="434" t="str">
        <f>'Exh. No. BGM-13R -3'!J$12</f>
        <v>E-EBO</v>
      </c>
      <c r="C15" s="36" t="str">
        <f>TRIM(CONCATENATE('Exh. No. BGM-13R -3'!J$8," ",'Exh. No. BGM-13R -3'!J$9," ",'Exh. No. BGM-13R -3'!J$10))</f>
        <v>Eliminate B &amp; O Taxes</v>
      </c>
      <c r="D15" s="102">
        <f>'Exh. No. BGM-13R -3'!J$57</f>
        <v>-62.400000000000006</v>
      </c>
      <c r="E15" s="102">
        <f>'Exh. No. BGM-13R -3'!J$81</f>
        <v>0</v>
      </c>
      <c r="F15" s="54"/>
      <c r="G15" s="29" t="s">
        <v>260</v>
      </c>
      <c r="H15" s="210"/>
      <c r="I15" s="200" t="s">
        <v>632</v>
      </c>
      <c r="J15" s="555"/>
      <c r="K15" s="200" t="s">
        <v>259</v>
      </c>
    </row>
    <row r="16" spans="1:16" s="45" customFormat="1">
      <c r="A16" s="281">
        <f>'Exh. No. BGM-13R -3'!K$11</f>
        <v>2.0199999999999996</v>
      </c>
      <c r="B16" s="434" t="str">
        <f>'Exh. No. BGM-13R -3'!K$12</f>
        <v>E-RPT</v>
      </c>
      <c r="C16" s="36" t="str">
        <f>TRIM(CONCATENATE('Exh. No. BGM-13R -3'!K$8," ",'Exh. No. BGM-13R -3'!K$9," ",'Exh. No. BGM-13R -3'!K$10))</f>
        <v>Restate Property Tax</v>
      </c>
      <c r="D16" s="102">
        <f>'Exh. No. BGM-13R -3'!K$57</f>
        <v>216.45</v>
      </c>
      <c r="E16" s="102">
        <f>'Exh. No. BGM-13R -3'!K$81</f>
        <v>0</v>
      </c>
      <c r="F16" s="54"/>
      <c r="G16" s="511" t="s">
        <v>260</v>
      </c>
      <c r="H16" s="210"/>
      <c r="I16" s="200" t="s">
        <v>632</v>
      </c>
      <c r="K16" s="200" t="s">
        <v>259</v>
      </c>
      <c r="L16" s="169"/>
      <c r="M16" s="169"/>
      <c r="N16" s="169"/>
      <c r="O16" s="169"/>
      <c r="P16" s="169"/>
    </row>
    <row r="17" spans="1:12" s="45" customFormat="1">
      <c r="A17" s="281">
        <f>'Exh. No. BGM-13R -3'!L$11</f>
        <v>2.0299999999999994</v>
      </c>
      <c r="B17" s="434" t="str">
        <f>'Exh. No. BGM-13R -3'!L$12</f>
        <v>E-UE</v>
      </c>
      <c r="C17" s="36" t="str">
        <f>TRIM(CONCATENATE('Exh. No. BGM-13R -3'!L$8," ",'Exh. No. BGM-13R -3'!L$9," ",'Exh. No. BGM-13R -3'!L$10))</f>
        <v>Uncollect. Expense</v>
      </c>
      <c r="D17" s="102">
        <f>'Exh. No. BGM-13R -3'!L$57</f>
        <v>-685.1</v>
      </c>
      <c r="E17" s="102">
        <f>'Exh. No. BGM-13R -3'!L$81</f>
        <v>0</v>
      </c>
      <c r="F17" s="54"/>
      <c r="G17" s="29" t="s">
        <v>260</v>
      </c>
      <c r="H17" s="210"/>
      <c r="I17" s="200" t="s">
        <v>277</v>
      </c>
      <c r="K17" s="200" t="s">
        <v>259</v>
      </c>
    </row>
    <row r="18" spans="1:12" s="45" customFormat="1">
      <c r="A18" s="281">
        <f>'Exh. No. BGM-13R -3'!M$11</f>
        <v>2.0399999999999991</v>
      </c>
      <c r="B18" s="434" t="str">
        <f>'Exh. No. BGM-13R -3'!M$12</f>
        <v>E-RE</v>
      </c>
      <c r="C18" s="36" t="str">
        <f>TRIM(CONCATENATE('Exh. No. BGM-13R -3'!M$8," ",'Exh. No. BGM-13R -3'!M$9," ",'Exh. No. BGM-13R -3'!M$10))</f>
        <v>Regulatory Expense</v>
      </c>
      <c r="D18" s="102">
        <f>'Exh. No. BGM-13R -3'!M$57</f>
        <v>-11.7</v>
      </c>
      <c r="E18" s="102">
        <f>'Exh. No. BGM-13R -3'!M$81</f>
        <v>0</v>
      </c>
      <c r="F18" s="54"/>
      <c r="G18" s="29" t="s">
        <v>261</v>
      </c>
      <c r="H18" s="210"/>
      <c r="I18" s="200" t="s">
        <v>632</v>
      </c>
      <c r="J18" s="555"/>
      <c r="K18" s="200" t="s">
        <v>259</v>
      </c>
    </row>
    <row r="19" spans="1:12" s="45" customFormat="1">
      <c r="A19" s="281">
        <f>'Exh. No. BGM-13R -3'!N$11</f>
        <v>2.0499999999999989</v>
      </c>
      <c r="B19" s="434" t="str">
        <f>'Exh. No. BGM-13R -3'!N$12</f>
        <v>E-ID</v>
      </c>
      <c r="C19" s="36" t="str">
        <f>TRIM(CONCATENATE('Exh. No. BGM-13R -3'!N$8," ",'Exh. No. BGM-13R -3'!N$9," ",'Exh. No. BGM-13R -3'!N$10))</f>
        <v>Injuries and Damages</v>
      </c>
      <c r="D19" s="102">
        <f>'Exh. No. BGM-13R -3'!N$57</f>
        <v>-117.65</v>
      </c>
      <c r="E19" s="102">
        <f>'Exh. No. BGM-13R -3'!N$81</f>
        <v>0</v>
      </c>
      <c r="F19" s="54"/>
      <c r="G19" s="29" t="s">
        <v>261</v>
      </c>
      <c r="H19" s="210"/>
      <c r="I19" s="200" t="s">
        <v>632</v>
      </c>
      <c r="J19" s="555"/>
      <c r="K19" s="200" t="s">
        <v>259</v>
      </c>
    </row>
    <row r="20" spans="1:12" s="134" customFormat="1">
      <c r="A20" s="281">
        <f>'Exh. No. BGM-13R -3'!O$11</f>
        <v>2.0599999999999987</v>
      </c>
      <c r="B20" s="434" t="str">
        <f>'Exh. No. BGM-13R -3'!O$12</f>
        <v xml:space="preserve">E-FIT </v>
      </c>
      <c r="C20" s="36" t="str">
        <f>TRIM(CONCATENATE('Exh. No. BGM-13R -3'!O$8," ",'Exh. No. BGM-13R -3'!O$9," ",'Exh. No. BGM-13R -3'!O$10))</f>
        <v>FIT/DFIT/ ITC/PTC Expense</v>
      </c>
      <c r="D20" s="233">
        <f>'Exh. No. BGM-13R -3'!O$57</f>
        <v>566</v>
      </c>
      <c r="E20" s="102">
        <f>'Exh. No. BGM-13R -3'!O$81</f>
        <v>0</v>
      </c>
      <c r="F20" s="135"/>
      <c r="G20" s="29" t="s">
        <v>253</v>
      </c>
      <c r="I20" s="200" t="s">
        <v>257</v>
      </c>
      <c r="K20" s="200" t="s">
        <v>259</v>
      </c>
    </row>
    <row r="21" spans="1:12">
      <c r="A21" s="281">
        <f>'Exh. No. BGM-13R -3'!P$11</f>
        <v>2.0699999999999985</v>
      </c>
      <c r="B21" s="434" t="str">
        <f>'Exh. No. BGM-13R -3'!P$12</f>
        <v>E-OSC</v>
      </c>
      <c r="C21" s="36" t="str">
        <f>TRIM(CONCATENATE('Exh. No. BGM-13R -3'!P$8," ",'Exh. No. BGM-13R -3'!P$9," ",'Exh. No. BGM-13R -3'!P$10))</f>
        <v>Office Space Charges to Non-Utility</v>
      </c>
      <c r="D21" s="102">
        <f>'Exh. No. BGM-13R -3'!P$57</f>
        <v>21.450000000000003</v>
      </c>
      <c r="E21" s="102">
        <f>'Exh. No. BGM-13R -3'!P$81</f>
        <v>0</v>
      </c>
      <c r="G21" s="29" t="s">
        <v>260</v>
      </c>
      <c r="I21" s="200" t="s">
        <v>277</v>
      </c>
      <c r="J21" s="45"/>
      <c r="K21" s="200" t="s">
        <v>259</v>
      </c>
    </row>
    <row r="22" spans="1:12" s="134" customFormat="1">
      <c r="A22" s="281">
        <f>'Exh. No. BGM-13R -3'!Q$11</f>
        <v>2.0799999999999983</v>
      </c>
      <c r="B22" s="434" t="str">
        <f>'Exh. No. BGM-13R -3'!Q$12</f>
        <v>E-RET</v>
      </c>
      <c r="C22" s="36" t="str">
        <f>TRIM(CONCATENATE('Exh. No. BGM-13R -3'!Q$8," ",'Exh. No. BGM-13R -3'!Q$9," ",'Exh. No. BGM-13R -3'!Q$10))</f>
        <v>Restate Excise Taxes</v>
      </c>
      <c r="D22" s="102">
        <f>'Exh. No. BGM-13R -3'!Q$57</f>
        <v>216.45</v>
      </c>
      <c r="E22" s="102">
        <f>'Exh. No. BGM-13R -3'!Q$81</f>
        <v>0</v>
      </c>
      <c r="F22" s="136"/>
      <c r="G22" s="29" t="s">
        <v>260</v>
      </c>
      <c r="H22" s="210"/>
      <c r="I22" s="200" t="s">
        <v>632</v>
      </c>
      <c r="J22" s="555"/>
      <c r="K22" s="200" t="s">
        <v>259</v>
      </c>
      <c r="L22" s="547"/>
    </row>
    <row r="23" spans="1:12" s="134" customFormat="1">
      <c r="A23" s="281">
        <f>'Exh. No. BGM-13R -3'!R$11</f>
        <v>2.0899999999999981</v>
      </c>
      <c r="B23" s="434" t="str">
        <f>'Exh. No. BGM-13R -3'!R$12</f>
        <v>E-NGL</v>
      </c>
      <c r="C23" s="36" t="str">
        <f>TRIM(CONCATENATE('Exh. No. BGM-13R -3'!R$8," ",'Exh. No. BGM-13R -3'!R$9," ",'Exh. No. BGM-13R -3'!R$10))</f>
        <v>Net Gains / Losses</v>
      </c>
      <c r="D23" s="102">
        <f>'Exh. No. BGM-13R -3'!R$57</f>
        <v>51.35</v>
      </c>
      <c r="E23" s="102">
        <f>'Exh. No. BGM-13R -3'!R$81</f>
        <v>0</v>
      </c>
      <c r="F23" s="136"/>
      <c r="G23" s="29" t="s">
        <v>261</v>
      </c>
      <c r="H23" s="210"/>
      <c r="I23" s="200" t="s">
        <v>632</v>
      </c>
      <c r="J23" s="555"/>
      <c r="K23" s="200" t="s">
        <v>259</v>
      </c>
    </row>
    <row r="24" spans="1:12">
      <c r="A24" s="281">
        <f>'Exh. No. BGM-13R -3'!S$11</f>
        <v>2.0999999999999979</v>
      </c>
      <c r="B24" s="434" t="str">
        <f>'Exh. No. BGM-13R -3'!S$12</f>
        <v>E-WN</v>
      </c>
      <c r="C24" s="36" t="str">
        <f>TRIM(CONCATENATE('Exh. No. BGM-13R -3'!S$8," ",'Exh. No. BGM-13R -3'!S$9," ",'Exh. No. BGM-13R -3'!S$10))</f>
        <v>Weather Normalization</v>
      </c>
      <c r="D24" s="102">
        <f>'Exh. No. BGM-13R -3'!S$57</f>
        <v>1926.6000000000001</v>
      </c>
      <c r="E24" s="102">
        <f>'Exh. No. BGM-13R -3'!S$81</f>
        <v>0</v>
      </c>
      <c r="F24" s="59"/>
      <c r="G24" s="29" t="s">
        <v>258</v>
      </c>
      <c r="I24" s="200" t="s">
        <v>659</v>
      </c>
      <c r="J24" s="555"/>
      <c r="K24" s="200" t="s">
        <v>259</v>
      </c>
    </row>
    <row r="25" spans="1:12" s="134" customFormat="1">
      <c r="A25" s="281">
        <f>'Exh. No. BGM-13R -3'!T$11</f>
        <v>2.1099999999999977</v>
      </c>
      <c r="B25" s="434" t="str">
        <f>'Exh. No. BGM-13R -3'!T$12</f>
        <v>E-EAS</v>
      </c>
      <c r="C25" s="36" t="str">
        <f>TRIM(CONCATENATE('Exh. No. BGM-13R -3'!T$8," ",'Exh. No. BGM-13R -3'!T$9," ",'Exh. No. BGM-13R -3'!T$10))</f>
        <v>Eliminate Adder Schedules</v>
      </c>
      <c r="D25" s="233">
        <f>'Exh. No. BGM-13R -3'!T$57</f>
        <v>0</v>
      </c>
      <c r="E25" s="102">
        <f>'Exh. No. BGM-13R -3'!U$81</f>
        <v>0</v>
      </c>
      <c r="F25" s="135"/>
      <c r="G25" s="528" t="s">
        <v>264</v>
      </c>
      <c r="H25" s="214"/>
      <c r="I25" s="200" t="s">
        <v>659</v>
      </c>
      <c r="J25" s="555"/>
      <c r="K25" s="200" t="s">
        <v>259</v>
      </c>
    </row>
    <row r="26" spans="1:12" s="134" customFormat="1">
      <c r="A26" s="281">
        <f>'Exh. No. BGM-13R -3'!U$11</f>
        <v>2.1199999999999974</v>
      </c>
      <c r="B26" s="434" t="str">
        <f>'Exh. No. BGM-13R -3'!U$12</f>
        <v>E-MR</v>
      </c>
      <c r="C26" s="36" t="str">
        <f>TRIM(CONCATENATE('Exh. No. BGM-13R -3'!U$8," ",'Exh. No. BGM-13R -3'!U$9," ",'Exh. No. BGM-13R -3'!U$10))</f>
        <v>Misc. Restating Non-Util / Non-Recurring Expenses</v>
      </c>
      <c r="D26" s="233">
        <f>'Exh. No. BGM-13R -3'!U$57</f>
        <v>746.50745000000006</v>
      </c>
      <c r="E26" s="102">
        <f>'Exh. No. BGM-13R -3'!U$81</f>
        <v>0</v>
      </c>
      <c r="F26" s="135"/>
      <c r="G26" s="29" t="s">
        <v>264</v>
      </c>
      <c r="H26" s="214"/>
      <c r="I26" s="200" t="s">
        <v>632</v>
      </c>
      <c r="J26" s="680"/>
      <c r="K26" s="200" t="s">
        <v>259</v>
      </c>
      <c r="L26" s="289"/>
    </row>
    <row r="27" spans="1:12" s="45" customFormat="1">
      <c r="A27" s="281">
        <f>'Exh. No. BGM-13R -3'!V$11</f>
        <v>2.1299999999999972</v>
      </c>
      <c r="B27" s="434" t="str">
        <f>'Exh. No. BGM-13R -3'!V$12</f>
        <v>E-EWPC</v>
      </c>
      <c r="C27" s="36" t="str">
        <f>TRIM(CONCATENATE('Exh. No. BGM-13R -3'!V$8," ",'Exh. No. BGM-13R -3'!V$9," ",'Exh. No. BGM-13R -3'!V$10))</f>
        <v>Eliminate WA Power Cost Defer</v>
      </c>
      <c r="D27" s="102">
        <f>'Exh. No. BGM-13R -3'!V$57</f>
        <v>5034</v>
      </c>
      <c r="E27" s="102">
        <f>'Exh. No. BGM-13R -3'!V$81</f>
        <v>0</v>
      </c>
      <c r="F27" s="54"/>
      <c r="G27" s="29" t="s">
        <v>256</v>
      </c>
      <c r="H27" s="212" t="s">
        <v>262</v>
      </c>
      <c r="I27" s="200" t="s">
        <v>278</v>
      </c>
      <c r="J27" s="555"/>
      <c r="K27" s="200" t="s">
        <v>259</v>
      </c>
    </row>
    <row r="28" spans="1:12" s="45" customFormat="1">
      <c r="A28" s="281">
        <f>'Exh. No. BGM-13R -3'!W$11</f>
        <v>2.139999999999997</v>
      </c>
      <c r="B28" s="434" t="str">
        <f>'Exh. No. BGM-13R -3'!W$12</f>
        <v>E-NPS</v>
      </c>
      <c r="C28" s="36" t="str">
        <f>TRIM(CONCATENATE('Exh. No. BGM-13R -3'!W$8," ",'Exh. No. BGM-13R -3'!W$9," ",'Exh. No. BGM-13R -3'!W$10))</f>
        <v>Nez Perce Settlement Adjustment</v>
      </c>
      <c r="D28" s="102">
        <f>'Exh. No. BGM-13R -3'!W$57</f>
        <v>5.85</v>
      </c>
      <c r="E28" s="102">
        <f>'Exh. No. BGM-13R -3'!W$81</f>
        <v>0</v>
      </c>
      <c r="F28" s="54"/>
      <c r="G28" s="29" t="s">
        <v>260</v>
      </c>
      <c r="H28" s="210"/>
      <c r="I28" s="200" t="s">
        <v>257</v>
      </c>
      <c r="J28" s="558"/>
      <c r="K28" s="200" t="s">
        <v>259</v>
      </c>
    </row>
    <row r="29" spans="1:12" s="160" customFormat="1">
      <c r="A29" s="282">
        <f>'Exh. No. BGM-13R -3'!X$11</f>
        <v>2.1499999999999968</v>
      </c>
      <c r="B29" s="434" t="str">
        <f>'Exh. No. BGM-13R -3'!X$12</f>
        <v>E-RDI</v>
      </c>
      <c r="C29" s="216" t="str">
        <f>TRIM(CONCATENATE('Exh. No. BGM-13R -3'!X$8," ",'Exh. No. BGM-13R -3'!X$9," ",'Exh. No. BGM-13R -3'!X$10))</f>
        <v>Restate Debt Interest</v>
      </c>
      <c r="D29" s="172">
        <f ca="1">'Exh. No. BGM-13R -3'!X$57</f>
        <v>156.79928000000001</v>
      </c>
      <c r="E29" s="172">
        <f>'Exh. No. BGM-13R -3'!X$81</f>
        <v>0</v>
      </c>
      <c r="F29" s="162"/>
      <c r="G29" s="221" t="s">
        <v>259</v>
      </c>
      <c r="H29" s="211"/>
      <c r="I29" s="200" t="s">
        <v>259</v>
      </c>
      <c r="J29" s="555"/>
      <c r="K29" s="200" t="s">
        <v>259</v>
      </c>
      <c r="L29" s="679"/>
    </row>
    <row r="30" spans="1:12">
      <c r="A30" s="282">
        <f>'Exh. No. BGM-13R -3'!Y$11</f>
        <v>2.1599999999999966</v>
      </c>
      <c r="B30" s="434" t="str">
        <f>'Exh. No. BGM-13R -3'!Y$12</f>
        <v>E-RI</v>
      </c>
      <c r="C30" s="216" t="str">
        <f>TRIM(CONCATENATE('Exh. No. BGM-13R -3'!Y$8," ",'Exh. No. BGM-13R -3'!Y$9," ",'Exh. No. BGM-13R -3'!Y$10))</f>
        <v>Restate Incentive Expenses</v>
      </c>
      <c r="D30" s="172">
        <f>'Exh. No. BGM-13R -3'!Y$57</f>
        <v>-559.95000000000005</v>
      </c>
      <c r="E30" s="172">
        <f>'Exh. No. BGM-13R -3'!Y$81</f>
        <v>0</v>
      </c>
      <c r="F30" s="188"/>
      <c r="G30" s="221" t="s">
        <v>259</v>
      </c>
      <c r="H30" s="211"/>
      <c r="I30" s="200" t="s">
        <v>278</v>
      </c>
      <c r="J30" s="555"/>
      <c r="K30" s="200" t="s">
        <v>259</v>
      </c>
    </row>
    <row r="31" spans="1:12" s="134" customFormat="1" hidden="1">
      <c r="A31" s="281">
        <f>'Exh. No. BGM-13R -3'!Z$11</f>
        <v>2.1599999999999966</v>
      </c>
      <c r="B31" s="434" t="str">
        <f>'Exh. No. BGM-13R -3'!Z$12</f>
        <v>OPEN</v>
      </c>
      <c r="C31" s="36" t="str">
        <f>TRIM(CONCATENATE('Exh. No. BGM-13R -3'!Z$8," ",'Exh. No. BGM-13R -3'!Z$9," ",'Exh. No. BGM-13R -3'!Z$10))</f>
        <v>OPEN</v>
      </c>
      <c r="D31" s="191">
        <f>'Exh. No. BGM-13R -3'!Z$57</f>
        <v>0</v>
      </c>
      <c r="E31" s="37">
        <f>'Exh. No. BGM-13R -3'!Z$81</f>
        <v>0</v>
      </c>
      <c r="F31" s="135"/>
      <c r="G31" s="447" t="s">
        <v>264</v>
      </c>
      <c r="H31" s="214"/>
      <c r="J31" s="25"/>
      <c r="K31" s="51"/>
    </row>
    <row r="32" spans="1:12" s="134" customFormat="1" hidden="1">
      <c r="A32" s="281">
        <f>'Exh. No. BGM-13R -3'!AA$11</f>
        <v>2.1699999999999964</v>
      </c>
      <c r="B32" s="434" t="str">
        <f>'Exh. No. BGM-13R -3'!AA$12</f>
        <v>OPEN</v>
      </c>
      <c r="C32" s="36" t="str">
        <f>TRIM(CONCATENATE('Exh. No. BGM-13R -3'!AA$8," ",'Exh. No. BGM-13R -3'!AA$9," ",'Exh. No. BGM-13R -3'!AA$10))</f>
        <v>OPEN</v>
      </c>
      <c r="D32" s="289">
        <f>'Exh. No. BGM-13R -3'!AA$57</f>
        <v>0</v>
      </c>
      <c r="E32" s="289">
        <f>'Exh. No. BGM-13R -3'!AA$81</f>
        <v>0</v>
      </c>
      <c r="F32" s="135"/>
      <c r="G32" s="29" t="s">
        <v>260</v>
      </c>
      <c r="H32" s="210"/>
      <c r="J32" s="25"/>
      <c r="K32" s="51"/>
    </row>
    <row r="33" spans="1:12" s="112" customFormat="1" ht="12.75" hidden="1" customHeight="1">
      <c r="A33" s="222"/>
      <c r="B33" s="222"/>
      <c r="C33" s="158"/>
      <c r="D33" s="518"/>
      <c r="E33" s="518"/>
      <c r="F33" s="166"/>
      <c r="G33" s="41"/>
      <c r="H33" s="211"/>
      <c r="J33" s="25"/>
    </row>
    <row r="34" spans="1:12" ht="15" customHeight="1">
      <c r="A34" s="41"/>
      <c r="B34" s="41"/>
      <c r="C34" s="156" t="s">
        <v>81</v>
      </c>
      <c r="D34" s="519">
        <f ca="1">SUM(D10:D33)</f>
        <v>112766.43332900722</v>
      </c>
      <c r="E34" s="519">
        <f>SUM(E10:E33)</f>
        <v>1300689</v>
      </c>
      <c r="F34" s="520"/>
      <c r="G34" s="41"/>
      <c r="H34" s="211"/>
      <c r="I34" s="25"/>
      <c r="J34" s="25"/>
    </row>
    <row r="35" spans="1:12">
      <c r="A35" s="209" t="s">
        <v>286</v>
      </c>
      <c r="B35" s="209"/>
      <c r="C35" s="156"/>
      <c r="D35" s="293"/>
      <c r="E35" s="294"/>
      <c r="F35" s="224"/>
      <c r="G35" s="41"/>
      <c r="H35" s="211"/>
      <c r="I35" s="25"/>
      <c r="J35" s="25"/>
    </row>
    <row r="36" spans="1:12">
      <c r="A36" s="282">
        <f>'Exh. No. BGM-13R -3'!AC$11</f>
        <v>3</v>
      </c>
      <c r="B36" s="434" t="str">
        <f>'Exh. No. BGM-13R -3'!AC$12</f>
        <v>E-PPS</v>
      </c>
      <c r="C36" s="216" t="str">
        <f>TRIM(CONCATENATE('Exh. No. BGM-13R -3'!AC$8," ",'Exh. No. BGM-13R -3'!AC$9," ",'Exh. No. BGM-13R -3'!AC$10))</f>
        <v>Pro Forma Power Supply</v>
      </c>
      <c r="D36" s="316">
        <f>'Exh. No. BGM-13R -3'!AC$57</f>
        <v>-2778.2189583850004</v>
      </c>
      <c r="E36" s="316">
        <f>'Exh. No. BGM-13R -3'!AC$81</f>
        <v>0</v>
      </c>
      <c r="F36" s="163"/>
      <c r="G36" s="221" t="s">
        <v>259</v>
      </c>
      <c r="H36" s="211"/>
      <c r="I36" s="200" t="s">
        <v>259</v>
      </c>
      <c r="K36" s="200" t="s">
        <v>259</v>
      </c>
    </row>
    <row r="37" spans="1:12">
      <c r="A37" s="281">
        <f>'Exh. No. BGM-13R -3'!AD$11</f>
        <v>3.01</v>
      </c>
      <c r="B37" s="434" t="str">
        <f>'Exh. No. BGM-13R -3'!AD$12</f>
        <v>E-PTR</v>
      </c>
      <c r="C37" s="36" t="str">
        <f>TRIM(CONCATENATE('Exh. No. BGM-13R -3'!AD$8," ",'Exh. No. BGM-13R -3'!AD$9," ",'Exh. No. BGM-13R -3'!AD$10))</f>
        <v>Pro Forma Transmission Rev/Exp</v>
      </c>
      <c r="D37" s="289">
        <f>'Exh. No. BGM-13R -3'!AD$57</f>
        <v>216.59385507499996</v>
      </c>
      <c r="E37" s="289">
        <f>'Exh. No. BGM-13R -3'!AD$81</f>
        <v>0</v>
      </c>
      <c r="G37" s="215" t="s">
        <v>259</v>
      </c>
      <c r="I37" s="200" t="s">
        <v>277</v>
      </c>
      <c r="J37" s="45"/>
      <c r="K37" s="200" t="s">
        <v>259</v>
      </c>
    </row>
    <row r="38" spans="1:12" s="156" customFormat="1">
      <c r="A38" s="282">
        <f>'Exh. No. BGM-13R -3'!AE$11</f>
        <v>3.0199999999999996</v>
      </c>
      <c r="B38" s="434" t="str">
        <f>'Exh. No. BGM-13R -3'!AE$12</f>
        <v>E-PLN</v>
      </c>
      <c r="C38" s="216" t="str">
        <f>TRIM(CONCATENATE('Exh. No. BGM-13R -3'!AE$8," ",'Exh. No. BGM-13R -3'!AE$9," ",'Exh. No. BGM-13R -3'!AE$10))</f>
        <v>Pro Forma Labor Non-Exec</v>
      </c>
      <c r="D38" s="316">
        <f>'Exh. No. BGM-13R -3'!AE$57</f>
        <v>-802.80070000000001</v>
      </c>
      <c r="E38" s="316">
        <f>'Exh. No. BGM-13R -3'!AE$81</f>
        <v>0</v>
      </c>
      <c r="F38" s="163"/>
      <c r="G38" s="221" t="s">
        <v>259</v>
      </c>
      <c r="H38" s="211"/>
      <c r="I38" s="200" t="s">
        <v>278</v>
      </c>
      <c r="J38" s="555"/>
      <c r="K38" s="200" t="s">
        <v>259</v>
      </c>
    </row>
    <row r="39" spans="1:12" s="156" customFormat="1">
      <c r="A39" s="282">
        <f>'Exh. No. BGM-13R -3'!AF$11</f>
        <v>3.0299999999999994</v>
      </c>
      <c r="B39" s="448" t="str">
        <f>'Exh. No. BGM-13R -3'!AF$12</f>
        <v>E-PLE</v>
      </c>
      <c r="C39" s="216" t="str">
        <f>TRIM(CONCATENATE('Exh. No. BGM-13R -3'!AF$8," ",'Exh. No. BGM-13R -3'!AF$9," ",'Exh. No. BGM-13R -3'!AF$10))</f>
        <v>Pro Forma Labor Exec</v>
      </c>
      <c r="D39" s="316">
        <f>'Exh. No. BGM-13R -3'!AF$57</f>
        <v>-35.1</v>
      </c>
      <c r="E39" s="316">
        <f>'Exh. No. BGM-13R -3'!AF$81</f>
        <v>0</v>
      </c>
      <c r="F39" s="166"/>
      <c r="G39" s="41" t="s">
        <v>261</v>
      </c>
      <c r="H39" s="211"/>
      <c r="I39" s="200" t="s">
        <v>278</v>
      </c>
      <c r="J39" s="555"/>
      <c r="K39" s="200" t="s">
        <v>259</v>
      </c>
    </row>
    <row r="40" spans="1:12" s="156" customFormat="1">
      <c r="A40" s="282">
        <f>'Exh. No. BGM-13R -3'!AG$11</f>
        <v>3.0399999999999991</v>
      </c>
      <c r="B40" s="448" t="str">
        <f>'Exh. No. BGM-13R -3'!AG$12</f>
        <v>E-PEB</v>
      </c>
      <c r="C40" s="216" t="str">
        <f>TRIM(CONCATENATE('Exh. No. BGM-13R -3'!AG$8," ",'Exh. No. BGM-13R -3'!AG$9," ",'Exh. No. BGM-13R -3'!AG$10))</f>
        <v>Pro Forma Employee Benefits</v>
      </c>
      <c r="D40" s="316">
        <f>'Exh. No. BGM-13R -3'!AG$57</f>
        <v>-750.1</v>
      </c>
      <c r="E40" s="316">
        <f>'Exh. No. BGM-13R -3'!AG$81</f>
        <v>0</v>
      </c>
      <c r="F40" s="166"/>
      <c r="G40" s="41" t="s">
        <v>261</v>
      </c>
      <c r="H40" s="211"/>
      <c r="I40" s="200" t="s">
        <v>278</v>
      </c>
      <c r="J40" s="555"/>
      <c r="K40" s="200" t="s">
        <v>259</v>
      </c>
    </row>
    <row r="41" spans="1:12" s="156" customFormat="1">
      <c r="A41" s="282">
        <f>'Exh. No. BGM-13R -3'!AH$11</f>
        <v>3.0499999999999989</v>
      </c>
      <c r="B41" s="448" t="str">
        <f>'Exh. No. BGM-13R -3'!AH$12</f>
        <v>E-PRA</v>
      </c>
      <c r="C41" s="216" t="str">
        <f>TRIM(CONCATENATE('Exh. No. BGM-13R -3'!AH$8," ",'Exh. No. BGM-13R -3'!AH$9," ",'Exh. No. BGM-13R -3'!AH$10))</f>
        <v>Pro Forma Regulatory Amortization Adj</v>
      </c>
      <c r="D41" s="316">
        <f>'Exh. No. BGM-13R -3'!AH$57</f>
        <v>1108.25</v>
      </c>
      <c r="E41" s="316">
        <f>'Exh. No. BGM-13R -3'!AH$81</f>
        <v>0</v>
      </c>
      <c r="F41" s="166"/>
      <c r="G41" s="41" t="s">
        <v>257</v>
      </c>
      <c r="H41" s="211"/>
      <c r="I41" s="200" t="s">
        <v>632</v>
      </c>
      <c r="J41" s="555"/>
      <c r="K41" s="200" t="s">
        <v>259</v>
      </c>
    </row>
    <row r="42" spans="1:12" s="45" customFormat="1">
      <c r="A42" s="281">
        <f>'Exh. No. BGM-13R -3'!AI$11</f>
        <v>3.0599999999999987</v>
      </c>
      <c r="B42" s="434" t="str">
        <f>'Exh. No. BGM-13R -3'!AI$12</f>
        <v>E-PPT</v>
      </c>
      <c r="C42" s="36" t="str">
        <f>TRIM(CONCATENATE('Exh. No. BGM-13R -3'!AI$8," ",'Exh. No. BGM-13R -3'!AI$9," ",'Exh. No. BGM-13R -3'!AI$10))</f>
        <v>Pro Forma Property Tax</v>
      </c>
      <c r="D42" s="289">
        <f>'Exh. No. BGM-13R -3'!AI$57</f>
        <v>-678.6</v>
      </c>
      <c r="E42" s="289">
        <f>'Exh. No. BGM-13R -3'!AI$81</f>
        <v>0</v>
      </c>
      <c r="F42" s="54"/>
      <c r="G42" s="29" t="s">
        <v>261</v>
      </c>
      <c r="H42" s="210"/>
      <c r="I42" s="200" t="s">
        <v>632</v>
      </c>
      <c r="J42" s="555"/>
      <c r="K42" s="200" t="s">
        <v>259</v>
      </c>
    </row>
    <row r="43" spans="1:12" s="45" customFormat="1">
      <c r="A43" s="559">
        <f>'Exh. No. BGM-13R -3'!AJ$11</f>
        <v>3.0699999999999985</v>
      </c>
      <c r="B43" s="560" t="str">
        <f>'Exh. No. BGM-13R -3'!AJ$12</f>
        <v>E-PMD</v>
      </c>
      <c r="C43" s="42" t="str">
        <f>TRIM(CONCATENATE('Exh. No. BGM-13R -3'!AJ$8," ",'Exh. No. BGM-13R -3'!AJ$9," ",'Exh. No. BGM-13R -3'!AJ$10))</f>
        <v>Pro Forma Meter Deferral &amp; Amortization</v>
      </c>
      <c r="D43" s="294">
        <f>'Exh. No. BGM-13R -3'!AJ$57</f>
        <v>0</v>
      </c>
      <c r="E43" s="294">
        <f>'Exh. No. BGM-13R -3'!AJ$81</f>
        <v>0</v>
      </c>
      <c r="F43" s="565"/>
      <c r="G43" s="30" t="s">
        <v>261</v>
      </c>
      <c r="H43" s="561"/>
      <c r="I43" s="200" t="s">
        <v>259</v>
      </c>
      <c r="J43" s="704"/>
      <c r="K43" s="200" t="s">
        <v>259</v>
      </c>
      <c r="L43" s="46"/>
    </row>
    <row r="44" spans="1:12" s="45" customFormat="1">
      <c r="A44" s="559">
        <f>'Exh. No. BGM-13R -3'!AK$11</f>
        <v>3.0799999999999983</v>
      </c>
      <c r="B44" s="560" t="str">
        <f>'Exh. No. BGM-13R -3'!AK$12</f>
        <v>E-PREV</v>
      </c>
      <c r="C44" s="42" t="str">
        <f>TRIM(CONCATENATE('Exh. No. BGM-13R -3'!AK$8," ",'Exh. No. BGM-13R -3'!AK$9," ",'Exh. No. BGM-13R -3'!AK$10))</f>
        <v>Pro Forma Revenue Normalization</v>
      </c>
      <c r="D44" s="548">
        <f>'Exh. No. BGM-13R -3'!AK$57</f>
        <v>-1987.7</v>
      </c>
      <c r="E44" s="34">
        <f>'Exh. No. BGM-13R -3'!AK$81</f>
        <v>0</v>
      </c>
      <c r="F44" s="60"/>
      <c r="G44" s="30" t="s">
        <v>261</v>
      </c>
      <c r="H44" s="561"/>
      <c r="I44" s="181" t="s">
        <v>770</v>
      </c>
      <c r="J44" s="30"/>
      <c r="K44" s="200" t="s">
        <v>259</v>
      </c>
      <c r="L44" s="143"/>
    </row>
    <row r="45" spans="1:12" s="160" customFormat="1">
      <c r="A45" s="564">
        <f>'Exh. No. BGM-13R -3'!AL$11</f>
        <v>3.0899999999999981</v>
      </c>
      <c r="B45" s="560" t="str">
        <f>'Exh. No. BGM-13R -3'!AL$12</f>
        <v>E-PCAP15</v>
      </c>
      <c r="C45" s="479" t="str">
        <f>TRIM(CONCATENATE('Exh. No. BGM-13R -3'!AL$8," ",'Exh. No. BGM-13R -3'!AL$9," ",'Exh. No. BGM-13R -3'!AL$10))</f>
        <v>Pro Forma Capital Add Dec 2015 AMA</v>
      </c>
      <c r="D45" s="172">
        <f>'Exh. No. BGM-13R -3'!AL$57</f>
        <v>-1235.4465112324001</v>
      </c>
      <c r="E45" s="172">
        <f>'Exh. No. BGM-13R -3'!AL$81</f>
        <v>21609</v>
      </c>
      <c r="F45" s="188"/>
      <c r="G45" s="566" t="s">
        <v>267</v>
      </c>
      <c r="H45" s="563"/>
      <c r="I45" s="200" t="s">
        <v>611</v>
      </c>
      <c r="K45" s="200" t="s">
        <v>259</v>
      </c>
      <c r="L45" s="567"/>
    </row>
    <row r="46" spans="1:12" s="156" customFormat="1">
      <c r="A46" s="564">
        <f>'Exh. No. BGM-13R -3'!AM$11</f>
        <v>3.0999999999999979</v>
      </c>
      <c r="B46" s="478" t="str">
        <f>'Exh. No. BGM-13R -3'!AM$12</f>
        <v>E-PCAP16</v>
      </c>
      <c r="C46" s="479" t="str">
        <f>TRIM(CONCATENATE('Exh. No. BGM-13R -3'!AM$8," ",'Exh. No. BGM-13R -3'!AM$9," ",'Exh. No. BGM-13R -3'!AM$10))</f>
        <v>Pro Forma 2016 Limited Capital Adds</v>
      </c>
      <c r="D46" s="294">
        <f>'Exh. No. BGM-13R -3'!AM$57</f>
        <v>35.006864048399848</v>
      </c>
      <c r="E46" s="294">
        <f>'Exh. No. BGM-13R -3'!AM$81</f>
        <v>60831</v>
      </c>
      <c r="F46" s="565"/>
      <c r="G46" s="546" t="s">
        <v>257</v>
      </c>
      <c r="H46" s="563"/>
      <c r="I46" s="200" t="s">
        <v>611</v>
      </c>
      <c r="J46" s="546"/>
      <c r="K46" s="200" t="s">
        <v>259</v>
      </c>
      <c r="L46" s="568"/>
    </row>
    <row r="47" spans="1:12" s="160" customFormat="1">
      <c r="A47" s="564">
        <f>'Exh. No. BGM-13R -3'!AN$11</f>
        <v>3.1099999999999977</v>
      </c>
      <c r="B47" s="560" t="str">
        <f>'Exh. No. BGM-13R -3'!AN$12</f>
        <v>E-POFF</v>
      </c>
      <c r="C47" s="479" t="str">
        <f>TRIM(CONCATENATE('Exh. No. BGM-13R -3'!AN$8," ",'Exh. No. BGM-13R -3'!AN$9," ",'Exh. No. BGM-13R -3'!AN$10))</f>
        <v>Pro Forma O&amp;M Offsets</v>
      </c>
      <c r="D47" s="294">
        <f>'Exh. No. BGM-13R -3'!AN$57</f>
        <v>0</v>
      </c>
      <c r="E47" s="294">
        <f>'Exh. No. BGM-13R -3'!AN$81</f>
        <v>0</v>
      </c>
      <c r="F47" s="565"/>
      <c r="G47" s="566" t="s">
        <v>267</v>
      </c>
      <c r="H47" s="563"/>
      <c r="I47" s="200" t="s">
        <v>632</v>
      </c>
      <c r="J47" s="30"/>
      <c r="K47" s="181" t="s">
        <v>259</v>
      </c>
      <c r="L47" s="567"/>
    </row>
    <row r="48" spans="1:12" s="156" customFormat="1">
      <c r="A48" s="564">
        <f>'Exh. No. BGM-13R -3'!AO$11</f>
        <v>3.1199999999999974</v>
      </c>
      <c r="B48" s="478" t="str">
        <f>'Exh. No. BGM-13R -3'!AO$12</f>
        <v>E-PMM</v>
      </c>
      <c r="C48" s="479" t="str">
        <f>TRIM(CONCATENATE('Exh. No. BGM-13R -3'!AO$8," ",'Exh. No. BGM-13R -3'!AO$9," ",'Exh. No. BGM-13R -3'!AO$10))</f>
        <v>PF Major Maint Normalize CS2/Colstrip</v>
      </c>
      <c r="D48" s="223">
        <f>'Exh. No. BGM-13R -3'!AO$57</f>
        <v>-534.29999999999995</v>
      </c>
      <c r="E48" s="223">
        <f>'Exh. No. BGM-13R -3'!AO$81</f>
        <v>0</v>
      </c>
      <c r="F48" s="565"/>
      <c r="G48" s="546"/>
      <c r="H48" s="563"/>
      <c r="I48" s="200" t="s">
        <v>259</v>
      </c>
      <c r="K48" s="200" t="s">
        <v>259</v>
      </c>
      <c r="L48" s="568"/>
    </row>
    <row r="49" spans="1:12" s="45" customFormat="1">
      <c r="A49" s="559"/>
      <c r="B49" s="560"/>
      <c r="C49" s="42"/>
      <c r="D49" s="548"/>
      <c r="E49" s="34"/>
      <c r="F49" s="60"/>
      <c r="G49" s="30"/>
      <c r="H49" s="561"/>
      <c r="I49" s="181"/>
      <c r="J49" s="30"/>
      <c r="K49" s="27"/>
      <c r="L49" s="46"/>
    </row>
    <row r="50" spans="1:12" s="159" customFormat="1">
      <c r="A50" s="562" t="s">
        <v>751</v>
      </c>
      <c r="B50" s="478"/>
      <c r="C50" s="479"/>
      <c r="D50" s="294"/>
      <c r="E50" s="294"/>
      <c r="F50" s="183"/>
      <c r="G50" s="546"/>
      <c r="H50" s="563"/>
      <c r="I50" s="183"/>
      <c r="J50" s="156"/>
      <c r="K50" s="51"/>
      <c r="L50" s="443"/>
    </row>
    <row r="51" spans="1:12" s="156" customFormat="1">
      <c r="A51" s="564">
        <f>'Exh. No. BGM-13R -3'!AQ$11</f>
        <v>4</v>
      </c>
      <c r="B51" s="478" t="str">
        <f>'Exh. No. BGM-13R -3'!AQ$12</f>
        <v>E-CCAP16</v>
      </c>
      <c r="C51" s="479" t="str">
        <f>TRIM(CONCATENATE('Exh. No. BGM-13R -3'!AQ$8," ",'Exh. No. BGM-13R -3'!AQ$9," ",'Exh. No. BGM-13R -3'!AQ$10))</f>
        <v>Cross Check Capital Add 2016 AMA (Inc)</v>
      </c>
      <c r="D51" s="223">
        <f>'Exh. No. BGM-13R -3'!AQ$57</f>
        <v>0</v>
      </c>
      <c r="E51" s="223">
        <f>'Exh. No. BGM-13R -3'!AQ$81</f>
        <v>0</v>
      </c>
      <c r="F51" s="565"/>
      <c r="G51" s="546" t="s">
        <v>257</v>
      </c>
      <c r="H51" s="563"/>
      <c r="I51" s="200" t="s">
        <v>611</v>
      </c>
      <c r="J51" s="41"/>
      <c r="K51" s="200" t="s">
        <v>259</v>
      </c>
      <c r="L51" s="443"/>
    </row>
    <row r="52" spans="1:12" s="156" customFormat="1">
      <c r="A52" s="564">
        <f>'Exh. No. BGM-13R -3'!AR$11</f>
        <v>4.01</v>
      </c>
      <c r="B52" s="478" t="str">
        <f>'Exh. No. BGM-13R -3'!AR$12</f>
        <v>E-CCAP17</v>
      </c>
      <c r="C52" s="479" t="str">
        <f>TRIM(CONCATENATE('Exh. No. BGM-13R -3'!AR$8," ",'Exh. No. BGM-13R -3'!AR$9," ",'Exh. No. BGM-13R -3'!AR$10))</f>
        <v>Cross Check Capital Add 2017 AMA</v>
      </c>
      <c r="D52" s="294">
        <f>'Exh. No. BGM-13R -3'!AR$57</f>
        <v>0</v>
      </c>
      <c r="E52" s="294">
        <f>'Exh. No. BGM-13R -3'!AR$81</f>
        <v>0</v>
      </c>
      <c r="F52" s="565"/>
      <c r="G52" s="546"/>
      <c r="H52" s="563"/>
      <c r="I52" s="200" t="s">
        <v>611</v>
      </c>
      <c r="J52" s="41"/>
      <c r="K52" s="200" t="s">
        <v>259</v>
      </c>
      <c r="L52" s="443"/>
    </row>
    <row r="53" spans="1:12" s="156" customFormat="1">
      <c r="A53" s="564">
        <f>'Exh. No. BGM-13R -3'!AS$11</f>
        <v>4.0199999999999996</v>
      </c>
      <c r="B53" s="478" t="str">
        <f>'Exh. No. BGM-13R -3'!AS$12</f>
        <v>E-CLN</v>
      </c>
      <c r="C53" s="479" t="str">
        <f>TRIM(CONCATENATE('Exh. No. BGM-13R -3'!AS$8," ",'Exh. No. BGM-13R -3'!AS$9," ",'Exh. No. BGM-13R -3'!AS$10))</f>
        <v>Cross Check Labor Non-Exec</v>
      </c>
      <c r="D53" s="294">
        <f>'Exh. No. BGM-13R -3'!AS$57</f>
        <v>0</v>
      </c>
      <c r="E53" s="223">
        <f>'Exh. No. BGM-13R -3'!AS$81</f>
        <v>0</v>
      </c>
      <c r="F53" s="565"/>
      <c r="G53" s="546"/>
      <c r="H53" s="563"/>
      <c r="I53" s="181" t="s">
        <v>278</v>
      </c>
      <c r="K53" s="200" t="s">
        <v>259</v>
      </c>
      <c r="L53" s="443"/>
    </row>
    <row r="54" spans="1:12" s="45" customFormat="1">
      <c r="A54" s="559">
        <f>'Exh. No. BGM-13R -3'!AT$11</f>
        <v>4.0299999999999994</v>
      </c>
      <c r="B54" s="560" t="str">
        <f>'Exh. No. BGM-13R -3'!AT$12</f>
        <v>E-CM</v>
      </c>
      <c r="C54" s="42" t="str">
        <f>TRIM(CONCATENATE('Exh. No. BGM-13R -3'!AT$8," ",'Exh. No. BGM-13R -3'!AT$9," ",'Exh. No. BGM-13R -3'!AT$10))</f>
        <v>Cross Check 2017 AMI Capital &amp; Expense</v>
      </c>
      <c r="D54" s="548">
        <f>'Exh. No. BGM-13R -3'!AT$57</f>
        <v>0</v>
      </c>
      <c r="E54" s="34">
        <f>'Exh. No. BGM-13R -3'!AT$81</f>
        <v>0</v>
      </c>
      <c r="F54" s="60"/>
      <c r="G54" s="30" t="s">
        <v>261</v>
      </c>
      <c r="H54" s="561"/>
      <c r="I54" s="200" t="s">
        <v>611</v>
      </c>
      <c r="J54" s="555"/>
      <c r="K54" s="200" t="s">
        <v>259</v>
      </c>
    </row>
    <row r="55" spans="1:12" s="45" customFormat="1">
      <c r="A55" s="559">
        <f>'Exh. No. BGM-13R -3'!AU$11</f>
        <v>4.0399999999999991</v>
      </c>
      <c r="B55" s="560" t="str">
        <f>'Exh. No. BGM-13R -3'!AU$12</f>
        <v>E-CIS</v>
      </c>
      <c r="C55" s="42" t="str">
        <f>TRIM(CONCATENATE('Exh. No. BGM-13R -3'!AU$8," ",'Exh. No. BGM-13R -3'!AU$9," ",'Exh. No. BGM-13R -3'!AU$10))</f>
        <v>Cross Check Information Tech/Serv Exp</v>
      </c>
      <c r="D55" s="34">
        <f>'Exh. No. BGM-13R -3'!AU$57</f>
        <v>0</v>
      </c>
      <c r="E55" s="34">
        <f>'Exh. No. BGM-13R -3'!AU$81</f>
        <v>0</v>
      </c>
      <c r="F55" s="60"/>
      <c r="G55" s="30" t="s">
        <v>261</v>
      </c>
      <c r="H55" s="561"/>
      <c r="I55" s="181" t="s">
        <v>260</v>
      </c>
      <c r="J55" s="697"/>
      <c r="K55" s="200" t="s">
        <v>259</v>
      </c>
    </row>
    <row r="56" spans="1:12" s="156" customFormat="1">
      <c r="A56" s="564">
        <f>'Exh. No. BGM-13R -3'!AV$11</f>
        <v>4.0499999999999989</v>
      </c>
      <c r="B56" s="478" t="str">
        <f>'Exh. No. BGM-13R -3'!AV$12</f>
        <v>E-CPT</v>
      </c>
      <c r="C56" s="479" t="str">
        <f>TRIM(CONCATENATE('Exh. No. BGM-13R -3'!AV$8," ",'Exh. No. BGM-13R -3'!AV$9," ",'Exh. No. BGM-13R -3'!AV$10))</f>
        <v>Cross Check Property Tax</v>
      </c>
      <c r="D56" s="223">
        <f>'Exh. No. BGM-13R -3'!AV$57</f>
        <v>0</v>
      </c>
      <c r="E56" s="223">
        <f>'Exh. No. BGM-13R -3'!AV$81</f>
        <v>0</v>
      </c>
      <c r="F56" s="565"/>
      <c r="G56" s="546"/>
      <c r="H56" s="563"/>
      <c r="I56" s="200" t="s">
        <v>632</v>
      </c>
      <c r="J56" s="45"/>
      <c r="K56" s="200" t="s">
        <v>259</v>
      </c>
      <c r="L56" s="443"/>
    </row>
    <row r="57" spans="1:12" s="156" customFormat="1">
      <c r="A57" s="564">
        <f>'Exh. No. BGM-13R -3'!AW$11</f>
        <v>4.0599999999999987</v>
      </c>
      <c r="B57" s="478" t="str">
        <f>'Exh. No. BGM-13R -3'!AW$12</f>
        <v>E-CI</v>
      </c>
      <c r="C57" s="479" t="str">
        <f>TRIM(CONCATENATE('Exh. No. BGM-13R -3'!AW$8," ",'Exh. No. BGM-13R -3'!AW$9," ",'Exh. No. BGM-13R -3'!AW$10))</f>
        <v>Cross Check Insurance Expense</v>
      </c>
      <c r="D57" s="223">
        <f>'Exh. No. BGM-13R -3'!AW$57</f>
        <v>0</v>
      </c>
      <c r="E57" s="223">
        <f>'Exh. No. BGM-13R -3'!AW$81</f>
        <v>0</v>
      </c>
      <c r="F57" s="565"/>
      <c r="G57" s="546"/>
      <c r="H57" s="563"/>
      <c r="I57" s="200" t="s">
        <v>278</v>
      </c>
      <c r="J57" s="45"/>
      <c r="K57" s="200" t="s">
        <v>259</v>
      </c>
      <c r="L57" s="443"/>
    </row>
    <row r="58" spans="1:12" s="156" customFormat="1">
      <c r="A58" s="564">
        <f>'Exh. No. BGM-13R -3'!AY$11</f>
        <v>4.0699999999999985</v>
      </c>
      <c r="B58" s="478" t="str">
        <f>'Exh. No. BGM-13R -3'!AY$12</f>
        <v>E-CREC</v>
      </c>
      <c r="C58" s="479" t="str">
        <f>TRIM(CONCATENATE('Exh. No. BGM-13R -3'!AY$8," ",'Exh. No. BGM-13R -3'!AY$9," ",'Exh. No. BGM-13R -3'!AY$10))</f>
        <v>Reconcile 2017 Cross Check to Attrition</v>
      </c>
      <c r="D58" s="223">
        <f>'Exh. No. BGM-13R -3'!AY$57</f>
        <v>0</v>
      </c>
      <c r="E58" s="223">
        <f>'Exh. No. BGM-13R -3'!AY$81</f>
        <v>0</v>
      </c>
      <c r="F58" s="565"/>
      <c r="G58" s="41"/>
      <c r="H58" s="211"/>
      <c r="I58" s="200" t="s">
        <v>259</v>
      </c>
      <c r="K58" s="200" t="s">
        <v>259</v>
      </c>
      <c r="L58" s="443"/>
    </row>
    <row r="59" spans="1:12" ht="13.5" thickBot="1">
      <c r="A59" s="29"/>
      <c r="B59" s="421"/>
      <c r="C59" s="27" t="s">
        <v>750</v>
      </c>
      <c r="D59" s="295">
        <f ca="1">SUM(D34:D58)</f>
        <v>105324.0178785132</v>
      </c>
      <c r="E59" s="295">
        <f>SUM(E34:E58)</f>
        <v>1383129</v>
      </c>
      <c r="F59" s="185">
        <f ca="1">D59/E59</f>
        <v>7.614909229617281E-2</v>
      </c>
      <c r="I59" s="25"/>
      <c r="J59" s="25"/>
    </row>
    <row r="60" spans="1:12" ht="13.5" thickTop="1">
      <c r="A60" s="29"/>
      <c r="B60" s="421"/>
      <c r="C60" s="27"/>
      <c r="D60" s="296"/>
      <c r="E60" s="296"/>
      <c r="F60" s="125"/>
      <c r="G60" s="25"/>
      <c r="H60" s="25"/>
      <c r="I60" s="25"/>
      <c r="J60" s="25"/>
    </row>
    <row r="61" spans="1:12">
      <c r="A61" s="562" t="s">
        <v>752</v>
      </c>
      <c r="G61" s="25"/>
      <c r="H61" s="25"/>
      <c r="I61" s="25"/>
    </row>
    <row r="62" spans="1:12" s="156" customFormat="1">
      <c r="A62" s="564">
        <f>'Exh. No. BGM-13R -3'!BE$11</f>
        <v>18.010000000000002</v>
      </c>
      <c r="B62" s="478" t="str">
        <f>'Exh. No. BGM-13R -3'!BE$12</f>
        <v>E-CPS18</v>
      </c>
      <c r="C62" s="479" t="str">
        <f>TRIM(CONCATENATE('Exh. No. BGM-13R -3'!BE$8," ",'Exh. No. BGM-13R -3'!BE$9," ",'Exh. No. BGM-13R -3'!BE$10))</f>
        <v>Cross Check Power Supply Adjustment</v>
      </c>
      <c r="D62" s="294">
        <f>'Exh. No. BGM-13R -3'!BE$57</f>
        <v>0</v>
      </c>
      <c r="E62" s="294">
        <f>'Exh. No. BGM-13R -3'!BE$81</f>
        <v>0</v>
      </c>
      <c r="F62" s="565"/>
      <c r="G62" s="546"/>
      <c r="H62" s="563"/>
      <c r="I62" s="200" t="s">
        <v>259</v>
      </c>
      <c r="K62" s="200" t="s">
        <v>259</v>
      </c>
      <c r="L62" s="443"/>
    </row>
    <row r="63" spans="1:12" s="156" customFormat="1">
      <c r="A63" s="564">
        <f>'Exh. No. BGM-13R -3'!BF$11</f>
        <v>18.020000000000003</v>
      </c>
      <c r="B63" s="478" t="str">
        <f>'Exh. No. BGM-13R -3'!BF$12</f>
        <v>E-CTR18</v>
      </c>
      <c r="C63" s="479" t="str">
        <f>TRIM(CONCATENATE('Exh. No. BGM-13R -3'!BF$8," ",'Exh. No. BGM-13R -3'!BF$9," ",'Exh. No. BGM-13R -3'!BF$10))</f>
        <v>Cross Check Transmission Rev/Exp Adj</v>
      </c>
      <c r="D63" s="294">
        <f>'Exh. No. BGM-13R -3'!BF$57</f>
        <v>0</v>
      </c>
      <c r="E63" s="294">
        <f>'Exh. No. BGM-13R -3'!BF$81</f>
        <v>0</v>
      </c>
      <c r="F63" s="565"/>
      <c r="G63" s="546"/>
      <c r="H63" s="563"/>
      <c r="I63" s="200" t="s">
        <v>277</v>
      </c>
      <c r="J63" s="45"/>
      <c r="K63" s="200" t="s">
        <v>259</v>
      </c>
      <c r="L63" s="443"/>
    </row>
    <row r="64" spans="1:12" s="156" customFormat="1">
      <c r="A64" s="564">
        <f>'Exh. No. BGM-13R -3'!BG$11</f>
        <v>18.030000000000005</v>
      </c>
      <c r="B64" s="478" t="str">
        <f>'Exh. No. BGM-13R -3'!BG$12</f>
        <v>E-CLN18</v>
      </c>
      <c r="C64" s="479" t="str">
        <f>TRIM(CONCATENATE('Exh. No. BGM-13R -3'!BG$8," ",'Exh. No. BGM-13R -3'!BG$9," ",'Exh. No. BGM-13R -3'!BG$10))</f>
        <v>Cross Check Labor Non-Exec</v>
      </c>
      <c r="D64" s="294">
        <f>'Exh. No. BGM-13R -3'!BG$57</f>
        <v>0</v>
      </c>
      <c r="E64" s="294">
        <f>'Exh. No. BGM-13R -3'!BG$81</f>
        <v>0</v>
      </c>
      <c r="F64" s="565"/>
      <c r="G64" s="546"/>
      <c r="H64" s="563"/>
      <c r="I64" s="200" t="s">
        <v>278</v>
      </c>
      <c r="K64" s="200" t="s">
        <v>259</v>
      </c>
      <c r="L64" s="443"/>
    </row>
    <row r="65" spans="1:12" s="156" customFormat="1">
      <c r="A65" s="564">
        <f>'Exh. No. BGM-13R -3'!BH$11</f>
        <v>18.040000000000006</v>
      </c>
      <c r="B65" s="478" t="str">
        <f>'Exh. No. BGM-13R -3'!BH$12</f>
        <v>E-CCAP18</v>
      </c>
      <c r="C65" s="479" t="str">
        <f>TRIM(CONCATENATE('Exh. No. BGM-13R -3'!BH$8," ",'Exh. No. BGM-13R -3'!BH$9," ",'Exh. No. BGM-13R -3'!BH$10))</f>
        <v>Cross Check Planned Capital Add 2018 AMA</v>
      </c>
      <c r="D65" s="294">
        <f>'Exh. No. BGM-13R -3'!BH$57</f>
        <v>0</v>
      </c>
      <c r="E65" s="294">
        <f>'Exh. No. BGM-13R -3'!BH$81</f>
        <v>0</v>
      </c>
      <c r="F65" s="565"/>
      <c r="G65" s="41"/>
      <c r="H65" s="211"/>
      <c r="I65" s="200" t="s">
        <v>611</v>
      </c>
      <c r="J65" s="569"/>
      <c r="K65" s="200" t="s">
        <v>259</v>
      </c>
      <c r="L65" s="443"/>
    </row>
    <row r="66" spans="1:12" s="156" customFormat="1">
      <c r="A66" s="564">
        <f>'Exh. No. BGM-13R -3'!BI$11</f>
        <v>18.050000000000008</v>
      </c>
      <c r="B66" s="478" t="str">
        <f>'Exh. No. BGM-13R -3'!BI$12</f>
        <v>E-CPT18</v>
      </c>
      <c r="C66" s="479" t="str">
        <f>TRIM(CONCATENATE('Exh. No. BGM-13R -3'!BI$8," ",'Exh. No. BGM-13R -3'!BI$9," ",'Exh. No. BGM-13R -3'!BI$10))</f>
        <v>Cross Check 2018 AMI Capital &amp; Expense</v>
      </c>
      <c r="D66" s="294">
        <f>'Exh. No. BGM-13R -3'!BI$57</f>
        <v>0</v>
      </c>
      <c r="E66" s="294">
        <f>'Exh. No. BGM-13R -3'!BI$81</f>
        <v>0</v>
      </c>
      <c r="F66" s="565"/>
      <c r="G66" s="41"/>
      <c r="H66" s="211"/>
      <c r="I66" s="200" t="s">
        <v>611</v>
      </c>
      <c r="J66" s="708"/>
      <c r="K66" s="200" t="s">
        <v>259</v>
      </c>
      <c r="L66" s="443"/>
    </row>
    <row r="67" spans="1:12" s="156" customFormat="1">
      <c r="A67" s="564">
        <f>'Exh. No. BGM-13R -3'!BJ$11</f>
        <v>18.060000000000009</v>
      </c>
      <c r="B67" s="478" t="str">
        <f>'Exh. No. BGM-13R -3'!BJ$12</f>
        <v>E-CI18</v>
      </c>
      <c r="C67" s="479" t="str">
        <f>TRIM(CONCATENATE('Exh. No. BGM-13R -3'!BJ$8," ",'Exh. No. BGM-13R -3'!BJ$9," ",'Exh. No. BGM-13R -3'!BJ$10))</f>
        <v>Cross Check Insurance Expense</v>
      </c>
      <c r="D67" s="223">
        <f>'Exh. No. BGM-13R -3'!BJ$57</f>
        <v>0</v>
      </c>
      <c r="E67" s="223">
        <f>'Exh. No. BGM-13R -3'!BJ$81</f>
        <v>0</v>
      </c>
      <c r="F67" s="565"/>
      <c r="G67" s="41"/>
      <c r="H67" s="211"/>
      <c r="I67" s="705" t="s">
        <v>278</v>
      </c>
      <c r="J67" s="41"/>
      <c r="K67" s="705" t="s">
        <v>259</v>
      </c>
      <c r="L67" s="443"/>
    </row>
    <row r="68" spans="1:12" s="156" customFormat="1">
      <c r="A68" s="564">
        <f>'Exh. No. BGM-13R -3'!BK$11</f>
        <v>18.070000000000011</v>
      </c>
      <c r="B68" s="478" t="str">
        <f>'Exh. No. BGM-13R -3'!BK$12</f>
        <v>E-CIS18</v>
      </c>
      <c r="C68" s="479" t="str">
        <f>TRIM(CONCATENATE('Exh. No. BGM-13R -3'!BK$8," ",'Exh. No. BGM-13R -3'!BK$9," ",'Exh. No. BGM-13R -3'!BK$10))</f>
        <v>Cross Check Information Tech/Serv Exp</v>
      </c>
      <c r="D68" s="223">
        <f>'Exh. No. BGM-13R -3'!BK$57</f>
        <v>0</v>
      </c>
      <c r="E68" s="223">
        <f>'Exh. No. BGM-13R -3'!BK$81</f>
        <v>0</v>
      </c>
      <c r="F68" s="565"/>
      <c r="G68" s="41"/>
      <c r="H68" s="211"/>
      <c r="I68" s="705" t="s">
        <v>277</v>
      </c>
      <c r="J68" s="41"/>
      <c r="K68" s="705" t="s">
        <v>259</v>
      </c>
      <c r="L68" s="443"/>
    </row>
    <row r="69" spans="1:12" s="156" customFormat="1">
      <c r="A69" s="564">
        <f>'Exh. No. BGM-13R -3'!BM$11</f>
        <v>18.080000000000013</v>
      </c>
      <c r="B69" s="478" t="str">
        <f>'Exh. No. BGM-13R -3'!BM$12</f>
        <v>E-CREC18</v>
      </c>
      <c r="C69" s="479" t="str">
        <f>TRIM(CONCATENATE('Exh. No. BGM-13R -3'!BM$8," ",'Exh. No. BGM-13R -3'!BM$9," ",'Exh. No. BGM-13R -3'!BM$10))</f>
        <v>Reconcile 2018 Cross Check to Attrition</v>
      </c>
      <c r="D69" s="294">
        <f>'Exh. No. BGM-13R -3'!BM$57</f>
        <v>0</v>
      </c>
      <c r="E69" s="294">
        <f>'Exh. No. BGM-13R -3'!BM$81</f>
        <v>0</v>
      </c>
      <c r="F69" s="565"/>
      <c r="G69" s="41"/>
      <c r="H69" s="211"/>
      <c r="I69" s="200" t="s">
        <v>259</v>
      </c>
      <c r="K69" s="200" t="s">
        <v>259</v>
      </c>
      <c r="L69" s="443"/>
    </row>
    <row r="70" spans="1:12" s="45" customFormat="1" ht="1.5" customHeight="1">
      <c r="A70" s="559"/>
      <c r="B70" s="560"/>
      <c r="C70" s="42"/>
      <c r="D70" s="548"/>
      <c r="E70" s="34"/>
      <c r="F70" s="60"/>
      <c r="G70" s="30"/>
      <c r="H70" s="561"/>
      <c r="I70" s="181"/>
      <c r="J70" s="569"/>
      <c r="K70" s="200"/>
    </row>
    <row r="71" spans="1:12" ht="13.5" thickBot="1">
      <c r="A71" s="569"/>
      <c r="B71" s="569"/>
      <c r="C71" s="27" t="s">
        <v>750</v>
      </c>
      <c r="D71" s="622">
        <f ca="1">SUM(D59:D70)</f>
        <v>105324.0178785132</v>
      </c>
      <c r="E71" s="622">
        <f>SUM(E59:E70)</f>
        <v>1383129</v>
      </c>
      <c r="F71" s="185">
        <f ca="1">D71/E71</f>
        <v>7.614909229617281E-2</v>
      </c>
      <c r="G71" s="569"/>
      <c r="I71" s="25"/>
      <c r="J71" s="25"/>
    </row>
    <row r="72" spans="1:12" ht="13.5" thickTop="1"/>
    <row r="73" spans="1:12">
      <c r="A73" s="209" t="s">
        <v>605</v>
      </c>
      <c r="B73" s="421"/>
      <c r="C73" s="27"/>
      <c r="D73" s="296"/>
      <c r="E73" s="296"/>
      <c r="F73" s="125"/>
    </row>
    <row r="74" spans="1:12">
      <c r="A74" s="29"/>
      <c r="B74" s="438" t="s">
        <v>606</v>
      </c>
      <c r="C74" s="27" t="s">
        <v>134</v>
      </c>
      <c r="D74" s="296"/>
      <c r="E74" s="296"/>
      <c r="F74" s="125"/>
      <c r="I74" s="200" t="s">
        <v>277</v>
      </c>
      <c r="J74" s="45"/>
      <c r="K74" s="200" t="s">
        <v>259</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74" orientation="portrait" horizontalDpi="1200" verticalDpi="1200" r:id="rId3"/>
  <headerFooter alignWithMargins="0">
    <oddHeader xml:space="preserve">&amp;C
</oddHeader>
    <oddFooter xml:space="preserve">&amp;C
</oddFooter>
  </headerFooter>
  <rowBreaks count="1" manualBreakCount="1">
    <brk id="59" max="6"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0"/>
  <sheetViews>
    <sheetView zoomScaleNormal="100" workbookViewId="0">
      <selection activeCell="B4" sqref="B4"/>
    </sheetView>
  </sheetViews>
  <sheetFormatPr defaultColWidth="12.42578125" defaultRowHeight="12"/>
  <cols>
    <col min="1" max="1" width="7.85546875" style="319" customWidth="1"/>
    <col min="2" max="2" width="26.140625" style="318" customWidth="1"/>
    <col min="3" max="3" width="12.42578125" style="318" customWidth="1"/>
    <col min="4" max="4" width="5.5703125" style="318" bestFit="1" customWidth="1"/>
    <col min="5" max="5" width="14.7109375" style="318" customWidth="1"/>
    <col min="6" max="8" width="12.42578125" style="318" customWidth="1"/>
    <col min="9" max="9" width="14.7109375" style="318" hidden="1" customWidth="1"/>
    <col min="10" max="11" width="12.42578125" style="318" hidden="1" customWidth="1"/>
    <col min="12" max="16384" width="12.42578125" style="318"/>
  </cols>
  <sheetData>
    <row r="1" spans="1:11">
      <c r="A1" s="885" t="s">
        <v>837</v>
      </c>
      <c r="B1" s="885"/>
      <c r="C1" s="885"/>
    </row>
    <row r="2" spans="1:11">
      <c r="A2" s="821" t="s">
        <v>843</v>
      </c>
      <c r="B2" s="821"/>
      <c r="C2" s="821"/>
      <c r="I2" s="346"/>
      <c r="J2" s="319" t="s">
        <v>137</v>
      </c>
      <c r="K2" s="346"/>
    </row>
    <row r="3" spans="1:11">
      <c r="A3" s="885" t="s">
        <v>838</v>
      </c>
      <c r="B3" s="885"/>
      <c r="C3" s="885"/>
      <c r="I3" s="346" t="s">
        <v>138</v>
      </c>
      <c r="J3" s="346"/>
      <c r="K3" s="346"/>
    </row>
    <row r="4" spans="1:11">
      <c r="A4" s="822" t="s">
        <v>839</v>
      </c>
      <c r="B4" s="821"/>
      <c r="C4" s="821"/>
      <c r="F4" s="508"/>
      <c r="I4" s="345" t="s">
        <v>85</v>
      </c>
      <c r="J4" s="345"/>
      <c r="K4" s="344"/>
    </row>
    <row r="5" spans="1:11">
      <c r="A5" s="346"/>
      <c r="B5" s="347"/>
      <c r="C5" s="346"/>
      <c r="I5" s="343"/>
      <c r="J5" s="343"/>
      <c r="K5" s="342"/>
    </row>
    <row r="6" spans="1:11">
      <c r="A6" s="346"/>
      <c r="B6" s="347"/>
      <c r="C6" s="346"/>
      <c r="E6" s="346" t="s">
        <v>83</v>
      </c>
      <c r="F6" s="346"/>
      <c r="G6" s="346"/>
      <c r="I6" s="343"/>
      <c r="J6" s="343"/>
      <c r="K6" s="342"/>
    </row>
    <row r="7" spans="1:11">
      <c r="A7" s="346"/>
      <c r="B7" s="347"/>
      <c r="C7" s="346"/>
      <c r="E7" s="346" t="s">
        <v>84</v>
      </c>
      <c r="F7" s="346"/>
      <c r="G7" s="346"/>
      <c r="I7" s="343"/>
      <c r="J7" s="343"/>
      <c r="K7" s="342"/>
    </row>
    <row r="8" spans="1:11">
      <c r="A8" s="346"/>
      <c r="B8" s="347"/>
      <c r="C8" s="346"/>
      <c r="E8" s="345" t="s">
        <v>85</v>
      </c>
      <c r="F8" s="345"/>
      <c r="G8" s="344"/>
      <c r="I8" s="343"/>
      <c r="J8" s="343"/>
      <c r="K8" s="342"/>
    </row>
    <row r="9" spans="1:11">
      <c r="A9" s="319" t="s">
        <v>7</v>
      </c>
    </row>
    <row r="10" spans="1:11" s="319" customFormat="1">
      <c r="A10" s="319" t="s">
        <v>86</v>
      </c>
      <c r="B10" s="341" t="s">
        <v>20</v>
      </c>
      <c r="C10" s="341"/>
      <c r="E10" s="341" t="s">
        <v>87</v>
      </c>
      <c r="F10" s="341" t="s">
        <v>88</v>
      </c>
      <c r="G10" s="341" t="s">
        <v>72</v>
      </c>
      <c r="H10" s="340" t="s">
        <v>89</v>
      </c>
      <c r="I10" s="341" t="s">
        <v>87</v>
      </c>
      <c r="J10" s="341" t="s">
        <v>88</v>
      </c>
      <c r="K10" s="341"/>
    </row>
    <row r="11" spans="1:11" s="319" customFormat="1" ht="5.25" customHeight="1">
      <c r="B11" s="422"/>
      <c r="C11" s="422"/>
      <c r="E11" s="422"/>
      <c r="F11" s="422"/>
      <c r="G11" s="422"/>
      <c r="H11" s="340"/>
      <c r="I11" s="422"/>
      <c r="J11" s="422"/>
      <c r="K11" s="422"/>
    </row>
    <row r="12" spans="1:11" s="319" customFormat="1" ht="5.25" customHeight="1">
      <c r="B12" s="422"/>
      <c r="C12" s="422"/>
      <c r="E12" s="422"/>
      <c r="F12" s="422"/>
      <c r="G12" s="422"/>
      <c r="H12" s="340"/>
      <c r="I12" s="422"/>
      <c r="J12" s="422"/>
      <c r="K12" s="422"/>
    </row>
    <row r="13" spans="1:11">
      <c r="B13" s="321" t="s">
        <v>37</v>
      </c>
    </row>
    <row r="14" spans="1:11" s="325" customFormat="1">
      <c r="A14" s="328">
        <v>1</v>
      </c>
      <c r="B14" s="327" t="s">
        <v>38</v>
      </c>
      <c r="E14" s="334">
        <f>F14+G14</f>
        <v>512020</v>
      </c>
      <c r="F14" s="334">
        <f>SUM(F85:F88)+F90</f>
        <v>512020</v>
      </c>
      <c r="G14" s="334">
        <f>SUM(G85:G89)</f>
        <v>0</v>
      </c>
      <c r="H14" s="325" t="str">
        <f t="shared" ref="H14:H19" si="0">IF(E14=F14+G14," ","ERROR")</f>
        <v xml:space="preserve"> </v>
      </c>
      <c r="I14" s="334" t="e">
        <f>J14+K14</f>
        <v>#REF!</v>
      </c>
      <c r="J14" s="334" t="e">
        <f>#REF!</f>
        <v>#REF!</v>
      </c>
      <c r="K14" s="334"/>
    </row>
    <row r="15" spans="1:11">
      <c r="A15" s="319">
        <v>2</v>
      </c>
      <c r="B15" s="321" t="s">
        <v>39</v>
      </c>
      <c r="E15" s="330">
        <f>F15+G15</f>
        <v>920</v>
      </c>
      <c r="F15" s="330">
        <f>SUM(F89)</f>
        <v>920</v>
      </c>
      <c r="G15" s="330">
        <f>SUM(G90)</f>
        <v>0</v>
      </c>
      <c r="H15" s="325" t="str">
        <f t="shared" si="0"/>
        <v xml:space="preserve"> </v>
      </c>
      <c r="I15" s="330" t="e">
        <f>J15+K15</f>
        <v>#REF!</v>
      </c>
      <c r="J15" s="330" t="e">
        <f>#REF!</f>
        <v>#REF!</v>
      </c>
      <c r="K15" s="330"/>
    </row>
    <row r="16" spans="1:11">
      <c r="A16" s="319">
        <v>3</v>
      </c>
      <c r="B16" s="321" t="s">
        <v>90</v>
      </c>
      <c r="E16" s="330">
        <f>F16+G16</f>
        <v>84664</v>
      </c>
      <c r="F16" s="330">
        <f>SUM(F93)</f>
        <v>84664</v>
      </c>
      <c r="G16" s="330">
        <f>SUM(G93)</f>
        <v>0</v>
      </c>
      <c r="H16" s="325" t="str">
        <f t="shared" si="0"/>
        <v xml:space="preserve"> </v>
      </c>
      <c r="I16" s="330" t="e">
        <f>J16+K16</f>
        <v>#REF!</v>
      </c>
      <c r="J16" s="330" t="e">
        <f>#REF!</f>
        <v>#REF!</v>
      </c>
      <c r="K16" s="330"/>
    </row>
    <row r="17" spans="1:11">
      <c r="A17" s="319">
        <v>4</v>
      </c>
      <c r="B17" s="321" t="s">
        <v>91</v>
      </c>
      <c r="E17" s="338">
        <f>E14+E15+E16</f>
        <v>597604</v>
      </c>
      <c r="F17" s="338">
        <f>F14+F15+F16</f>
        <v>597604</v>
      </c>
      <c r="G17" s="338">
        <f>G14+G15+G16</f>
        <v>0</v>
      </c>
      <c r="H17" s="325" t="str">
        <f t="shared" si="0"/>
        <v xml:space="preserve"> </v>
      </c>
      <c r="I17" s="338" t="e">
        <f>I14+I15+I16</f>
        <v>#REF!</v>
      </c>
      <c r="J17" s="338" t="e">
        <f>J14+J15+J16</f>
        <v>#REF!</v>
      </c>
      <c r="K17" s="338"/>
    </row>
    <row r="18" spans="1:11">
      <c r="A18" s="319">
        <v>5</v>
      </c>
      <c r="B18" s="321" t="s">
        <v>42</v>
      </c>
      <c r="E18" s="339">
        <f>F18+G18</f>
        <v>76513</v>
      </c>
      <c r="F18" s="330">
        <f>SUM(F97:F101)</f>
        <v>76513</v>
      </c>
      <c r="G18" s="330">
        <f>SUM(G98:G101)</f>
        <v>0</v>
      </c>
      <c r="H18" s="325" t="str">
        <f t="shared" si="0"/>
        <v xml:space="preserve"> </v>
      </c>
      <c r="I18" s="339" t="e">
        <f>J18+K18</f>
        <v>#REF!</v>
      </c>
      <c r="J18" s="330" t="e">
        <f>#REF!</f>
        <v>#REF!</v>
      </c>
      <c r="K18" s="330"/>
    </row>
    <row r="19" spans="1:11">
      <c r="A19" s="319">
        <v>6</v>
      </c>
      <c r="B19" s="321" t="s">
        <v>92</v>
      </c>
      <c r="E19" s="338">
        <f>E17+E18</f>
        <v>674117</v>
      </c>
      <c r="F19" s="338">
        <f>F17+F18</f>
        <v>674117</v>
      </c>
      <c r="G19" s="338">
        <f>G17+G18</f>
        <v>0</v>
      </c>
      <c r="H19" s="325" t="str">
        <f t="shared" si="0"/>
        <v xml:space="preserve"> </v>
      </c>
      <c r="I19" s="338" t="e">
        <f>I17+I18</f>
        <v>#REF!</v>
      </c>
      <c r="J19" s="338" t="e">
        <f>J17+J18</f>
        <v>#REF!</v>
      </c>
      <c r="K19" s="338"/>
    </row>
    <row r="20" spans="1:11">
      <c r="E20" s="332"/>
      <c r="F20" s="332"/>
      <c r="G20" s="332"/>
      <c r="H20" s="325"/>
      <c r="I20" s="332"/>
      <c r="J20" s="332"/>
      <c r="K20" s="332"/>
    </row>
    <row r="21" spans="1:11">
      <c r="B21" s="321" t="s">
        <v>44</v>
      </c>
      <c r="E21" s="332"/>
      <c r="F21" s="332"/>
      <c r="G21" s="332"/>
      <c r="H21" s="325"/>
      <c r="I21" s="332"/>
      <c r="J21" s="332"/>
      <c r="K21" s="332"/>
    </row>
    <row r="22" spans="1:11">
      <c r="B22" s="321" t="s">
        <v>45</v>
      </c>
      <c r="E22" s="332"/>
      <c r="F22" s="332"/>
      <c r="G22" s="332"/>
      <c r="H22" s="325"/>
      <c r="I22" s="332"/>
      <c r="J22" s="332"/>
      <c r="K22" s="332"/>
    </row>
    <row r="23" spans="1:11">
      <c r="A23" s="319">
        <v>7</v>
      </c>
      <c r="B23" s="321" t="s">
        <v>93</v>
      </c>
      <c r="E23" s="330">
        <f>F23+G23</f>
        <v>189010</v>
      </c>
      <c r="F23" s="330">
        <f>SUM(F161-F157+F182)</f>
        <v>189010</v>
      </c>
      <c r="G23" s="330">
        <f>SUM(G161-G157+G182)</f>
        <v>0</v>
      </c>
      <c r="H23" s="325" t="str">
        <f>IF(E23=F23+G23," ","ERROR")</f>
        <v xml:space="preserve"> </v>
      </c>
      <c r="I23" s="330" t="e">
        <f>J23+K23</f>
        <v>#REF!</v>
      </c>
      <c r="J23" s="330" t="e">
        <f>#REF!+#REF!+#REF!+#REF!+#REF!</f>
        <v>#REF!</v>
      </c>
      <c r="K23" s="330"/>
    </row>
    <row r="24" spans="1:11">
      <c r="A24" s="319">
        <v>8</v>
      </c>
      <c r="B24" s="321" t="s">
        <v>94</v>
      </c>
      <c r="E24" s="330">
        <f>F24+G24</f>
        <v>115031</v>
      </c>
      <c r="F24" s="330">
        <f>SUM(F157)</f>
        <v>115031</v>
      </c>
      <c r="G24" s="330">
        <f>SUM(G157)</f>
        <v>0</v>
      </c>
      <c r="H24" s="325" t="str">
        <f>IF(E24=F24+G24," ","ERROR")</f>
        <v xml:space="preserve"> </v>
      </c>
      <c r="I24" s="330" t="e">
        <f>J24+K24</f>
        <v>#REF!</v>
      </c>
      <c r="J24" s="330" t="e">
        <f>#REF!</f>
        <v>#REF!</v>
      </c>
      <c r="K24" s="330"/>
    </row>
    <row r="25" spans="1:11">
      <c r="A25" s="319">
        <v>9</v>
      </c>
      <c r="B25" s="321" t="s">
        <v>563</v>
      </c>
      <c r="E25" s="330">
        <f>F25+G25</f>
        <v>24379</v>
      </c>
      <c r="F25" s="330">
        <f>SUM(F184:F187)</f>
        <v>24379</v>
      </c>
      <c r="G25" s="330">
        <f>SUM(G184:G186)</f>
        <v>0</v>
      </c>
      <c r="H25" s="325" t="str">
        <f>IF(E25=F25+G25," ","ERROR")</f>
        <v xml:space="preserve"> </v>
      </c>
      <c r="I25" s="330" t="e">
        <f>J25+K25</f>
        <v>#REF!</v>
      </c>
      <c r="J25" s="330" t="e">
        <f>#REF!</f>
        <v>#REF!</v>
      </c>
      <c r="K25" s="330"/>
    </row>
    <row r="26" spans="1:11">
      <c r="A26" s="319">
        <v>10</v>
      </c>
      <c r="B26" s="321" t="s">
        <v>562</v>
      </c>
      <c r="E26" s="330">
        <f>F26+G26</f>
        <v>-1443</v>
      </c>
      <c r="F26" s="330">
        <f>SUM(F188:F216)</f>
        <v>-1445</v>
      </c>
      <c r="G26" s="330">
        <f>SUM(G188:G215)</f>
        <v>2</v>
      </c>
      <c r="H26" s="325"/>
      <c r="I26" s="330"/>
      <c r="J26" s="330"/>
      <c r="K26" s="330"/>
    </row>
    <row r="27" spans="1:11">
      <c r="A27" s="319">
        <v>11</v>
      </c>
      <c r="B27" s="321" t="s">
        <v>95</v>
      </c>
      <c r="E27" s="329">
        <f>F27+G27</f>
        <v>13890</v>
      </c>
      <c r="F27" s="330">
        <f>SUM(F217)</f>
        <v>13890</v>
      </c>
      <c r="G27" s="330">
        <f>SUM(G217)</f>
        <v>0</v>
      </c>
      <c r="H27" s="325" t="str">
        <f>IF(E27=F27+G27," ","ERROR")</f>
        <v xml:space="preserve"> </v>
      </c>
      <c r="I27" s="329" t="e">
        <f>J27+K27</f>
        <v>#REF!</v>
      </c>
      <c r="J27" s="330" t="e">
        <f>#REF!</f>
        <v>#REF!</v>
      </c>
      <c r="K27" s="330"/>
    </row>
    <row r="28" spans="1:11">
      <c r="A28" s="319">
        <v>12</v>
      </c>
      <c r="B28" s="321" t="s">
        <v>96</v>
      </c>
      <c r="E28" s="338">
        <f>SUM(E23:E27)</f>
        <v>340867</v>
      </c>
      <c r="F28" s="338">
        <f>SUM(F23:F27)</f>
        <v>340865</v>
      </c>
      <c r="G28" s="338">
        <f>SUM(G23:G27)</f>
        <v>2</v>
      </c>
      <c r="H28" s="325" t="str">
        <f>IF(E28=F28+G28," ","ERROR")</f>
        <v xml:space="preserve"> </v>
      </c>
      <c r="I28" s="330" t="e">
        <f>I23+I24+I25+I27</f>
        <v>#REF!</v>
      </c>
      <c r="J28" s="338" t="e">
        <f>J23+J24+J25+J27</f>
        <v>#REF!</v>
      </c>
      <c r="K28" s="338"/>
    </row>
    <row r="29" spans="1:11">
      <c r="E29" s="330"/>
      <c r="F29" s="332"/>
      <c r="G29" s="332"/>
      <c r="H29" s="325"/>
      <c r="I29" s="330"/>
      <c r="J29" s="332"/>
      <c r="K29" s="332"/>
    </row>
    <row r="30" spans="1:11">
      <c r="B30" s="321" t="s">
        <v>49</v>
      </c>
      <c r="E30" s="330"/>
      <c r="F30" s="332"/>
      <c r="G30" s="332"/>
      <c r="H30" s="325"/>
      <c r="I30" s="330"/>
      <c r="J30" s="332"/>
      <c r="K30" s="332"/>
    </row>
    <row r="31" spans="1:11">
      <c r="A31" s="319">
        <v>13</v>
      </c>
      <c r="B31" s="321" t="s">
        <v>93</v>
      </c>
      <c r="E31" s="330">
        <f>F31+G31</f>
        <v>22961</v>
      </c>
      <c r="F31" s="330">
        <f>SUM(F246)</f>
        <v>22961</v>
      </c>
      <c r="G31" s="330">
        <f>SUM(G246)</f>
        <v>0</v>
      </c>
      <c r="H31" s="325" t="str">
        <f>IF(E31=F31+G31," ","ERROR")</f>
        <v xml:space="preserve"> </v>
      </c>
      <c r="I31" s="330" t="e">
        <f>J31+K31</f>
        <v>#REF!</v>
      </c>
      <c r="J31" s="330" t="e">
        <f>#REF!</f>
        <v>#REF!</v>
      </c>
      <c r="K31" s="330"/>
    </row>
    <row r="32" spans="1:11">
      <c r="A32" s="319">
        <v>14</v>
      </c>
      <c r="B32" s="321" t="s">
        <v>563</v>
      </c>
      <c r="E32" s="330">
        <f>F32+G32</f>
        <v>25024</v>
      </c>
      <c r="F32" s="330">
        <f>SUM(F248:F249)</f>
        <v>25024</v>
      </c>
      <c r="G32" s="330">
        <f>SUM(G248:G249)</f>
        <v>0</v>
      </c>
      <c r="H32" s="325" t="str">
        <f>IF(E32=F32+G32," ","ERROR")</f>
        <v xml:space="preserve"> </v>
      </c>
      <c r="I32" s="330" t="e">
        <f>J32+K32</f>
        <v>#REF!</v>
      </c>
      <c r="J32" s="330" t="e">
        <f>#REF!</f>
        <v>#REF!</v>
      </c>
      <c r="K32" s="330"/>
    </row>
    <row r="33" spans="1:16" ht="12.75">
      <c r="A33" s="710" t="s">
        <v>778</v>
      </c>
      <c r="B33" s="321" t="s">
        <v>562</v>
      </c>
      <c r="E33" s="330">
        <f>F33+G33</f>
        <v>0</v>
      </c>
      <c r="F33" s="330">
        <f>SUM(F251)</f>
        <v>0</v>
      </c>
      <c r="G33" s="330">
        <f>SUM(G249:G250)</f>
        <v>0</v>
      </c>
      <c r="H33" s="325" t="str">
        <f>IF(E33=F33+G33," ","ERROR")</f>
        <v xml:space="preserve"> </v>
      </c>
      <c r="I33" s="330" t="e">
        <f>J33+K33</f>
        <v>#REF!</v>
      </c>
      <c r="J33" s="330" t="e">
        <f>#REF!</f>
        <v>#REF!</v>
      </c>
      <c r="K33" s="330"/>
      <c r="L33" s="712" t="s">
        <v>781</v>
      </c>
      <c r="M33" s="713"/>
      <c r="N33" s="713"/>
      <c r="O33" s="713"/>
      <c r="P33" s="713"/>
    </row>
    <row r="34" spans="1:16">
      <c r="A34" s="319">
        <v>15</v>
      </c>
      <c r="B34" s="321" t="s">
        <v>95</v>
      </c>
      <c r="E34" s="329">
        <f>F34+G34</f>
        <v>45055</v>
      </c>
      <c r="F34" s="330">
        <f>SUM(F250)</f>
        <v>45055</v>
      </c>
      <c r="G34" s="330">
        <f>SUM(G250)</f>
        <v>0</v>
      </c>
      <c r="H34" s="325" t="str">
        <f>IF(E34=F34+G34," ","ERROR")</f>
        <v xml:space="preserve"> </v>
      </c>
      <c r="I34" s="329" t="e">
        <f>J34+K34</f>
        <v>#REF!</v>
      </c>
      <c r="J34" s="330" t="e">
        <f>#REF!</f>
        <v>#REF!</v>
      </c>
      <c r="K34" s="330"/>
    </row>
    <row r="35" spans="1:16">
      <c r="A35" s="319">
        <v>16</v>
      </c>
      <c r="B35" s="321" t="s">
        <v>97</v>
      </c>
      <c r="E35" s="330">
        <f>E31+E32+E34</f>
        <v>93040</v>
      </c>
      <c r="F35" s="338">
        <f>F31+F32+F34</f>
        <v>93040</v>
      </c>
      <c r="G35" s="338">
        <f>G31+G32+G34</f>
        <v>0</v>
      </c>
      <c r="H35" s="325" t="str">
        <f>IF(E35=F35+G35," ","ERROR")</f>
        <v xml:space="preserve"> </v>
      </c>
      <c r="I35" s="330" t="e">
        <f>I31+I32+I34</f>
        <v>#REF!</v>
      </c>
      <c r="J35" s="338" t="e">
        <f>J31+J32+J34</f>
        <v>#REF!</v>
      </c>
      <c r="K35" s="338"/>
    </row>
    <row r="36" spans="1:16">
      <c r="E36" s="332"/>
      <c r="F36" s="332"/>
      <c r="G36" s="332"/>
      <c r="H36" s="325"/>
      <c r="I36" s="332"/>
      <c r="J36" s="332"/>
      <c r="K36" s="332"/>
    </row>
    <row r="37" spans="1:16">
      <c r="A37" s="319">
        <v>17</v>
      </c>
      <c r="B37" s="321" t="s">
        <v>51</v>
      </c>
      <c r="E37" s="330">
        <f>F37+G37</f>
        <v>10543</v>
      </c>
      <c r="F37" s="330">
        <f>SUM(F262)</f>
        <v>10543</v>
      </c>
      <c r="G37" s="330">
        <f>SUM(G262)</f>
        <v>0</v>
      </c>
      <c r="H37" s="325" t="str">
        <f>IF(E37=F37+G37," ","ERROR")</f>
        <v xml:space="preserve"> </v>
      </c>
      <c r="I37" s="330" t="e">
        <f>J37+K37</f>
        <v>#REF!</v>
      </c>
      <c r="J37" s="330" t="e">
        <f>#REF!</f>
        <v>#REF!</v>
      </c>
      <c r="K37" s="330"/>
    </row>
    <row r="38" spans="1:16">
      <c r="A38" s="319">
        <v>18</v>
      </c>
      <c r="B38" s="321" t="s">
        <v>52</v>
      </c>
      <c r="E38" s="330">
        <f>F38+G38</f>
        <v>19433</v>
      </c>
      <c r="F38" s="330">
        <f>SUM(F268)</f>
        <v>19433</v>
      </c>
      <c r="G38" s="330">
        <f>SUM(G268)</f>
        <v>0</v>
      </c>
      <c r="H38" s="325" t="str">
        <f>IF(E38=F38+G38," ","ERROR")</f>
        <v xml:space="preserve"> </v>
      </c>
      <c r="I38" s="330" t="e">
        <f>J38+K38</f>
        <v>#REF!</v>
      </c>
      <c r="J38" s="330" t="e">
        <f>#REF!</f>
        <v>#REF!</v>
      </c>
      <c r="K38" s="330"/>
    </row>
    <row r="39" spans="1:16">
      <c r="A39" s="319">
        <v>19</v>
      </c>
      <c r="B39" s="321" t="s">
        <v>53</v>
      </c>
      <c r="E39" s="330">
        <f>F39+G39</f>
        <v>0</v>
      </c>
      <c r="F39" s="330">
        <f>SUM(F274)</f>
        <v>0</v>
      </c>
      <c r="G39" s="330">
        <f>SUM(G274)</f>
        <v>0</v>
      </c>
      <c r="H39" s="325" t="str">
        <f>IF(E39=F39+G39," ","ERROR")</f>
        <v xml:space="preserve"> </v>
      </c>
      <c r="I39" s="330" t="e">
        <f>J39+K39</f>
        <v>#REF!</v>
      </c>
      <c r="J39" s="330" t="e">
        <f>#REF!</f>
        <v>#REF!</v>
      </c>
      <c r="K39" s="330"/>
    </row>
    <row r="40" spans="1:16">
      <c r="E40" s="332"/>
      <c r="F40" s="332"/>
      <c r="G40" s="332"/>
      <c r="H40" s="325"/>
      <c r="I40" s="332"/>
      <c r="J40" s="332"/>
      <c r="K40" s="332"/>
    </row>
    <row r="41" spans="1:16">
      <c r="B41" s="321" t="s">
        <v>54</v>
      </c>
      <c r="E41" s="332"/>
      <c r="F41" s="332"/>
      <c r="G41" s="332"/>
      <c r="H41" s="325"/>
      <c r="I41" s="332"/>
      <c r="J41" s="332"/>
      <c r="K41" s="332"/>
    </row>
    <row r="42" spans="1:16">
      <c r="A42" s="319">
        <v>20</v>
      </c>
      <c r="B42" s="321" t="s">
        <v>93</v>
      </c>
      <c r="E42" s="330">
        <f>F42+G42</f>
        <v>49315</v>
      </c>
      <c r="F42" s="330">
        <f>SUM(F289)</f>
        <v>49315</v>
      </c>
      <c r="G42" s="330">
        <f>SUM(G289)</f>
        <v>0</v>
      </c>
      <c r="H42" s="325" t="str">
        <f>IF(E42=F42+G42," ","ERROR")</f>
        <v xml:space="preserve"> </v>
      </c>
      <c r="I42" s="330" t="e">
        <f>J42+K42</f>
        <v>#REF!</v>
      </c>
      <c r="J42" s="330" t="e">
        <f>#REF!</f>
        <v>#REF!</v>
      </c>
      <c r="K42" s="330"/>
    </row>
    <row r="43" spans="1:16">
      <c r="A43" s="319">
        <v>21</v>
      </c>
      <c r="B43" s="321" t="s">
        <v>563</v>
      </c>
      <c r="E43" s="330">
        <f>F43+G43</f>
        <v>20268</v>
      </c>
      <c r="F43" s="330">
        <f>SUM(F297)</f>
        <v>20268</v>
      </c>
      <c r="G43" s="330">
        <f>SUM(G297)</f>
        <v>0</v>
      </c>
      <c r="H43" s="325" t="str">
        <f>IF(E43=F43+G43," ","ERROR")</f>
        <v xml:space="preserve"> </v>
      </c>
      <c r="I43" s="330" t="e">
        <f>J43+K43</f>
        <v>#REF!</v>
      </c>
      <c r="J43" s="330" t="e">
        <f>#REF!</f>
        <v>#REF!</v>
      </c>
      <c r="K43" s="330"/>
    </row>
    <row r="44" spans="1:16">
      <c r="A44" s="319">
        <v>22</v>
      </c>
      <c r="B44" s="321" t="s">
        <v>95</v>
      </c>
      <c r="E44" s="330">
        <f>F44+G44</f>
        <v>0</v>
      </c>
      <c r="F44" s="330">
        <v>0</v>
      </c>
      <c r="G44" s="330">
        <v>0</v>
      </c>
      <c r="H44" s="325" t="str">
        <f>IF(E44=F44+G44," ","ERROR")</f>
        <v xml:space="preserve"> </v>
      </c>
      <c r="I44" s="330" t="e">
        <f>J44+K44</f>
        <v>#REF!</v>
      </c>
      <c r="J44" s="330" t="e">
        <f>#REF!</f>
        <v>#REF!</v>
      </c>
      <c r="K44" s="330"/>
    </row>
    <row r="45" spans="1:16">
      <c r="A45" s="319">
        <v>23</v>
      </c>
      <c r="B45" s="321" t="s">
        <v>98</v>
      </c>
      <c r="E45" s="337">
        <f>E42+E43+E44</f>
        <v>69583</v>
      </c>
      <c r="F45" s="337">
        <f>F42+F43+F44</f>
        <v>69583</v>
      </c>
      <c r="G45" s="337">
        <f>G42+G43+G44</f>
        <v>0</v>
      </c>
      <c r="H45" s="325" t="str">
        <f>IF(E45=F45+G45," ","ERROR")</f>
        <v xml:space="preserve"> </v>
      </c>
      <c r="I45" s="337" t="e">
        <f>I42+I43+I44</f>
        <v>#REF!</v>
      </c>
      <c r="J45" s="337" t="e">
        <f>J42+J43+J44</f>
        <v>#REF!</v>
      </c>
      <c r="K45" s="337"/>
    </row>
    <row r="46" spans="1:16" ht="18.75" customHeight="1">
      <c r="A46" s="319">
        <v>24</v>
      </c>
      <c r="B46" s="321" t="s">
        <v>56</v>
      </c>
      <c r="E46" s="336">
        <f>E28+E35+E37+E38+E39+E45</f>
        <v>533466</v>
      </c>
      <c r="F46" s="336">
        <f>F28+F35+F37+F38+F39+F45</f>
        <v>533464</v>
      </c>
      <c r="G46" s="336">
        <f>G28+G35+G37+G38+G39+G45</f>
        <v>2</v>
      </c>
      <c r="H46" s="325" t="str">
        <f>IF(E46=F46+G46," ","ERROR")</f>
        <v xml:space="preserve"> </v>
      </c>
      <c r="I46" s="336" t="e">
        <f>I28+I35+I37+I38+I39+I45</f>
        <v>#REF!</v>
      </c>
      <c r="J46" s="336" t="e">
        <f>J28+J35+J37+J38+J39+J45</f>
        <v>#REF!</v>
      </c>
      <c r="K46" s="336"/>
    </row>
    <row r="47" spans="1:16">
      <c r="E47" s="332"/>
      <c r="F47" s="332"/>
      <c r="G47" s="332"/>
      <c r="H47" s="325"/>
      <c r="I47" s="332"/>
      <c r="J47" s="332"/>
      <c r="K47" s="332"/>
    </row>
    <row r="48" spans="1:16">
      <c r="A48" s="373">
        <v>25</v>
      </c>
      <c r="B48" s="321" t="s">
        <v>99</v>
      </c>
      <c r="E48" s="332">
        <f>E19-E46</f>
        <v>140651</v>
      </c>
      <c r="F48" s="332">
        <f>F19-F46</f>
        <v>140653</v>
      </c>
      <c r="G48" s="332">
        <f>G19-G46</f>
        <v>-2</v>
      </c>
      <c r="H48" s="325" t="str">
        <f>IF(E48=F48+G48," ","ERROR")</f>
        <v xml:space="preserve"> </v>
      </c>
      <c r="I48" s="332" t="e">
        <f>I19-I46</f>
        <v>#REF!</v>
      </c>
      <c r="J48" s="332" t="e">
        <f>J19-J46</f>
        <v>#REF!</v>
      </c>
      <c r="K48" s="332"/>
    </row>
    <row r="49" spans="1:11">
      <c r="B49" s="321"/>
      <c r="E49" s="332"/>
      <c r="F49" s="332"/>
      <c r="G49" s="332"/>
      <c r="H49" s="325"/>
      <c r="I49" s="332"/>
      <c r="J49" s="332"/>
      <c r="K49" s="332"/>
    </row>
    <row r="50" spans="1:11">
      <c r="B50" s="321" t="s">
        <v>100</v>
      </c>
      <c r="E50" s="332"/>
      <c r="F50" s="332"/>
      <c r="G50" s="332"/>
      <c r="H50" s="325"/>
      <c r="I50" s="332"/>
      <c r="J50" s="332"/>
      <c r="K50" s="332"/>
    </row>
    <row r="51" spans="1:11">
      <c r="A51" s="319">
        <v>26</v>
      </c>
      <c r="B51" s="321" t="s">
        <v>101</v>
      </c>
      <c r="D51" s="335">
        <v>0.35</v>
      </c>
      <c r="E51" s="330">
        <f>F51+G51</f>
        <v>-7654</v>
      </c>
      <c r="F51" s="330">
        <f>SUM(F305)</f>
        <v>-7654</v>
      </c>
      <c r="G51" s="330">
        <f>SUM(G305)</f>
        <v>0</v>
      </c>
      <c r="H51" s="325" t="str">
        <f>IF(E51=F51+G51," ","ERROR")</f>
        <v xml:space="preserve"> </v>
      </c>
      <c r="I51" s="330" t="e">
        <f>J51+K51</f>
        <v>#REF!</v>
      </c>
      <c r="J51" s="330" t="e">
        <f>#REF!</f>
        <v>#REF!</v>
      </c>
      <c r="K51" s="330"/>
    </row>
    <row r="52" spans="1:11">
      <c r="A52" s="319">
        <v>27</v>
      </c>
      <c r="B52" s="321" t="s">
        <v>572</v>
      </c>
      <c r="D52" s="335"/>
      <c r="E52" s="330"/>
      <c r="F52" s="330"/>
      <c r="G52" s="330"/>
      <c r="H52" s="325"/>
      <c r="I52" s="330"/>
      <c r="J52" s="330"/>
      <c r="K52" s="330"/>
    </row>
    <row r="53" spans="1:11">
      <c r="A53" s="319">
        <v>28</v>
      </c>
      <c r="B53" s="321" t="s">
        <v>102</v>
      </c>
      <c r="E53" s="330">
        <f>F53+G53</f>
        <v>46391</v>
      </c>
      <c r="F53" s="330">
        <f t="shared" ref="F53:G54" si="1">SUM(F306)</f>
        <v>46391</v>
      </c>
      <c r="G53" s="330">
        <f t="shared" si="1"/>
        <v>0</v>
      </c>
      <c r="H53" s="325" t="str">
        <f>IF(E53=F53+G53," ","ERROR")</f>
        <v xml:space="preserve"> </v>
      </c>
      <c r="I53" s="330" t="e">
        <f>J53+K53</f>
        <v>#REF!</v>
      </c>
      <c r="J53" s="330" t="e">
        <f>#REF!</f>
        <v>#REF!</v>
      </c>
      <c r="K53" s="330"/>
    </row>
    <row r="54" spans="1:11">
      <c r="A54" s="319">
        <v>29</v>
      </c>
      <c r="B54" s="321" t="s">
        <v>103</v>
      </c>
      <c r="E54" s="329">
        <f>F54+G54</f>
        <v>-127</v>
      </c>
      <c r="F54" s="329">
        <f t="shared" si="1"/>
        <v>-127</v>
      </c>
      <c r="G54" s="329">
        <f t="shared" si="1"/>
        <v>0</v>
      </c>
      <c r="H54" s="325" t="str">
        <f>IF(E54=F54+G54," ","ERROR")</f>
        <v xml:space="preserve"> </v>
      </c>
      <c r="I54" s="330" t="e">
        <f>J54+K54</f>
        <v>#REF!</v>
      </c>
      <c r="J54" s="330" t="e">
        <f>#REF!</f>
        <v>#REF!</v>
      </c>
      <c r="K54" s="330"/>
    </row>
    <row r="55" spans="1:11">
      <c r="B55" s="321"/>
      <c r="E55" s="331"/>
      <c r="F55" s="331"/>
      <c r="G55" s="331"/>
      <c r="H55" s="325"/>
      <c r="I55" s="330"/>
      <c r="J55" s="330"/>
      <c r="K55" s="330"/>
    </row>
    <row r="56" spans="1:11" s="325" customFormat="1" ht="12.75" thickBot="1">
      <c r="A56" s="328">
        <v>30</v>
      </c>
      <c r="B56" s="327" t="s">
        <v>62</v>
      </c>
      <c r="E56" s="326">
        <f>E48-(E50+E51+E53+E54)</f>
        <v>102041</v>
      </c>
      <c r="F56" s="326">
        <f>F48-(F50+F51+F53+F54)</f>
        <v>102043</v>
      </c>
      <c r="G56" s="326">
        <f>G48-(G50+G51+G53+G54)</f>
        <v>-2</v>
      </c>
      <c r="H56" s="325" t="str">
        <f>IF(E56=F56+G56," ","ERROR")</f>
        <v xml:space="preserve"> </v>
      </c>
      <c r="I56" s="326" t="e">
        <f>I48-(I50+I51+I53+I54+#REF!)</f>
        <v>#REF!</v>
      </c>
      <c r="J56" s="326" t="e">
        <f>J48-(J50+J51+J53+J54+#REF!)</f>
        <v>#REF!</v>
      </c>
      <c r="K56" s="326"/>
    </row>
    <row r="57" spans="1:11" ht="12.75" thickTop="1">
      <c r="H57" s="325"/>
    </row>
    <row r="58" spans="1:11">
      <c r="B58" s="321" t="s">
        <v>63</v>
      </c>
      <c r="H58" s="325"/>
    </row>
    <row r="59" spans="1:11">
      <c r="B59" s="321" t="s">
        <v>64</v>
      </c>
      <c r="H59" s="325"/>
    </row>
    <row r="60" spans="1:11" s="325" customFormat="1">
      <c r="A60" s="328">
        <v>31</v>
      </c>
      <c r="B60" s="327" t="s">
        <v>104</v>
      </c>
      <c r="E60" s="334">
        <f>F60+G60</f>
        <v>132877</v>
      </c>
      <c r="F60" s="334">
        <f>SUM(F320)</f>
        <v>132877</v>
      </c>
      <c r="G60" s="334">
        <f>SUM(G320)</f>
        <v>0</v>
      </c>
      <c r="H60" s="325" t="str">
        <f t="shared" ref="H60:H66" si="2">IF(E60=F60+G60," ","ERROR")</f>
        <v xml:space="preserve"> </v>
      </c>
      <c r="I60" s="334" t="e">
        <f>J60+K60</f>
        <v>#REF!</v>
      </c>
      <c r="J60" s="334" t="e">
        <f>#REF!</f>
        <v>#REF!</v>
      </c>
      <c r="K60" s="334"/>
    </row>
    <row r="61" spans="1:11">
      <c r="A61" s="319">
        <v>32</v>
      </c>
      <c r="B61" s="321" t="s">
        <v>105</v>
      </c>
      <c r="E61" s="330">
        <f>F61+G61</f>
        <v>762834</v>
      </c>
      <c r="F61" s="330">
        <f>SUM(F353)</f>
        <v>762834</v>
      </c>
      <c r="G61" s="330">
        <f>SUM(G353)</f>
        <v>0</v>
      </c>
      <c r="H61" s="325" t="str">
        <f t="shared" si="2"/>
        <v xml:space="preserve"> </v>
      </c>
      <c r="I61" s="330" t="e">
        <f>J61+K61</f>
        <v>#REF!</v>
      </c>
      <c r="J61" s="330" t="e">
        <f>#REF!</f>
        <v>#REF!</v>
      </c>
      <c r="K61" s="330"/>
    </row>
    <row r="62" spans="1:11">
      <c r="A62" s="319">
        <v>33</v>
      </c>
      <c r="B62" s="321" t="s">
        <v>106</v>
      </c>
      <c r="E62" s="330">
        <f>F62+G62</f>
        <v>390240</v>
      </c>
      <c r="F62" s="330">
        <f>SUM(F366)</f>
        <v>390240</v>
      </c>
      <c r="G62" s="330">
        <f>SUM(G366)</f>
        <v>0</v>
      </c>
      <c r="H62" s="325" t="str">
        <f t="shared" si="2"/>
        <v xml:space="preserve"> </v>
      </c>
      <c r="I62" s="330" t="e">
        <f>J62+K62</f>
        <v>#REF!</v>
      </c>
      <c r="J62" s="330" t="e">
        <f>#REF!</f>
        <v>#REF!</v>
      </c>
      <c r="K62" s="330"/>
    </row>
    <row r="63" spans="1:11">
      <c r="A63" s="319">
        <v>34</v>
      </c>
      <c r="B63" s="321" t="s">
        <v>107</v>
      </c>
      <c r="E63" s="330">
        <f>F63+G63</f>
        <v>880960</v>
      </c>
      <c r="F63" s="330">
        <f>SUM(F382)</f>
        <v>880960</v>
      </c>
      <c r="G63" s="330">
        <f>SUM(G382)</f>
        <v>0</v>
      </c>
      <c r="H63" s="325" t="str">
        <f t="shared" si="2"/>
        <v xml:space="preserve"> </v>
      </c>
      <c r="I63" s="330" t="e">
        <f>J63+K63</f>
        <v>#REF!</v>
      </c>
      <c r="J63" s="330" t="e">
        <f>#REF!</f>
        <v>#REF!</v>
      </c>
      <c r="K63" s="330"/>
    </row>
    <row r="64" spans="1:11">
      <c r="A64" s="319">
        <v>35</v>
      </c>
      <c r="B64" s="321" t="s">
        <v>108</v>
      </c>
      <c r="E64" s="329">
        <f>F64+G64</f>
        <v>207660</v>
      </c>
      <c r="F64" s="329">
        <f>SUM(F395)</f>
        <v>207660</v>
      </c>
      <c r="G64" s="329">
        <f>SUM(G395)</f>
        <v>0</v>
      </c>
      <c r="H64" s="325" t="str">
        <f t="shared" si="2"/>
        <v xml:space="preserve"> </v>
      </c>
      <c r="I64" s="329" t="e">
        <f>J64+K64</f>
        <v>#REF!</v>
      </c>
      <c r="J64" s="329" t="e">
        <f>#REF!</f>
        <v>#REF!</v>
      </c>
      <c r="K64" s="329"/>
    </row>
    <row r="65" spans="1:11">
      <c r="A65" s="319">
        <v>36</v>
      </c>
      <c r="B65" s="321" t="s">
        <v>109</v>
      </c>
      <c r="E65" s="332">
        <f>E60+E61+E62+E63+E64</f>
        <v>2374571</v>
      </c>
      <c r="F65" s="332">
        <f>F60+F61+F62+F63+F64</f>
        <v>2374571</v>
      </c>
      <c r="G65" s="332">
        <f>G60+G61+G62+G63+G64</f>
        <v>0</v>
      </c>
      <c r="H65" s="325" t="str">
        <f t="shared" si="2"/>
        <v xml:space="preserve"> </v>
      </c>
      <c r="I65" s="332" t="e">
        <f>I60+I61+I62+I63+I64</f>
        <v>#REF!</v>
      </c>
      <c r="J65" s="332" t="e">
        <f>J60+J61+J62+J63+J64</f>
        <v>#REF!</v>
      </c>
      <c r="K65" s="332"/>
    </row>
    <row r="66" spans="1:11" ht="19.5" customHeight="1">
      <c r="B66" s="321" t="s">
        <v>566</v>
      </c>
      <c r="E66" s="330"/>
      <c r="F66" s="330"/>
      <c r="G66" s="330"/>
      <c r="H66" s="325" t="str">
        <f t="shared" si="2"/>
        <v xml:space="preserve"> </v>
      </c>
      <c r="I66" s="330" t="e">
        <f>J66+K66</f>
        <v>#REF!</v>
      </c>
      <c r="J66" s="330" t="e">
        <f>#REF!</f>
        <v>#REF!</v>
      </c>
      <c r="K66" s="330"/>
    </row>
    <row r="67" spans="1:11">
      <c r="A67" s="319">
        <v>37</v>
      </c>
      <c r="B67" s="327" t="s">
        <v>104</v>
      </c>
      <c r="E67" s="330">
        <f>F67+G67</f>
        <v>-23450</v>
      </c>
      <c r="F67" s="330">
        <f>SUM(F410:F413)</f>
        <v>-23450</v>
      </c>
      <c r="G67" s="334">
        <f>SUM(G410:G411)</f>
        <v>0</v>
      </c>
      <c r="H67" s="325"/>
      <c r="I67" s="330"/>
      <c r="J67" s="330"/>
      <c r="K67" s="330"/>
    </row>
    <row r="68" spans="1:11">
      <c r="A68" s="319">
        <v>38</v>
      </c>
      <c r="B68" s="321" t="s">
        <v>105</v>
      </c>
      <c r="E68" s="330">
        <f>F68+G68</f>
        <v>-334622</v>
      </c>
      <c r="F68" s="330">
        <f>SUM(F401:F403)</f>
        <v>-334622</v>
      </c>
      <c r="G68" s="334">
        <f>SUM(G401:G403)</f>
        <v>0</v>
      </c>
      <c r="H68" s="325"/>
      <c r="I68" s="330"/>
      <c r="J68" s="330"/>
      <c r="K68" s="330"/>
    </row>
    <row r="69" spans="1:11">
      <c r="A69" s="319">
        <v>39</v>
      </c>
      <c r="B69" s="321" t="s">
        <v>106</v>
      </c>
      <c r="E69" s="330">
        <f>F69+G69</f>
        <v>-126839</v>
      </c>
      <c r="F69" s="330">
        <f>SUM(F404)</f>
        <v>-126839</v>
      </c>
      <c r="G69" s="334">
        <f>SUM(G404)</f>
        <v>0</v>
      </c>
      <c r="H69" s="325"/>
      <c r="I69" s="330"/>
      <c r="J69" s="330"/>
      <c r="K69" s="330"/>
    </row>
    <row r="70" spans="1:11">
      <c r="A70" s="319">
        <v>40</v>
      </c>
      <c r="B70" s="321" t="s">
        <v>107</v>
      </c>
      <c r="E70" s="330">
        <f>F70+G70</f>
        <v>-268267</v>
      </c>
      <c r="F70" s="330">
        <f>SUM(F405)</f>
        <v>-268267</v>
      </c>
      <c r="G70" s="334">
        <f>SUM(G405)</f>
        <v>0</v>
      </c>
      <c r="H70" s="325"/>
      <c r="I70" s="330"/>
      <c r="J70" s="330"/>
      <c r="K70" s="330"/>
    </row>
    <row r="71" spans="1:11">
      <c r="A71" s="319">
        <v>41</v>
      </c>
      <c r="B71" s="321" t="s">
        <v>108</v>
      </c>
      <c r="E71" s="329">
        <f>F71+G71</f>
        <v>-70794</v>
      </c>
      <c r="F71" s="329">
        <f>SUM(F406,F414)</f>
        <v>-70794</v>
      </c>
      <c r="G71" s="333">
        <f>SUM(G406,G412,G413,G414)</f>
        <v>0</v>
      </c>
    </row>
    <row r="72" spans="1:11">
      <c r="A72" s="319">
        <v>42</v>
      </c>
      <c r="B72" s="321" t="s">
        <v>284</v>
      </c>
      <c r="E72" s="513">
        <f>SUM(E67:E71)</f>
        <v>-823972</v>
      </c>
      <c r="F72" s="513">
        <f>SUM(F67:F71)</f>
        <v>-823972</v>
      </c>
      <c r="G72" s="318">
        <f>SUM(G67:G71)</f>
        <v>0</v>
      </c>
    </row>
    <row r="73" spans="1:11">
      <c r="A73" s="319">
        <v>43</v>
      </c>
      <c r="B73" s="318" t="s">
        <v>569</v>
      </c>
      <c r="E73" s="375">
        <f>E65+E72</f>
        <v>1550599</v>
      </c>
      <c r="F73" s="375">
        <f>F65+F72</f>
        <v>1550599</v>
      </c>
      <c r="G73" s="375">
        <f>G65+G72</f>
        <v>0</v>
      </c>
    </row>
    <row r="74" spans="1:11" ht="3.75" customHeight="1">
      <c r="B74" s="321"/>
      <c r="E74" s="332"/>
      <c r="F74" s="332"/>
      <c r="G74" s="332"/>
      <c r="H74" s="325"/>
      <c r="I74" s="332"/>
      <c r="J74" s="332"/>
      <c r="K74" s="332"/>
    </row>
    <row r="75" spans="1:11">
      <c r="A75" s="319">
        <v>44</v>
      </c>
      <c r="B75" s="321" t="s">
        <v>567</v>
      </c>
      <c r="E75" s="329">
        <f>F75+G75</f>
        <v>-294026</v>
      </c>
      <c r="F75" s="329">
        <f>SUM(F432)</f>
        <v>-294026</v>
      </c>
      <c r="G75" s="329">
        <f>SUM(G432)</f>
        <v>0</v>
      </c>
      <c r="H75" s="325" t="str">
        <f>IF(E75=F75+G75," ","ERROR")</f>
        <v xml:space="preserve"> </v>
      </c>
      <c r="I75" s="329" t="e">
        <f>J75+K75</f>
        <v>#REF!</v>
      </c>
      <c r="J75" s="329" t="e">
        <f>#REF!</f>
        <v>#REF!</v>
      </c>
      <c r="K75" s="329"/>
    </row>
    <row r="76" spans="1:11">
      <c r="A76" s="319">
        <v>45</v>
      </c>
      <c r="B76" s="321" t="s">
        <v>568</v>
      </c>
      <c r="E76" s="331">
        <f>SUM(E73:E75)</f>
        <v>1256573</v>
      </c>
      <c r="F76" s="331">
        <f>SUM(F73:F75)</f>
        <v>1256573</v>
      </c>
      <c r="G76" s="331">
        <f>SUM(G73-G75)</f>
        <v>0</v>
      </c>
      <c r="H76" s="325"/>
      <c r="I76" s="331"/>
      <c r="J76" s="331"/>
      <c r="K76" s="331"/>
    </row>
    <row r="77" spans="1:11">
      <c r="A77" s="319">
        <v>46</v>
      </c>
      <c r="B77" s="321" t="s">
        <v>283</v>
      </c>
      <c r="E77" s="330">
        <f t="shared" ref="E77:E78" si="3">F77+G77</f>
        <v>8202</v>
      </c>
      <c r="F77" s="332">
        <f>SUM(F468)-F78-2</f>
        <v>8202</v>
      </c>
      <c r="G77" s="332">
        <f>SUM(G437:G467)-G78</f>
        <v>0</v>
      </c>
      <c r="H77" s="325"/>
      <c r="I77" s="332"/>
      <c r="J77" s="332"/>
      <c r="K77" s="332"/>
    </row>
    <row r="78" spans="1:11">
      <c r="A78" s="319">
        <v>47</v>
      </c>
      <c r="B78" s="321" t="s">
        <v>265</v>
      </c>
      <c r="E78" s="329">
        <f t="shared" si="3"/>
        <v>44420</v>
      </c>
      <c r="F78" s="329">
        <f>F466</f>
        <v>44420</v>
      </c>
      <c r="G78" s="329">
        <f>G466</f>
        <v>0</v>
      </c>
      <c r="H78" s="325"/>
      <c r="I78" s="330"/>
      <c r="J78" s="330"/>
      <c r="K78" s="330"/>
    </row>
    <row r="79" spans="1:11">
      <c r="H79" s="325"/>
    </row>
    <row r="80" spans="1:11" s="325" customFormat="1" ht="12.75" thickBot="1">
      <c r="A80" s="328">
        <v>48</v>
      </c>
      <c r="B80" s="327" t="s">
        <v>71</v>
      </c>
      <c r="E80" s="326">
        <f>SUM(E76:E78)</f>
        <v>1309195</v>
      </c>
      <c r="F80" s="326">
        <f>SUM(F76:F78)</f>
        <v>1309195</v>
      </c>
      <c r="G80" s="326">
        <f>SUM(G76:G78)</f>
        <v>0</v>
      </c>
      <c r="H80" s="325" t="str">
        <f>IF(E80=F80+G80," ","ERROR")</f>
        <v xml:space="preserve"> </v>
      </c>
      <c r="I80" s="326" t="e">
        <f>J80+K80</f>
        <v>#REF!</v>
      </c>
      <c r="J80" s="326" t="e">
        <f>J65-#REF!+#REF!+#REF!</f>
        <v>#REF!</v>
      </c>
      <c r="K80" s="326"/>
    </row>
    <row r="81" spans="1:14" s="320" customFormat="1" ht="14.25" customHeight="1" thickTop="1">
      <c r="E81" s="312">
        <f>E56/E80</f>
        <v>7.7941788656388081E-2</v>
      </c>
      <c r="F81" s="312">
        <f>F56/F80</f>
        <v>7.7943316312695965E-2</v>
      </c>
      <c r="G81" s="312"/>
      <c r="I81" s="312" t="e">
        <f>I56/I80</f>
        <v>#REF!</v>
      </c>
      <c r="J81" s="312" t="e">
        <f>J56/J80</f>
        <v>#REF!</v>
      </c>
      <c r="K81" s="312"/>
    </row>
    <row r="82" spans="1:14">
      <c r="A82" s="318"/>
      <c r="B82" s="324" t="s">
        <v>110</v>
      </c>
      <c r="C82" s="323"/>
      <c r="D82" s="323"/>
      <c r="E82" s="323"/>
      <c r="F82" s="323"/>
      <c r="G82" s="322"/>
      <c r="I82" s="323"/>
      <c r="J82" s="323"/>
      <c r="K82" s="322"/>
    </row>
    <row r="83" spans="1:14" ht="15.75">
      <c r="A83" s="350"/>
      <c r="B83" s="351" t="s">
        <v>287</v>
      </c>
      <c r="C83" s="351"/>
      <c r="M83" s="544" t="s">
        <v>287</v>
      </c>
      <c r="N83" s="544"/>
    </row>
    <row r="84" spans="1:14" ht="15.75">
      <c r="A84" s="350"/>
      <c r="B84" s="352" t="s">
        <v>288</v>
      </c>
      <c r="C84" s="351"/>
      <c r="M84" s="540" t="s">
        <v>288</v>
      </c>
      <c r="N84" s="544"/>
    </row>
    <row r="85" spans="1:14" ht="15.75">
      <c r="A85" s="353">
        <v>440000</v>
      </c>
      <c r="B85" s="352" t="s">
        <v>289</v>
      </c>
      <c r="C85" s="351"/>
      <c r="F85" s="318">
        <f>ROUND(H85/1000,0)</f>
        <v>227682</v>
      </c>
      <c r="G85" s="318">
        <v>0</v>
      </c>
      <c r="H85" s="318">
        <v>227682270</v>
      </c>
      <c r="L85" s="318">
        <v>227682270</v>
      </c>
      <c r="M85" s="540" t="s">
        <v>289</v>
      </c>
      <c r="N85" s="544"/>
    </row>
    <row r="86" spans="1:14" ht="15.75">
      <c r="A86" s="353">
        <v>442200</v>
      </c>
      <c r="B86" s="352" t="s">
        <v>290</v>
      </c>
      <c r="C86" s="351"/>
      <c r="F86" s="318">
        <f t="shared" ref="F86:F150" si="4">ROUND(H86/1000,0)</f>
        <v>220523</v>
      </c>
      <c r="G86" s="318">
        <v>0</v>
      </c>
      <c r="H86" s="318">
        <v>220523137</v>
      </c>
      <c r="L86" s="318">
        <v>220523137</v>
      </c>
      <c r="M86" s="540" t="s">
        <v>290</v>
      </c>
      <c r="N86" s="544"/>
    </row>
    <row r="87" spans="1:14" ht="15.75">
      <c r="A87" s="353">
        <v>442300</v>
      </c>
      <c r="B87" s="352" t="s">
        <v>291</v>
      </c>
      <c r="C87" s="351"/>
      <c r="F87" s="318">
        <f t="shared" si="4"/>
        <v>67698</v>
      </c>
      <c r="G87" s="318">
        <v>0</v>
      </c>
      <c r="H87" s="318">
        <v>67698290</v>
      </c>
      <c r="L87" s="318">
        <v>67698290</v>
      </c>
      <c r="M87" s="540" t="s">
        <v>291</v>
      </c>
      <c r="N87" s="544"/>
    </row>
    <row r="88" spans="1:14" ht="15.75">
      <c r="A88" s="353">
        <v>444000</v>
      </c>
      <c r="B88" s="352" t="s">
        <v>292</v>
      </c>
      <c r="C88" s="351"/>
      <c r="F88" s="318">
        <f t="shared" si="4"/>
        <v>4906</v>
      </c>
      <c r="G88" s="318">
        <v>0</v>
      </c>
      <c r="H88" s="318">
        <v>4906397</v>
      </c>
      <c r="L88" s="318">
        <v>4906397</v>
      </c>
      <c r="M88" s="540" t="s">
        <v>292</v>
      </c>
      <c r="N88" s="544"/>
    </row>
    <row r="89" spans="1:14" ht="15.75">
      <c r="A89" s="353">
        <v>448000</v>
      </c>
      <c r="B89" s="352" t="s">
        <v>295</v>
      </c>
      <c r="E89" s="351"/>
      <c r="F89" s="318">
        <f t="shared" si="4"/>
        <v>920</v>
      </c>
      <c r="G89" s="318">
        <v>0</v>
      </c>
      <c r="H89" s="318">
        <v>920443</v>
      </c>
      <c r="L89" s="318">
        <v>920443</v>
      </c>
      <c r="M89" s="540" t="s">
        <v>295</v>
      </c>
      <c r="N89" s="544"/>
    </row>
    <row r="90" spans="1:14" ht="15.75">
      <c r="A90" s="350" t="s">
        <v>293</v>
      </c>
      <c r="B90" s="352" t="s">
        <v>294</v>
      </c>
      <c r="C90" s="351"/>
      <c r="F90" s="318">
        <f t="shared" si="4"/>
        <v>-8789</v>
      </c>
      <c r="G90" s="318">
        <v>0</v>
      </c>
      <c r="H90" s="318">
        <v>-8788994</v>
      </c>
      <c r="L90" s="318">
        <v>-8788994</v>
      </c>
      <c r="M90" s="540" t="s">
        <v>294</v>
      </c>
      <c r="N90" s="544"/>
    </row>
    <row r="91" spans="1:14" ht="15.75">
      <c r="A91" s="353"/>
      <c r="B91" s="352" t="s">
        <v>296</v>
      </c>
      <c r="C91" s="351"/>
      <c r="F91" s="318">
        <f t="shared" si="4"/>
        <v>512942</v>
      </c>
      <c r="G91" s="318">
        <v>0</v>
      </c>
      <c r="H91" s="318">
        <v>512941543</v>
      </c>
      <c r="L91" s="318">
        <v>512941543</v>
      </c>
      <c r="M91" s="540" t="s">
        <v>296</v>
      </c>
      <c r="N91" s="544"/>
    </row>
    <row r="92" spans="1:14" ht="15.75">
      <c r="A92" s="353"/>
      <c r="B92" s="352"/>
      <c r="C92" s="351"/>
      <c r="F92" s="318">
        <f t="shared" si="4"/>
        <v>0</v>
      </c>
      <c r="G92" s="318">
        <v>0</v>
      </c>
      <c r="M92" s="540"/>
      <c r="N92" s="544"/>
    </row>
    <row r="93" spans="1:14" ht="15.75">
      <c r="A93" s="353" t="s">
        <v>297</v>
      </c>
      <c r="B93" s="352" t="s">
        <v>40</v>
      </c>
      <c r="C93" s="351"/>
      <c r="F93" s="318">
        <f t="shared" si="4"/>
        <v>84664</v>
      </c>
      <c r="G93" s="318">
        <v>0</v>
      </c>
      <c r="H93" s="318">
        <v>84664478</v>
      </c>
      <c r="L93" s="318">
        <v>84664478</v>
      </c>
      <c r="M93" s="540" t="s">
        <v>40</v>
      </c>
      <c r="N93" s="544"/>
    </row>
    <row r="94" spans="1:14" ht="15.75">
      <c r="A94" s="353"/>
      <c r="B94" s="352" t="s">
        <v>298</v>
      </c>
      <c r="C94" s="351"/>
      <c r="F94" s="318">
        <f t="shared" si="4"/>
        <v>597606</v>
      </c>
      <c r="G94" s="318">
        <v>0</v>
      </c>
      <c r="H94" s="318">
        <v>597606021</v>
      </c>
      <c r="L94" s="318">
        <v>597606021</v>
      </c>
      <c r="M94" s="540" t="s">
        <v>298</v>
      </c>
      <c r="N94" s="544"/>
    </row>
    <row r="95" spans="1:14" ht="15.75">
      <c r="A95" s="353"/>
      <c r="B95" s="352"/>
      <c r="C95" s="351"/>
      <c r="F95" s="318">
        <f t="shared" si="4"/>
        <v>0</v>
      </c>
      <c r="G95" s="318">
        <v>0</v>
      </c>
      <c r="M95" s="540"/>
      <c r="N95" s="544"/>
    </row>
    <row r="96" spans="1:14" ht="15.75">
      <c r="A96" s="353"/>
      <c r="B96" s="352" t="s">
        <v>299</v>
      </c>
      <c r="C96" s="351"/>
      <c r="F96" s="318">
        <f t="shared" si="4"/>
        <v>0</v>
      </c>
      <c r="G96" s="318">
        <v>0</v>
      </c>
      <c r="M96" s="540" t="s">
        <v>299</v>
      </c>
      <c r="N96" s="544"/>
    </row>
    <row r="97" spans="1:14" ht="15.75">
      <c r="A97" s="541">
        <v>449100</v>
      </c>
      <c r="B97" s="540" t="s">
        <v>681</v>
      </c>
      <c r="C97" s="351"/>
      <c r="F97" s="318">
        <f t="shared" ref="F97" si="5">ROUND(H97/1000,0)</f>
        <v>-1500</v>
      </c>
      <c r="G97" s="318">
        <v>1</v>
      </c>
      <c r="H97" s="318">
        <v>-1500000</v>
      </c>
      <c r="L97" s="318">
        <v>-1500000</v>
      </c>
      <c r="M97" s="540" t="s">
        <v>681</v>
      </c>
      <c r="N97" s="544"/>
    </row>
    <row r="98" spans="1:14" ht="15.75">
      <c r="A98" s="353">
        <v>451000</v>
      </c>
      <c r="B98" s="352" t="s">
        <v>300</v>
      </c>
      <c r="C98" s="351"/>
      <c r="F98" s="318">
        <f t="shared" si="4"/>
        <v>194</v>
      </c>
      <c r="G98" s="318">
        <v>0</v>
      </c>
      <c r="H98" s="318">
        <v>193606</v>
      </c>
      <c r="L98" s="318">
        <v>193606</v>
      </c>
      <c r="M98" s="540" t="s">
        <v>300</v>
      </c>
      <c r="N98" s="544"/>
    </row>
    <row r="99" spans="1:14" ht="15.75">
      <c r="A99" s="353">
        <v>453000</v>
      </c>
      <c r="B99" s="352" t="s">
        <v>301</v>
      </c>
      <c r="C99" s="351"/>
      <c r="F99" s="318">
        <f t="shared" si="4"/>
        <v>271</v>
      </c>
      <c r="G99" s="318">
        <v>0</v>
      </c>
      <c r="H99" s="318">
        <v>270704</v>
      </c>
      <c r="L99" s="318">
        <v>270704</v>
      </c>
      <c r="M99" s="540" t="s">
        <v>301</v>
      </c>
      <c r="N99" s="544"/>
    </row>
    <row r="100" spans="1:14" ht="15.75">
      <c r="A100" s="353">
        <v>454000</v>
      </c>
      <c r="B100" s="352" t="s">
        <v>302</v>
      </c>
      <c r="C100" s="351"/>
      <c r="F100" s="318">
        <f t="shared" si="4"/>
        <v>2143</v>
      </c>
      <c r="G100" s="318">
        <v>0</v>
      </c>
      <c r="H100" s="318">
        <v>2142694</v>
      </c>
      <c r="L100" s="318">
        <v>2142694</v>
      </c>
      <c r="M100" s="540" t="s">
        <v>302</v>
      </c>
      <c r="N100" s="544"/>
    </row>
    <row r="101" spans="1:14" ht="15.75">
      <c r="A101" s="350" t="s">
        <v>303</v>
      </c>
      <c r="B101" s="352" t="s">
        <v>304</v>
      </c>
      <c r="C101" s="351"/>
      <c r="F101" s="318">
        <f t="shared" si="4"/>
        <v>75405</v>
      </c>
      <c r="G101" s="318">
        <v>0</v>
      </c>
      <c r="H101" s="318">
        <v>75404703</v>
      </c>
      <c r="L101" s="318">
        <v>75404703</v>
      </c>
      <c r="M101" s="540" t="s">
        <v>304</v>
      </c>
      <c r="N101" s="544"/>
    </row>
    <row r="102" spans="1:14" ht="15.75">
      <c r="A102" s="350"/>
      <c r="B102" s="352" t="s">
        <v>305</v>
      </c>
      <c r="C102" s="351"/>
      <c r="F102" s="318">
        <f t="shared" si="4"/>
        <v>76512</v>
      </c>
      <c r="G102" s="318">
        <v>0</v>
      </c>
      <c r="H102" s="318">
        <v>76511707</v>
      </c>
      <c r="L102" s="318">
        <v>76511707</v>
      </c>
      <c r="M102" s="540" t="s">
        <v>305</v>
      </c>
      <c r="N102" s="544"/>
    </row>
    <row r="103" spans="1:14" ht="15.75">
      <c r="A103" s="350"/>
      <c r="B103" s="352" t="s">
        <v>306</v>
      </c>
      <c r="C103" s="351"/>
      <c r="F103" s="318">
        <f t="shared" si="4"/>
        <v>674118</v>
      </c>
      <c r="G103" s="318">
        <v>0</v>
      </c>
      <c r="H103" s="318">
        <v>674117728</v>
      </c>
      <c r="L103" s="318">
        <v>674117728</v>
      </c>
      <c r="M103" s="540" t="s">
        <v>306</v>
      </c>
      <c r="N103" s="544"/>
    </row>
    <row r="104" spans="1:14" ht="15.75">
      <c r="A104" s="350"/>
      <c r="B104" s="352"/>
      <c r="C104" s="351"/>
      <c r="F104" s="318">
        <f t="shared" si="4"/>
        <v>0</v>
      </c>
      <c r="G104" s="318">
        <v>0</v>
      </c>
      <c r="M104" s="540"/>
      <c r="N104" s="544"/>
    </row>
    <row r="105" spans="1:14" ht="15.75">
      <c r="A105" s="350"/>
      <c r="B105" s="352" t="s">
        <v>307</v>
      </c>
      <c r="C105" s="351"/>
      <c r="F105" s="318">
        <f t="shared" si="4"/>
        <v>0</v>
      </c>
      <c r="G105" s="318">
        <v>0</v>
      </c>
      <c r="M105" s="540" t="s">
        <v>307</v>
      </c>
      <c r="N105" s="544"/>
    </row>
    <row r="106" spans="1:14" ht="15.75">
      <c r="A106" s="350"/>
      <c r="B106" s="352" t="s">
        <v>308</v>
      </c>
      <c r="C106" s="351"/>
      <c r="F106" s="318">
        <f t="shared" si="4"/>
        <v>0</v>
      </c>
      <c r="G106" s="318">
        <v>0</v>
      </c>
      <c r="M106" s="540" t="s">
        <v>308</v>
      </c>
      <c r="N106" s="544"/>
    </row>
    <row r="107" spans="1:14" ht="15.75">
      <c r="A107" s="350"/>
      <c r="B107" s="352" t="s">
        <v>309</v>
      </c>
      <c r="C107" s="351"/>
      <c r="F107" s="318">
        <f t="shared" si="4"/>
        <v>0</v>
      </c>
      <c r="G107" s="318">
        <v>0</v>
      </c>
      <c r="M107" s="540" t="s">
        <v>309</v>
      </c>
      <c r="N107" s="544"/>
    </row>
    <row r="108" spans="1:14" ht="15.75">
      <c r="A108" s="353">
        <v>500000</v>
      </c>
      <c r="B108" s="352" t="s">
        <v>310</v>
      </c>
      <c r="C108" s="351"/>
      <c r="F108" s="318">
        <f t="shared" si="4"/>
        <v>173</v>
      </c>
      <c r="G108" s="318">
        <v>0</v>
      </c>
      <c r="H108" s="318">
        <v>172627</v>
      </c>
      <c r="L108" s="318">
        <v>172627</v>
      </c>
      <c r="M108" s="540" t="s">
        <v>310</v>
      </c>
      <c r="N108" s="544"/>
    </row>
    <row r="109" spans="1:14" ht="15.75">
      <c r="A109" s="353">
        <v>501000</v>
      </c>
      <c r="B109" s="352" t="s">
        <v>311</v>
      </c>
      <c r="C109" s="351"/>
      <c r="F109" s="318">
        <f t="shared" si="4"/>
        <v>19628</v>
      </c>
      <c r="G109" s="318">
        <v>0</v>
      </c>
      <c r="H109" s="318">
        <v>19628145</v>
      </c>
      <c r="L109" s="318">
        <v>19628145</v>
      </c>
      <c r="M109" s="540" t="s">
        <v>311</v>
      </c>
      <c r="N109" s="544"/>
    </row>
    <row r="110" spans="1:14" ht="15.75">
      <c r="A110" s="353">
        <v>502000</v>
      </c>
      <c r="B110" s="352" t="s">
        <v>312</v>
      </c>
      <c r="C110" s="351"/>
      <c r="F110" s="318">
        <f t="shared" si="4"/>
        <v>2886</v>
      </c>
      <c r="G110" s="318">
        <v>0</v>
      </c>
      <c r="H110" s="318">
        <v>2886221</v>
      </c>
      <c r="L110" s="318">
        <v>2886221</v>
      </c>
      <c r="M110" s="540" t="s">
        <v>312</v>
      </c>
      <c r="N110" s="544"/>
    </row>
    <row r="111" spans="1:14" ht="15.75">
      <c r="A111" s="353">
        <v>505000</v>
      </c>
      <c r="B111" s="352" t="s">
        <v>313</v>
      </c>
      <c r="C111" s="351"/>
      <c r="F111" s="318">
        <f t="shared" si="4"/>
        <v>746</v>
      </c>
      <c r="G111" s="318">
        <v>0</v>
      </c>
      <c r="H111" s="318">
        <v>746494</v>
      </c>
      <c r="L111" s="318">
        <v>746494</v>
      </c>
      <c r="M111" s="540" t="s">
        <v>313</v>
      </c>
      <c r="N111" s="544"/>
    </row>
    <row r="112" spans="1:14" ht="15.75">
      <c r="A112" s="353">
        <v>506000</v>
      </c>
      <c r="B112" s="352" t="s">
        <v>314</v>
      </c>
      <c r="C112" s="351"/>
      <c r="F112" s="318">
        <f t="shared" si="4"/>
        <v>1934</v>
      </c>
      <c r="G112" s="318">
        <v>0</v>
      </c>
      <c r="H112" s="318">
        <v>1934324</v>
      </c>
      <c r="L112" s="318">
        <v>1934324</v>
      </c>
      <c r="M112" s="540" t="s">
        <v>689</v>
      </c>
      <c r="N112" s="544"/>
    </row>
    <row r="113" spans="1:14" ht="15.75">
      <c r="A113" s="353">
        <v>507000</v>
      </c>
      <c r="B113" s="352" t="s">
        <v>315</v>
      </c>
      <c r="C113" s="351"/>
      <c r="F113" s="318">
        <f t="shared" si="4"/>
        <v>16</v>
      </c>
      <c r="G113" s="318">
        <v>0</v>
      </c>
      <c r="H113" s="318">
        <v>15969</v>
      </c>
      <c r="L113" s="318">
        <v>15969</v>
      </c>
      <c r="M113" s="540" t="s">
        <v>315</v>
      </c>
      <c r="N113" s="544"/>
    </row>
    <row r="114" spans="1:14" ht="15.75">
      <c r="A114" s="353"/>
      <c r="B114" s="352"/>
      <c r="C114" s="351"/>
      <c r="F114" s="318">
        <f t="shared" si="4"/>
        <v>0</v>
      </c>
      <c r="G114" s="318">
        <v>0</v>
      </c>
      <c r="M114" s="540"/>
      <c r="N114" s="544"/>
    </row>
    <row r="115" spans="1:14" ht="15.75">
      <c r="A115" s="353"/>
      <c r="B115" s="352" t="s">
        <v>316</v>
      </c>
      <c r="C115" s="351"/>
      <c r="F115" s="318">
        <f t="shared" si="4"/>
        <v>0</v>
      </c>
      <c r="G115" s="318">
        <v>0</v>
      </c>
      <c r="M115" s="540" t="s">
        <v>316</v>
      </c>
      <c r="N115" s="544"/>
    </row>
    <row r="116" spans="1:14" ht="15.75">
      <c r="A116" s="353">
        <v>510000</v>
      </c>
      <c r="B116" s="352" t="s">
        <v>310</v>
      </c>
      <c r="C116" s="351"/>
      <c r="F116" s="318">
        <f t="shared" si="4"/>
        <v>391</v>
      </c>
      <c r="G116" s="318">
        <v>0</v>
      </c>
      <c r="H116" s="318">
        <v>390715</v>
      </c>
      <c r="L116" s="318">
        <v>390715</v>
      </c>
      <c r="M116" s="540" t="s">
        <v>310</v>
      </c>
      <c r="N116" s="544"/>
    </row>
    <row r="117" spans="1:14" ht="15.75">
      <c r="A117" s="353">
        <v>511000</v>
      </c>
      <c r="B117" s="352" t="s">
        <v>317</v>
      </c>
      <c r="C117" s="351"/>
      <c r="F117" s="318">
        <f t="shared" si="4"/>
        <v>535</v>
      </c>
      <c r="G117" s="318">
        <v>0</v>
      </c>
      <c r="H117" s="318">
        <v>535356</v>
      </c>
      <c r="L117" s="318">
        <v>535356</v>
      </c>
      <c r="M117" s="540" t="s">
        <v>317</v>
      </c>
      <c r="N117" s="544"/>
    </row>
    <row r="118" spans="1:14" ht="15.75">
      <c r="A118" s="353">
        <v>512000</v>
      </c>
      <c r="B118" s="352" t="s">
        <v>318</v>
      </c>
      <c r="C118" s="351"/>
      <c r="F118" s="318">
        <f t="shared" si="4"/>
        <v>3288</v>
      </c>
      <c r="G118" s="318">
        <v>0</v>
      </c>
      <c r="H118" s="318">
        <v>3288430</v>
      </c>
      <c r="L118" s="318">
        <v>3288430</v>
      </c>
      <c r="M118" s="540" t="s">
        <v>318</v>
      </c>
      <c r="N118" s="544"/>
    </row>
    <row r="119" spans="1:14" ht="15.75">
      <c r="A119" s="353">
        <v>513000</v>
      </c>
      <c r="B119" s="352" t="s">
        <v>319</v>
      </c>
      <c r="C119" s="351"/>
      <c r="F119" s="318">
        <f t="shared" si="4"/>
        <v>483</v>
      </c>
      <c r="G119" s="318">
        <v>0</v>
      </c>
      <c r="H119" s="318">
        <v>483175</v>
      </c>
      <c r="L119" s="318">
        <v>483175</v>
      </c>
      <c r="M119" s="540" t="s">
        <v>319</v>
      </c>
      <c r="N119" s="544"/>
    </row>
    <row r="120" spans="1:14" ht="15.75">
      <c r="A120" s="353">
        <v>514000</v>
      </c>
      <c r="B120" s="352" t="s">
        <v>320</v>
      </c>
      <c r="C120" s="351"/>
      <c r="F120" s="318">
        <f t="shared" si="4"/>
        <v>802</v>
      </c>
      <c r="G120" s="318">
        <v>0</v>
      </c>
      <c r="H120" s="318">
        <v>801882</v>
      </c>
      <c r="L120" s="318">
        <v>801882</v>
      </c>
      <c r="M120" s="540" t="s">
        <v>690</v>
      </c>
      <c r="N120" s="544"/>
    </row>
    <row r="121" spans="1:14" ht="15.75">
      <c r="A121" s="350"/>
      <c r="B121" s="352" t="s">
        <v>321</v>
      </c>
      <c r="C121" s="351"/>
      <c r="F121" s="318">
        <f t="shared" si="4"/>
        <v>30883</v>
      </c>
      <c r="G121" s="318">
        <v>0</v>
      </c>
      <c r="H121" s="318">
        <v>30883338</v>
      </c>
      <c r="L121" s="318">
        <v>30883338</v>
      </c>
      <c r="M121" s="540" t="s">
        <v>321</v>
      </c>
      <c r="N121" s="544"/>
    </row>
    <row r="122" spans="1:14" ht="15.75">
      <c r="A122" s="350"/>
      <c r="B122" s="352"/>
      <c r="C122" s="351"/>
      <c r="F122" s="318">
        <f t="shared" si="4"/>
        <v>0</v>
      </c>
      <c r="G122" s="318">
        <v>0</v>
      </c>
      <c r="M122" s="540"/>
      <c r="N122" s="544"/>
    </row>
    <row r="123" spans="1:14" ht="15.75">
      <c r="A123" s="350"/>
      <c r="B123" s="352" t="s">
        <v>322</v>
      </c>
      <c r="C123" s="351"/>
      <c r="F123" s="318">
        <f t="shared" si="4"/>
        <v>0</v>
      </c>
      <c r="G123" s="318">
        <v>0</v>
      </c>
      <c r="M123" s="540" t="s">
        <v>322</v>
      </c>
      <c r="N123" s="544"/>
    </row>
    <row r="124" spans="1:14" ht="15.75">
      <c r="A124" s="350"/>
      <c r="B124" s="352" t="s">
        <v>309</v>
      </c>
      <c r="C124" s="351"/>
      <c r="F124" s="318">
        <f t="shared" si="4"/>
        <v>0</v>
      </c>
      <c r="G124" s="318">
        <v>0</v>
      </c>
      <c r="M124" s="540" t="s">
        <v>309</v>
      </c>
      <c r="N124" s="544"/>
    </row>
    <row r="125" spans="1:14" ht="15.75">
      <c r="A125" s="353">
        <v>535000</v>
      </c>
      <c r="B125" s="352" t="s">
        <v>310</v>
      </c>
      <c r="C125" s="351"/>
      <c r="F125" s="318">
        <f t="shared" si="4"/>
        <v>1396</v>
      </c>
      <c r="G125" s="318">
        <v>0</v>
      </c>
      <c r="H125" s="318">
        <v>1396396</v>
      </c>
      <c r="L125" s="318">
        <v>1396396</v>
      </c>
      <c r="M125" s="540" t="s">
        <v>310</v>
      </c>
      <c r="N125" s="544"/>
    </row>
    <row r="126" spans="1:14" ht="15.75">
      <c r="A126" s="353">
        <v>536000</v>
      </c>
      <c r="B126" s="352" t="s">
        <v>323</v>
      </c>
      <c r="C126" s="351"/>
      <c r="F126" s="318">
        <f t="shared" si="4"/>
        <v>825</v>
      </c>
      <c r="G126" s="318">
        <v>0</v>
      </c>
      <c r="H126" s="318">
        <v>825445</v>
      </c>
      <c r="L126" s="318">
        <v>825445</v>
      </c>
      <c r="M126" s="540" t="s">
        <v>323</v>
      </c>
      <c r="N126" s="544"/>
    </row>
    <row r="127" spans="1:14" ht="15.75">
      <c r="A127" s="353">
        <v>537000</v>
      </c>
      <c r="B127" s="352" t="s">
        <v>324</v>
      </c>
      <c r="C127" s="351"/>
      <c r="F127" s="318">
        <f t="shared" si="4"/>
        <v>4492</v>
      </c>
      <c r="G127" s="318">
        <v>0</v>
      </c>
      <c r="H127" s="318">
        <v>4492372</v>
      </c>
      <c r="L127" s="318">
        <v>4492372</v>
      </c>
      <c r="M127" s="540" t="s">
        <v>324</v>
      </c>
      <c r="N127" s="544"/>
    </row>
    <row r="128" spans="1:14" ht="15.75">
      <c r="A128" s="353">
        <v>538000</v>
      </c>
      <c r="B128" s="352" t="s">
        <v>313</v>
      </c>
      <c r="C128" s="351"/>
      <c r="F128" s="318">
        <f t="shared" si="4"/>
        <v>4097</v>
      </c>
      <c r="G128" s="318">
        <v>0</v>
      </c>
      <c r="H128" s="318">
        <v>4096626</v>
      </c>
      <c r="L128" s="318">
        <v>4096626</v>
      </c>
      <c r="M128" s="540" t="s">
        <v>313</v>
      </c>
      <c r="N128" s="544"/>
    </row>
    <row r="129" spans="1:14" ht="15.75">
      <c r="A129" s="353">
        <v>539000</v>
      </c>
      <c r="B129" s="352" t="s">
        <v>325</v>
      </c>
      <c r="C129" s="351"/>
      <c r="F129" s="318">
        <f t="shared" si="4"/>
        <v>558</v>
      </c>
      <c r="G129" s="318">
        <v>0</v>
      </c>
      <c r="H129" s="318">
        <v>557759</v>
      </c>
      <c r="L129" s="318">
        <v>557759</v>
      </c>
      <c r="M129" s="540" t="s">
        <v>325</v>
      </c>
      <c r="N129" s="544"/>
    </row>
    <row r="130" spans="1:14" ht="15.75">
      <c r="A130" s="353">
        <v>540000</v>
      </c>
      <c r="B130" s="352" t="s">
        <v>315</v>
      </c>
      <c r="C130" s="351"/>
      <c r="F130" s="318">
        <f t="shared" si="4"/>
        <v>873</v>
      </c>
      <c r="G130" s="318">
        <v>0</v>
      </c>
      <c r="H130" s="318">
        <v>873208</v>
      </c>
      <c r="L130" s="318">
        <v>873208</v>
      </c>
      <c r="M130" s="540" t="s">
        <v>315</v>
      </c>
      <c r="N130" s="544"/>
    </row>
    <row r="131" spans="1:14" ht="15.75">
      <c r="A131" s="354">
        <v>540100</v>
      </c>
      <c r="B131" s="355" t="s">
        <v>326</v>
      </c>
      <c r="C131" s="356"/>
      <c r="F131" s="318">
        <f t="shared" si="4"/>
        <v>3725</v>
      </c>
      <c r="G131" s="318">
        <v>0</v>
      </c>
      <c r="H131" s="318">
        <v>3725126</v>
      </c>
      <c r="L131" s="318">
        <v>3725126</v>
      </c>
      <c r="M131" s="543" t="s">
        <v>326</v>
      </c>
      <c r="N131" s="550"/>
    </row>
    <row r="132" spans="1:14" ht="15.75">
      <c r="A132" s="350"/>
      <c r="B132" s="352"/>
      <c r="C132" s="351"/>
      <c r="F132" s="318">
        <f t="shared" si="4"/>
        <v>0</v>
      </c>
      <c r="G132" s="318">
        <v>0</v>
      </c>
      <c r="M132" s="540"/>
      <c r="N132" s="544"/>
    </row>
    <row r="133" spans="1:14" ht="15.75">
      <c r="A133" s="350"/>
      <c r="B133" s="352" t="s">
        <v>316</v>
      </c>
      <c r="C133" s="351"/>
      <c r="F133" s="318">
        <f t="shared" si="4"/>
        <v>0</v>
      </c>
      <c r="G133" s="318">
        <v>0</v>
      </c>
      <c r="M133" s="540" t="s">
        <v>316</v>
      </c>
      <c r="N133" s="544"/>
    </row>
    <row r="134" spans="1:14" ht="15.75">
      <c r="A134" s="353">
        <v>541000</v>
      </c>
      <c r="B134" s="352" t="s">
        <v>310</v>
      </c>
      <c r="C134" s="351"/>
      <c r="F134" s="318">
        <f t="shared" si="4"/>
        <v>766</v>
      </c>
      <c r="G134" s="318">
        <v>0</v>
      </c>
      <c r="H134" s="318">
        <v>766401</v>
      </c>
      <c r="L134" s="318">
        <v>766401</v>
      </c>
      <c r="M134" s="540" t="s">
        <v>310</v>
      </c>
      <c r="N134" s="544"/>
    </row>
    <row r="135" spans="1:14" ht="15.75">
      <c r="A135" s="353">
        <v>542000</v>
      </c>
      <c r="B135" s="352" t="s">
        <v>317</v>
      </c>
      <c r="C135" s="351"/>
      <c r="F135" s="318">
        <f t="shared" si="4"/>
        <v>361</v>
      </c>
      <c r="G135" s="318">
        <v>0</v>
      </c>
      <c r="H135" s="318">
        <v>361032</v>
      </c>
      <c r="L135" s="318">
        <v>361032</v>
      </c>
      <c r="M135" s="540" t="s">
        <v>317</v>
      </c>
      <c r="N135" s="544"/>
    </row>
    <row r="136" spans="1:14" ht="15.75">
      <c r="A136" s="353">
        <v>543000</v>
      </c>
      <c r="B136" s="352" t="s">
        <v>327</v>
      </c>
      <c r="C136" s="351"/>
      <c r="F136" s="318">
        <f t="shared" si="4"/>
        <v>1159</v>
      </c>
      <c r="G136" s="318">
        <v>0</v>
      </c>
      <c r="H136" s="318">
        <v>1158630</v>
      </c>
      <c r="L136" s="318">
        <v>1158630</v>
      </c>
      <c r="M136" s="540" t="s">
        <v>327</v>
      </c>
      <c r="N136" s="544"/>
    </row>
    <row r="137" spans="1:14" ht="15.75">
      <c r="A137" s="353">
        <v>544000</v>
      </c>
      <c r="B137" s="352" t="s">
        <v>319</v>
      </c>
      <c r="C137" s="351"/>
      <c r="F137" s="318">
        <f t="shared" si="4"/>
        <v>1740</v>
      </c>
      <c r="G137" s="318">
        <v>0</v>
      </c>
      <c r="H137" s="318">
        <v>1740450</v>
      </c>
      <c r="L137" s="318">
        <v>1740450</v>
      </c>
      <c r="M137" s="540" t="s">
        <v>319</v>
      </c>
      <c r="N137" s="544"/>
    </row>
    <row r="138" spans="1:14" ht="15.75">
      <c r="A138" s="353">
        <v>545000</v>
      </c>
      <c r="B138" s="352" t="s">
        <v>328</v>
      </c>
      <c r="C138" s="351"/>
      <c r="F138" s="318">
        <f t="shared" si="4"/>
        <v>470</v>
      </c>
      <c r="G138" s="318">
        <v>0</v>
      </c>
      <c r="H138" s="318">
        <v>469962</v>
      </c>
      <c r="L138" s="318">
        <v>469962</v>
      </c>
      <c r="M138" s="540" t="s">
        <v>328</v>
      </c>
      <c r="N138" s="544"/>
    </row>
    <row r="139" spans="1:14" ht="15.75">
      <c r="A139" s="350"/>
      <c r="B139" s="352" t="s">
        <v>329</v>
      </c>
      <c r="C139" s="351"/>
      <c r="F139" s="318">
        <f t="shared" si="4"/>
        <v>20463</v>
      </c>
      <c r="G139" s="318">
        <v>0</v>
      </c>
      <c r="H139" s="318">
        <v>20463407</v>
      </c>
      <c r="L139" s="318">
        <v>20463407</v>
      </c>
      <c r="M139" s="540" t="s">
        <v>329</v>
      </c>
      <c r="N139" s="544"/>
    </row>
    <row r="140" spans="1:14" ht="15.75">
      <c r="A140" s="350"/>
      <c r="B140" s="352"/>
      <c r="C140" s="351"/>
      <c r="F140" s="318">
        <f t="shared" si="4"/>
        <v>0</v>
      </c>
      <c r="G140" s="318">
        <v>0</v>
      </c>
      <c r="M140" s="540"/>
      <c r="N140" s="544"/>
    </row>
    <row r="141" spans="1:14" ht="15.75">
      <c r="A141" s="350"/>
      <c r="B141" s="352" t="s">
        <v>330</v>
      </c>
      <c r="C141" s="351"/>
      <c r="F141" s="318">
        <f t="shared" si="4"/>
        <v>0</v>
      </c>
      <c r="G141" s="318">
        <v>0</v>
      </c>
      <c r="M141" s="540" t="s">
        <v>330</v>
      </c>
      <c r="N141" s="544"/>
    </row>
    <row r="142" spans="1:14" ht="15.75">
      <c r="A142" s="350"/>
      <c r="B142" s="352" t="s">
        <v>309</v>
      </c>
      <c r="C142" s="351"/>
      <c r="F142" s="318">
        <f t="shared" si="4"/>
        <v>0</v>
      </c>
      <c r="G142" s="318">
        <v>0</v>
      </c>
      <c r="M142" s="540" t="s">
        <v>309</v>
      </c>
      <c r="N142" s="544"/>
    </row>
    <row r="143" spans="1:14" ht="15.75">
      <c r="A143" s="353">
        <v>546000</v>
      </c>
      <c r="B143" s="352" t="s">
        <v>310</v>
      </c>
      <c r="C143" s="351"/>
      <c r="F143" s="318">
        <f t="shared" si="4"/>
        <v>757</v>
      </c>
      <c r="G143" s="318">
        <v>0</v>
      </c>
      <c r="H143" s="318">
        <v>757420</v>
      </c>
      <c r="L143" s="318">
        <v>757420</v>
      </c>
      <c r="M143" s="540" t="s">
        <v>310</v>
      </c>
      <c r="N143" s="544"/>
    </row>
    <row r="144" spans="1:14" ht="15.75">
      <c r="A144" s="353">
        <v>547000</v>
      </c>
      <c r="B144" s="352" t="s">
        <v>311</v>
      </c>
      <c r="C144" s="351"/>
      <c r="F144" s="318">
        <f t="shared" si="4"/>
        <v>58748</v>
      </c>
      <c r="G144" s="318">
        <v>0</v>
      </c>
      <c r="H144" s="318">
        <v>58747949</v>
      </c>
      <c r="L144" s="318">
        <v>58747949</v>
      </c>
      <c r="M144" s="540" t="s">
        <v>311</v>
      </c>
      <c r="N144" s="544"/>
    </row>
    <row r="145" spans="1:14" ht="15.75">
      <c r="A145" s="353">
        <v>548000</v>
      </c>
      <c r="B145" s="352" t="s">
        <v>331</v>
      </c>
      <c r="C145" s="351"/>
      <c r="F145" s="318">
        <f t="shared" si="4"/>
        <v>1175</v>
      </c>
      <c r="G145" s="318">
        <v>0</v>
      </c>
      <c r="H145" s="318">
        <v>1175346</v>
      </c>
      <c r="L145" s="318">
        <v>1175346</v>
      </c>
      <c r="M145" s="540" t="s">
        <v>331</v>
      </c>
      <c r="N145" s="544"/>
    </row>
    <row r="146" spans="1:14" ht="15.75">
      <c r="A146" s="353">
        <v>549000</v>
      </c>
      <c r="B146" s="352" t="s">
        <v>332</v>
      </c>
      <c r="C146" s="351"/>
      <c r="F146" s="318">
        <f t="shared" si="4"/>
        <v>443</v>
      </c>
      <c r="G146" s="318">
        <v>0</v>
      </c>
      <c r="H146" s="318">
        <v>443213</v>
      </c>
      <c r="L146" s="318">
        <v>443213</v>
      </c>
      <c r="M146" s="540" t="s">
        <v>691</v>
      </c>
      <c r="N146" s="544"/>
    </row>
    <row r="147" spans="1:14" ht="15.75">
      <c r="A147" s="353">
        <v>550000</v>
      </c>
      <c r="B147" s="352" t="s">
        <v>315</v>
      </c>
      <c r="C147" s="351"/>
      <c r="F147" s="318">
        <f t="shared" si="4"/>
        <v>-25</v>
      </c>
      <c r="G147" s="318">
        <v>0</v>
      </c>
      <c r="H147" s="318">
        <v>-25194</v>
      </c>
      <c r="L147" s="318">
        <v>-25194</v>
      </c>
      <c r="M147" s="540" t="s">
        <v>315</v>
      </c>
      <c r="N147" s="544"/>
    </row>
    <row r="148" spans="1:14" ht="15.75">
      <c r="A148" s="350"/>
      <c r="B148" s="352"/>
      <c r="C148" s="351"/>
      <c r="F148" s="318">
        <f t="shared" si="4"/>
        <v>0</v>
      </c>
      <c r="G148" s="318">
        <v>0</v>
      </c>
      <c r="M148" s="540"/>
      <c r="N148" s="544"/>
    </row>
    <row r="149" spans="1:14" ht="15.75">
      <c r="A149" s="350"/>
      <c r="B149" s="352" t="s">
        <v>316</v>
      </c>
      <c r="C149" s="351"/>
      <c r="F149" s="318">
        <f t="shared" si="4"/>
        <v>0</v>
      </c>
      <c r="G149" s="318">
        <v>0</v>
      </c>
      <c r="M149" s="540" t="s">
        <v>316</v>
      </c>
      <c r="N149" s="544"/>
    </row>
    <row r="150" spans="1:14" ht="15.75">
      <c r="A150" s="353">
        <v>551000</v>
      </c>
      <c r="B150" s="352" t="s">
        <v>310</v>
      </c>
      <c r="C150" s="351"/>
      <c r="F150" s="318">
        <f t="shared" si="4"/>
        <v>757</v>
      </c>
      <c r="G150" s="318">
        <v>0</v>
      </c>
      <c r="H150" s="318">
        <v>757477</v>
      </c>
      <c r="L150" s="318">
        <v>757477</v>
      </c>
      <c r="M150" s="540" t="s">
        <v>310</v>
      </c>
      <c r="N150" s="544"/>
    </row>
    <row r="151" spans="1:14" ht="15.75">
      <c r="A151" s="353">
        <v>552000</v>
      </c>
      <c r="B151" s="352" t="s">
        <v>317</v>
      </c>
      <c r="C151" s="351"/>
      <c r="F151" s="318">
        <f t="shared" ref="F151:F225" si="6">ROUND(H151/1000,0)</f>
        <v>66</v>
      </c>
      <c r="G151" s="318">
        <v>0</v>
      </c>
      <c r="H151" s="318">
        <v>65835</v>
      </c>
      <c r="L151" s="318">
        <v>65835</v>
      </c>
      <c r="M151" s="540" t="s">
        <v>317</v>
      </c>
      <c r="N151" s="544"/>
    </row>
    <row r="152" spans="1:14" ht="15.75">
      <c r="A152" s="353">
        <v>553000</v>
      </c>
      <c r="B152" s="352" t="s">
        <v>333</v>
      </c>
      <c r="C152" s="351"/>
      <c r="F152" s="318">
        <f t="shared" si="6"/>
        <v>1683</v>
      </c>
      <c r="G152" s="318">
        <v>0</v>
      </c>
      <c r="H152" s="318">
        <v>1682693</v>
      </c>
      <c r="L152" s="318">
        <v>1682693</v>
      </c>
      <c r="M152" s="540" t="s">
        <v>333</v>
      </c>
      <c r="N152" s="544"/>
    </row>
    <row r="153" spans="1:14" ht="15.75">
      <c r="A153" s="353">
        <v>554000</v>
      </c>
      <c r="B153" s="352" t="s">
        <v>334</v>
      </c>
      <c r="C153" s="351"/>
      <c r="F153" s="318">
        <f t="shared" si="6"/>
        <v>413</v>
      </c>
      <c r="G153" s="318">
        <v>0</v>
      </c>
      <c r="H153" s="318">
        <v>412846</v>
      </c>
      <c r="L153" s="318">
        <v>412846</v>
      </c>
      <c r="M153" s="540" t="s">
        <v>692</v>
      </c>
      <c r="N153" s="544"/>
    </row>
    <row r="154" spans="1:14" ht="15.75">
      <c r="A154" s="350"/>
      <c r="B154" s="352" t="s">
        <v>335</v>
      </c>
      <c r="C154" s="351"/>
      <c r="F154" s="318">
        <f t="shared" si="6"/>
        <v>64018</v>
      </c>
      <c r="G154" s="318">
        <v>0</v>
      </c>
      <c r="H154" s="318">
        <v>64017585</v>
      </c>
      <c r="L154" s="318">
        <v>64017585</v>
      </c>
      <c r="M154" s="540" t="s">
        <v>335</v>
      </c>
      <c r="N154" s="544"/>
    </row>
    <row r="155" spans="1:14" ht="15.75">
      <c r="A155" s="350"/>
      <c r="B155" s="352"/>
      <c r="C155" s="351"/>
      <c r="F155" s="318">
        <f t="shared" si="6"/>
        <v>0</v>
      </c>
      <c r="G155" s="318">
        <v>0</v>
      </c>
      <c r="M155" s="540"/>
      <c r="N155" s="544"/>
    </row>
    <row r="156" spans="1:14" ht="15.75">
      <c r="A156" s="350"/>
      <c r="B156" s="352" t="s">
        <v>336</v>
      </c>
      <c r="C156" s="351"/>
      <c r="F156" s="318">
        <f t="shared" si="6"/>
        <v>0</v>
      </c>
      <c r="G156" s="318">
        <v>0</v>
      </c>
      <c r="M156" s="540" t="s">
        <v>336</v>
      </c>
      <c r="N156" s="544"/>
    </row>
    <row r="157" spans="1:14" ht="15.75">
      <c r="A157" s="350" t="s">
        <v>337</v>
      </c>
      <c r="B157" s="352" t="s">
        <v>47</v>
      </c>
      <c r="C157" s="351"/>
      <c r="F157" s="318">
        <f t="shared" si="6"/>
        <v>115031</v>
      </c>
      <c r="G157" s="318">
        <v>0</v>
      </c>
      <c r="H157" s="318">
        <v>115030819</v>
      </c>
      <c r="L157" s="318">
        <v>115030819</v>
      </c>
      <c r="M157" s="540" t="s">
        <v>47</v>
      </c>
      <c r="N157" s="544"/>
    </row>
    <row r="158" spans="1:14" ht="15.75">
      <c r="A158" s="353">
        <v>556000</v>
      </c>
      <c r="B158" s="352" t="s">
        <v>338</v>
      </c>
      <c r="C158" s="351"/>
      <c r="F158" s="318">
        <f t="shared" si="6"/>
        <v>718</v>
      </c>
      <c r="G158" s="318">
        <v>0</v>
      </c>
      <c r="H158" s="318">
        <v>717769</v>
      </c>
      <c r="L158" s="318">
        <v>717769</v>
      </c>
      <c r="M158" s="540" t="s">
        <v>338</v>
      </c>
      <c r="N158" s="544"/>
    </row>
    <row r="159" spans="1:14" ht="15.75">
      <c r="A159" s="353" t="s">
        <v>339</v>
      </c>
      <c r="B159" s="352" t="s">
        <v>340</v>
      </c>
      <c r="C159" s="351"/>
      <c r="F159" s="318">
        <f t="shared" si="6"/>
        <v>53634</v>
      </c>
      <c r="G159" s="318">
        <v>0</v>
      </c>
      <c r="H159" s="318">
        <v>53634015</v>
      </c>
      <c r="L159" s="318">
        <v>53634015</v>
      </c>
      <c r="M159" s="540" t="s">
        <v>340</v>
      </c>
      <c r="N159" s="544"/>
    </row>
    <row r="160" spans="1:14" ht="15.75">
      <c r="A160" s="353"/>
      <c r="B160" s="352" t="s">
        <v>341</v>
      </c>
      <c r="C160" s="351"/>
      <c r="F160" s="318">
        <f t="shared" si="6"/>
        <v>169383</v>
      </c>
      <c r="G160" s="318">
        <v>0</v>
      </c>
      <c r="H160" s="318">
        <v>169382603</v>
      </c>
      <c r="L160" s="318">
        <v>169382603</v>
      </c>
      <c r="M160" s="540" t="s">
        <v>341</v>
      </c>
      <c r="N160" s="544"/>
    </row>
    <row r="161" spans="1:14" ht="15.75">
      <c r="A161" s="353"/>
      <c r="B161" s="352" t="s">
        <v>342</v>
      </c>
      <c r="C161" s="351"/>
      <c r="F161" s="318">
        <f t="shared" si="6"/>
        <v>284747</v>
      </c>
      <c r="G161" s="318">
        <v>0</v>
      </c>
      <c r="H161" s="318">
        <v>284746933</v>
      </c>
      <c r="L161" s="318">
        <v>284746933</v>
      </c>
      <c r="M161" s="540" t="s">
        <v>342</v>
      </c>
      <c r="N161" s="544"/>
    </row>
    <row r="162" spans="1:14" ht="15.75">
      <c r="A162" s="353"/>
      <c r="B162" s="352"/>
      <c r="C162" s="351"/>
      <c r="F162" s="318">
        <f t="shared" si="6"/>
        <v>0</v>
      </c>
      <c r="G162" s="318">
        <v>0</v>
      </c>
      <c r="M162" s="540"/>
      <c r="N162" s="544"/>
    </row>
    <row r="163" spans="1:14" ht="15.75">
      <c r="A163" s="353"/>
      <c r="B163" s="352" t="s">
        <v>343</v>
      </c>
      <c r="C163" s="351"/>
      <c r="F163" s="318">
        <f t="shared" si="6"/>
        <v>0</v>
      </c>
      <c r="G163" s="318">
        <v>0</v>
      </c>
      <c r="M163" s="540" t="s">
        <v>343</v>
      </c>
      <c r="N163" s="544"/>
    </row>
    <row r="164" spans="1:14" ht="15.75">
      <c r="A164" s="353"/>
      <c r="B164" s="352" t="s">
        <v>309</v>
      </c>
      <c r="C164" s="351"/>
      <c r="F164" s="318">
        <f t="shared" si="6"/>
        <v>0</v>
      </c>
      <c r="G164" s="318">
        <v>0</v>
      </c>
      <c r="M164" s="540" t="s">
        <v>309</v>
      </c>
      <c r="N164" s="544"/>
    </row>
    <row r="165" spans="1:14" ht="15.75">
      <c r="A165" s="353">
        <v>560000</v>
      </c>
      <c r="B165" s="352" t="s">
        <v>310</v>
      </c>
      <c r="C165" s="351"/>
      <c r="F165" s="318">
        <f t="shared" si="6"/>
        <v>1406</v>
      </c>
      <c r="G165" s="318">
        <v>0</v>
      </c>
      <c r="H165" s="318">
        <v>1405670</v>
      </c>
      <c r="L165" s="318">
        <v>1405670</v>
      </c>
      <c r="M165" s="540" t="s">
        <v>310</v>
      </c>
      <c r="N165" s="544"/>
    </row>
    <row r="166" spans="1:14" ht="15.75">
      <c r="A166" s="353">
        <v>561000</v>
      </c>
      <c r="B166" s="352" t="s">
        <v>344</v>
      </c>
      <c r="C166" s="351"/>
      <c r="F166" s="318">
        <f t="shared" si="6"/>
        <v>1658</v>
      </c>
      <c r="G166" s="318">
        <v>0</v>
      </c>
      <c r="H166" s="318">
        <v>1657793</v>
      </c>
      <c r="L166" s="318">
        <v>1657793</v>
      </c>
      <c r="M166" s="540" t="s">
        <v>344</v>
      </c>
      <c r="N166" s="544"/>
    </row>
    <row r="167" spans="1:14" ht="15.75">
      <c r="A167" s="353">
        <v>562000</v>
      </c>
      <c r="B167" s="352" t="s">
        <v>345</v>
      </c>
      <c r="C167" s="351"/>
      <c r="F167" s="318">
        <f t="shared" si="6"/>
        <v>342</v>
      </c>
      <c r="G167" s="318">
        <v>0</v>
      </c>
      <c r="H167" s="318">
        <v>341919</v>
      </c>
      <c r="L167" s="318">
        <v>341919</v>
      </c>
      <c r="M167" s="540" t="s">
        <v>345</v>
      </c>
      <c r="N167" s="544"/>
    </row>
    <row r="168" spans="1:14" ht="15.75">
      <c r="A168" s="541">
        <v>562100</v>
      </c>
      <c r="B168" s="540" t="s">
        <v>682</v>
      </c>
      <c r="C168" s="351"/>
      <c r="F168" s="318">
        <f t="shared" ref="F168" si="7">ROUND(H168/1000,0)</f>
        <v>0</v>
      </c>
      <c r="G168" s="318">
        <v>0</v>
      </c>
      <c r="H168" s="318">
        <v>0</v>
      </c>
      <c r="L168" s="318">
        <v>0</v>
      </c>
      <c r="M168" s="540" t="s">
        <v>682</v>
      </c>
      <c r="N168" s="544"/>
    </row>
    <row r="169" spans="1:14" ht="15.75">
      <c r="A169" s="353">
        <v>563000</v>
      </c>
      <c r="B169" s="352" t="s">
        <v>346</v>
      </c>
      <c r="C169" s="351"/>
      <c r="F169" s="318">
        <f t="shared" si="6"/>
        <v>358</v>
      </c>
      <c r="G169" s="318">
        <v>0</v>
      </c>
      <c r="H169" s="318">
        <v>358314</v>
      </c>
      <c r="L169" s="318">
        <v>358314</v>
      </c>
      <c r="M169" s="540" t="s">
        <v>346</v>
      </c>
      <c r="N169" s="544"/>
    </row>
    <row r="170" spans="1:14" ht="15.75">
      <c r="A170" s="353">
        <v>565000</v>
      </c>
      <c r="B170" s="352" t="s">
        <v>347</v>
      </c>
      <c r="C170" s="351"/>
      <c r="F170" s="318">
        <f t="shared" si="6"/>
        <v>11230</v>
      </c>
      <c r="G170" s="318">
        <v>0</v>
      </c>
      <c r="H170" s="318">
        <v>11229977</v>
      </c>
      <c r="L170" s="318">
        <v>11229977</v>
      </c>
      <c r="M170" s="540" t="s">
        <v>347</v>
      </c>
      <c r="N170" s="544"/>
    </row>
    <row r="171" spans="1:14" ht="15.75">
      <c r="A171" s="353">
        <v>566000</v>
      </c>
      <c r="B171" s="352" t="s">
        <v>348</v>
      </c>
      <c r="C171" s="351"/>
      <c r="F171" s="318">
        <f t="shared" si="6"/>
        <v>1418</v>
      </c>
      <c r="G171" s="318">
        <v>0</v>
      </c>
      <c r="H171" s="318">
        <v>1417978</v>
      </c>
      <c r="L171" s="318">
        <v>1417978</v>
      </c>
      <c r="M171" s="540" t="s">
        <v>348</v>
      </c>
      <c r="N171" s="544"/>
    </row>
    <row r="172" spans="1:14" ht="15.75">
      <c r="A172" s="353">
        <v>567000</v>
      </c>
      <c r="B172" s="352" t="s">
        <v>315</v>
      </c>
      <c r="C172" s="351"/>
      <c r="F172" s="318">
        <f t="shared" si="6"/>
        <v>92</v>
      </c>
      <c r="G172" s="318">
        <v>0</v>
      </c>
      <c r="H172" s="318">
        <v>92188</v>
      </c>
      <c r="L172" s="318">
        <v>92188</v>
      </c>
      <c r="M172" s="540" t="s">
        <v>315</v>
      </c>
      <c r="N172" s="544"/>
    </row>
    <row r="173" spans="1:14" ht="15.75">
      <c r="A173" s="350"/>
      <c r="B173" s="352"/>
      <c r="C173" s="351"/>
      <c r="F173" s="318">
        <f t="shared" si="6"/>
        <v>0</v>
      </c>
      <c r="G173" s="318">
        <v>0</v>
      </c>
      <c r="M173" s="540"/>
      <c r="N173" s="544"/>
    </row>
    <row r="174" spans="1:14" ht="15.75">
      <c r="A174" s="350"/>
      <c r="B174" s="352" t="s">
        <v>316</v>
      </c>
      <c r="C174" s="351"/>
      <c r="F174" s="318">
        <f t="shared" si="6"/>
        <v>0</v>
      </c>
      <c r="G174" s="318">
        <v>0</v>
      </c>
      <c r="M174" s="540" t="s">
        <v>316</v>
      </c>
      <c r="N174" s="544"/>
    </row>
    <row r="175" spans="1:14" ht="15.75">
      <c r="A175" s="353">
        <v>568000</v>
      </c>
      <c r="B175" s="352" t="s">
        <v>310</v>
      </c>
      <c r="C175" s="351"/>
      <c r="F175" s="318">
        <f t="shared" si="6"/>
        <v>491</v>
      </c>
      <c r="G175" s="318">
        <v>0</v>
      </c>
      <c r="H175" s="318">
        <v>490653</v>
      </c>
      <c r="L175" s="318">
        <v>490653</v>
      </c>
      <c r="M175" s="540" t="s">
        <v>310</v>
      </c>
      <c r="N175" s="544"/>
    </row>
    <row r="176" spans="1:14" ht="15.75">
      <c r="A176" s="353">
        <v>569000</v>
      </c>
      <c r="B176" s="352" t="s">
        <v>317</v>
      </c>
      <c r="C176" s="351"/>
      <c r="F176" s="318">
        <f t="shared" si="6"/>
        <v>419</v>
      </c>
      <c r="G176" s="318">
        <v>0</v>
      </c>
      <c r="H176" s="318">
        <v>419076</v>
      </c>
      <c r="L176" s="318">
        <v>419076</v>
      </c>
      <c r="M176" s="540" t="s">
        <v>317</v>
      </c>
      <c r="N176" s="544"/>
    </row>
    <row r="177" spans="1:18" ht="15.75">
      <c r="A177" s="353">
        <v>570000</v>
      </c>
      <c r="B177" s="352" t="s">
        <v>349</v>
      </c>
      <c r="C177" s="351"/>
      <c r="F177" s="318">
        <f t="shared" si="6"/>
        <v>911</v>
      </c>
      <c r="G177" s="318">
        <v>0</v>
      </c>
      <c r="H177" s="318">
        <v>911455</v>
      </c>
      <c r="L177" s="318">
        <v>911455</v>
      </c>
      <c r="M177" s="540" t="s">
        <v>349</v>
      </c>
      <c r="N177" s="544"/>
    </row>
    <row r="178" spans="1:18" ht="15.75">
      <c r="A178" s="541">
        <v>570100</v>
      </c>
      <c r="B178" s="540" t="s">
        <v>682</v>
      </c>
      <c r="C178" s="351"/>
      <c r="F178" s="318">
        <f t="shared" ref="F178" si="8">ROUND(H178/1000,0)</f>
        <v>0</v>
      </c>
      <c r="G178" s="318">
        <v>0</v>
      </c>
      <c r="H178" s="318">
        <v>0</v>
      </c>
      <c r="L178" s="318">
        <v>0</v>
      </c>
      <c r="M178" s="540" t="s">
        <v>682</v>
      </c>
      <c r="N178" s="544"/>
    </row>
    <row r="179" spans="1:18" ht="15.75">
      <c r="A179" s="353">
        <v>571000</v>
      </c>
      <c r="B179" s="352" t="s">
        <v>350</v>
      </c>
      <c r="C179" s="351"/>
      <c r="F179" s="318">
        <f t="shared" si="6"/>
        <v>904</v>
      </c>
      <c r="G179" s="318">
        <v>0</v>
      </c>
      <c r="H179" s="318">
        <v>903922</v>
      </c>
      <c r="L179" s="318">
        <v>903922</v>
      </c>
      <c r="M179" s="540" t="s">
        <v>350</v>
      </c>
      <c r="N179" s="544"/>
    </row>
    <row r="180" spans="1:18" ht="15.75">
      <c r="A180" s="353">
        <v>572000</v>
      </c>
      <c r="B180" s="352" t="s">
        <v>351</v>
      </c>
      <c r="C180" s="351"/>
      <c r="F180" s="318">
        <f t="shared" si="6"/>
        <v>5</v>
      </c>
      <c r="G180" s="318">
        <v>0</v>
      </c>
      <c r="H180" s="318">
        <v>4539</v>
      </c>
      <c r="L180" s="318">
        <v>4539</v>
      </c>
      <c r="M180" s="540" t="s">
        <v>351</v>
      </c>
      <c r="N180" s="544"/>
    </row>
    <row r="181" spans="1:18" ht="15.75">
      <c r="A181" s="353">
        <v>573000</v>
      </c>
      <c r="B181" s="352" t="s">
        <v>352</v>
      </c>
      <c r="C181" s="351"/>
      <c r="F181" s="318">
        <f t="shared" si="6"/>
        <v>61</v>
      </c>
      <c r="G181" s="318">
        <v>0</v>
      </c>
      <c r="H181" s="318">
        <v>60636</v>
      </c>
      <c r="L181" s="318">
        <v>60636</v>
      </c>
      <c r="M181" s="540" t="s">
        <v>352</v>
      </c>
      <c r="N181" s="544"/>
    </row>
    <row r="182" spans="1:18" ht="15.75">
      <c r="A182" s="350"/>
      <c r="B182" s="352" t="s">
        <v>353</v>
      </c>
      <c r="C182" s="351"/>
      <c r="F182" s="318">
        <f t="shared" si="6"/>
        <v>19294</v>
      </c>
      <c r="G182" s="318">
        <v>0</v>
      </c>
      <c r="H182" s="318">
        <v>19294120</v>
      </c>
      <c r="L182" s="318">
        <v>19294120</v>
      </c>
      <c r="M182" s="540" t="s">
        <v>353</v>
      </c>
      <c r="N182" s="544"/>
    </row>
    <row r="183" spans="1:18" ht="15.75">
      <c r="A183" s="350"/>
      <c r="B183" s="352"/>
      <c r="C183" s="351"/>
      <c r="F183" s="318">
        <f t="shared" si="6"/>
        <v>0</v>
      </c>
      <c r="G183" s="318">
        <v>0</v>
      </c>
      <c r="M183" s="540"/>
    </row>
    <row r="184" spans="1:18" ht="15.75">
      <c r="A184" s="350"/>
      <c r="B184" s="352" t="s">
        <v>354</v>
      </c>
      <c r="C184" s="351"/>
      <c r="F184" s="318">
        <f t="shared" si="6"/>
        <v>16738</v>
      </c>
      <c r="G184" s="318">
        <v>0</v>
      </c>
      <c r="H184" s="318">
        <v>16738143</v>
      </c>
      <c r="L184" s="318">
        <v>16738143</v>
      </c>
      <c r="M184" s="540" t="s">
        <v>354</v>
      </c>
      <c r="Q184" s="318">
        <v>16475762</v>
      </c>
    </row>
    <row r="185" spans="1:18" ht="15.75">
      <c r="A185" s="350"/>
      <c r="B185" s="352" t="s">
        <v>355</v>
      </c>
      <c r="C185" s="351"/>
      <c r="F185" s="318">
        <f t="shared" si="6"/>
        <v>7045</v>
      </c>
      <c r="G185" s="318">
        <v>0</v>
      </c>
      <c r="H185" s="318">
        <v>7045309</v>
      </c>
      <c r="L185" s="318">
        <v>7045309</v>
      </c>
      <c r="M185" s="540" t="s">
        <v>355</v>
      </c>
      <c r="Q185" s="318">
        <v>6707760</v>
      </c>
    </row>
    <row r="186" spans="1:18" ht="15.75">
      <c r="A186" s="357"/>
      <c r="B186" s="355" t="s">
        <v>356</v>
      </c>
      <c r="C186" s="356"/>
      <c r="F186" s="318">
        <f t="shared" si="6"/>
        <v>742</v>
      </c>
      <c r="G186" s="318">
        <v>0</v>
      </c>
      <c r="H186" s="318">
        <v>741927</v>
      </c>
      <c r="L186" s="318">
        <v>741927</v>
      </c>
      <c r="M186" s="543" t="s">
        <v>356</v>
      </c>
      <c r="Q186" s="318">
        <v>698313</v>
      </c>
    </row>
    <row r="187" spans="1:18" ht="15.75">
      <c r="A187" s="357"/>
      <c r="B187" s="352" t="s">
        <v>636</v>
      </c>
      <c r="C187" s="356"/>
      <c r="F187" s="318">
        <f t="shared" ref="F187" si="9">ROUND(H187/1000,0)</f>
        <v>-146</v>
      </c>
      <c r="G187" s="318">
        <v>0</v>
      </c>
      <c r="H187" s="318">
        <v>-145536</v>
      </c>
      <c r="L187" s="318">
        <v>-145536</v>
      </c>
      <c r="M187" s="540" t="s">
        <v>636</v>
      </c>
      <c r="Q187" s="318">
        <v>-144399</v>
      </c>
    </row>
    <row r="188" spans="1:18" ht="15.75">
      <c r="A188" s="353">
        <v>405930</v>
      </c>
      <c r="B188" s="352" t="s">
        <v>357</v>
      </c>
      <c r="C188" s="351"/>
      <c r="F188" s="318">
        <f t="shared" si="6"/>
        <v>2450</v>
      </c>
      <c r="G188" s="318">
        <v>0</v>
      </c>
      <c r="H188" s="318">
        <v>2450031</v>
      </c>
      <c r="L188" s="318">
        <v>2450031</v>
      </c>
      <c r="M188" s="540" t="s">
        <v>357</v>
      </c>
      <c r="Q188" s="318">
        <v>2450031</v>
      </c>
    </row>
    <row r="189" spans="1:18" ht="15.75">
      <c r="A189" s="353">
        <v>406100</v>
      </c>
      <c r="B189" s="352" t="s">
        <v>358</v>
      </c>
      <c r="C189" s="351"/>
      <c r="F189" s="318">
        <f t="shared" si="6"/>
        <v>32</v>
      </c>
      <c r="G189" s="318">
        <v>0</v>
      </c>
      <c r="H189" s="318">
        <v>31743</v>
      </c>
      <c r="L189" s="318">
        <v>31743</v>
      </c>
      <c r="M189" s="540" t="s">
        <v>358</v>
      </c>
      <c r="Q189" s="318">
        <v>31743</v>
      </c>
      <c r="R189" s="318" t="s">
        <v>774</v>
      </c>
    </row>
    <row r="190" spans="1:18" ht="15.75">
      <c r="A190" s="353">
        <v>407312</v>
      </c>
      <c r="B190" s="352" t="s">
        <v>359</v>
      </c>
      <c r="C190" s="351"/>
      <c r="F190" s="318">
        <f t="shared" si="6"/>
        <v>1360</v>
      </c>
      <c r="G190" s="318">
        <v>0</v>
      </c>
      <c r="H190" s="318">
        <v>1360000</v>
      </c>
      <c r="L190" s="318">
        <v>1360000</v>
      </c>
      <c r="M190" s="540" t="s">
        <v>359</v>
      </c>
      <c r="Q190" s="318">
        <v>1360000</v>
      </c>
      <c r="R190" s="318" t="s">
        <v>774</v>
      </c>
    </row>
    <row r="191" spans="1:18" ht="15.75">
      <c r="A191" s="542">
        <v>407320</v>
      </c>
      <c r="B191" s="543" t="s">
        <v>685</v>
      </c>
      <c r="C191" s="351"/>
      <c r="F191" s="318">
        <f t="shared" ref="F191" si="10">ROUND(H191/1000,0)</f>
        <v>0</v>
      </c>
      <c r="G191" s="318">
        <v>0</v>
      </c>
      <c r="H191" s="318">
        <v>0</v>
      </c>
      <c r="L191" s="318">
        <v>0</v>
      </c>
      <c r="M191" s="543" t="s">
        <v>685</v>
      </c>
      <c r="Q191" s="318">
        <v>61044</v>
      </c>
      <c r="R191" s="318" t="s">
        <v>774</v>
      </c>
    </row>
    <row r="192" spans="1:18" ht="15.75">
      <c r="A192" s="354">
        <v>407322</v>
      </c>
      <c r="B192" s="355" t="s">
        <v>360</v>
      </c>
      <c r="C192" s="356"/>
      <c r="F192" s="318">
        <f t="shared" si="6"/>
        <v>73</v>
      </c>
      <c r="G192" s="318">
        <v>0</v>
      </c>
      <c r="H192" s="318">
        <v>72939</v>
      </c>
      <c r="L192" s="318">
        <v>72939</v>
      </c>
      <c r="M192" s="543" t="s">
        <v>360</v>
      </c>
      <c r="Q192" s="318">
        <v>72939</v>
      </c>
      <c r="R192" s="318" t="s">
        <v>774</v>
      </c>
    </row>
    <row r="193" spans="1:18" ht="15.75">
      <c r="A193" s="354">
        <v>407324</v>
      </c>
      <c r="B193" s="355" t="s">
        <v>361</v>
      </c>
      <c r="C193" s="356"/>
      <c r="F193" s="318">
        <f t="shared" si="6"/>
        <v>140</v>
      </c>
      <c r="G193" s="318">
        <v>0</v>
      </c>
      <c r="H193" s="318">
        <v>140485</v>
      </c>
      <c r="L193" s="318">
        <v>140485</v>
      </c>
      <c r="M193" s="543" t="s">
        <v>361</v>
      </c>
      <c r="Q193" s="318">
        <v>141445</v>
      </c>
      <c r="R193" s="318" t="s">
        <v>774</v>
      </c>
    </row>
    <row r="194" spans="1:18" ht="15.75">
      <c r="A194" s="354">
        <v>407331</v>
      </c>
      <c r="B194" s="355" t="s">
        <v>637</v>
      </c>
      <c r="C194" s="356"/>
      <c r="F194" s="318">
        <f t="shared" si="6"/>
        <v>-792</v>
      </c>
      <c r="G194" s="318">
        <v>0</v>
      </c>
      <c r="H194" s="318">
        <v>-791572</v>
      </c>
      <c r="L194" s="318">
        <v>-791572</v>
      </c>
      <c r="M194" s="543" t="s">
        <v>637</v>
      </c>
      <c r="Q194" s="318">
        <v>-795483</v>
      </c>
      <c r="R194" s="318" t="s">
        <v>774</v>
      </c>
    </row>
    <row r="195" spans="1:18" ht="15.75">
      <c r="A195" s="354">
        <v>407333</v>
      </c>
      <c r="B195" s="355" t="s">
        <v>638</v>
      </c>
      <c r="C195" s="356"/>
      <c r="F195" s="318">
        <f t="shared" si="6"/>
        <v>21</v>
      </c>
      <c r="G195" s="318">
        <v>0</v>
      </c>
      <c r="H195" s="318">
        <v>21172</v>
      </c>
      <c r="L195" s="318">
        <v>21172</v>
      </c>
      <c r="M195" s="543" t="s">
        <v>638</v>
      </c>
      <c r="Q195" s="318">
        <v>21330</v>
      </c>
      <c r="R195" s="318" t="s">
        <v>774</v>
      </c>
    </row>
    <row r="196" spans="1:18" ht="15.75">
      <c r="A196" s="354">
        <v>407335</v>
      </c>
      <c r="B196" s="355" t="s">
        <v>362</v>
      </c>
      <c r="C196" s="351"/>
      <c r="F196" s="318">
        <f t="shared" si="6"/>
        <v>0</v>
      </c>
      <c r="G196" s="318">
        <v>0</v>
      </c>
      <c r="H196" s="318">
        <v>0</v>
      </c>
      <c r="L196" s="318">
        <v>0</v>
      </c>
      <c r="M196" s="543" t="s">
        <v>362</v>
      </c>
      <c r="Q196" s="318">
        <v>0</v>
      </c>
    </row>
    <row r="197" spans="1:18" ht="15.75">
      <c r="A197" s="353">
        <v>407350</v>
      </c>
      <c r="B197" s="352" t="s">
        <v>639</v>
      </c>
      <c r="C197" s="351"/>
      <c r="F197" s="318">
        <f t="shared" si="6"/>
        <v>0</v>
      </c>
      <c r="G197" s="318">
        <v>0</v>
      </c>
      <c r="H197" s="318">
        <v>0</v>
      </c>
      <c r="L197" s="318">
        <v>0</v>
      </c>
      <c r="M197" s="540" t="s">
        <v>639</v>
      </c>
      <c r="Q197" s="318">
        <v>0</v>
      </c>
    </row>
    <row r="198" spans="1:18" ht="15.75">
      <c r="A198" s="353">
        <v>407351</v>
      </c>
      <c r="B198" s="352" t="s">
        <v>363</v>
      </c>
      <c r="C198" s="356"/>
      <c r="F198" s="318">
        <f t="shared" si="6"/>
        <v>41</v>
      </c>
      <c r="G198" s="318">
        <v>0</v>
      </c>
      <c r="H198" s="318">
        <v>41155</v>
      </c>
      <c r="L198" s="318">
        <v>41155</v>
      </c>
      <c r="M198" s="540" t="s">
        <v>363</v>
      </c>
      <c r="Q198" s="318">
        <v>164618</v>
      </c>
      <c r="R198" s="318" t="s">
        <v>774</v>
      </c>
    </row>
    <row r="199" spans="1:18" ht="15.75">
      <c r="A199" s="353">
        <v>407360</v>
      </c>
      <c r="B199" s="352" t="s">
        <v>640</v>
      </c>
      <c r="C199" s="356"/>
      <c r="F199" s="318">
        <f t="shared" ref="F199:F203" si="11">ROUND(H199/1000,0)</f>
        <v>974</v>
      </c>
      <c r="G199" s="318">
        <v>0</v>
      </c>
      <c r="H199" s="318">
        <v>973692</v>
      </c>
      <c r="L199" s="318">
        <v>973692</v>
      </c>
      <c r="M199" s="540" t="s">
        <v>640</v>
      </c>
      <c r="Q199" s="318">
        <v>973692</v>
      </c>
      <c r="R199" s="318" t="s">
        <v>774</v>
      </c>
    </row>
    <row r="200" spans="1:18" ht="15.75">
      <c r="A200" s="353">
        <v>407362</v>
      </c>
      <c r="B200" s="352" t="s">
        <v>641</v>
      </c>
      <c r="C200" s="356"/>
      <c r="F200" s="318">
        <f t="shared" si="11"/>
        <v>17</v>
      </c>
      <c r="G200" s="318">
        <v>0</v>
      </c>
      <c r="H200" s="318">
        <v>16848</v>
      </c>
      <c r="L200" s="318">
        <v>16848</v>
      </c>
      <c r="M200" s="540" t="s">
        <v>641</v>
      </c>
      <c r="Q200" s="318">
        <v>232077</v>
      </c>
      <c r="R200" s="318" t="s">
        <v>774</v>
      </c>
    </row>
    <row r="201" spans="1:18" ht="15.75">
      <c r="A201" s="353">
        <v>407365</v>
      </c>
      <c r="B201" s="352" t="s">
        <v>642</v>
      </c>
      <c r="C201" s="356"/>
      <c r="F201" s="318">
        <f t="shared" si="11"/>
        <v>0</v>
      </c>
      <c r="G201" s="318">
        <v>0</v>
      </c>
      <c r="H201" s="318">
        <v>0</v>
      </c>
      <c r="L201" s="318">
        <v>0</v>
      </c>
      <c r="M201" s="540" t="s">
        <v>642</v>
      </c>
      <c r="Q201" s="318">
        <v>0</v>
      </c>
    </row>
    <row r="202" spans="1:18" ht="15.75">
      <c r="A202" s="353">
        <v>407380</v>
      </c>
      <c r="B202" s="352" t="s">
        <v>364</v>
      </c>
      <c r="C202" s="356"/>
      <c r="F202" s="318">
        <f t="shared" si="11"/>
        <v>153</v>
      </c>
      <c r="G202" s="318">
        <v>0</v>
      </c>
      <c r="H202" s="318">
        <v>153132</v>
      </c>
      <c r="L202" s="318">
        <v>153132</v>
      </c>
      <c r="M202" s="540" t="s">
        <v>364</v>
      </c>
      <c r="Q202" s="318">
        <v>153132</v>
      </c>
      <c r="R202" s="318" t="s">
        <v>774</v>
      </c>
    </row>
    <row r="203" spans="1:18" ht="15.75">
      <c r="A203" s="354">
        <v>407382</v>
      </c>
      <c r="B203" s="355" t="s">
        <v>365</v>
      </c>
      <c r="C203" s="356"/>
      <c r="F203" s="318">
        <f t="shared" si="11"/>
        <v>572</v>
      </c>
      <c r="G203" s="318">
        <v>0</v>
      </c>
      <c r="H203" s="318">
        <v>572092</v>
      </c>
      <c r="L203" s="318">
        <v>572092</v>
      </c>
      <c r="M203" s="543" t="s">
        <v>365</v>
      </c>
      <c r="Q203" s="318">
        <v>576336</v>
      </c>
      <c r="R203" s="318" t="s">
        <v>774</v>
      </c>
    </row>
    <row r="204" spans="1:18" ht="15.75">
      <c r="A204" s="354">
        <v>407382</v>
      </c>
      <c r="B204" s="355" t="s">
        <v>366</v>
      </c>
      <c r="C204" s="356"/>
      <c r="F204" s="318">
        <f t="shared" si="6"/>
        <v>152</v>
      </c>
      <c r="G204" s="318">
        <v>0</v>
      </c>
      <c r="H204" s="318">
        <v>152118</v>
      </c>
      <c r="L204" s="318">
        <v>152118</v>
      </c>
      <c r="M204" s="543" t="s">
        <v>366</v>
      </c>
      <c r="Q204" s="318">
        <v>152118</v>
      </c>
      <c r="R204" s="318" t="s">
        <v>774</v>
      </c>
    </row>
    <row r="205" spans="1:18" ht="15.75">
      <c r="A205" s="542">
        <v>407391</v>
      </c>
      <c r="B205" s="543" t="s">
        <v>693</v>
      </c>
      <c r="C205" s="356"/>
      <c r="F205" s="318">
        <f t="shared" ref="F205" si="12">ROUND(H205/1000,0)</f>
        <v>218</v>
      </c>
      <c r="G205" s="318">
        <v>1</v>
      </c>
      <c r="H205" s="318">
        <v>217796</v>
      </c>
      <c r="L205" s="318">
        <v>217796</v>
      </c>
      <c r="M205" s="543" t="s">
        <v>693</v>
      </c>
      <c r="Q205" s="318" t="s">
        <v>773</v>
      </c>
    </row>
    <row r="206" spans="1:18" ht="15.75">
      <c r="A206" s="354">
        <v>407395</v>
      </c>
      <c r="B206" s="355" t="s">
        <v>367</v>
      </c>
      <c r="C206" s="356"/>
      <c r="F206" s="318">
        <f t="shared" si="6"/>
        <v>180</v>
      </c>
      <c r="G206" s="318">
        <v>0</v>
      </c>
      <c r="H206" s="318">
        <v>179713</v>
      </c>
      <c r="L206" s="318">
        <v>179713</v>
      </c>
      <c r="M206" s="543" t="s">
        <v>367</v>
      </c>
      <c r="Q206" s="318">
        <v>174185</v>
      </c>
      <c r="R206" s="318" t="s">
        <v>774</v>
      </c>
    </row>
    <row r="207" spans="1:18" ht="15.75">
      <c r="A207" s="353">
        <v>407403</v>
      </c>
      <c r="B207" s="352" t="s">
        <v>368</v>
      </c>
      <c r="C207" s="356"/>
      <c r="F207" s="318">
        <f t="shared" si="6"/>
        <v>-135</v>
      </c>
      <c r="G207" s="318">
        <v>0</v>
      </c>
      <c r="H207" s="318">
        <v>-134592</v>
      </c>
      <c r="L207" s="318">
        <v>-134592</v>
      </c>
      <c r="M207" s="540" t="s">
        <v>368</v>
      </c>
      <c r="Q207" s="318">
        <v>-134592</v>
      </c>
      <c r="R207" s="318" t="s">
        <v>774</v>
      </c>
    </row>
    <row r="208" spans="1:18" ht="15.75">
      <c r="A208" s="353">
        <v>407405</v>
      </c>
      <c r="B208" s="352" t="s">
        <v>369</v>
      </c>
      <c r="C208" s="351"/>
      <c r="F208" s="318">
        <f t="shared" si="6"/>
        <v>0</v>
      </c>
      <c r="G208" s="318">
        <v>0</v>
      </c>
      <c r="H208" s="318">
        <v>0</v>
      </c>
      <c r="L208" s="318">
        <v>0</v>
      </c>
      <c r="M208" s="540" t="s">
        <v>369</v>
      </c>
      <c r="Q208" s="318">
        <v>0</v>
      </c>
    </row>
    <row r="209" spans="1:18" ht="15.75">
      <c r="A209" s="353">
        <v>407420</v>
      </c>
      <c r="B209" s="352" t="s">
        <v>370</v>
      </c>
      <c r="C209" s="351"/>
      <c r="F209" s="318">
        <f t="shared" si="6"/>
        <v>0</v>
      </c>
      <c r="G209" s="318">
        <v>0</v>
      </c>
      <c r="H209" s="318">
        <v>0</v>
      </c>
      <c r="L209" s="318">
        <v>0</v>
      </c>
      <c r="M209" s="540" t="s">
        <v>370</v>
      </c>
      <c r="Q209" s="318">
        <v>0</v>
      </c>
    </row>
    <row r="210" spans="1:18" ht="15.75">
      <c r="A210" s="350" t="s">
        <v>371</v>
      </c>
      <c r="B210" s="352" t="s">
        <v>372</v>
      </c>
      <c r="C210" s="351"/>
      <c r="F210" s="318">
        <f t="shared" si="6"/>
        <v>-6950</v>
      </c>
      <c r="G210" s="318">
        <v>0</v>
      </c>
      <c r="H210" s="318">
        <v>-6949806</v>
      </c>
      <c r="L210" s="318">
        <v>-6949806</v>
      </c>
      <c r="M210" s="540" t="s">
        <v>372</v>
      </c>
      <c r="Q210" s="318">
        <v>-5065130</v>
      </c>
      <c r="R210" s="318" t="s">
        <v>774</v>
      </c>
    </row>
    <row r="211" spans="1:18" ht="15.75">
      <c r="A211" s="354">
        <v>407460</v>
      </c>
      <c r="B211" s="355" t="s">
        <v>373</v>
      </c>
      <c r="C211" s="356"/>
      <c r="F211" s="318">
        <f t="shared" si="6"/>
        <v>0</v>
      </c>
      <c r="G211" s="318">
        <v>0</v>
      </c>
      <c r="H211" s="318">
        <v>0</v>
      </c>
      <c r="L211" s="318">
        <v>0</v>
      </c>
      <c r="M211" s="543" t="s">
        <v>373</v>
      </c>
      <c r="Q211" s="318">
        <v>0</v>
      </c>
    </row>
    <row r="212" spans="1:18" ht="15.75">
      <c r="A212" s="354">
        <v>407462</v>
      </c>
      <c r="B212" s="355" t="s">
        <v>643</v>
      </c>
      <c r="C212" s="351"/>
      <c r="F212" s="318">
        <f t="shared" si="6"/>
        <v>0</v>
      </c>
      <c r="G212" s="318">
        <v>0</v>
      </c>
      <c r="H212" s="318">
        <v>0</v>
      </c>
      <c r="L212" s="318">
        <v>0</v>
      </c>
      <c r="M212" s="543" t="s">
        <v>643</v>
      </c>
      <c r="Q212" s="318">
        <v>-36676</v>
      </c>
      <c r="R212" s="318" t="s">
        <v>774</v>
      </c>
    </row>
    <row r="213" spans="1:18" ht="15.75">
      <c r="A213" s="542">
        <v>407494</v>
      </c>
      <c r="B213" s="543" t="s">
        <v>694</v>
      </c>
      <c r="C213" s="351"/>
      <c r="F213" s="318">
        <f t="shared" ref="F213" si="13">ROUND(H213/1000,0)</f>
        <v>-190</v>
      </c>
      <c r="G213" s="318">
        <v>1</v>
      </c>
      <c r="H213" s="318">
        <v>-190062</v>
      </c>
      <c r="L213" s="318">
        <v>-190062</v>
      </c>
      <c r="M213" s="543" t="s">
        <v>694</v>
      </c>
      <c r="Q213" s="318" t="s">
        <v>773</v>
      </c>
    </row>
    <row r="214" spans="1:18" ht="15.75">
      <c r="A214" s="354">
        <v>407495</v>
      </c>
      <c r="B214" s="355" t="s">
        <v>644</v>
      </c>
      <c r="C214" s="356"/>
      <c r="F214" s="318">
        <f t="shared" si="6"/>
        <v>-5</v>
      </c>
      <c r="G214" s="318">
        <v>0</v>
      </c>
      <c r="H214" s="318">
        <v>-5446</v>
      </c>
      <c r="L214" s="318">
        <v>-5446</v>
      </c>
      <c r="M214" s="543" t="s">
        <v>644</v>
      </c>
      <c r="Q214" s="318">
        <v>-5486</v>
      </c>
      <c r="R214" s="318" t="s">
        <v>774</v>
      </c>
    </row>
    <row r="215" spans="1:18" ht="15.75">
      <c r="A215" s="354">
        <v>407496</v>
      </c>
      <c r="B215" s="355" t="s">
        <v>645</v>
      </c>
      <c r="C215" s="356"/>
      <c r="F215" s="318">
        <f t="shared" si="6"/>
        <v>0</v>
      </c>
      <c r="G215" s="318">
        <v>0</v>
      </c>
      <c r="H215" s="318">
        <v>0</v>
      </c>
      <c r="L215" s="318">
        <v>0</v>
      </c>
      <c r="M215" s="543" t="s">
        <v>645</v>
      </c>
      <c r="Q215" s="318">
        <v>0</v>
      </c>
    </row>
    <row r="216" spans="1:18" ht="15.75">
      <c r="A216" s="542">
        <v>407497</v>
      </c>
      <c r="B216" s="543" t="s">
        <v>683</v>
      </c>
      <c r="C216" s="356"/>
      <c r="F216" s="318">
        <f t="shared" si="6"/>
        <v>244</v>
      </c>
      <c r="G216" s="318">
        <v>0</v>
      </c>
      <c r="H216" s="318">
        <v>243565</v>
      </c>
      <c r="L216" s="318">
        <v>243565</v>
      </c>
      <c r="M216" s="543" t="s">
        <v>683</v>
      </c>
      <c r="Q216" s="318">
        <v>-243565</v>
      </c>
      <c r="R216" s="318" t="s">
        <v>774</v>
      </c>
    </row>
    <row r="217" spans="1:18" ht="15.75">
      <c r="A217" s="350"/>
      <c r="B217" s="352" t="s">
        <v>374</v>
      </c>
      <c r="C217" s="351"/>
      <c r="F217" s="318">
        <f t="shared" si="6"/>
        <v>13890</v>
      </c>
      <c r="G217" s="318">
        <v>0</v>
      </c>
      <c r="H217" s="318">
        <v>13890199</v>
      </c>
      <c r="L217" s="318">
        <v>13890199</v>
      </c>
      <c r="M217" s="540" t="s">
        <v>374</v>
      </c>
      <c r="Q217" s="318">
        <v>13798000</v>
      </c>
    </row>
    <row r="218" spans="1:18" ht="15.75">
      <c r="A218" s="350"/>
      <c r="B218" s="352" t="s">
        <v>375</v>
      </c>
      <c r="C218" s="351"/>
      <c r="F218" s="318">
        <f t="shared" si="6"/>
        <v>36825</v>
      </c>
      <c r="G218" s="318">
        <v>0</v>
      </c>
      <c r="H218" s="318">
        <v>36825045</v>
      </c>
      <c r="L218" s="318">
        <v>36825045</v>
      </c>
      <c r="M218" s="540" t="s">
        <v>375</v>
      </c>
    </row>
    <row r="219" spans="1:18" ht="15.75">
      <c r="A219" s="350"/>
      <c r="B219" s="352"/>
      <c r="C219" s="351"/>
      <c r="F219" s="318">
        <f t="shared" si="6"/>
        <v>0</v>
      </c>
      <c r="G219" s="318">
        <v>0</v>
      </c>
      <c r="M219" s="540"/>
    </row>
    <row r="220" spans="1:18" ht="15.75">
      <c r="A220" s="350"/>
      <c r="B220" s="352" t="s">
        <v>376</v>
      </c>
      <c r="C220" s="351"/>
      <c r="F220" s="318">
        <f t="shared" si="6"/>
        <v>340866</v>
      </c>
      <c r="G220" s="318">
        <v>0</v>
      </c>
      <c r="H220" s="318">
        <v>340866098</v>
      </c>
      <c r="L220" s="318">
        <v>340866098</v>
      </c>
      <c r="M220" s="540" t="s">
        <v>376</v>
      </c>
    </row>
    <row r="221" spans="1:18" ht="15.75">
      <c r="A221" s="350"/>
      <c r="B221" s="352"/>
      <c r="C221" s="351"/>
      <c r="F221" s="318">
        <f t="shared" si="6"/>
        <v>0</v>
      </c>
      <c r="G221" s="318">
        <v>0</v>
      </c>
      <c r="M221" s="544"/>
    </row>
    <row r="222" spans="1:18" ht="15.75">
      <c r="A222" s="350"/>
      <c r="B222" s="352" t="s">
        <v>377</v>
      </c>
      <c r="C222" s="351"/>
      <c r="F222" s="318">
        <f t="shared" si="6"/>
        <v>0</v>
      </c>
      <c r="G222" s="318">
        <v>0</v>
      </c>
      <c r="M222" s="540" t="s">
        <v>377</v>
      </c>
    </row>
    <row r="223" spans="1:18" ht="15.75">
      <c r="A223" s="350"/>
      <c r="B223" s="351" t="s">
        <v>378</v>
      </c>
      <c r="C223" s="351"/>
      <c r="F223" s="318">
        <f t="shared" si="6"/>
        <v>0</v>
      </c>
      <c r="G223" s="318">
        <v>0</v>
      </c>
      <c r="M223" s="544" t="s">
        <v>378</v>
      </c>
    </row>
    <row r="224" spans="1:18" ht="15.75">
      <c r="A224" s="353">
        <v>580000</v>
      </c>
      <c r="B224" s="352" t="s">
        <v>310</v>
      </c>
      <c r="C224" s="351"/>
      <c r="F224" s="318">
        <f t="shared" si="6"/>
        <v>2669</v>
      </c>
      <c r="G224" s="318">
        <v>0</v>
      </c>
      <c r="H224" s="318">
        <v>2668749</v>
      </c>
      <c r="L224" s="318">
        <v>2668749</v>
      </c>
      <c r="M224" s="540" t="s">
        <v>310</v>
      </c>
    </row>
    <row r="225" spans="1:13" ht="15.75">
      <c r="A225" s="353">
        <v>582000</v>
      </c>
      <c r="B225" s="351" t="s">
        <v>345</v>
      </c>
      <c r="C225" s="351"/>
      <c r="F225" s="318">
        <f t="shared" si="6"/>
        <v>380</v>
      </c>
      <c r="G225" s="318">
        <v>0</v>
      </c>
      <c r="H225" s="318">
        <v>380165</v>
      </c>
      <c r="L225" s="318">
        <v>380165</v>
      </c>
      <c r="M225" s="544" t="s">
        <v>345</v>
      </c>
    </row>
    <row r="226" spans="1:13" ht="15.75">
      <c r="A226" s="353">
        <v>583000</v>
      </c>
      <c r="B226" s="352" t="s">
        <v>346</v>
      </c>
      <c r="C226" s="351"/>
      <c r="F226" s="318">
        <f t="shared" ref="F226:F292" si="14">ROUND(H226/1000,0)</f>
        <v>1502</v>
      </c>
      <c r="G226" s="318">
        <v>0</v>
      </c>
      <c r="H226" s="318">
        <v>1501759</v>
      </c>
      <c r="L226" s="318">
        <v>1501759</v>
      </c>
      <c r="M226" s="540" t="s">
        <v>346</v>
      </c>
    </row>
    <row r="227" spans="1:13" ht="15.75">
      <c r="A227" s="353">
        <v>584000</v>
      </c>
      <c r="B227" s="352" t="s">
        <v>379</v>
      </c>
      <c r="C227" s="351"/>
      <c r="F227" s="318">
        <f t="shared" si="14"/>
        <v>935</v>
      </c>
      <c r="G227" s="318">
        <v>0</v>
      </c>
      <c r="H227" s="318">
        <v>934931</v>
      </c>
      <c r="L227" s="318">
        <v>934931</v>
      </c>
      <c r="M227" s="540" t="s">
        <v>379</v>
      </c>
    </row>
    <row r="228" spans="1:13" ht="15.75">
      <c r="A228" s="541">
        <v>584100</v>
      </c>
      <c r="B228" s="540" t="s">
        <v>682</v>
      </c>
      <c r="C228" s="351"/>
      <c r="F228" s="318">
        <f t="shared" si="14"/>
        <v>11</v>
      </c>
      <c r="G228" s="318">
        <v>0</v>
      </c>
      <c r="H228" s="318">
        <v>10882</v>
      </c>
      <c r="L228" s="318">
        <v>10882</v>
      </c>
      <c r="M228" s="540" t="s">
        <v>682</v>
      </c>
    </row>
    <row r="229" spans="1:13" ht="15.75">
      <c r="A229" s="353">
        <v>585000</v>
      </c>
      <c r="B229" s="352" t="s">
        <v>380</v>
      </c>
      <c r="C229" s="351"/>
      <c r="F229" s="318">
        <f t="shared" si="14"/>
        <v>11</v>
      </c>
      <c r="G229" s="318">
        <v>0</v>
      </c>
      <c r="H229" s="318">
        <v>11442</v>
      </c>
      <c r="L229" s="318">
        <v>11442</v>
      </c>
      <c r="M229" s="540" t="s">
        <v>380</v>
      </c>
    </row>
    <row r="230" spans="1:13" ht="15.75">
      <c r="A230" s="353">
        <v>586000</v>
      </c>
      <c r="B230" s="352" t="s">
        <v>381</v>
      </c>
      <c r="C230" s="351"/>
      <c r="F230" s="318">
        <f t="shared" si="14"/>
        <v>1576</v>
      </c>
      <c r="G230" s="318">
        <v>0</v>
      </c>
      <c r="H230" s="318">
        <v>1575685</v>
      </c>
      <c r="L230" s="318">
        <v>1575685</v>
      </c>
      <c r="M230" s="540" t="s">
        <v>381</v>
      </c>
    </row>
    <row r="231" spans="1:13" ht="15.75">
      <c r="A231" s="353">
        <v>587000</v>
      </c>
      <c r="B231" s="352" t="s">
        <v>382</v>
      </c>
      <c r="C231" s="351"/>
      <c r="F231" s="318">
        <f t="shared" si="14"/>
        <v>339</v>
      </c>
      <c r="G231" s="318">
        <v>0</v>
      </c>
      <c r="H231" s="318">
        <v>338664</v>
      </c>
      <c r="L231" s="318">
        <v>338664</v>
      </c>
      <c r="M231" s="540" t="s">
        <v>382</v>
      </c>
    </row>
    <row r="232" spans="1:13" ht="15.75">
      <c r="A232" s="353">
        <v>588000</v>
      </c>
      <c r="B232" s="352" t="s">
        <v>383</v>
      </c>
      <c r="C232" s="351"/>
      <c r="F232" s="318">
        <f t="shared" si="14"/>
        <v>5551</v>
      </c>
      <c r="G232" s="318">
        <v>0</v>
      </c>
      <c r="H232" s="318">
        <v>5550810</v>
      </c>
      <c r="L232" s="318">
        <v>5550810</v>
      </c>
      <c r="M232" s="540" t="s">
        <v>383</v>
      </c>
    </row>
    <row r="233" spans="1:13" ht="15.75">
      <c r="A233" s="353">
        <v>589000</v>
      </c>
      <c r="B233" s="352" t="s">
        <v>315</v>
      </c>
      <c r="C233" s="351"/>
      <c r="F233" s="318">
        <f t="shared" si="14"/>
        <v>171</v>
      </c>
      <c r="G233" s="318">
        <v>0</v>
      </c>
      <c r="H233" s="318">
        <v>171398</v>
      </c>
      <c r="L233" s="318">
        <v>171398</v>
      </c>
      <c r="M233" s="540" t="s">
        <v>315</v>
      </c>
    </row>
    <row r="234" spans="1:13" ht="15.75">
      <c r="A234" s="358"/>
      <c r="B234" s="352"/>
      <c r="C234" s="351"/>
      <c r="F234" s="318">
        <f t="shared" si="14"/>
        <v>0</v>
      </c>
      <c r="G234" s="318">
        <v>0</v>
      </c>
      <c r="M234" s="540"/>
    </row>
    <row r="235" spans="1:13" ht="15.75">
      <c r="A235" s="350"/>
      <c r="B235" s="351" t="s">
        <v>384</v>
      </c>
      <c r="C235" s="351"/>
      <c r="F235" s="318">
        <f t="shared" si="14"/>
        <v>0</v>
      </c>
      <c r="G235" s="318">
        <v>0</v>
      </c>
      <c r="M235" s="544" t="s">
        <v>384</v>
      </c>
    </row>
    <row r="236" spans="1:13" ht="15.75">
      <c r="A236" s="353">
        <v>590000</v>
      </c>
      <c r="B236" s="352" t="s">
        <v>310</v>
      </c>
      <c r="C236" s="351"/>
      <c r="F236" s="318">
        <f t="shared" si="14"/>
        <v>1054</v>
      </c>
      <c r="G236" s="318">
        <v>0</v>
      </c>
      <c r="H236" s="318">
        <v>1054244</v>
      </c>
      <c r="L236" s="318">
        <v>1054244</v>
      </c>
      <c r="M236" s="540" t="s">
        <v>310</v>
      </c>
    </row>
    <row r="237" spans="1:13" ht="15.75">
      <c r="A237" s="353">
        <v>591000</v>
      </c>
      <c r="B237" s="352" t="s">
        <v>317</v>
      </c>
      <c r="C237" s="351"/>
      <c r="F237" s="318">
        <f t="shared" si="14"/>
        <v>219</v>
      </c>
      <c r="G237" s="318">
        <v>0</v>
      </c>
      <c r="H237" s="318">
        <v>219083</v>
      </c>
      <c r="L237" s="318">
        <v>219083</v>
      </c>
      <c r="M237" s="540" t="s">
        <v>317</v>
      </c>
    </row>
    <row r="238" spans="1:13" ht="15.75">
      <c r="A238" s="353">
        <v>592000</v>
      </c>
      <c r="B238" s="351" t="s">
        <v>349</v>
      </c>
      <c r="C238" s="351"/>
      <c r="F238" s="318">
        <f t="shared" si="14"/>
        <v>783</v>
      </c>
      <c r="G238" s="318">
        <v>0</v>
      </c>
      <c r="H238" s="318">
        <v>782578</v>
      </c>
      <c r="L238" s="318">
        <v>782578</v>
      </c>
      <c r="M238" s="544" t="s">
        <v>349</v>
      </c>
    </row>
    <row r="239" spans="1:13" ht="15.75">
      <c r="A239" s="541">
        <v>592200</v>
      </c>
      <c r="B239" s="540" t="s">
        <v>682</v>
      </c>
      <c r="C239" s="351"/>
      <c r="F239" s="318">
        <f t="shared" si="14"/>
        <v>0</v>
      </c>
      <c r="G239" s="318">
        <v>0</v>
      </c>
      <c r="H239" s="318">
        <v>0</v>
      </c>
      <c r="L239" s="318">
        <v>0</v>
      </c>
      <c r="M239" s="540" t="s">
        <v>682</v>
      </c>
    </row>
    <row r="240" spans="1:13" ht="15.75">
      <c r="A240" s="353">
        <v>593000</v>
      </c>
      <c r="B240" s="352" t="s">
        <v>350</v>
      </c>
      <c r="C240" s="351"/>
      <c r="F240" s="318">
        <f t="shared" si="14"/>
        <v>5788</v>
      </c>
      <c r="G240" s="318">
        <v>0</v>
      </c>
      <c r="H240" s="318">
        <v>5787894</v>
      </c>
      <c r="L240" s="318">
        <v>5787894</v>
      </c>
      <c r="M240" s="540" t="s">
        <v>350</v>
      </c>
    </row>
    <row r="241" spans="1:13" ht="15.75">
      <c r="A241" s="353">
        <v>594000</v>
      </c>
      <c r="B241" s="352" t="s">
        <v>351</v>
      </c>
      <c r="C241" s="351"/>
      <c r="F241" s="318">
        <f t="shared" si="14"/>
        <v>648</v>
      </c>
      <c r="G241" s="318">
        <v>0</v>
      </c>
      <c r="H241" s="318">
        <v>647953</v>
      </c>
      <c r="L241" s="318">
        <v>647953</v>
      </c>
      <c r="M241" s="540" t="s">
        <v>351</v>
      </c>
    </row>
    <row r="242" spans="1:13" ht="15.75">
      <c r="A242" s="353">
        <v>595000</v>
      </c>
      <c r="B242" s="352" t="s">
        <v>385</v>
      </c>
      <c r="C242" s="351"/>
      <c r="F242" s="318">
        <f t="shared" si="14"/>
        <v>515</v>
      </c>
      <c r="G242" s="318">
        <v>0</v>
      </c>
      <c r="H242" s="318">
        <v>515244</v>
      </c>
      <c r="L242" s="318">
        <v>515244</v>
      </c>
      <c r="M242" s="540" t="s">
        <v>385</v>
      </c>
    </row>
    <row r="243" spans="1:13" ht="15.75">
      <c r="A243" s="353">
        <v>596000</v>
      </c>
      <c r="B243" s="352" t="s">
        <v>386</v>
      </c>
      <c r="C243" s="351"/>
      <c r="F243" s="318">
        <f t="shared" si="14"/>
        <v>459</v>
      </c>
      <c r="G243" s="318">
        <v>0</v>
      </c>
      <c r="H243" s="318">
        <v>459045</v>
      </c>
      <c r="L243" s="318">
        <v>459045</v>
      </c>
      <c r="M243" s="540" t="s">
        <v>386</v>
      </c>
    </row>
    <row r="244" spans="1:13" ht="15.75">
      <c r="A244" s="353">
        <v>597000</v>
      </c>
      <c r="B244" s="352" t="s">
        <v>387</v>
      </c>
      <c r="C244" s="351"/>
      <c r="F244" s="318">
        <f t="shared" si="14"/>
        <v>17</v>
      </c>
      <c r="G244" s="318">
        <v>0</v>
      </c>
      <c r="H244" s="318">
        <v>17281</v>
      </c>
      <c r="L244" s="318">
        <v>17281</v>
      </c>
      <c r="M244" s="540" t="s">
        <v>387</v>
      </c>
    </row>
    <row r="245" spans="1:13" ht="15.75">
      <c r="A245" s="353">
        <v>598000</v>
      </c>
      <c r="B245" s="352" t="s">
        <v>383</v>
      </c>
      <c r="C245" s="351"/>
      <c r="F245" s="318">
        <f t="shared" si="14"/>
        <v>333</v>
      </c>
      <c r="G245" s="318">
        <v>0</v>
      </c>
      <c r="H245" s="318">
        <v>332793</v>
      </c>
      <c r="L245" s="318">
        <v>332793</v>
      </c>
      <c r="M245" s="540" t="s">
        <v>383</v>
      </c>
    </row>
    <row r="246" spans="1:13" ht="15.75">
      <c r="A246" s="358"/>
      <c r="B246" s="352" t="s">
        <v>388</v>
      </c>
      <c r="C246" s="351"/>
      <c r="F246" s="318">
        <f t="shared" si="14"/>
        <v>22961</v>
      </c>
      <c r="G246" s="318">
        <v>0</v>
      </c>
      <c r="H246" s="318">
        <v>22960600</v>
      </c>
      <c r="L246" s="318">
        <v>22960600</v>
      </c>
      <c r="M246" s="540" t="s">
        <v>388</v>
      </c>
    </row>
    <row r="247" spans="1:13" ht="15.75">
      <c r="A247" s="358"/>
      <c r="B247" s="352"/>
      <c r="C247" s="351"/>
      <c r="F247" s="318">
        <f t="shared" si="14"/>
        <v>0</v>
      </c>
      <c r="G247" s="318">
        <v>0</v>
      </c>
      <c r="M247" s="540"/>
    </row>
    <row r="248" spans="1:13" ht="15.75">
      <c r="A248" s="350"/>
      <c r="B248" s="352" t="s">
        <v>389</v>
      </c>
      <c r="C248" s="351"/>
      <c r="F248" s="318">
        <f t="shared" si="14"/>
        <v>24997</v>
      </c>
      <c r="G248" s="318">
        <v>0</v>
      </c>
      <c r="H248" s="318">
        <v>24996761</v>
      </c>
      <c r="L248" s="318">
        <v>24996761</v>
      </c>
      <c r="M248" s="540" t="s">
        <v>389</v>
      </c>
    </row>
    <row r="249" spans="1:13" ht="15.75">
      <c r="A249" s="357"/>
      <c r="B249" s="355" t="s">
        <v>356</v>
      </c>
      <c r="C249" s="356"/>
      <c r="F249" s="318">
        <f t="shared" si="14"/>
        <v>27</v>
      </c>
      <c r="G249" s="318">
        <v>0</v>
      </c>
      <c r="H249" s="318">
        <v>26997</v>
      </c>
      <c r="L249" s="318">
        <v>26997</v>
      </c>
      <c r="M249" s="543" t="s">
        <v>356</v>
      </c>
    </row>
    <row r="250" spans="1:13" ht="15.75">
      <c r="A250" s="350"/>
      <c r="B250" s="352" t="s">
        <v>390</v>
      </c>
      <c r="C250" s="351"/>
      <c r="F250" s="318">
        <f t="shared" si="14"/>
        <v>45055</v>
      </c>
      <c r="G250" s="318">
        <v>0</v>
      </c>
      <c r="H250" s="318">
        <v>45054607</v>
      </c>
      <c r="L250" s="318">
        <v>45054607</v>
      </c>
      <c r="M250" s="540" t="s">
        <v>390</v>
      </c>
    </row>
    <row r="251" spans="1:13" ht="15.75">
      <c r="A251" s="357" t="s">
        <v>779</v>
      </c>
      <c r="B251" s="711" t="s">
        <v>561</v>
      </c>
      <c r="C251" s="356"/>
      <c r="F251" s="318">
        <f>ROUND(H251/1000,0)</f>
        <v>0</v>
      </c>
      <c r="G251" s="318">
        <v>0</v>
      </c>
      <c r="H251" s="318">
        <v>0</v>
      </c>
      <c r="L251" s="318">
        <v>0</v>
      </c>
      <c r="M251" s="543" t="s">
        <v>780</v>
      </c>
    </row>
    <row r="252" spans="1:13" ht="15.75">
      <c r="A252" s="350"/>
      <c r="B252" s="352" t="s">
        <v>391</v>
      </c>
      <c r="C252" s="351"/>
      <c r="F252" s="318">
        <f t="shared" si="14"/>
        <v>70078</v>
      </c>
      <c r="G252" s="318">
        <v>0</v>
      </c>
      <c r="H252" s="318">
        <v>70078365</v>
      </c>
      <c r="L252" s="318">
        <v>70078365</v>
      </c>
      <c r="M252" s="540" t="s">
        <v>391</v>
      </c>
    </row>
    <row r="253" spans="1:13" ht="15.75">
      <c r="A253" s="350"/>
      <c r="B253" s="352"/>
      <c r="C253" s="351"/>
      <c r="F253" s="318">
        <f t="shared" si="14"/>
        <v>0</v>
      </c>
      <c r="G253" s="318">
        <v>0</v>
      </c>
      <c r="M253" s="540"/>
    </row>
    <row r="254" spans="1:13" ht="15.75">
      <c r="A254" s="350"/>
      <c r="B254" s="352" t="s">
        <v>392</v>
      </c>
      <c r="C254" s="351"/>
      <c r="F254" s="318">
        <f t="shared" si="14"/>
        <v>93039</v>
      </c>
      <c r="G254" s="318">
        <v>0</v>
      </c>
      <c r="H254" s="318">
        <v>93038965</v>
      </c>
      <c r="L254" s="318">
        <v>93038965</v>
      </c>
      <c r="M254" s="540" t="s">
        <v>392</v>
      </c>
    </row>
    <row r="255" spans="1:13" ht="15.75">
      <c r="A255" s="350"/>
      <c r="B255" s="351"/>
      <c r="C255" s="351"/>
      <c r="F255" s="318">
        <f t="shared" si="14"/>
        <v>0</v>
      </c>
      <c r="G255" s="318">
        <v>0</v>
      </c>
      <c r="M255" s="544"/>
    </row>
    <row r="256" spans="1:13" ht="15.75">
      <c r="A256" s="350"/>
      <c r="B256" s="352" t="s">
        <v>393</v>
      </c>
      <c r="C256" s="351"/>
      <c r="F256" s="318">
        <f t="shared" si="14"/>
        <v>0</v>
      </c>
      <c r="G256" s="318">
        <v>0</v>
      </c>
      <c r="M256" s="540" t="s">
        <v>393</v>
      </c>
    </row>
    <row r="257" spans="1:13" ht="15.75">
      <c r="A257" s="353">
        <v>901000</v>
      </c>
      <c r="B257" s="352" t="s">
        <v>394</v>
      </c>
      <c r="C257" s="351"/>
      <c r="F257" s="318">
        <f t="shared" si="14"/>
        <v>228</v>
      </c>
      <c r="G257" s="318">
        <v>0</v>
      </c>
      <c r="H257" s="318">
        <v>227874</v>
      </c>
      <c r="L257" s="318">
        <v>227874</v>
      </c>
      <c r="M257" s="540" t="s">
        <v>394</v>
      </c>
    </row>
    <row r="258" spans="1:13" ht="15.75">
      <c r="A258" s="353">
        <v>902000</v>
      </c>
      <c r="B258" s="352" t="s">
        <v>395</v>
      </c>
      <c r="C258" s="351"/>
      <c r="F258" s="318">
        <f t="shared" si="14"/>
        <v>2649</v>
      </c>
      <c r="G258" s="318">
        <v>0</v>
      </c>
      <c r="H258" s="318">
        <v>2649285</v>
      </c>
      <c r="L258" s="318">
        <v>2649285</v>
      </c>
      <c r="M258" s="540" t="s">
        <v>395</v>
      </c>
    </row>
    <row r="259" spans="1:13" ht="15.75">
      <c r="A259" s="353" t="s">
        <v>396</v>
      </c>
      <c r="B259" s="352" t="s">
        <v>397</v>
      </c>
      <c r="C259" s="351"/>
      <c r="F259" s="318">
        <f t="shared" si="14"/>
        <v>5565</v>
      </c>
      <c r="G259" s="318">
        <v>0</v>
      </c>
      <c r="H259" s="318">
        <v>5565202</v>
      </c>
      <c r="L259" s="318">
        <v>5565202</v>
      </c>
      <c r="M259" s="540" t="s">
        <v>397</v>
      </c>
    </row>
    <row r="260" spans="1:13" ht="15.75">
      <c r="A260" s="353">
        <v>904000</v>
      </c>
      <c r="B260" s="352" t="s">
        <v>398</v>
      </c>
      <c r="C260" s="351"/>
      <c r="F260" s="318">
        <f t="shared" si="14"/>
        <v>1950</v>
      </c>
      <c r="G260" s="318">
        <v>0</v>
      </c>
      <c r="H260" s="318">
        <v>1949786</v>
      </c>
      <c r="L260" s="318">
        <v>1949786</v>
      </c>
      <c r="M260" s="540" t="s">
        <v>398</v>
      </c>
    </row>
    <row r="261" spans="1:13" ht="15.75">
      <c r="A261" s="353">
        <v>905000</v>
      </c>
      <c r="B261" s="352" t="s">
        <v>399</v>
      </c>
      <c r="C261" s="351"/>
      <c r="F261" s="318">
        <f t="shared" si="14"/>
        <v>151</v>
      </c>
      <c r="G261" s="318">
        <v>0</v>
      </c>
      <c r="H261" s="318">
        <v>151003</v>
      </c>
      <c r="L261" s="318">
        <v>151003</v>
      </c>
      <c r="M261" s="540" t="s">
        <v>399</v>
      </c>
    </row>
    <row r="262" spans="1:13" ht="15.75">
      <c r="A262" s="350"/>
      <c r="B262" s="352" t="s">
        <v>400</v>
      </c>
      <c r="C262" s="351"/>
      <c r="F262" s="318">
        <f t="shared" si="14"/>
        <v>10543</v>
      </c>
      <c r="G262" s="318">
        <v>0</v>
      </c>
      <c r="H262" s="318">
        <v>10543150</v>
      </c>
      <c r="L262" s="318">
        <v>10543150</v>
      </c>
      <c r="M262" s="540" t="s">
        <v>400</v>
      </c>
    </row>
    <row r="263" spans="1:13" ht="15.75">
      <c r="A263" s="350"/>
      <c r="B263" s="352"/>
      <c r="C263" s="351"/>
      <c r="F263" s="318">
        <f t="shared" si="14"/>
        <v>0</v>
      </c>
      <c r="G263" s="318">
        <v>0</v>
      </c>
      <c r="M263" s="540"/>
    </row>
    <row r="264" spans="1:13" ht="15.75">
      <c r="A264" s="350"/>
      <c r="B264" s="352" t="s">
        <v>401</v>
      </c>
      <c r="C264" s="351"/>
      <c r="F264" s="318">
        <f t="shared" si="14"/>
        <v>0</v>
      </c>
      <c r="G264" s="318">
        <v>0</v>
      </c>
      <c r="M264" s="540" t="s">
        <v>401</v>
      </c>
    </row>
    <row r="265" spans="1:13" ht="15.75">
      <c r="A265" s="350" t="s">
        <v>402</v>
      </c>
      <c r="B265" s="352" t="s">
        <v>403</v>
      </c>
      <c r="C265" s="351"/>
      <c r="F265" s="318">
        <f t="shared" si="14"/>
        <v>18790</v>
      </c>
      <c r="G265" s="318">
        <v>0</v>
      </c>
      <c r="H265" s="318">
        <v>18790182</v>
      </c>
      <c r="L265" s="318">
        <v>18790182</v>
      </c>
      <c r="M265" s="540" t="s">
        <v>403</v>
      </c>
    </row>
    <row r="266" spans="1:13" ht="15.75">
      <c r="A266" s="353">
        <v>909000</v>
      </c>
      <c r="B266" s="352" t="s">
        <v>404</v>
      </c>
      <c r="C266" s="351"/>
      <c r="F266" s="318">
        <f t="shared" si="14"/>
        <v>563</v>
      </c>
      <c r="G266" s="318">
        <v>0</v>
      </c>
      <c r="H266" s="318">
        <v>563096</v>
      </c>
      <c r="L266" s="318">
        <v>563096</v>
      </c>
      <c r="M266" s="540" t="s">
        <v>404</v>
      </c>
    </row>
    <row r="267" spans="1:13" ht="15.75">
      <c r="A267" s="353">
        <v>910000</v>
      </c>
      <c r="B267" s="352" t="s">
        <v>405</v>
      </c>
      <c r="C267" s="351"/>
      <c r="F267" s="318">
        <f t="shared" si="14"/>
        <v>79</v>
      </c>
      <c r="G267" s="318">
        <v>0</v>
      </c>
      <c r="H267" s="318">
        <v>79496</v>
      </c>
      <c r="L267" s="318">
        <v>79496</v>
      </c>
      <c r="M267" s="540" t="s">
        <v>405</v>
      </c>
    </row>
    <row r="268" spans="1:13" ht="15.75">
      <c r="A268" s="353"/>
      <c r="B268" s="352" t="s">
        <v>406</v>
      </c>
      <c r="C268" s="351"/>
      <c r="F268" s="318">
        <f t="shared" si="14"/>
        <v>19433</v>
      </c>
      <c r="G268" s="318">
        <v>0</v>
      </c>
      <c r="H268" s="318">
        <v>19432774</v>
      </c>
      <c r="L268" s="318">
        <v>19432774</v>
      </c>
      <c r="M268" s="540" t="s">
        <v>406</v>
      </c>
    </row>
    <row r="269" spans="1:13" ht="15.75">
      <c r="A269" s="353"/>
      <c r="B269" s="352"/>
      <c r="C269" s="351"/>
      <c r="F269" s="318">
        <f t="shared" si="14"/>
        <v>0</v>
      </c>
      <c r="G269" s="318">
        <v>0</v>
      </c>
      <c r="M269" s="540"/>
    </row>
    <row r="270" spans="1:13" ht="15.75">
      <c r="A270" s="353"/>
      <c r="B270" s="352" t="s">
        <v>407</v>
      </c>
      <c r="C270" s="351"/>
      <c r="F270" s="318">
        <f t="shared" si="14"/>
        <v>0</v>
      </c>
      <c r="G270" s="318">
        <v>0</v>
      </c>
      <c r="M270" s="540" t="s">
        <v>407</v>
      </c>
    </row>
    <row r="271" spans="1:13" ht="15.75">
      <c r="A271" s="353">
        <v>912000</v>
      </c>
      <c r="B271" s="352" t="s">
        <v>408</v>
      </c>
      <c r="C271" s="351"/>
      <c r="F271" s="318">
        <f t="shared" si="14"/>
        <v>0</v>
      </c>
      <c r="G271" s="318">
        <v>0</v>
      </c>
      <c r="H271" s="318">
        <v>0</v>
      </c>
      <c r="L271" s="318">
        <v>0</v>
      </c>
      <c r="M271" s="540" t="s">
        <v>408</v>
      </c>
    </row>
    <row r="272" spans="1:13" ht="15.75">
      <c r="A272" s="353">
        <v>913000</v>
      </c>
      <c r="B272" s="352" t="s">
        <v>404</v>
      </c>
      <c r="C272" s="351"/>
      <c r="F272" s="318">
        <f t="shared" si="14"/>
        <v>0</v>
      </c>
      <c r="G272" s="318">
        <v>0</v>
      </c>
      <c r="H272" s="318">
        <v>0</v>
      </c>
      <c r="L272" s="318">
        <v>0</v>
      </c>
      <c r="M272" s="540" t="s">
        <v>404</v>
      </c>
    </row>
    <row r="273" spans="1:13" ht="15.75">
      <c r="A273" s="353">
        <v>916000</v>
      </c>
      <c r="B273" s="352" t="s">
        <v>409</v>
      </c>
      <c r="C273" s="351"/>
      <c r="F273" s="318">
        <f t="shared" si="14"/>
        <v>0</v>
      </c>
      <c r="G273" s="318">
        <v>0</v>
      </c>
      <c r="H273" s="318">
        <v>0</v>
      </c>
      <c r="L273" s="318">
        <v>0</v>
      </c>
      <c r="M273" s="540" t="s">
        <v>409</v>
      </c>
    </row>
    <row r="274" spans="1:13" ht="15.75">
      <c r="A274" s="353"/>
      <c r="B274" s="352" t="s">
        <v>410</v>
      </c>
      <c r="C274" s="351"/>
      <c r="F274" s="318">
        <f t="shared" si="14"/>
        <v>0</v>
      </c>
      <c r="G274" s="318">
        <v>0</v>
      </c>
      <c r="H274" s="318">
        <v>0</v>
      </c>
      <c r="L274" s="318">
        <v>0</v>
      </c>
      <c r="M274" s="540" t="s">
        <v>410</v>
      </c>
    </row>
    <row r="275" spans="1:13" ht="15.75">
      <c r="A275" s="353"/>
      <c r="B275" s="352"/>
      <c r="C275" s="351"/>
      <c r="F275" s="318">
        <f t="shared" si="14"/>
        <v>0</v>
      </c>
      <c r="G275" s="318">
        <v>0</v>
      </c>
      <c r="M275" s="540"/>
    </row>
    <row r="276" spans="1:13" ht="15.75">
      <c r="A276" s="353"/>
      <c r="B276" s="352" t="s">
        <v>411</v>
      </c>
      <c r="C276" s="351"/>
      <c r="F276" s="318">
        <f t="shared" si="14"/>
        <v>0</v>
      </c>
      <c r="G276" s="318">
        <v>0</v>
      </c>
      <c r="M276" s="540" t="s">
        <v>411</v>
      </c>
    </row>
    <row r="277" spans="1:13" ht="15.75">
      <c r="A277" s="353">
        <v>920000</v>
      </c>
      <c r="B277" s="352" t="s">
        <v>412</v>
      </c>
      <c r="C277" s="351"/>
      <c r="F277" s="318">
        <f t="shared" si="14"/>
        <v>19430</v>
      </c>
      <c r="G277" s="318">
        <v>0</v>
      </c>
      <c r="H277" s="318">
        <v>19430093</v>
      </c>
      <c r="L277" s="318">
        <v>19430093</v>
      </c>
      <c r="M277" s="540" t="s">
        <v>412</v>
      </c>
    </row>
    <row r="278" spans="1:13" ht="15.75">
      <c r="A278" s="353">
        <v>921000</v>
      </c>
      <c r="B278" s="352" t="s">
        <v>413</v>
      </c>
      <c r="C278" s="351"/>
      <c r="F278" s="318">
        <f t="shared" si="14"/>
        <v>2968</v>
      </c>
      <c r="G278" s="318">
        <v>0</v>
      </c>
      <c r="H278" s="318">
        <v>2967655</v>
      </c>
      <c r="L278" s="318">
        <v>2967655</v>
      </c>
      <c r="M278" s="540" t="s">
        <v>413</v>
      </c>
    </row>
    <row r="279" spans="1:13" ht="15.75">
      <c r="A279" s="353">
        <v>922000</v>
      </c>
      <c r="B279" s="352" t="s">
        <v>414</v>
      </c>
      <c r="C279" s="351"/>
      <c r="F279" s="318">
        <f t="shared" si="14"/>
        <v>-84</v>
      </c>
      <c r="G279" s="318">
        <v>0</v>
      </c>
      <c r="H279" s="318">
        <v>-84293</v>
      </c>
      <c r="L279" s="318">
        <v>-84293</v>
      </c>
      <c r="M279" s="540" t="s">
        <v>414</v>
      </c>
    </row>
    <row r="280" spans="1:13" ht="15.75">
      <c r="A280" s="353">
        <v>923000</v>
      </c>
      <c r="B280" s="352" t="s">
        <v>415</v>
      </c>
      <c r="C280" s="351"/>
      <c r="F280" s="318">
        <f t="shared" si="14"/>
        <v>7653</v>
      </c>
      <c r="G280" s="318">
        <v>0</v>
      </c>
      <c r="H280" s="318">
        <v>7652952</v>
      </c>
      <c r="L280" s="318">
        <v>7652952</v>
      </c>
      <c r="M280" s="540" t="s">
        <v>415</v>
      </c>
    </row>
    <row r="281" spans="1:13" ht="15.75">
      <c r="A281" s="353">
        <v>924000</v>
      </c>
      <c r="B281" s="352" t="s">
        <v>416</v>
      </c>
      <c r="C281" s="351"/>
      <c r="F281" s="318">
        <f t="shared" si="14"/>
        <v>897</v>
      </c>
      <c r="G281" s="318">
        <v>0</v>
      </c>
      <c r="H281" s="318">
        <v>896704</v>
      </c>
      <c r="L281" s="318">
        <v>896704</v>
      </c>
      <c r="M281" s="540" t="s">
        <v>416</v>
      </c>
    </row>
    <row r="282" spans="1:13" ht="15.75">
      <c r="A282" s="350" t="s">
        <v>417</v>
      </c>
      <c r="B282" s="352" t="s">
        <v>418</v>
      </c>
      <c r="C282" s="351"/>
      <c r="F282" s="318">
        <f t="shared" si="14"/>
        <v>2457</v>
      </c>
      <c r="G282" s="318">
        <v>0</v>
      </c>
      <c r="H282" s="318">
        <v>2456573</v>
      </c>
      <c r="L282" s="318">
        <v>2456573</v>
      </c>
      <c r="M282" s="540" t="s">
        <v>418</v>
      </c>
    </row>
    <row r="283" spans="1:13" ht="15.75">
      <c r="A283" s="350" t="s">
        <v>419</v>
      </c>
      <c r="B283" s="352" t="s">
        <v>420</v>
      </c>
      <c r="C283" s="351"/>
      <c r="F283" s="318">
        <f t="shared" si="14"/>
        <v>1640</v>
      </c>
      <c r="G283" s="318">
        <v>0</v>
      </c>
      <c r="H283" s="318">
        <v>1639834</v>
      </c>
      <c r="L283" s="318">
        <v>1639834</v>
      </c>
      <c r="M283" s="540" t="s">
        <v>420</v>
      </c>
    </row>
    <row r="284" spans="1:13" ht="15.75">
      <c r="A284" s="353">
        <v>927000</v>
      </c>
      <c r="B284" s="352" t="s">
        <v>421</v>
      </c>
      <c r="C284" s="351"/>
      <c r="F284" s="318">
        <f t="shared" si="14"/>
        <v>0</v>
      </c>
      <c r="G284" s="318">
        <v>0</v>
      </c>
      <c r="H284" s="318">
        <v>0</v>
      </c>
      <c r="L284" s="318">
        <v>0</v>
      </c>
      <c r="M284" s="540" t="s">
        <v>421</v>
      </c>
    </row>
    <row r="285" spans="1:13" ht="15.75">
      <c r="A285" s="353">
        <v>928000</v>
      </c>
      <c r="B285" s="352" t="s">
        <v>422</v>
      </c>
      <c r="C285" s="351"/>
      <c r="F285" s="318">
        <f t="shared" si="14"/>
        <v>4131</v>
      </c>
      <c r="G285" s="318">
        <v>0</v>
      </c>
      <c r="H285" s="318">
        <v>4131173</v>
      </c>
      <c r="L285" s="318">
        <v>4131173</v>
      </c>
      <c r="M285" s="540" t="s">
        <v>422</v>
      </c>
    </row>
    <row r="286" spans="1:13" ht="15.75">
      <c r="A286" s="353">
        <v>930000</v>
      </c>
      <c r="B286" s="352" t="s">
        <v>423</v>
      </c>
      <c r="C286" s="351"/>
      <c r="F286" s="318">
        <f t="shared" si="14"/>
        <v>2441</v>
      </c>
      <c r="G286" s="318">
        <v>0</v>
      </c>
      <c r="H286" s="318">
        <v>2440515</v>
      </c>
      <c r="L286" s="318">
        <v>2440515</v>
      </c>
      <c r="M286" s="540" t="s">
        <v>423</v>
      </c>
    </row>
    <row r="287" spans="1:13" ht="15.75">
      <c r="A287" s="353">
        <v>931000</v>
      </c>
      <c r="B287" s="352" t="s">
        <v>424</v>
      </c>
      <c r="C287" s="351"/>
      <c r="F287" s="318">
        <f t="shared" si="14"/>
        <v>705</v>
      </c>
      <c r="G287" s="318">
        <v>0</v>
      </c>
      <c r="H287" s="318">
        <v>704878</v>
      </c>
      <c r="L287" s="318">
        <v>704878</v>
      </c>
      <c r="M287" s="540" t="s">
        <v>424</v>
      </c>
    </row>
    <row r="288" spans="1:13" ht="15.75">
      <c r="A288" s="353">
        <v>935000</v>
      </c>
      <c r="B288" s="352" t="s">
        <v>425</v>
      </c>
      <c r="C288" s="351"/>
      <c r="F288" s="318">
        <f t="shared" si="14"/>
        <v>7079</v>
      </c>
      <c r="G288" s="318">
        <v>0</v>
      </c>
      <c r="H288" s="318">
        <v>7078875</v>
      </c>
      <c r="L288" s="318">
        <v>7078875</v>
      </c>
      <c r="M288" s="540" t="s">
        <v>425</v>
      </c>
    </row>
    <row r="289" spans="1:18" ht="15.75">
      <c r="A289" s="350"/>
      <c r="B289" s="352" t="s">
        <v>426</v>
      </c>
      <c r="C289" s="351"/>
      <c r="F289" s="318">
        <f t="shared" si="14"/>
        <v>49315</v>
      </c>
      <c r="G289" s="318">
        <v>0</v>
      </c>
      <c r="H289" s="318">
        <v>49314959</v>
      </c>
      <c r="L289" s="318">
        <v>49314959</v>
      </c>
      <c r="M289" s="540" t="s">
        <v>426</v>
      </c>
    </row>
    <row r="290" spans="1:18" ht="15.75">
      <c r="A290" s="350"/>
      <c r="B290" s="352"/>
      <c r="C290" s="351"/>
      <c r="F290" s="318">
        <f t="shared" si="14"/>
        <v>0</v>
      </c>
      <c r="G290" s="318">
        <v>0</v>
      </c>
      <c r="M290" s="540"/>
    </row>
    <row r="291" spans="1:18" ht="15.75">
      <c r="A291" s="350"/>
      <c r="B291" s="352" t="s">
        <v>427</v>
      </c>
      <c r="C291" s="351"/>
      <c r="F291" s="318">
        <f t="shared" si="14"/>
        <v>10911</v>
      </c>
      <c r="G291" s="318">
        <v>0</v>
      </c>
      <c r="H291" s="318">
        <v>10911492</v>
      </c>
      <c r="L291" s="318">
        <v>10911492</v>
      </c>
      <c r="M291" s="540" t="s">
        <v>427</v>
      </c>
      <c r="Q291" s="318">
        <v>10137303</v>
      </c>
    </row>
    <row r="292" spans="1:18" ht="15.75">
      <c r="A292" s="350"/>
      <c r="B292" s="352" t="s">
        <v>428</v>
      </c>
      <c r="C292" s="351"/>
      <c r="F292" s="318">
        <f t="shared" si="14"/>
        <v>289</v>
      </c>
      <c r="G292" s="318">
        <v>0</v>
      </c>
      <c r="H292" s="318">
        <v>289135</v>
      </c>
      <c r="L292" s="318">
        <v>289135</v>
      </c>
      <c r="M292" s="540" t="s">
        <v>428</v>
      </c>
      <c r="Q292" s="318">
        <v>192090</v>
      </c>
    </row>
    <row r="293" spans="1:18" ht="15.75">
      <c r="A293" s="350"/>
      <c r="B293" s="352" t="s">
        <v>429</v>
      </c>
      <c r="C293" s="351"/>
      <c r="F293" s="318">
        <f t="shared" ref="F293:F363" si="15">ROUND(H293/1000,0)</f>
        <v>9050</v>
      </c>
      <c r="G293" s="318">
        <v>0</v>
      </c>
      <c r="H293" s="318">
        <v>9049917</v>
      </c>
      <c r="L293" s="318">
        <v>9049917</v>
      </c>
      <c r="M293" s="540" t="s">
        <v>429</v>
      </c>
      <c r="Q293" s="318">
        <v>5865595</v>
      </c>
      <c r="R293" s="318" t="s">
        <v>774</v>
      </c>
    </row>
    <row r="294" spans="1:18" ht="15.75">
      <c r="A294" s="350"/>
      <c r="B294" s="352" t="s">
        <v>430</v>
      </c>
      <c r="C294" s="351"/>
      <c r="F294" s="318">
        <f t="shared" si="15"/>
        <v>17</v>
      </c>
      <c r="G294" s="318">
        <v>0</v>
      </c>
      <c r="H294" s="318">
        <v>17259</v>
      </c>
      <c r="L294" s="318">
        <v>17259</v>
      </c>
      <c r="M294" s="540" t="s">
        <v>430</v>
      </c>
      <c r="Q294" s="318">
        <v>20485</v>
      </c>
    </row>
    <row r="295" spans="1:18" ht="15.75">
      <c r="A295" s="541">
        <v>407229</v>
      </c>
      <c r="B295" s="540" t="s">
        <v>684</v>
      </c>
      <c r="C295" s="351"/>
      <c r="F295" s="318">
        <f t="shared" si="15"/>
        <v>0</v>
      </c>
      <c r="G295" s="318">
        <v>0</v>
      </c>
      <c r="H295" s="318">
        <v>0</v>
      </c>
      <c r="L295" s="318">
        <v>0</v>
      </c>
      <c r="M295" s="540" t="s">
        <v>684</v>
      </c>
    </row>
    <row r="296" spans="1:18" ht="15.75">
      <c r="A296" s="541"/>
      <c r="B296" s="540" t="s">
        <v>695</v>
      </c>
      <c r="C296" s="351"/>
      <c r="F296" s="318">
        <f t="shared" ref="F296" si="16">ROUND(H296/1000,0)</f>
        <v>0</v>
      </c>
      <c r="G296" s="318">
        <v>1</v>
      </c>
      <c r="H296" s="318">
        <v>0</v>
      </c>
      <c r="L296" s="318">
        <v>0</v>
      </c>
      <c r="M296" s="540" t="s">
        <v>695</v>
      </c>
    </row>
    <row r="297" spans="1:18" ht="15.75">
      <c r="A297" s="350"/>
      <c r="B297" s="352" t="s">
        <v>431</v>
      </c>
      <c r="C297" s="351"/>
      <c r="F297" s="318">
        <f t="shared" si="15"/>
        <v>20268</v>
      </c>
      <c r="G297" s="318">
        <v>0</v>
      </c>
      <c r="H297" s="318">
        <v>20267803</v>
      </c>
      <c r="L297" s="318">
        <v>20267803</v>
      </c>
      <c r="M297" s="540" t="s">
        <v>431</v>
      </c>
      <c r="Q297" s="318">
        <f>SUM(Q291:Q296)</f>
        <v>16215473</v>
      </c>
    </row>
    <row r="298" spans="1:18" ht="15.75">
      <c r="A298" s="350"/>
      <c r="B298" s="352"/>
      <c r="C298" s="351"/>
      <c r="F298" s="318">
        <f t="shared" si="15"/>
        <v>0</v>
      </c>
      <c r="G298" s="318">
        <v>0</v>
      </c>
      <c r="M298" s="540"/>
    </row>
    <row r="299" spans="1:18" ht="15.75">
      <c r="A299" s="353"/>
      <c r="B299" s="352" t="s">
        <v>432</v>
      </c>
      <c r="C299" s="351"/>
      <c r="F299" s="318">
        <f t="shared" si="15"/>
        <v>69583</v>
      </c>
      <c r="G299" s="318">
        <v>0</v>
      </c>
      <c r="H299" s="318">
        <v>69582762</v>
      </c>
      <c r="L299" s="318">
        <v>69582762</v>
      </c>
      <c r="M299" s="540" t="s">
        <v>432</v>
      </c>
    </row>
    <row r="300" spans="1:18" ht="15.75">
      <c r="A300" s="353"/>
      <c r="B300" s="352"/>
      <c r="C300" s="351"/>
      <c r="F300" s="318">
        <f t="shared" si="15"/>
        <v>0</v>
      </c>
      <c r="G300" s="318">
        <v>0</v>
      </c>
      <c r="M300" s="540"/>
    </row>
    <row r="301" spans="1:18" ht="15.75">
      <c r="A301" s="353"/>
      <c r="B301" s="352" t="s">
        <v>433</v>
      </c>
      <c r="C301" s="351"/>
      <c r="F301" s="318">
        <f t="shared" si="15"/>
        <v>533464</v>
      </c>
      <c r="G301" s="318">
        <v>0</v>
      </c>
      <c r="H301" s="318">
        <v>533463749</v>
      </c>
      <c r="L301" s="318">
        <v>533463749</v>
      </c>
      <c r="M301" s="540" t="s">
        <v>433</v>
      </c>
    </row>
    <row r="302" spans="1:18" ht="15.75">
      <c r="A302" s="353"/>
      <c r="B302" s="352"/>
      <c r="C302" s="351"/>
      <c r="F302" s="318">
        <f t="shared" si="15"/>
        <v>0</v>
      </c>
      <c r="G302" s="318">
        <v>0</v>
      </c>
      <c r="M302" s="540"/>
    </row>
    <row r="303" spans="1:18" ht="15.75">
      <c r="A303" s="353"/>
      <c r="B303" s="352" t="s">
        <v>434</v>
      </c>
      <c r="C303" s="351"/>
      <c r="F303" s="318">
        <f t="shared" si="15"/>
        <v>140654</v>
      </c>
      <c r="G303" s="318">
        <v>0</v>
      </c>
      <c r="H303" s="318">
        <v>140653979</v>
      </c>
      <c r="L303" s="318">
        <v>140653979</v>
      </c>
      <c r="M303" s="540" t="s">
        <v>696</v>
      </c>
    </row>
    <row r="304" spans="1:18" ht="15.75">
      <c r="A304" s="353"/>
      <c r="B304" s="352"/>
      <c r="C304" s="351"/>
      <c r="F304" s="318">
        <f t="shared" si="15"/>
        <v>0</v>
      </c>
      <c r="G304" s="318">
        <v>0</v>
      </c>
      <c r="M304" s="540"/>
    </row>
    <row r="305" spans="1:13" ht="15.75">
      <c r="A305" s="353"/>
      <c r="B305" s="352" t="s">
        <v>435</v>
      </c>
      <c r="C305" s="351"/>
      <c r="F305" s="318">
        <f t="shared" si="15"/>
        <v>-7654</v>
      </c>
      <c r="G305" s="318">
        <v>0</v>
      </c>
      <c r="H305" s="318">
        <v>-7653955</v>
      </c>
      <c r="L305" s="318">
        <v>-7653955</v>
      </c>
      <c r="M305" s="540" t="s">
        <v>435</v>
      </c>
    </row>
    <row r="306" spans="1:13" ht="15.75">
      <c r="A306" s="353"/>
      <c r="B306" s="352" t="s">
        <v>436</v>
      </c>
      <c r="C306" s="351"/>
      <c r="F306" s="318">
        <f t="shared" si="15"/>
        <v>46391</v>
      </c>
      <c r="G306" s="318">
        <v>0</v>
      </c>
      <c r="H306" s="318">
        <v>46391285</v>
      </c>
      <c r="L306" s="318">
        <v>46391285</v>
      </c>
      <c r="M306" s="540" t="s">
        <v>436</v>
      </c>
    </row>
    <row r="307" spans="1:13" ht="15.75">
      <c r="A307" s="353"/>
      <c r="B307" s="352" t="s">
        <v>437</v>
      </c>
      <c r="C307" s="356"/>
      <c r="F307" s="318">
        <f t="shared" si="15"/>
        <v>-127</v>
      </c>
      <c r="G307" s="318">
        <v>0</v>
      </c>
      <c r="H307" s="318">
        <v>-126526</v>
      </c>
      <c r="L307" s="318">
        <v>-126526</v>
      </c>
      <c r="M307" s="540" t="s">
        <v>437</v>
      </c>
    </row>
    <row r="308" spans="1:13" ht="15.75">
      <c r="A308" s="350"/>
      <c r="B308" s="352" t="s">
        <v>438</v>
      </c>
      <c r="C308" s="351"/>
      <c r="F308" s="318">
        <f t="shared" si="15"/>
        <v>102043</v>
      </c>
      <c r="G308" s="318">
        <v>0</v>
      </c>
      <c r="H308" s="318">
        <v>102043175</v>
      </c>
      <c r="L308" s="318">
        <v>102043175</v>
      </c>
      <c r="M308" s="540" t="s">
        <v>697</v>
      </c>
    </row>
    <row r="309" spans="1:13">
      <c r="F309" s="318">
        <f t="shared" si="15"/>
        <v>0</v>
      </c>
      <c r="G309" s="318">
        <v>0</v>
      </c>
    </row>
    <row r="310" spans="1:13" ht="15.75">
      <c r="A310" s="359"/>
      <c r="B310" s="352" t="s">
        <v>64</v>
      </c>
      <c r="F310" s="318">
        <f t="shared" si="15"/>
        <v>0</v>
      </c>
      <c r="G310" s="318">
        <v>0</v>
      </c>
      <c r="M310" s="540" t="s">
        <v>64</v>
      </c>
    </row>
    <row r="311" spans="1:13" ht="15.75">
      <c r="A311" s="359"/>
      <c r="B311" s="352" t="s">
        <v>439</v>
      </c>
      <c r="F311" s="318">
        <f t="shared" si="15"/>
        <v>0</v>
      </c>
      <c r="G311" s="318">
        <v>0</v>
      </c>
      <c r="M311" s="540" t="s">
        <v>439</v>
      </c>
    </row>
    <row r="312" spans="1:13" ht="15.75">
      <c r="A312" s="360">
        <v>182324</v>
      </c>
      <c r="B312" s="355" t="s">
        <v>646</v>
      </c>
      <c r="F312" s="318">
        <f t="shared" si="15"/>
        <v>5759</v>
      </c>
      <c r="G312" s="318">
        <v>0</v>
      </c>
      <c r="H312" s="318">
        <v>5759190</v>
      </c>
      <c r="L312" s="318">
        <v>5759190</v>
      </c>
      <c r="M312" s="543" t="s">
        <v>646</v>
      </c>
    </row>
    <row r="313" spans="1:13" ht="15.75">
      <c r="A313" s="360">
        <v>182325</v>
      </c>
      <c r="B313" s="355" t="s">
        <v>647</v>
      </c>
      <c r="F313" s="318">
        <f t="shared" si="15"/>
        <v>1294</v>
      </c>
      <c r="G313" s="318">
        <v>0</v>
      </c>
      <c r="H313" s="318">
        <v>1294200</v>
      </c>
      <c r="L313" s="318">
        <v>1294200</v>
      </c>
      <c r="M313" s="543" t="s">
        <v>647</v>
      </c>
    </row>
    <row r="314" spans="1:13" ht="15.75">
      <c r="A314" s="360">
        <v>182333</v>
      </c>
      <c r="B314" s="355" t="s">
        <v>648</v>
      </c>
      <c r="F314" s="318">
        <f t="shared" ref="F314:F315" si="17">ROUND(H314/1000,0)</f>
        <v>821</v>
      </c>
      <c r="G314" s="318">
        <v>0</v>
      </c>
      <c r="H314" s="318">
        <v>821326</v>
      </c>
      <c r="L314" s="318">
        <v>821326</v>
      </c>
      <c r="M314" s="543" t="s">
        <v>648</v>
      </c>
    </row>
    <row r="315" spans="1:13" ht="15.75">
      <c r="A315" s="360">
        <v>182381</v>
      </c>
      <c r="B315" s="355" t="s">
        <v>649</v>
      </c>
      <c r="F315" s="318">
        <f t="shared" si="17"/>
        <v>22192</v>
      </c>
      <c r="G315" s="318">
        <v>0</v>
      </c>
      <c r="H315" s="318">
        <v>22192395</v>
      </c>
      <c r="L315" s="318">
        <v>22192395</v>
      </c>
      <c r="M315" s="543" t="s">
        <v>649</v>
      </c>
    </row>
    <row r="316" spans="1:13" ht="15.75">
      <c r="A316" s="361">
        <v>302000</v>
      </c>
      <c r="B316" s="352" t="s">
        <v>440</v>
      </c>
      <c r="F316" s="318">
        <f t="shared" si="15"/>
        <v>29107</v>
      </c>
      <c r="G316" s="318">
        <v>0</v>
      </c>
      <c r="H316" s="318">
        <v>29106953</v>
      </c>
      <c r="L316" s="318">
        <v>29106953</v>
      </c>
      <c r="M316" s="540" t="s">
        <v>440</v>
      </c>
    </row>
    <row r="317" spans="1:13" ht="15.75">
      <c r="A317" s="361">
        <v>303000</v>
      </c>
      <c r="B317" s="355" t="s">
        <v>441</v>
      </c>
      <c r="F317" s="318">
        <f t="shared" si="15"/>
        <v>10746</v>
      </c>
      <c r="G317" s="318">
        <v>0</v>
      </c>
      <c r="H317" s="318">
        <v>10745697</v>
      </c>
      <c r="L317" s="318">
        <v>10745697</v>
      </c>
      <c r="M317" s="543" t="s">
        <v>698</v>
      </c>
    </row>
    <row r="318" spans="1:13" ht="15.75">
      <c r="A318" s="361">
        <v>303100</v>
      </c>
      <c r="B318" s="352" t="s">
        <v>442</v>
      </c>
      <c r="F318" s="318">
        <f t="shared" si="15"/>
        <v>60597</v>
      </c>
      <c r="G318" s="318">
        <v>0</v>
      </c>
      <c r="H318" s="318">
        <v>60596745</v>
      </c>
      <c r="L318" s="318">
        <v>60596745</v>
      </c>
      <c r="M318" s="540" t="s">
        <v>699</v>
      </c>
    </row>
    <row r="319" spans="1:13" ht="15.75">
      <c r="A319" s="361">
        <v>303110</v>
      </c>
      <c r="B319" s="352" t="s">
        <v>443</v>
      </c>
      <c r="F319" s="318">
        <f t="shared" si="15"/>
        <v>2360</v>
      </c>
      <c r="G319" s="318">
        <v>0</v>
      </c>
      <c r="H319" s="318">
        <v>2360226</v>
      </c>
      <c r="L319" s="318">
        <v>2360226</v>
      </c>
      <c r="M319" s="540" t="s">
        <v>700</v>
      </c>
    </row>
    <row r="320" spans="1:13" ht="15.75">
      <c r="A320" s="362"/>
      <c r="B320" s="352" t="s">
        <v>444</v>
      </c>
      <c r="F320" s="318">
        <f t="shared" si="15"/>
        <v>132877</v>
      </c>
      <c r="G320" s="318">
        <v>0</v>
      </c>
      <c r="H320" s="318">
        <v>132876732</v>
      </c>
      <c r="L320" s="318">
        <v>132876732</v>
      </c>
      <c r="M320" s="540" t="s">
        <v>444</v>
      </c>
    </row>
    <row r="321" spans="1:13" ht="15.75">
      <c r="A321" s="359"/>
      <c r="B321" s="352"/>
      <c r="F321" s="318">
        <f t="shared" si="15"/>
        <v>0</v>
      </c>
      <c r="G321" s="318">
        <v>0</v>
      </c>
      <c r="M321" s="540"/>
    </row>
    <row r="322" spans="1:13" ht="15.75">
      <c r="A322" s="359"/>
      <c r="B322" s="352" t="s">
        <v>445</v>
      </c>
      <c r="F322" s="318">
        <f t="shared" si="15"/>
        <v>0</v>
      </c>
      <c r="G322" s="318">
        <v>0</v>
      </c>
      <c r="M322" s="540" t="s">
        <v>445</v>
      </c>
    </row>
    <row r="323" spans="1:13" ht="15.75">
      <c r="A323" s="361" t="s">
        <v>446</v>
      </c>
      <c r="B323" s="352" t="s">
        <v>447</v>
      </c>
      <c r="F323" s="318">
        <f t="shared" si="15"/>
        <v>2315</v>
      </c>
      <c r="G323" s="318">
        <v>0</v>
      </c>
      <c r="H323" s="318">
        <v>2315435</v>
      </c>
      <c r="L323" s="318">
        <v>2315435</v>
      </c>
      <c r="M323" s="540" t="s">
        <v>447</v>
      </c>
    </row>
    <row r="324" spans="1:13" ht="15.75">
      <c r="A324" s="361" t="s">
        <v>448</v>
      </c>
      <c r="B324" s="352" t="s">
        <v>449</v>
      </c>
      <c r="F324" s="318">
        <f t="shared" si="15"/>
        <v>83755</v>
      </c>
      <c r="G324" s="318">
        <v>0</v>
      </c>
      <c r="H324" s="318">
        <v>83755056</v>
      </c>
      <c r="L324" s="318">
        <v>83755056</v>
      </c>
      <c r="M324" s="540" t="s">
        <v>449</v>
      </c>
    </row>
    <row r="325" spans="1:13" ht="15.75">
      <c r="A325" s="361">
        <v>312000</v>
      </c>
      <c r="B325" s="352" t="s">
        <v>318</v>
      </c>
      <c r="F325" s="318">
        <f t="shared" si="15"/>
        <v>113740</v>
      </c>
      <c r="G325" s="318">
        <v>0</v>
      </c>
      <c r="H325" s="318">
        <v>113739508</v>
      </c>
      <c r="L325" s="318">
        <v>113739508</v>
      </c>
      <c r="M325" s="540" t="s">
        <v>318</v>
      </c>
    </row>
    <row r="326" spans="1:13" ht="15.75">
      <c r="A326" s="361">
        <v>313000</v>
      </c>
      <c r="B326" s="352" t="s">
        <v>450</v>
      </c>
      <c r="F326" s="318">
        <f t="shared" si="15"/>
        <v>4</v>
      </c>
      <c r="G326" s="318">
        <v>0</v>
      </c>
      <c r="H326" s="318">
        <v>4381</v>
      </c>
      <c r="L326" s="318">
        <v>4381</v>
      </c>
      <c r="M326" s="540" t="s">
        <v>450</v>
      </c>
    </row>
    <row r="327" spans="1:13" ht="15.75">
      <c r="A327" s="361">
        <v>314000</v>
      </c>
      <c r="B327" s="352" t="s">
        <v>451</v>
      </c>
      <c r="F327" s="318">
        <f t="shared" si="15"/>
        <v>35056</v>
      </c>
      <c r="G327" s="318">
        <v>0</v>
      </c>
      <c r="H327" s="318">
        <v>35055663</v>
      </c>
      <c r="L327" s="318">
        <v>35055663</v>
      </c>
      <c r="M327" s="540" t="s">
        <v>451</v>
      </c>
    </row>
    <row r="328" spans="1:13" ht="15.75">
      <c r="A328" s="361">
        <v>315000</v>
      </c>
      <c r="B328" s="352" t="s">
        <v>452</v>
      </c>
      <c r="F328" s="318">
        <f t="shared" si="15"/>
        <v>17504</v>
      </c>
      <c r="G328" s="318">
        <v>0</v>
      </c>
      <c r="H328" s="318">
        <v>17504446</v>
      </c>
      <c r="L328" s="318">
        <v>17504446</v>
      </c>
      <c r="M328" s="540" t="s">
        <v>452</v>
      </c>
    </row>
    <row r="329" spans="1:13" ht="15.75">
      <c r="A329" s="361">
        <v>316000</v>
      </c>
      <c r="B329" s="352" t="s">
        <v>453</v>
      </c>
      <c r="F329" s="318">
        <f t="shared" si="15"/>
        <v>11015</v>
      </c>
      <c r="G329" s="318">
        <v>0</v>
      </c>
      <c r="H329" s="318">
        <v>11014841</v>
      </c>
      <c r="L329" s="318">
        <v>11014841</v>
      </c>
      <c r="M329" s="540" t="s">
        <v>453</v>
      </c>
    </row>
    <row r="330" spans="1:13" ht="15.75">
      <c r="A330" s="363"/>
      <c r="B330" s="352" t="s">
        <v>454</v>
      </c>
      <c r="F330" s="318">
        <f t="shared" si="15"/>
        <v>263389</v>
      </c>
      <c r="G330" s="318">
        <v>0</v>
      </c>
      <c r="H330" s="318">
        <v>263389330</v>
      </c>
      <c r="L330" s="318">
        <v>263389330</v>
      </c>
      <c r="M330" s="540" t="s">
        <v>454</v>
      </c>
    </row>
    <row r="331" spans="1:13" ht="15.75">
      <c r="A331" s="364"/>
      <c r="B331" s="352"/>
      <c r="F331" s="318">
        <f t="shared" si="15"/>
        <v>0</v>
      </c>
      <c r="G331" s="318">
        <v>0</v>
      </c>
      <c r="M331" s="540"/>
    </row>
    <row r="332" spans="1:13" ht="15.75">
      <c r="A332" s="359"/>
      <c r="B332" s="352" t="s">
        <v>455</v>
      </c>
      <c r="F332" s="318">
        <f t="shared" si="15"/>
        <v>0</v>
      </c>
      <c r="G332" s="318">
        <v>0</v>
      </c>
      <c r="M332" s="540" t="s">
        <v>455</v>
      </c>
    </row>
    <row r="333" spans="1:13" ht="15.75">
      <c r="A333" s="361" t="s">
        <v>456</v>
      </c>
      <c r="B333" s="352" t="s">
        <v>447</v>
      </c>
      <c r="F333" s="318">
        <f t="shared" si="15"/>
        <v>38627</v>
      </c>
      <c r="G333" s="318">
        <v>0</v>
      </c>
      <c r="H333" s="318">
        <v>38627148</v>
      </c>
      <c r="L333" s="318">
        <v>38627148</v>
      </c>
      <c r="M333" s="540" t="s">
        <v>447</v>
      </c>
    </row>
    <row r="334" spans="1:13" ht="15.75">
      <c r="A334" s="361" t="s">
        <v>457</v>
      </c>
      <c r="B334" s="352" t="s">
        <v>449</v>
      </c>
      <c r="F334" s="318">
        <f t="shared" si="15"/>
        <v>37014</v>
      </c>
      <c r="G334" s="318">
        <v>0</v>
      </c>
      <c r="H334" s="318">
        <v>37014452</v>
      </c>
      <c r="L334" s="318">
        <v>37014452</v>
      </c>
      <c r="M334" s="540" t="s">
        <v>449</v>
      </c>
    </row>
    <row r="335" spans="1:13" ht="15.75">
      <c r="A335" s="361" t="s">
        <v>458</v>
      </c>
      <c r="B335" s="352" t="s">
        <v>327</v>
      </c>
      <c r="F335" s="318">
        <f t="shared" si="15"/>
        <v>91917</v>
      </c>
      <c r="G335" s="318">
        <v>0</v>
      </c>
      <c r="H335" s="318">
        <v>91916870</v>
      </c>
      <c r="L335" s="318">
        <v>91916870</v>
      </c>
      <c r="M335" s="540" t="s">
        <v>327</v>
      </c>
    </row>
    <row r="336" spans="1:13" ht="15.75">
      <c r="A336" s="361">
        <v>333000</v>
      </c>
      <c r="B336" s="352" t="s">
        <v>459</v>
      </c>
      <c r="F336" s="318">
        <f t="shared" si="15"/>
        <v>108193</v>
      </c>
      <c r="G336" s="318">
        <v>0</v>
      </c>
      <c r="H336" s="318">
        <v>108192526</v>
      </c>
      <c r="L336" s="318">
        <v>108192526</v>
      </c>
      <c r="M336" s="540" t="s">
        <v>459</v>
      </c>
    </row>
    <row r="337" spans="1:13" ht="15.75">
      <c r="A337" s="361">
        <v>334000</v>
      </c>
      <c r="B337" s="352" t="s">
        <v>452</v>
      </c>
      <c r="F337" s="318">
        <f t="shared" si="15"/>
        <v>26122</v>
      </c>
      <c r="G337" s="318">
        <v>0</v>
      </c>
      <c r="H337" s="318">
        <v>26121639</v>
      </c>
      <c r="L337" s="318">
        <v>26121639</v>
      </c>
      <c r="M337" s="540" t="s">
        <v>452</v>
      </c>
    </row>
    <row r="338" spans="1:13" ht="15.75">
      <c r="A338" s="361" t="s">
        <v>460</v>
      </c>
      <c r="B338" s="352" t="s">
        <v>453</v>
      </c>
      <c r="F338" s="318">
        <f t="shared" si="15"/>
        <v>6041</v>
      </c>
      <c r="G338" s="318">
        <v>0</v>
      </c>
      <c r="H338" s="318">
        <v>6040963</v>
      </c>
      <c r="L338" s="318">
        <v>6040963</v>
      </c>
      <c r="M338" s="540" t="s">
        <v>453</v>
      </c>
    </row>
    <row r="339" spans="1:13" ht="15.75">
      <c r="A339" s="361">
        <v>336000</v>
      </c>
      <c r="B339" s="352" t="s">
        <v>461</v>
      </c>
      <c r="F339" s="318">
        <f t="shared" si="15"/>
        <v>1712</v>
      </c>
      <c r="G339" s="318">
        <v>0</v>
      </c>
      <c r="H339" s="318">
        <v>1711870</v>
      </c>
      <c r="L339" s="318">
        <v>1711870</v>
      </c>
      <c r="M339" s="540" t="s">
        <v>461</v>
      </c>
    </row>
    <row r="340" spans="1:13" ht="15.75">
      <c r="A340" s="363"/>
      <c r="B340" s="352" t="s">
        <v>462</v>
      </c>
      <c r="F340" s="318">
        <f t="shared" si="15"/>
        <v>309625</v>
      </c>
      <c r="G340" s="318">
        <v>0</v>
      </c>
      <c r="H340" s="318">
        <v>309625468</v>
      </c>
      <c r="L340" s="318">
        <v>309625468</v>
      </c>
      <c r="M340" s="540" t="s">
        <v>462</v>
      </c>
    </row>
    <row r="341" spans="1:13" ht="15.75">
      <c r="A341" s="364"/>
      <c r="B341" s="352"/>
      <c r="F341" s="318">
        <f t="shared" si="15"/>
        <v>0</v>
      </c>
      <c r="G341" s="318">
        <v>0</v>
      </c>
      <c r="M341" s="540"/>
    </row>
    <row r="342" spans="1:13" ht="15.75">
      <c r="A342" s="359"/>
      <c r="B342" s="352" t="s">
        <v>463</v>
      </c>
      <c r="F342" s="318">
        <f t="shared" si="15"/>
        <v>0</v>
      </c>
      <c r="G342" s="318">
        <v>0</v>
      </c>
      <c r="M342" s="540" t="s">
        <v>463</v>
      </c>
    </row>
    <row r="343" spans="1:13" ht="15.75">
      <c r="A343" s="361">
        <v>340200</v>
      </c>
      <c r="B343" s="352" t="s">
        <v>447</v>
      </c>
      <c r="F343" s="318">
        <f t="shared" si="15"/>
        <v>586</v>
      </c>
      <c r="G343" s="318">
        <v>0</v>
      </c>
      <c r="H343" s="318">
        <v>585734</v>
      </c>
      <c r="L343" s="318">
        <v>585734</v>
      </c>
      <c r="M343" s="540" t="s">
        <v>447</v>
      </c>
    </row>
    <row r="344" spans="1:13" ht="15.75">
      <c r="A344" s="361">
        <v>341000</v>
      </c>
      <c r="B344" s="352" t="s">
        <v>449</v>
      </c>
      <c r="F344" s="318">
        <f t="shared" si="15"/>
        <v>10851</v>
      </c>
      <c r="G344" s="318">
        <v>0</v>
      </c>
      <c r="H344" s="318">
        <v>10851262</v>
      </c>
      <c r="L344" s="318">
        <v>10851262</v>
      </c>
      <c r="M344" s="540" t="s">
        <v>449</v>
      </c>
    </row>
    <row r="345" spans="1:13" ht="15.75">
      <c r="A345" s="361">
        <v>342000</v>
      </c>
      <c r="B345" s="352" t="s">
        <v>464</v>
      </c>
      <c r="F345" s="318">
        <f t="shared" si="15"/>
        <v>13781</v>
      </c>
      <c r="G345" s="318">
        <v>0</v>
      </c>
      <c r="H345" s="318">
        <v>13780829</v>
      </c>
      <c r="L345" s="318">
        <v>13780829</v>
      </c>
      <c r="M345" s="540" t="s">
        <v>464</v>
      </c>
    </row>
    <row r="346" spans="1:13" ht="15.75">
      <c r="A346" s="361">
        <v>343000</v>
      </c>
      <c r="B346" s="352" t="s">
        <v>465</v>
      </c>
      <c r="F346" s="318">
        <f t="shared" si="15"/>
        <v>15472</v>
      </c>
      <c r="G346" s="318">
        <v>0</v>
      </c>
      <c r="H346" s="318">
        <v>15471818</v>
      </c>
      <c r="L346" s="318">
        <v>15471818</v>
      </c>
      <c r="M346" s="540" t="s">
        <v>465</v>
      </c>
    </row>
    <row r="347" spans="1:13" ht="15.75">
      <c r="A347" s="361">
        <v>344000</v>
      </c>
      <c r="B347" s="352" t="s">
        <v>450</v>
      </c>
      <c r="F347" s="318">
        <f t="shared" ref="F347:F348" si="18">ROUND(H347/1000,0)</f>
        <v>134603</v>
      </c>
      <c r="G347" s="318">
        <v>0</v>
      </c>
      <c r="H347" s="318">
        <v>134602946</v>
      </c>
      <c r="L347" s="318">
        <v>134602946</v>
      </c>
      <c r="M347" s="540" t="s">
        <v>450</v>
      </c>
    </row>
    <row r="348" spans="1:13" ht="15.75">
      <c r="A348" s="361">
        <v>344010</v>
      </c>
      <c r="B348" s="352" t="s">
        <v>650</v>
      </c>
      <c r="F348" s="318">
        <f t="shared" si="18"/>
        <v>97</v>
      </c>
      <c r="G348" s="318">
        <v>0</v>
      </c>
      <c r="H348" s="318">
        <v>96851</v>
      </c>
      <c r="L348" s="318">
        <v>96851</v>
      </c>
      <c r="M348" s="540" t="s">
        <v>650</v>
      </c>
    </row>
    <row r="349" spans="1:13" ht="15.75">
      <c r="A349" s="361">
        <v>345000</v>
      </c>
      <c r="B349" s="352" t="s">
        <v>452</v>
      </c>
      <c r="F349" s="318">
        <f t="shared" si="15"/>
        <v>13425</v>
      </c>
      <c r="G349" s="318">
        <v>0</v>
      </c>
      <c r="H349" s="318">
        <v>13425446</v>
      </c>
      <c r="L349" s="318">
        <v>13425446</v>
      </c>
      <c r="M349" s="540" t="s">
        <v>452</v>
      </c>
    </row>
    <row r="350" spans="1:13" ht="15.75">
      <c r="A350" s="361">
        <v>345010</v>
      </c>
      <c r="B350" s="352" t="s">
        <v>651</v>
      </c>
      <c r="F350" s="318">
        <f t="shared" si="15"/>
        <v>21</v>
      </c>
      <c r="G350" s="318">
        <v>0</v>
      </c>
      <c r="H350" s="318">
        <v>21490</v>
      </c>
      <c r="L350" s="318">
        <v>21490</v>
      </c>
      <c r="M350" s="540" t="s">
        <v>651</v>
      </c>
    </row>
    <row r="351" spans="1:13" ht="15.75">
      <c r="A351" s="361">
        <v>346000</v>
      </c>
      <c r="B351" s="352" t="s">
        <v>453</v>
      </c>
      <c r="F351" s="318">
        <f t="shared" si="15"/>
        <v>983</v>
      </c>
      <c r="G351" s="318">
        <v>0</v>
      </c>
      <c r="H351" s="318">
        <v>982609</v>
      </c>
      <c r="L351" s="318">
        <v>982609</v>
      </c>
      <c r="M351" s="540" t="s">
        <v>453</v>
      </c>
    </row>
    <row r="352" spans="1:13" ht="15.75">
      <c r="A352" s="363"/>
      <c r="B352" s="352" t="s">
        <v>466</v>
      </c>
      <c r="F352" s="318">
        <f t="shared" si="15"/>
        <v>189819</v>
      </c>
      <c r="G352" s="318">
        <v>0</v>
      </c>
      <c r="H352" s="318">
        <v>189818985</v>
      </c>
      <c r="L352" s="318">
        <v>189818985</v>
      </c>
      <c r="M352" s="540" t="s">
        <v>466</v>
      </c>
    </row>
    <row r="353" spans="1:16384" ht="15.75">
      <c r="A353" s="361"/>
      <c r="B353" s="352" t="s">
        <v>467</v>
      </c>
      <c r="F353" s="318">
        <f t="shared" si="15"/>
        <v>762834</v>
      </c>
      <c r="G353" s="318">
        <v>0</v>
      </c>
      <c r="H353" s="318">
        <v>762833783</v>
      </c>
      <c r="L353" s="318">
        <v>762833783</v>
      </c>
      <c r="M353" s="540" t="s">
        <v>467</v>
      </c>
    </row>
    <row r="354" spans="1:16384" ht="15.75">
      <c r="A354" s="361"/>
      <c r="B354" s="352"/>
      <c r="F354" s="318">
        <f t="shared" si="15"/>
        <v>0</v>
      </c>
      <c r="G354" s="318">
        <v>0</v>
      </c>
      <c r="H354" s="540"/>
      <c r="I354" s="545"/>
      <c r="J354" s="540"/>
      <c r="K354" s="545"/>
      <c r="L354" s="540"/>
      <c r="M354" s="540"/>
      <c r="N354" s="540"/>
      <c r="O354" s="545"/>
      <c r="P354" s="540"/>
      <c r="Q354" s="545"/>
      <c r="R354" s="540"/>
      <c r="S354" s="545"/>
      <c r="T354" s="540"/>
      <c r="U354" s="545"/>
      <c r="V354" s="540"/>
      <c r="W354" s="545"/>
      <c r="X354" s="540"/>
      <c r="Y354" s="545"/>
      <c r="Z354" s="540"/>
      <c r="AA354" s="545"/>
      <c r="AB354" s="540"/>
      <c r="AC354" s="545"/>
      <c r="AD354" s="540"/>
      <c r="AE354" s="545"/>
      <c r="AF354" s="540"/>
      <c r="AG354" s="545"/>
      <c r="AH354" s="540"/>
      <c r="AI354" s="545"/>
      <c r="AJ354" s="540"/>
      <c r="AK354" s="545"/>
      <c r="AL354" s="540"/>
      <c r="AM354" s="545"/>
      <c r="AN354" s="540"/>
      <c r="AO354" s="545"/>
      <c r="AP354" s="540"/>
      <c r="AQ354" s="545"/>
      <c r="AR354" s="540"/>
      <c r="AS354" s="545"/>
      <c r="AT354" s="540"/>
      <c r="AU354" s="545"/>
      <c r="AV354" s="540"/>
      <c r="AW354" s="545"/>
      <c r="AX354" s="540"/>
      <c r="AY354" s="545"/>
      <c r="AZ354" s="540"/>
      <c r="BA354" s="545"/>
      <c r="BB354" s="540"/>
      <c r="BC354" s="545"/>
      <c r="BD354" s="540"/>
      <c r="BE354" s="545"/>
      <c r="BF354" s="540"/>
      <c r="BG354" s="545"/>
      <c r="BH354" s="540"/>
      <c r="BI354" s="545"/>
      <c r="BJ354" s="540"/>
      <c r="BK354" s="545"/>
      <c r="BL354" s="540"/>
      <c r="BM354" s="545"/>
      <c r="BN354" s="540"/>
      <c r="BO354" s="545"/>
      <c r="BP354" s="540"/>
      <c r="BQ354" s="545"/>
      <c r="BR354" s="540"/>
      <c r="BS354" s="545"/>
      <c r="BT354" s="540"/>
      <c r="BU354" s="545"/>
      <c r="BV354" s="540"/>
      <c r="BW354" s="545"/>
      <c r="BX354" s="540"/>
      <c r="BY354" s="545"/>
      <c r="BZ354" s="540"/>
      <c r="CA354" s="545"/>
      <c r="CB354" s="540"/>
      <c r="CC354" s="545"/>
      <c r="CD354" s="540"/>
      <c r="CE354" s="545"/>
      <c r="CF354" s="540"/>
      <c r="CG354" s="545"/>
      <c r="CH354" s="540"/>
      <c r="CI354" s="545"/>
      <c r="CJ354" s="540"/>
      <c r="CK354" s="545"/>
      <c r="CL354" s="540"/>
      <c r="CM354" s="545"/>
      <c r="CN354" s="540"/>
      <c r="CO354" s="545"/>
      <c r="CP354" s="540"/>
      <c r="CQ354" s="545"/>
      <c r="CR354" s="540"/>
      <c r="CS354" s="545"/>
      <c r="CT354" s="540"/>
      <c r="CU354" s="545"/>
      <c r="CV354" s="540"/>
      <c r="CW354" s="545"/>
      <c r="CX354" s="540"/>
      <c r="CY354" s="545"/>
      <c r="CZ354" s="540"/>
      <c r="DA354" s="545"/>
      <c r="DB354" s="540"/>
      <c r="DC354" s="545"/>
      <c r="DD354" s="540"/>
      <c r="DE354" s="545"/>
      <c r="DF354" s="540"/>
      <c r="DG354" s="545"/>
      <c r="DH354" s="540"/>
      <c r="DI354" s="545"/>
      <c r="DJ354" s="540"/>
      <c r="DK354" s="545"/>
      <c r="DL354" s="540"/>
      <c r="DM354" s="545"/>
      <c r="DN354" s="540"/>
      <c r="DO354" s="545"/>
      <c r="DP354" s="540"/>
      <c r="DQ354" s="545"/>
      <c r="DR354" s="540"/>
      <c r="DS354" s="545"/>
      <c r="DT354" s="540"/>
      <c r="DU354" s="545"/>
      <c r="DV354" s="540"/>
      <c r="DW354" s="545"/>
      <c r="DX354" s="540"/>
      <c r="DY354" s="545"/>
      <c r="DZ354" s="540"/>
      <c r="EA354" s="545"/>
      <c r="EB354" s="540"/>
      <c r="EC354" s="545"/>
      <c r="ED354" s="540"/>
      <c r="EE354" s="545"/>
      <c r="EF354" s="540"/>
      <c r="EG354" s="545"/>
      <c r="EH354" s="540"/>
      <c r="EI354" s="545"/>
      <c r="EJ354" s="540"/>
      <c r="EK354" s="545"/>
      <c r="EL354" s="540"/>
      <c r="EM354" s="545"/>
      <c r="EN354" s="540"/>
      <c r="EO354" s="545"/>
      <c r="EP354" s="540"/>
      <c r="EQ354" s="545"/>
      <c r="ER354" s="540"/>
      <c r="ES354" s="545"/>
      <c r="ET354" s="540"/>
      <c r="EU354" s="545"/>
      <c r="EV354" s="540"/>
      <c r="EW354" s="545"/>
      <c r="EX354" s="540"/>
      <c r="EY354" s="545"/>
      <c r="EZ354" s="540"/>
      <c r="FA354" s="545"/>
      <c r="FB354" s="540"/>
      <c r="FC354" s="545"/>
      <c r="FD354" s="540"/>
      <c r="FE354" s="545"/>
      <c r="FF354" s="540"/>
      <c r="FG354" s="545"/>
      <c r="FH354" s="540"/>
      <c r="FI354" s="545"/>
      <c r="FJ354" s="540"/>
      <c r="FK354" s="545"/>
      <c r="FL354" s="540"/>
      <c r="FM354" s="545"/>
      <c r="FN354" s="540"/>
      <c r="FO354" s="545"/>
      <c r="FP354" s="540"/>
      <c r="FQ354" s="545"/>
      <c r="FR354" s="540"/>
      <c r="FS354" s="545"/>
      <c r="FT354" s="540"/>
      <c r="FU354" s="545"/>
      <c r="FV354" s="540"/>
      <c r="FW354" s="545"/>
      <c r="FX354" s="540"/>
      <c r="FY354" s="545"/>
      <c r="FZ354" s="540"/>
      <c r="GA354" s="545"/>
      <c r="GB354" s="540"/>
      <c r="GC354" s="545"/>
      <c r="GD354" s="540"/>
      <c r="GE354" s="545"/>
      <c r="GF354" s="540"/>
      <c r="GG354" s="545"/>
      <c r="GH354" s="540"/>
      <c r="GI354" s="545"/>
      <c r="GJ354" s="540"/>
      <c r="GK354" s="545"/>
      <c r="GL354" s="540"/>
      <c r="GM354" s="545"/>
      <c r="GN354" s="540"/>
      <c r="GO354" s="545"/>
      <c r="GP354" s="540"/>
      <c r="GQ354" s="545"/>
      <c r="GR354" s="540"/>
      <c r="GS354" s="545"/>
      <c r="GT354" s="540"/>
      <c r="GU354" s="545"/>
      <c r="GV354" s="540"/>
      <c r="GW354" s="545"/>
      <c r="GX354" s="540"/>
      <c r="GY354" s="545"/>
      <c r="GZ354" s="540"/>
      <c r="HA354" s="545"/>
      <c r="HB354" s="540"/>
      <c r="HC354" s="545"/>
      <c r="HD354" s="540"/>
      <c r="HE354" s="545"/>
      <c r="HF354" s="540"/>
      <c r="HG354" s="545"/>
      <c r="HH354" s="540"/>
      <c r="HI354" s="545"/>
      <c r="HJ354" s="540"/>
      <c r="HK354" s="545"/>
      <c r="HL354" s="540"/>
      <c r="HM354" s="545"/>
      <c r="HN354" s="540"/>
      <c r="HO354" s="545"/>
      <c r="HP354" s="540"/>
      <c r="HQ354" s="545"/>
      <c r="HR354" s="540"/>
      <c r="HS354" s="545"/>
      <c r="HT354" s="540"/>
      <c r="HU354" s="545"/>
      <c r="HV354" s="540"/>
      <c r="HW354" s="545"/>
      <c r="HX354" s="540"/>
      <c r="HY354" s="545"/>
      <c r="HZ354" s="540"/>
      <c r="IA354" s="545"/>
      <c r="IB354" s="540"/>
      <c r="IC354" s="545"/>
      <c r="ID354" s="540"/>
      <c r="IE354" s="545"/>
      <c r="IF354" s="540"/>
      <c r="IG354" s="545"/>
      <c r="IH354" s="540"/>
      <c r="II354" s="545"/>
      <c r="IJ354" s="540"/>
      <c r="IK354" s="545"/>
      <c r="IL354" s="540"/>
      <c r="IM354" s="545"/>
      <c r="IN354" s="540"/>
      <c r="IO354" s="545"/>
      <c r="IP354" s="540"/>
      <c r="IQ354" s="545"/>
      <c r="IR354" s="540"/>
      <c r="IS354" s="545"/>
      <c r="IT354" s="540"/>
      <c r="IU354" s="545"/>
      <c r="IV354" s="540"/>
      <c r="IW354" s="545"/>
      <c r="IX354" s="540"/>
      <c r="IY354" s="545"/>
      <c r="IZ354" s="540"/>
      <c r="JA354" s="545"/>
      <c r="JB354" s="540"/>
      <c r="JC354" s="545"/>
      <c r="JD354" s="540"/>
      <c r="JE354" s="545"/>
      <c r="JF354" s="540"/>
      <c r="JG354" s="545"/>
      <c r="JH354" s="540"/>
      <c r="JI354" s="545"/>
      <c r="JJ354" s="540"/>
      <c r="JK354" s="545"/>
      <c r="JL354" s="540"/>
      <c r="JM354" s="545"/>
      <c r="JN354" s="540"/>
      <c r="JO354" s="545"/>
      <c r="JP354" s="540"/>
      <c r="JQ354" s="545"/>
      <c r="JR354" s="540"/>
      <c r="JS354" s="545"/>
      <c r="JT354" s="540"/>
      <c r="JU354" s="545"/>
      <c r="JV354" s="540"/>
      <c r="JW354" s="545"/>
      <c r="JX354" s="540"/>
      <c r="JY354" s="545"/>
      <c r="JZ354" s="540"/>
      <c r="KA354" s="545"/>
      <c r="KB354" s="540"/>
      <c r="KC354" s="545"/>
      <c r="KD354" s="540"/>
      <c r="KE354" s="545"/>
      <c r="KF354" s="540"/>
      <c r="KG354" s="545"/>
      <c r="KH354" s="540"/>
      <c r="KI354" s="545"/>
      <c r="KJ354" s="540"/>
      <c r="KK354" s="545"/>
      <c r="KL354" s="540"/>
      <c r="KM354" s="545"/>
      <c r="KN354" s="540"/>
      <c r="KO354" s="545"/>
      <c r="KP354" s="540"/>
      <c r="KQ354" s="545"/>
      <c r="KR354" s="540"/>
      <c r="KS354" s="545"/>
      <c r="KT354" s="540"/>
      <c r="KU354" s="545"/>
      <c r="KV354" s="540"/>
      <c r="KW354" s="545"/>
      <c r="KX354" s="540"/>
      <c r="KY354" s="545"/>
      <c r="KZ354" s="540"/>
      <c r="LA354" s="545"/>
      <c r="LB354" s="540"/>
      <c r="LC354" s="545"/>
      <c r="LD354" s="540"/>
      <c r="LE354" s="545"/>
      <c r="LF354" s="540"/>
      <c r="LG354" s="545"/>
      <c r="LH354" s="540"/>
      <c r="LI354" s="545"/>
      <c r="LJ354" s="540"/>
      <c r="LK354" s="545"/>
      <c r="LL354" s="540"/>
      <c r="LM354" s="545"/>
      <c r="LN354" s="540"/>
      <c r="LO354" s="545"/>
      <c r="LP354" s="540"/>
      <c r="LQ354" s="545"/>
      <c r="LR354" s="540"/>
      <c r="LS354" s="545"/>
      <c r="LT354" s="540"/>
      <c r="LU354" s="545"/>
      <c r="LV354" s="540"/>
      <c r="LW354" s="545"/>
      <c r="LX354" s="540"/>
      <c r="LY354" s="545"/>
      <c r="LZ354" s="540"/>
      <c r="MA354" s="545"/>
      <c r="MB354" s="540"/>
      <c r="MC354" s="545"/>
      <c r="MD354" s="540"/>
      <c r="ME354" s="545"/>
      <c r="MF354" s="540"/>
      <c r="MG354" s="545"/>
      <c r="MH354" s="540"/>
      <c r="MI354" s="545"/>
      <c r="MJ354" s="540"/>
      <c r="MK354" s="545"/>
      <c r="ML354" s="540"/>
      <c r="MM354" s="545"/>
      <c r="MN354" s="540"/>
      <c r="MO354" s="545"/>
      <c r="MP354" s="540"/>
      <c r="MQ354" s="545"/>
      <c r="MR354" s="540"/>
      <c r="MS354" s="545"/>
      <c r="MT354" s="540"/>
      <c r="MU354" s="545"/>
      <c r="MV354" s="540"/>
      <c r="MW354" s="545"/>
      <c r="MX354" s="540"/>
      <c r="MY354" s="545"/>
      <c r="MZ354" s="540"/>
      <c r="NA354" s="545"/>
      <c r="NB354" s="540"/>
      <c r="NC354" s="545"/>
      <c r="ND354" s="540"/>
      <c r="NE354" s="545"/>
      <c r="NF354" s="540"/>
      <c r="NG354" s="545"/>
      <c r="NH354" s="540"/>
      <c r="NI354" s="545"/>
      <c r="NJ354" s="540"/>
      <c r="NK354" s="545"/>
      <c r="NL354" s="540"/>
      <c r="NM354" s="545"/>
      <c r="NN354" s="540"/>
      <c r="NO354" s="545"/>
      <c r="NP354" s="540"/>
      <c r="NQ354" s="545"/>
      <c r="NR354" s="540"/>
      <c r="NS354" s="545"/>
      <c r="NT354" s="540"/>
      <c r="NU354" s="545"/>
      <c r="NV354" s="540"/>
      <c r="NW354" s="545"/>
      <c r="NX354" s="540"/>
      <c r="NY354" s="545"/>
      <c r="NZ354" s="540"/>
      <c r="OA354" s="545"/>
      <c r="OB354" s="540"/>
      <c r="OC354" s="545"/>
      <c r="OD354" s="540"/>
      <c r="OE354" s="545"/>
      <c r="OF354" s="540"/>
      <c r="OG354" s="545"/>
      <c r="OH354" s="540"/>
      <c r="OI354" s="545"/>
      <c r="OJ354" s="540"/>
      <c r="OK354" s="545"/>
      <c r="OL354" s="540"/>
      <c r="OM354" s="545"/>
      <c r="ON354" s="540"/>
      <c r="OO354" s="545"/>
      <c r="OP354" s="540"/>
      <c r="OQ354" s="545"/>
      <c r="OR354" s="540"/>
      <c r="OS354" s="545"/>
      <c r="OT354" s="540"/>
      <c r="OU354" s="545"/>
      <c r="OV354" s="540"/>
      <c r="OW354" s="545"/>
      <c r="OX354" s="540"/>
      <c r="OY354" s="545"/>
      <c r="OZ354" s="540"/>
      <c r="PA354" s="545"/>
      <c r="PB354" s="540"/>
      <c r="PC354" s="545"/>
      <c r="PD354" s="540"/>
      <c r="PE354" s="545"/>
      <c r="PF354" s="540"/>
      <c r="PG354" s="545"/>
      <c r="PH354" s="540"/>
      <c r="PI354" s="545"/>
      <c r="PJ354" s="540"/>
      <c r="PK354" s="545"/>
      <c r="PL354" s="540"/>
      <c r="PM354" s="545"/>
      <c r="PN354" s="540"/>
      <c r="PO354" s="545"/>
      <c r="PP354" s="540"/>
      <c r="PQ354" s="545"/>
      <c r="PR354" s="540"/>
      <c r="PS354" s="545"/>
      <c r="PT354" s="540"/>
      <c r="PU354" s="545"/>
      <c r="PV354" s="540"/>
      <c r="PW354" s="545"/>
      <c r="PX354" s="540"/>
      <c r="PY354" s="545"/>
      <c r="PZ354" s="540"/>
      <c r="QA354" s="545"/>
      <c r="QB354" s="540"/>
      <c r="QC354" s="545"/>
      <c r="QD354" s="540"/>
      <c r="QE354" s="545"/>
      <c r="QF354" s="540"/>
      <c r="QG354" s="545"/>
      <c r="QH354" s="540"/>
      <c r="QI354" s="545"/>
      <c r="QJ354" s="540"/>
      <c r="QK354" s="545"/>
      <c r="QL354" s="540"/>
      <c r="QM354" s="545"/>
      <c r="QN354" s="540"/>
      <c r="QO354" s="545"/>
      <c r="QP354" s="540"/>
      <c r="QQ354" s="545"/>
      <c r="QR354" s="540"/>
      <c r="QS354" s="545"/>
      <c r="QT354" s="540"/>
      <c r="QU354" s="545"/>
      <c r="QV354" s="540"/>
      <c r="QW354" s="545"/>
      <c r="QX354" s="540"/>
      <c r="QY354" s="545"/>
      <c r="QZ354" s="540"/>
      <c r="RA354" s="545"/>
      <c r="RB354" s="540"/>
      <c r="RC354" s="545"/>
      <c r="RD354" s="540"/>
      <c r="RE354" s="545"/>
      <c r="RF354" s="540"/>
      <c r="RG354" s="545"/>
      <c r="RH354" s="540"/>
      <c r="RI354" s="545"/>
      <c r="RJ354" s="540"/>
      <c r="RK354" s="545"/>
      <c r="RL354" s="540"/>
      <c r="RM354" s="545"/>
      <c r="RN354" s="540"/>
      <c r="RO354" s="545"/>
      <c r="RP354" s="540"/>
      <c r="RQ354" s="545"/>
      <c r="RR354" s="540"/>
      <c r="RS354" s="545"/>
      <c r="RT354" s="540"/>
      <c r="RU354" s="545"/>
      <c r="RV354" s="540"/>
      <c r="RW354" s="545"/>
      <c r="RX354" s="540"/>
      <c r="RY354" s="545"/>
      <c r="RZ354" s="540"/>
      <c r="SA354" s="545"/>
      <c r="SB354" s="540"/>
      <c r="SC354" s="545"/>
      <c r="SD354" s="540"/>
      <c r="SE354" s="545"/>
      <c r="SF354" s="540"/>
      <c r="SG354" s="545"/>
      <c r="SH354" s="540"/>
      <c r="SI354" s="545"/>
      <c r="SJ354" s="540"/>
      <c r="SK354" s="545"/>
      <c r="SL354" s="540"/>
      <c r="SM354" s="545"/>
      <c r="SN354" s="540"/>
      <c r="SO354" s="545"/>
      <c r="SP354" s="540"/>
      <c r="SQ354" s="545"/>
      <c r="SR354" s="540"/>
      <c r="SS354" s="545"/>
      <c r="ST354" s="540"/>
      <c r="SU354" s="545"/>
      <c r="SV354" s="540"/>
      <c r="SW354" s="545"/>
      <c r="SX354" s="540"/>
      <c r="SY354" s="545"/>
      <c r="SZ354" s="540"/>
      <c r="TA354" s="545"/>
      <c r="TB354" s="540"/>
      <c r="TC354" s="545"/>
      <c r="TD354" s="540"/>
      <c r="TE354" s="545"/>
      <c r="TF354" s="540"/>
      <c r="TG354" s="545"/>
      <c r="TH354" s="540"/>
      <c r="TI354" s="545"/>
      <c r="TJ354" s="540"/>
      <c r="TK354" s="545"/>
      <c r="TL354" s="540"/>
      <c r="TM354" s="545"/>
      <c r="TN354" s="540"/>
      <c r="TO354" s="545"/>
      <c r="TP354" s="540"/>
      <c r="TQ354" s="545"/>
      <c r="TR354" s="540"/>
      <c r="TS354" s="545"/>
      <c r="TT354" s="540"/>
      <c r="TU354" s="545"/>
      <c r="TV354" s="540"/>
      <c r="TW354" s="545"/>
      <c r="TX354" s="540"/>
      <c r="TY354" s="545"/>
      <c r="TZ354" s="540"/>
      <c r="UA354" s="545"/>
      <c r="UB354" s="540"/>
      <c r="UC354" s="545"/>
      <c r="UD354" s="540"/>
      <c r="UE354" s="545"/>
      <c r="UF354" s="540"/>
      <c r="UG354" s="545"/>
      <c r="UH354" s="540"/>
      <c r="UI354" s="545"/>
      <c r="UJ354" s="540"/>
      <c r="UK354" s="545"/>
      <c r="UL354" s="540"/>
      <c r="UM354" s="545"/>
      <c r="UN354" s="540"/>
      <c r="UO354" s="545"/>
      <c r="UP354" s="540"/>
      <c r="UQ354" s="545"/>
      <c r="UR354" s="540"/>
      <c r="US354" s="545"/>
      <c r="UT354" s="540"/>
      <c r="UU354" s="545"/>
      <c r="UV354" s="540"/>
      <c r="UW354" s="545"/>
      <c r="UX354" s="540"/>
      <c r="UY354" s="545"/>
      <c r="UZ354" s="540"/>
      <c r="VA354" s="545"/>
      <c r="VB354" s="540"/>
      <c r="VC354" s="545"/>
      <c r="VD354" s="540"/>
      <c r="VE354" s="545"/>
      <c r="VF354" s="540"/>
      <c r="VG354" s="545"/>
      <c r="VH354" s="540"/>
      <c r="VI354" s="545"/>
      <c r="VJ354" s="540"/>
      <c r="VK354" s="545"/>
      <c r="VL354" s="540"/>
      <c r="VM354" s="545"/>
      <c r="VN354" s="540"/>
      <c r="VO354" s="545"/>
      <c r="VP354" s="540"/>
      <c r="VQ354" s="545"/>
      <c r="VR354" s="540"/>
      <c r="VS354" s="545"/>
      <c r="VT354" s="540"/>
      <c r="VU354" s="545"/>
      <c r="VV354" s="540"/>
      <c r="VW354" s="545"/>
      <c r="VX354" s="540"/>
      <c r="VY354" s="545"/>
      <c r="VZ354" s="540"/>
      <c r="WA354" s="545"/>
      <c r="WB354" s="540"/>
      <c r="WC354" s="545"/>
      <c r="WD354" s="540"/>
      <c r="WE354" s="545"/>
      <c r="WF354" s="540"/>
      <c r="WG354" s="545"/>
      <c r="WH354" s="540"/>
      <c r="WI354" s="545"/>
      <c r="WJ354" s="540"/>
      <c r="WK354" s="545"/>
      <c r="WL354" s="540"/>
      <c r="WM354" s="545"/>
      <c r="WN354" s="540"/>
      <c r="WO354" s="545"/>
      <c r="WP354" s="540"/>
      <c r="WQ354" s="545"/>
      <c r="WR354" s="540"/>
      <c r="WS354" s="545"/>
      <c r="WT354" s="540"/>
      <c r="WU354" s="545"/>
      <c r="WV354" s="540"/>
      <c r="WW354" s="545"/>
      <c r="WX354" s="540"/>
      <c r="WY354" s="545"/>
      <c r="WZ354" s="540"/>
      <c r="XA354" s="545"/>
      <c r="XB354" s="540"/>
      <c r="XC354" s="545"/>
      <c r="XD354" s="540"/>
      <c r="XE354" s="545"/>
      <c r="XF354" s="540"/>
      <c r="XG354" s="545"/>
      <c r="XH354" s="540"/>
      <c r="XI354" s="545"/>
      <c r="XJ354" s="540"/>
      <c r="XK354" s="545"/>
      <c r="XL354" s="540"/>
      <c r="XM354" s="545"/>
      <c r="XN354" s="540"/>
      <c r="XO354" s="545"/>
      <c r="XP354" s="540"/>
      <c r="XQ354" s="545"/>
      <c r="XR354" s="540"/>
      <c r="XS354" s="545"/>
      <c r="XT354" s="540"/>
      <c r="XU354" s="545"/>
      <c r="XV354" s="540"/>
      <c r="XW354" s="545"/>
      <c r="XX354" s="540"/>
      <c r="XY354" s="545"/>
      <c r="XZ354" s="540"/>
      <c r="YA354" s="545"/>
      <c r="YB354" s="540"/>
      <c r="YC354" s="545"/>
      <c r="YD354" s="540"/>
      <c r="YE354" s="545"/>
      <c r="YF354" s="540"/>
      <c r="YG354" s="545"/>
      <c r="YH354" s="540"/>
      <c r="YI354" s="545"/>
      <c r="YJ354" s="540"/>
      <c r="YK354" s="545"/>
      <c r="YL354" s="540"/>
      <c r="YM354" s="545"/>
      <c r="YN354" s="540"/>
      <c r="YO354" s="545"/>
      <c r="YP354" s="540"/>
      <c r="YQ354" s="545"/>
      <c r="YR354" s="540"/>
      <c r="YS354" s="545"/>
      <c r="YT354" s="540"/>
      <c r="YU354" s="545"/>
      <c r="YV354" s="540"/>
      <c r="YW354" s="545"/>
      <c r="YX354" s="540"/>
      <c r="YY354" s="545"/>
      <c r="YZ354" s="540"/>
      <c r="ZA354" s="545"/>
      <c r="ZB354" s="540"/>
      <c r="ZC354" s="545"/>
      <c r="ZD354" s="540"/>
      <c r="ZE354" s="545"/>
      <c r="ZF354" s="540"/>
      <c r="ZG354" s="545"/>
      <c r="ZH354" s="540"/>
      <c r="ZI354" s="545"/>
      <c r="ZJ354" s="540"/>
      <c r="ZK354" s="545"/>
      <c r="ZL354" s="540"/>
      <c r="ZM354" s="545"/>
      <c r="ZN354" s="540"/>
      <c r="ZO354" s="545"/>
      <c r="ZP354" s="540"/>
      <c r="ZQ354" s="545"/>
      <c r="ZR354" s="540"/>
      <c r="ZS354" s="545"/>
      <c r="ZT354" s="540"/>
      <c r="ZU354" s="545"/>
      <c r="ZV354" s="540"/>
      <c r="ZW354" s="545"/>
      <c r="ZX354" s="540"/>
      <c r="ZY354" s="545"/>
      <c r="ZZ354" s="540"/>
      <c r="AAA354" s="545"/>
      <c r="AAB354" s="540"/>
      <c r="AAC354" s="545"/>
      <c r="AAD354" s="540"/>
      <c r="AAE354" s="545"/>
      <c r="AAF354" s="540"/>
      <c r="AAG354" s="545"/>
      <c r="AAH354" s="540"/>
      <c r="AAI354" s="545"/>
      <c r="AAJ354" s="540"/>
      <c r="AAK354" s="545"/>
      <c r="AAL354" s="540"/>
      <c r="AAM354" s="545"/>
      <c r="AAN354" s="540"/>
      <c r="AAO354" s="545"/>
      <c r="AAP354" s="540"/>
      <c r="AAQ354" s="545"/>
      <c r="AAR354" s="540"/>
      <c r="AAS354" s="545"/>
      <c r="AAT354" s="540"/>
      <c r="AAU354" s="545"/>
      <c r="AAV354" s="540"/>
      <c r="AAW354" s="545"/>
      <c r="AAX354" s="540"/>
      <c r="AAY354" s="545"/>
      <c r="AAZ354" s="540"/>
      <c r="ABA354" s="545"/>
      <c r="ABB354" s="540"/>
      <c r="ABC354" s="545"/>
      <c r="ABD354" s="540"/>
      <c r="ABE354" s="545"/>
      <c r="ABF354" s="540"/>
      <c r="ABG354" s="545"/>
      <c r="ABH354" s="540"/>
      <c r="ABI354" s="545"/>
      <c r="ABJ354" s="540"/>
      <c r="ABK354" s="545"/>
      <c r="ABL354" s="540"/>
      <c r="ABM354" s="545"/>
      <c r="ABN354" s="540"/>
      <c r="ABO354" s="545"/>
      <c r="ABP354" s="540"/>
      <c r="ABQ354" s="545"/>
      <c r="ABR354" s="540"/>
      <c r="ABS354" s="545"/>
      <c r="ABT354" s="540"/>
      <c r="ABU354" s="545"/>
      <c r="ABV354" s="540"/>
      <c r="ABW354" s="545"/>
      <c r="ABX354" s="540"/>
      <c r="ABY354" s="545"/>
      <c r="ABZ354" s="540"/>
      <c r="ACA354" s="545"/>
      <c r="ACB354" s="540"/>
      <c r="ACC354" s="545"/>
      <c r="ACD354" s="540"/>
      <c r="ACE354" s="545"/>
      <c r="ACF354" s="540"/>
      <c r="ACG354" s="545"/>
      <c r="ACH354" s="540"/>
      <c r="ACI354" s="545"/>
      <c r="ACJ354" s="540"/>
      <c r="ACK354" s="545"/>
      <c r="ACL354" s="540"/>
      <c r="ACM354" s="545"/>
      <c r="ACN354" s="540"/>
      <c r="ACO354" s="545"/>
      <c r="ACP354" s="540"/>
      <c r="ACQ354" s="545"/>
      <c r="ACR354" s="540"/>
      <c r="ACS354" s="545"/>
      <c r="ACT354" s="540"/>
      <c r="ACU354" s="545"/>
      <c r="ACV354" s="540"/>
      <c r="ACW354" s="545"/>
      <c r="ACX354" s="540"/>
      <c r="ACY354" s="545"/>
      <c r="ACZ354" s="540"/>
      <c r="ADA354" s="545"/>
      <c r="ADB354" s="540"/>
      <c r="ADC354" s="545"/>
      <c r="ADD354" s="540"/>
      <c r="ADE354" s="545"/>
      <c r="ADF354" s="540"/>
      <c r="ADG354" s="545"/>
      <c r="ADH354" s="540"/>
      <c r="ADI354" s="545"/>
      <c r="ADJ354" s="540"/>
      <c r="ADK354" s="545"/>
      <c r="ADL354" s="540"/>
      <c r="ADM354" s="545"/>
      <c r="ADN354" s="540"/>
      <c r="ADO354" s="545"/>
      <c r="ADP354" s="540"/>
      <c r="ADQ354" s="545"/>
      <c r="ADR354" s="540"/>
      <c r="ADS354" s="545"/>
      <c r="ADT354" s="540"/>
      <c r="ADU354" s="545"/>
      <c r="ADV354" s="540"/>
      <c r="ADW354" s="545"/>
      <c r="ADX354" s="540"/>
      <c r="ADY354" s="545"/>
      <c r="ADZ354" s="540"/>
      <c r="AEA354" s="545"/>
      <c r="AEB354" s="540"/>
      <c r="AEC354" s="545"/>
      <c r="AED354" s="540"/>
      <c r="AEE354" s="545"/>
      <c r="AEF354" s="540"/>
      <c r="AEG354" s="545"/>
      <c r="AEH354" s="540"/>
      <c r="AEI354" s="545"/>
      <c r="AEJ354" s="540"/>
      <c r="AEK354" s="545"/>
      <c r="AEL354" s="540"/>
      <c r="AEM354" s="545"/>
      <c r="AEN354" s="540"/>
      <c r="AEO354" s="545"/>
      <c r="AEP354" s="540"/>
      <c r="AEQ354" s="545"/>
      <c r="AER354" s="540"/>
      <c r="AES354" s="545"/>
      <c r="AET354" s="540"/>
      <c r="AEU354" s="545"/>
      <c r="AEV354" s="540"/>
      <c r="AEW354" s="545"/>
      <c r="AEX354" s="540"/>
      <c r="AEY354" s="545"/>
      <c r="AEZ354" s="540"/>
      <c r="AFA354" s="545"/>
      <c r="AFB354" s="540"/>
      <c r="AFC354" s="545"/>
      <c r="AFD354" s="540"/>
      <c r="AFE354" s="545"/>
      <c r="AFF354" s="540"/>
      <c r="AFG354" s="545"/>
      <c r="AFH354" s="540"/>
      <c r="AFI354" s="545"/>
      <c r="AFJ354" s="540"/>
      <c r="AFK354" s="545"/>
      <c r="AFL354" s="540"/>
      <c r="AFM354" s="545"/>
      <c r="AFN354" s="540"/>
      <c r="AFO354" s="545"/>
      <c r="AFP354" s="540"/>
      <c r="AFQ354" s="545"/>
      <c r="AFR354" s="540"/>
      <c r="AFS354" s="545"/>
      <c r="AFT354" s="540"/>
      <c r="AFU354" s="545"/>
      <c r="AFV354" s="540"/>
      <c r="AFW354" s="545"/>
      <c r="AFX354" s="540"/>
      <c r="AFY354" s="545"/>
      <c r="AFZ354" s="540"/>
      <c r="AGA354" s="545"/>
      <c r="AGB354" s="540"/>
      <c r="AGC354" s="545"/>
      <c r="AGD354" s="540"/>
      <c r="AGE354" s="545"/>
      <c r="AGF354" s="540"/>
      <c r="AGG354" s="545"/>
      <c r="AGH354" s="540"/>
      <c r="AGI354" s="545"/>
      <c r="AGJ354" s="540"/>
      <c r="AGK354" s="545"/>
      <c r="AGL354" s="540"/>
      <c r="AGM354" s="545"/>
      <c r="AGN354" s="540"/>
      <c r="AGO354" s="545"/>
      <c r="AGP354" s="540"/>
      <c r="AGQ354" s="545"/>
      <c r="AGR354" s="540"/>
      <c r="AGS354" s="545"/>
      <c r="AGT354" s="540"/>
      <c r="AGU354" s="545"/>
      <c r="AGV354" s="540"/>
      <c r="AGW354" s="545"/>
      <c r="AGX354" s="540"/>
      <c r="AGY354" s="545"/>
      <c r="AGZ354" s="540"/>
      <c r="AHA354" s="545"/>
      <c r="AHB354" s="540"/>
      <c r="AHC354" s="545"/>
      <c r="AHD354" s="540"/>
      <c r="AHE354" s="545"/>
      <c r="AHF354" s="540"/>
      <c r="AHG354" s="545"/>
      <c r="AHH354" s="540"/>
      <c r="AHI354" s="545"/>
      <c r="AHJ354" s="540"/>
      <c r="AHK354" s="545"/>
      <c r="AHL354" s="540"/>
      <c r="AHM354" s="545"/>
      <c r="AHN354" s="540"/>
      <c r="AHO354" s="545"/>
      <c r="AHP354" s="540"/>
      <c r="AHQ354" s="545"/>
      <c r="AHR354" s="540"/>
      <c r="AHS354" s="545"/>
      <c r="AHT354" s="540"/>
      <c r="AHU354" s="545"/>
      <c r="AHV354" s="540"/>
      <c r="AHW354" s="545"/>
      <c r="AHX354" s="540"/>
      <c r="AHY354" s="545"/>
      <c r="AHZ354" s="540"/>
      <c r="AIA354" s="545"/>
      <c r="AIB354" s="540"/>
      <c r="AIC354" s="545"/>
      <c r="AID354" s="540"/>
      <c r="AIE354" s="545"/>
      <c r="AIF354" s="540"/>
      <c r="AIG354" s="545"/>
      <c r="AIH354" s="540"/>
      <c r="AII354" s="545"/>
      <c r="AIJ354" s="540"/>
      <c r="AIK354" s="545"/>
      <c r="AIL354" s="540"/>
      <c r="AIM354" s="545"/>
      <c r="AIN354" s="540"/>
      <c r="AIO354" s="545"/>
      <c r="AIP354" s="540"/>
      <c r="AIQ354" s="545"/>
      <c r="AIR354" s="540"/>
      <c r="AIS354" s="545"/>
      <c r="AIT354" s="540"/>
      <c r="AIU354" s="545"/>
      <c r="AIV354" s="540"/>
      <c r="AIW354" s="545"/>
      <c r="AIX354" s="540"/>
      <c r="AIY354" s="545"/>
      <c r="AIZ354" s="540"/>
      <c r="AJA354" s="545"/>
      <c r="AJB354" s="540"/>
      <c r="AJC354" s="545"/>
      <c r="AJD354" s="540"/>
      <c r="AJE354" s="545"/>
      <c r="AJF354" s="540"/>
      <c r="AJG354" s="545"/>
      <c r="AJH354" s="540"/>
      <c r="AJI354" s="545"/>
      <c r="AJJ354" s="540"/>
      <c r="AJK354" s="545"/>
      <c r="AJL354" s="540"/>
      <c r="AJM354" s="545"/>
      <c r="AJN354" s="540"/>
      <c r="AJO354" s="545"/>
      <c r="AJP354" s="540"/>
      <c r="AJQ354" s="545"/>
      <c r="AJR354" s="540"/>
      <c r="AJS354" s="545"/>
      <c r="AJT354" s="540"/>
      <c r="AJU354" s="545"/>
      <c r="AJV354" s="540"/>
      <c r="AJW354" s="545"/>
      <c r="AJX354" s="540"/>
      <c r="AJY354" s="545"/>
      <c r="AJZ354" s="540"/>
      <c r="AKA354" s="545"/>
      <c r="AKB354" s="540"/>
      <c r="AKC354" s="545"/>
      <c r="AKD354" s="540"/>
      <c r="AKE354" s="545"/>
      <c r="AKF354" s="540"/>
      <c r="AKG354" s="545"/>
      <c r="AKH354" s="540"/>
      <c r="AKI354" s="545"/>
      <c r="AKJ354" s="540"/>
      <c r="AKK354" s="545"/>
      <c r="AKL354" s="540"/>
      <c r="AKM354" s="545"/>
      <c r="AKN354" s="540"/>
      <c r="AKO354" s="545"/>
      <c r="AKP354" s="540"/>
      <c r="AKQ354" s="545"/>
      <c r="AKR354" s="540"/>
      <c r="AKS354" s="545"/>
      <c r="AKT354" s="540"/>
      <c r="AKU354" s="545"/>
      <c r="AKV354" s="540"/>
      <c r="AKW354" s="545"/>
      <c r="AKX354" s="540"/>
      <c r="AKY354" s="545"/>
      <c r="AKZ354" s="540"/>
      <c r="ALA354" s="545"/>
      <c r="ALB354" s="540"/>
      <c r="ALC354" s="545"/>
      <c r="ALD354" s="540"/>
      <c r="ALE354" s="545"/>
      <c r="ALF354" s="540"/>
      <c r="ALG354" s="545"/>
      <c r="ALH354" s="540"/>
      <c r="ALI354" s="545"/>
      <c r="ALJ354" s="540"/>
      <c r="ALK354" s="545"/>
      <c r="ALL354" s="540"/>
      <c r="ALM354" s="545"/>
      <c r="ALN354" s="540"/>
      <c r="ALO354" s="545"/>
      <c r="ALP354" s="540"/>
      <c r="ALQ354" s="545"/>
      <c r="ALR354" s="540"/>
      <c r="ALS354" s="545"/>
      <c r="ALT354" s="540"/>
      <c r="ALU354" s="545"/>
      <c r="ALV354" s="540"/>
      <c r="ALW354" s="545"/>
      <c r="ALX354" s="540"/>
      <c r="ALY354" s="545"/>
      <c r="ALZ354" s="540"/>
      <c r="AMA354" s="545"/>
      <c r="AMB354" s="540"/>
      <c r="AMC354" s="545"/>
      <c r="AMD354" s="540"/>
      <c r="AME354" s="545"/>
      <c r="AMF354" s="540"/>
      <c r="AMG354" s="545"/>
      <c r="AMH354" s="540"/>
      <c r="AMI354" s="545"/>
      <c r="AMJ354" s="540"/>
      <c r="AMK354" s="545"/>
      <c r="AML354" s="540"/>
      <c r="AMM354" s="545"/>
      <c r="AMN354" s="540"/>
      <c r="AMO354" s="545"/>
      <c r="AMP354" s="540"/>
      <c r="AMQ354" s="545"/>
      <c r="AMR354" s="540"/>
      <c r="AMS354" s="545"/>
      <c r="AMT354" s="540"/>
      <c r="AMU354" s="545"/>
      <c r="AMV354" s="540"/>
      <c r="AMW354" s="545"/>
      <c r="AMX354" s="540"/>
      <c r="AMY354" s="545"/>
      <c r="AMZ354" s="540"/>
      <c r="ANA354" s="545"/>
      <c r="ANB354" s="540"/>
      <c r="ANC354" s="545"/>
      <c r="AND354" s="540"/>
      <c r="ANE354" s="545"/>
      <c r="ANF354" s="540"/>
      <c r="ANG354" s="545"/>
      <c r="ANH354" s="540"/>
      <c r="ANI354" s="545"/>
      <c r="ANJ354" s="540"/>
      <c r="ANK354" s="545"/>
      <c r="ANL354" s="540"/>
      <c r="ANM354" s="545"/>
      <c r="ANN354" s="540"/>
      <c r="ANO354" s="545"/>
      <c r="ANP354" s="540"/>
      <c r="ANQ354" s="545"/>
      <c r="ANR354" s="540"/>
      <c r="ANS354" s="545"/>
      <c r="ANT354" s="540"/>
      <c r="ANU354" s="545"/>
      <c r="ANV354" s="540"/>
      <c r="ANW354" s="545"/>
      <c r="ANX354" s="540"/>
      <c r="ANY354" s="545"/>
      <c r="ANZ354" s="540"/>
      <c r="AOA354" s="545"/>
      <c r="AOB354" s="540"/>
      <c r="AOC354" s="545"/>
      <c r="AOD354" s="540"/>
      <c r="AOE354" s="545"/>
      <c r="AOF354" s="540"/>
      <c r="AOG354" s="545"/>
      <c r="AOH354" s="540"/>
      <c r="AOI354" s="545"/>
      <c r="AOJ354" s="540"/>
      <c r="AOK354" s="545"/>
      <c r="AOL354" s="540"/>
      <c r="AOM354" s="545"/>
      <c r="AON354" s="540"/>
      <c r="AOO354" s="545"/>
      <c r="AOP354" s="540"/>
      <c r="AOQ354" s="545"/>
      <c r="AOR354" s="540"/>
      <c r="AOS354" s="545"/>
      <c r="AOT354" s="540"/>
      <c r="AOU354" s="545"/>
      <c r="AOV354" s="540"/>
      <c r="AOW354" s="545"/>
      <c r="AOX354" s="540"/>
      <c r="AOY354" s="545"/>
      <c r="AOZ354" s="540"/>
      <c r="APA354" s="545"/>
      <c r="APB354" s="540"/>
      <c r="APC354" s="545"/>
      <c r="APD354" s="540"/>
      <c r="APE354" s="545"/>
      <c r="APF354" s="540"/>
      <c r="APG354" s="545"/>
      <c r="APH354" s="540"/>
      <c r="API354" s="545"/>
      <c r="APJ354" s="540"/>
      <c r="APK354" s="545"/>
      <c r="APL354" s="540"/>
      <c r="APM354" s="545"/>
      <c r="APN354" s="540"/>
      <c r="APO354" s="545"/>
      <c r="APP354" s="540"/>
      <c r="APQ354" s="545"/>
      <c r="APR354" s="540"/>
      <c r="APS354" s="545"/>
      <c r="APT354" s="540"/>
      <c r="APU354" s="545"/>
      <c r="APV354" s="540"/>
      <c r="APW354" s="545"/>
      <c r="APX354" s="540"/>
      <c r="APY354" s="545"/>
      <c r="APZ354" s="540"/>
      <c r="AQA354" s="545"/>
      <c r="AQB354" s="540"/>
      <c r="AQC354" s="545"/>
      <c r="AQD354" s="540"/>
      <c r="AQE354" s="545"/>
      <c r="AQF354" s="540"/>
      <c r="AQG354" s="545"/>
      <c r="AQH354" s="540"/>
      <c r="AQI354" s="545"/>
      <c r="AQJ354" s="540"/>
      <c r="AQK354" s="545"/>
      <c r="AQL354" s="540"/>
      <c r="AQM354" s="545"/>
      <c r="AQN354" s="540"/>
      <c r="AQO354" s="545"/>
      <c r="AQP354" s="540"/>
      <c r="AQQ354" s="545"/>
      <c r="AQR354" s="540"/>
      <c r="AQS354" s="545"/>
      <c r="AQT354" s="540"/>
      <c r="AQU354" s="545"/>
      <c r="AQV354" s="540"/>
      <c r="AQW354" s="545"/>
      <c r="AQX354" s="540"/>
      <c r="AQY354" s="545"/>
      <c r="AQZ354" s="540"/>
      <c r="ARA354" s="545"/>
      <c r="ARB354" s="540"/>
      <c r="ARC354" s="545"/>
      <c r="ARD354" s="540"/>
      <c r="ARE354" s="545"/>
      <c r="ARF354" s="540"/>
      <c r="ARG354" s="545"/>
      <c r="ARH354" s="540"/>
      <c r="ARI354" s="545"/>
      <c r="ARJ354" s="540"/>
      <c r="ARK354" s="545"/>
      <c r="ARL354" s="540"/>
      <c r="ARM354" s="545"/>
      <c r="ARN354" s="540"/>
      <c r="ARO354" s="545"/>
      <c r="ARP354" s="540"/>
      <c r="ARQ354" s="545"/>
      <c r="ARR354" s="540"/>
      <c r="ARS354" s="545"/>
      <c r="ART354" s="540"/>
      <c r="ARU354" s="545"/>
      <c r="ARV354" s="540"/>
      <c r="ARW354" s="545"/>
      <c r="ARX354" s="540"/>
      <c r="ARY354" s="545"/>
      <c r="ARZ354" s="540"/>
      <c r="ASA354" s="545"/>
      <c r="ASB354" s="540"/>
      <c r="ASC354" s="545"/>
      <c r="ASD354" s="540"/>
      <c r="ASE354" s="545"/>
      <c r="ASF354" s="540"/>
      <c r="ASG354" s="545"/>
      <c r="ASH354" s="540"/>
      <c r="ASI354" s="545"/>
      <c r="ASJ354" s="540"/>
      <c r="ASK354" s="545"/>
      <c r="ASL354" s="540"/>
      <c r="ASM354" s="545"/>
      <c r="ASN354" s="540"/>
      <c r="ASO354" s="545"/>
      <c r="ASP354" s="540"/>
      <c r="ASQ354" s="545"/>
      <c r="ASR354" s="540"/>
      <c r="ASS354" s="545"/>
      <c r="AST354" s="540"/>
      <c r="ASU354" s="545"/>
      <c r="ASV354" s="540"/>
      <c r="ASW354" s="545"/>
      <c r="ASX354" s="540"/>
      <c r="ASY354" s="545"/>
      <c r="ASZ354" s="540"/>
      <c r="ATA354" s="545"/>
      <c r="ATB354" s="540"/>
      <c r="ATC354" s="545"/>
      <c r="ATD354" s="540"/>
      <c r="ATE354" s="545"/>
      <c r="ATF354" s="540"/>
      <c r="ATG354" s="545"/>
      <c r="ATH354" s="540"/>
      <c r="ATI354" s="545"/>
      <c r="ATJ354" s="540"/>
      <c r="ATK354" s="545"/>
      <c r="ATL354" s="540"/>
      <c r="ATM354" s="545"/>
      <c r="ATN354" s="540"/>
      <c r="ATO354" s="545"/>
      <c r="ATP354" s="540"/>
      <c r="ATQ354" s="545"/>
      <c r="ATR354" s="540"/>
      <c r="ATS354" s="545"/>
      <c r="ATT354" s="540"/>
      <c r="ATU354" s="545"/>
      <c r="ATV354" s="540"/>
      <c r="ATW354" s="545"/>
      <c r="ATX354" s="540"/>
      <c r="ATY354" s="545"/>
      <c r="ATZ354" s="540"/>
      <c r="AUA354" s="545"/>
      <c r="AUB354" s="540"/>
      <c r="AUC354" s="545"/>
      <c r="AUD354" s="540"/>
      <c r="AUE354" s="545"/>
      <c r="AUF354" s="540"/>
      <c r="AUG354" s="545"/>
      <c r="AUH354" s="540"/>
      <c r="AUI354" s="545"/>
      <c r="AUJ354" s="540"/>
      <c r="AUK354" s="545"/>
      <c r="AUL354" s="540"/>
      <c r="AUM354" s="545"/>
      <c r="AUN354" s="540"/>
      <c r="AUO354" s="545"/>
      <c r="AUP354" s="540"/>
      <c r="AUQ354" s="545"/>
      <c r="AUR354" s="540"/>
      <c r="AUS354" s="545"/>
      <c r="AUT354" s="540"/>
      <c r="AUU354" s="545"/>
      <c r="AUV354" s="540"/>
      <c r="AUW354" s="545"/>
      <c r="AUX354" s="540"/>
      <c r="AUY354" s="545"/>
      <c r="AUZ354" s="540"/>
      <c r="AVA354" s="545"/>
      <c r="AVB354" s="540"/>
      <c r="AVC354" s="545"/>
      <c r="AVD354" s="540"/>
      <c r="AVE354" s="545"/>
      <c r="AVF354" s="540"/>
      <c r="AVG354" s="545"/>
      <c r="AVH354" s="540"/>
      <c r="AVI354" s="545"/>
      <c r="AVJ354" s="540"/>
      <c r="AVK354" s="545"/>
      <c r="AVL354" s="540"/>
      <c r="AVM354" s="545"/>
      <c r="AVN354" s="540"/>
      <c r="AVO354" s="545"/>
      <c r="AVP354" s="540"/>
      <c r="AVQ354" s="545"/>
      <c r="AVR354" s="540"/>
      <c r="AVS354" s="545"/>
      <c r="AVT354" s="540"/>
      <c r="AVU354" s="545"/>
      <c r="AVV354" s="540"/>
      <c r="AVW354" s="545"/>
      <c r="AVX354" s="540"/>
      <c r="AVY354" s="545"/>
      <c r="AVZ354" s="540"/>
      <c r="AWA354" s="545"/>
      <c r="AWB354" s="540"/>
      <c r="AWC354" s="545"/>
      <c r="AWD354" s="540"/>
      <c r="AWE354" s="545"/>
      <c r="AWF354" s="540"/>
      <c r="AWG354" s="545"/>
      <c r="AWH354" s="540"/>
      <c r="AWI354" s="545"/>
      <c r="AWJ354" s="540"/>
      <c r="AWK354" s="545"/>
      <c r="AWL354" s="540"/>
      <c r="AWM354" s="545"/>
      <c r="AWN354" s="540"/>
      <c r="AWO354" s="545"/>
      <c r="AWP354" s="540"/>
      <c r="AWQ354" s="545"/>
      <c r="AWR354" s="540"/>
      <c r="AWS354" s="545"/>
      <c r="AWT354" s="540"/>
      <c r="AWU354" s="545"/>
      <c r="AWV354" s="540"/>
      <c r="AWW354" s="545"/>
      <c r="AWX354" s="540"/>
      <c r="AWY354" s="545"/>
      <c r="AWZ354" s="540"/>
      <c r="AXA354" s="545"/>
      <c r="AXB354" s="540"/>
      <c r="AXC354" s="545"/>
      <c r="AXD354" s="540"/>
      <c r="AXE354" s="545"/>
      <c r="AXF354" s="540"/>
      <c r="AXG354" s="545"/>
      <c r="AXH354" s="540"/>
      <c r="AXI354" s="545"/>
      <c r="AXJ354" s="540"/>
      <c r="AXK354" s="545"/>
      <c r="AXL354" s="540"/>
      <c r="AXM354" s="545"/>
      <c r="AXN354" s="540"/>
      <c r="AXO354" s="545"/>
      <c r="AXP354" s="540"/>
      <c r="AXQ354" s="545"/>
      <c r="AXR354" s="540"/>
      <c r="AXS354" s="545"/>
      <c r="AXT354" s="540"/>
      <c r="AXU354" s="545"/>
      <c r="AXV354" s="540"/>
      <c r="AXW354" s="545"/>
      <c r="AXX354" s="540"/>
      <c r="AXY354" s="545"/>
      <c r="AXZ354" s="540"/>
      <c r="AYA354" s="545"/>
      <c r="AYB354" s="540"/>
      <c r="AYC354" s="545"/>
      <c r="AYD354" s="540"/>
      <c r="AYE354" s="545"/>
      <c r="AYF354" s="540"/>
      <c r="AYG354" s="545"/>
      <c r="AYH354" s="540"/>
      <c r="AYI354" s="545"/>
      <c r="AYJ354" s="540"/>
      <c r="AYK354" s="545"/>
      <c r="AYL354" s="540"/>
      <c r="AYM354" s="545"/>
      <c r="AYN354" s="540"/>
      <c r="AYO354" s="545"/>
      <c r="AYP354" s="540"/>
      <c r="AYQ354" s="545"/>
      <c r="AYR354" s="540"/>
      <c r="AYS354" s="545"/>
      <c r="AYT354" s="540"/>
      <c r="AYU354" s="545"/>
      <c r="AYV354" s="540"/>
      <c r="AYW354" s="545"/>
      <c r="AYX354" s="540"/>
      <c r="AYY354" s="545"/>
      <c r="AYZ354" s="540"/>
      <c r="AZA354" s="545"/>
      <c r="AZB354" s="540"/>
      <c r="AZC354" s="545"/>
      <c r="AZD354" s="540"/>
      <c r="AZE354" s="545"/>
      <c r="AZF354" s="540"/>
      <c r="AZG354" s="545"/>
      <c r="AZH354" s="540"/>
      <c r="AZI354" s="545"/>
      <c r="AZJ354" s="540"/>
      <c r="AZK354" s="545"/>
      <c r="AZL354" s="540"/>
      <c r="AZM354" s="545"/>
      <c r="AZN354" s="540"/>
      <c r="AZO354" s="545"/>
      <c r="AZP354" s="540"/>
      <c r="AZQ354" s="545"/>
      <c r="AZR354" s="540"/>
      <c r="AZS354" s="545"/>
      <c r="AZT354" s="540"/>
      <c r="AZU354" s="545"/>
      <c r="AZV354" s="540"/>
      <c r="AZW354" s="545"/>
      <c r="AZX354" s="540"/>
      <c r="AZY354" s="545"/>
      <c r="AZZ354" s="540"/>
      <c r="BAA354" s="545"/>
      <c r="BAB354" s="540"/>
      <c r="BAC354" s="545"/>
      <c r="BAD354" s="540"/>
      <c r="BAE354" s="545"/>
      <c r="BAF354" s="540"/>
      <c r="BAG354" s="545"/>
      <c r="BAH354" s="540"/>
      <c r="BAI354" s="545"/>
      <c r="BAJ354" s="540"/>
      <c r="BAK354" s="545"/>
      <c r="BAL354" s="540"/>
      <c r="BAM354" s="545"/>
      <c r="BAN354" s="540"/>
      <c r="BAO354" s="545"/>
      <c r="BAP354" s="540"/>
      <c r="BAQ354" s="545"/>
      <c r="BAR354" s="540"/>
      <c r="BAS354" s="545"/>
      <c r="BAT354" s="540"/>
      <c r="BAU354" s="545"/>
      <c r="BAV354" s="540"/>
      <c r="BAW354" s="545"/>
      <c r="BAX354" s="540"/>
      <c r="BAY354" s="545"/>
      <c r="BAZ354" s="540"/>
      <c r="BBA354" s="545"/>
      <c r="BBB354" s="540"/>
      <c r="BBC354" s="545"/>
      <c r="BBD354" s="540"/>
      <c r="BBE354" s="545"/>
      <c r="BBF354" s="540"/>
      <c r="BBG354" s="545"/>
      <c r="BBH354" s="540"/>
      <c r="BBI354" s="545"/>
      <c r="BBJ354" s="540"/>
      <c r="BBK354" s="545"/>
      <c r="BBL354" s="540"/>
      <c r="BBM354" s="545"/>
      <c r="BBN354" s="540"/>
      <c r="BBO354" s="545"/>
      <c r="BBP354" s="540"/>
      <c r="BBQ354" s="545"/>
      <c r="BBR354" s="540"/>
      <c r="BBS354" s="545"/>
      <c r="BBT354" s="540"/>
      <c r="BBU354" s="545"/>
      <c r="BBV354" s="540"/>
      <c r="BBW354" s="545"/>
      <c r="BBX354" s="540"/>
      <c r="BBY354" s="545"/>
      <c r="BBZ354" s="540"/>
      <c r="BCA354" s="545"/>
      <c r="BCB354" s="540"/>
      <c r="BCC354" s="545"/>
      <c r="BCD354" s="540"/>
      <c r="BCE354" s="545"/>
      <c r="BCF354" s="540"/>
      <c r="BCG354" s="545"/>
      <c r="BCH354" s="540"/>
      <c r="BCI354" s="545"/>
      <c r="BCJ354" s="540"/>
      <c r="BCK354" s="545"/>
      <c r="BCL354" s="540"/>
      <c r="BCM354" s="545"/>
      <c r="BCN354" s="540"/>
      <c r="BCO354" s="545"/>
      <c r="BCP354" s="540"/>
      <c r="BCQ354" s="545"/>
      <c r="BCR354" s="540"/>
      <c r="BCS354" s="545"/>
      <c r="BCT354" s="540"/>
      <c r="BCU354" s="545"/>
      <c r="BCV354" s="540"/>
      <c r="BCW354" s="545"/>
      <c r="BCX354" s="540"/>
      <c r="BCY354" s="545"/>
      <c r="BCZ354" s="540"/>
      <c r="BDA354" s="545"/>
      <c r="BDB354" s="540"/>
      <c r="BDC354" s="545"/>
      <c r="BDD354" s="540"/>
      <c r="BDE354" s="545"/>
      <c r="BDF354" s="540"/>
      <c r="BDG354" s="545"/>
      <c r="BDH354" s="540"/>
      <c r="BDI354" s="545"/>
      <c r="BDJ354" s="540"/>
      <c r="BDK354" s="545"/>
      <c r="BDL354" s="540"/>
      <c r="BDM354" s="545"/>
      <c r="BDN354" s="540"/>
      <c r="BDO354" s="545"/>
      <c r="BDP354" s="540"/>
      <c r="BDQ354" s="545"/>
      <c r="BDR354" s="540"/>
      <c r="BDS354" s="545"/>
      <c r="BDT354" s="540"/>
      <c r="BDU354" s="545"/>
      <c r="BDV354" s="540"/>
      <c r="BDW354" s="545"/>
      <c r="BDX354" s="540"/>
      <c r="BDY354" s="545"/>
      <c r="BDZ354" s="540"/>
      <c r="BEA354" s="545"/>
      <c r="BEB354" s="540"/>
      <c r="BEC354" s="545"/>
      <c r="BED354" s="540"/>
      <c r="BEE354" s="545"/>
      <c r="BEF354" s="540"/>
      <c r="BEG354" s="545"/>
      <c r="BEH354" s="540"/>
      <c r="BEI354" s="545"/>
      <c r="BEJ354" s="540"/>
      <c r="BEK354" s="545"/>
      <c r="BEL354" s="540"/>
      <c r="BEM354" s="545"/>
      <c r="BEN354" s="540"/>
      <c r="BEO354" s="545"/>
      <c r="BEP354" s="540"/>
      <c r="BEQ354" s="545"/>
      <c r="BER354" s="540"/>
      <c r="BES354" s="545"/>
      <c r="BET354" s="540"/>
      <c r="BEU354" s="545"/>
      <c r="BEV354" s="540"/>
      <c r="BEW354" s="545"/>
      <c r="BEX354" s="540"/>
      <c r="BEY354" s="545"/>
      <c r="BEZ354" s="540"/>
      <c r="BFA354" s="545"/>
      <c r="BFB354" s="540"/>
      <c r="BFC354" s="545"/>
      <c r="BFD354" s="540"/>
      <c r="BFE354" s="545"/>
      <c r="BFF354" s="540"/>
      <c r="BFG354" s="545"/>
      <c r="BFH354" s="540"/>
      <c r="BFI354" s="545"/>
      <c r="BFJ354" s="540"/>
      <c r="BFK354" s="545"/>
      <c r="BFL354" s="540"/>
      <c r="BFM354" s="545"/>
      <c r="BFN354" s="540"/>
      <c r="BFO354" s="545"/>
      <c r="BFP354" s="540"/>
      <c r="BFQ354" s="545"/>
      <c r="BFR354" s="540"/>
      <c r="BFS354" s="545"/>
      <c r="BFT354" s="540"/>
      <c r="BFU354" s="545"/>
      <c r="BFV354" s="540"/>
      <c r="BFW354" s="545"/>
      <c r="BFX354" s="540"/>
      <c r="BFY354" s="545"/>
      <c r="BFZ354" s="540"/>
      <c r="BGA354" s="545"/>
      <c r="BGB354" s="540"/>
      <c r="BGC354" s="545"/>
      <c r="BGD354" s="540"/>
      <c r="BGE354" s="545"/>
      <c r="BGF354" s="540"/>
      <c r="BGG354" s="545"/>
      <c r="BGH354" s="540"/>
      <c r="BGI354" s="545"/>
      <c r="BGJ354" s="540"/>
      <c r="BGK354" s="545"/>
      <c r="BGL354" s="540"/>
      <c r="BGM354" s="545"/>
      <c r="BGN354" s="540"/>
      <c r="BGO354" s="545"/>
      <c r="BGP354" s="540"/>
      <c r="BGQ354" s="545"/>
      <c r="BGR354" s="540"/>
      <c r="BGS354" s="545"/>
      <c r="BGT354" s="540"/>
      <c r="BGU354" s="545"/>
      <c r="BGV354" s="540"/>
      <c r="BGW354" s="545"/>
      <c r="BGX354" s="540"/>
      <c r="BGY354" s="545"/>
      <c r="BGZ354" s="540"/>
      <c r="BHA354" s="545"/>
      <c r="BHB354" s="540"/>
      <c r="BHC354" s="545"/>
      <c r="BHD354" s="540"/>
      <c r="BHE354" s="545"/>
      <c r="BHF354" s="540"/>
      <c r="BHG354" s="545"/>
      <c r="BHH354" s="540"/>
      <c r="BHI354" s="545"/>
      <c r="BHJ354" s="540"/>
      <c r="BHK354" s="545"/>
      <c r="BHL354" s="540"/>
      <c r="BHM354" s="545"/>
      <c r="BHN354" s="540"/>
      <c r="BHO354" s="545"/>
      <c r="BHP354" s="540"/>
      <c r="BHQ354" s="545"/>
      <c r="BHR354" s="540"/>
      <c r="BHS354" s="545"/>
      <c r="BHT354" s="540"/>
      <c r="BHU354" s="545"/>
      <c r="BHV354" s="540"/>
      <c r="BHW354" s="545"/>
      <c r="BHX354" s="540"/>
      <c r="BHY354" s="545"/>
      <c r="BHZ354" s="540"/>
      <c r="BIA354" s="545"/>
      <c r="BIB354" s="540"/>
      <c r="BIC354" s="545"/>
      <c r="BID354" s="540"/>
      <c r="BIE354" s="545"/>
      <c r="BIF354" s="540"/>
      <c r="BIG354" s="545"/>
      <c r="BIH354" s="540"/>
      <c r="BII354" s="545"/>
      <c r="BIJ354" s="540"/>
      <c r="BIK354" s="545"/>
      <c r="BIL354" s="540"/>
      <c r="BIM354" s="545"/>
      <c r="BIN354" s="540"/>
      <c r="BIO354" s="545"/>
      <c r="BIP354" s="540"/>
      <c r="BIQ354" s="545"/>
      <c r="BIR354" s="540"/>
      <c r="BIS354" s="545"/>
      <c r="BIT354" s="540"/>
      <c r="BIU354" s="545"/>
      <c r="BIV354" s="540"/>
      <c r="BIW354" s="545"/>
      <c r="BIX354" s="540"/>
      <c r="BIY354" s="545"/>
      <c r="BIZ354" s="540"/>
      <c r="BJA354" s="545"/>
      <c r="BJB354" s="540"/>
      <c r="BJC354" s="545"/>
      <c r="BJD354" s="540"/>
      <c r="BJE354" s="545"/>
      <c r="BJF354" s="540"/>
      <c r="BJG354" s="545"/>
      <c r="BJH354" s="540"/>
      <c r="BJI354" s="545"/>
      <c r="BJJ354" s="540"/>
      <c r="BJK354" s="545"/>
      <c r="BJL354" s="540"/>
      <c r="BJM354" s="545"/>
      <c r="BJN354" s="540"/>
      <c r="BJO354" s="545"/>
      <c r="BJP354" s="540"/>
      <c r="BJQ354" s="545"/>
      <c r="BJR354" s="540"/>
      <c r="BJS354" s="545"/>
      <c r="BJT354" s="540"/>
      <c r="BJU354" s="545"/>
      <c r="BJV354" s="540"/>
      <c r="BJW354" s="545"/>
      <c r="BJX354" s="540"/>
      <c r="BJY354" s="545"/>
      <c r="BJZ354" s="540"/>
      <c r="BKA354" s="545"/>
      <c r="BKB354" s="540"/>
      <c r="BKC354" s="545"/>
      <c r="BKD354" s="540"/>
      <c r="BKE354" s="545"/>
      <c r="BKF354" s="540"/>
      <c r="BKG354" s="545"/>
      <c r="BKH354" s="540"/>
      <c r="BKI354" s="545"/>
      <c r="BKJ354" s="540"/>
      <c r="BKK354" s="545"/>
      <c r="BKL354" s="540"/>
      <c r="BKM354" s="545"/>
      <c r="BKN354" s="540"/>
      <c r="BKO354" s="545"/>
      <c r="BKP354" s="540"/>
      <c r="BKQ354" s="545"/>
      <c r="BKR354" s="540"/>
      <c r="BKS354" s="545"/>
      <c r="BKT354" s="540"/>
      <c r="BKU354" s="545"/>
      <c r="BKV354" s="540"/>
      <c r="BKW354" s="545"/>
      <c r="BKX354" s="540"/>
      <c r="BKY354" s="545"/>
      <c r="BKZ354" s="540"/>
      <c r="BLA354" s="545"/>
      <c r="BLB354" s="540"/>
      <c r="BLC354" s="545"/>
      <c r="BLD354" s="540"/>
      <c r="BLE354" s="545"/>
      <c r="BLF354" s="540"/>
      <c r="BLG354" s="545"/>
      <c r="BLH354" s="540"/>
      <c r="BLI354" s="545"/>
      <c r="BLJ354" s="540"/>
      <c r="BLK354" s="545"/>
      <c r="BLL354" s="540"/>
      <c r="BLM354" s="545"/>
      <c r="BLN354" s="540"/>
      <c r="BLO354" s="545"/>
      <c r="BLP354" s="540"/>
      <c r="BLQ354" s="545"/>
      <c r="BLR354" s="540"/>
      <c r="BLS354" s="545"/>
      <c r="BLT354" s="540"/>
      <c r="BLU354" s="545"/>
      <c r="BLV354" s="540"/>
      <c r="BLW354" s="545"/>
      <c r="BLX354" s="540"/>
      <c r="BLY354" s="545"/>
      <c r="BLZ354" s="540"/>
      <c r="BMA354" s="545"/>
      <c r="BMB354" s="540"/>
      <c r="BMC354" s="545"/>
      <c r="BMD354" s="540"/>
      <c r="BME354" s="545"/>
      <c r="BMF354" s="540"/>
      <c r="BMG354" s="545"/>
      <c r="BMH354" s="540"/>
      <c r="BMI354" s="545"/>
      <c r="BMJ354" s="540"/>
      <c r="BMK354" s="545"/>
      <c r="BML354" s="540"/>
      <c r="BMM354" s="545"/>
      <c r="BMN354" s="540"/>
      <c r="BMO354" s="545"/>
      <c r="BMP354" s="540"/>
      <c r="BMQ354" s="545"/>
      <c r="BMR354" s="540"/>
      <c r="BMS354" s="545"/>
      <c r="BMT354" s="540"/>
      <c r="BMU354" s="545"/>
      <c r="BMV354" s="540"/>
      <c r="BMW354" s="545"/>
      <c r="BMX354" s="540"/>
      <c r="BMY354" s="545"/>
      <c r="BMZ354" s="540"/>
      <c r="BNA354" s="545"/>
      <c r="BNB354" s="540"/>
      <c r="BNC354" s="545"/>
      <c r="BND354" s="540"/>
      <c r="BNE354" s="545"/>
      <c r="BNF354" s="540"/>
      <c r="BNG354" s="545"/>
      <c r="BNH354" s="540"/>
      <c r="BNI354" s="545"/>
      <c r="BNJ354" s="540"/>
      <c r="BNK354" s="545"/>
      <c r="BNL354" s="540"/>
      <c r="BNM354" s="545"/>
      <c r="BNN354" s="540"/>
      <c r="BNO354" s="545"/>
      <c r="BNP354" s="540"/>
      <c r="BNQ354" s="545"/>
      <c r="BNR354" s="540"/>
      <c r="BNS354" s="545"/>
      <c r="BNT354" s="540"/>
      <c r="BNU354" s="545"/>
      <c r="BNV354" s="540"/>
      <c r="BNW354" s="545"/>
      <c r="BNX354" s="540"/>
      <c r="BNY354" s="545"/>
      <c r="BNZ354" s="540"/>
      <c r="BOA354" s="545"/>
      <c r="BOB354" s="540"/>
      <c r="BOC354" s="545"/>
      <c r="BOD354" s="540"/>
      <c r="BOE354" s="545"/>
      <c r="BOF354" s="540"/>
      <c r="BOG354" s="545"/>
      <c r="BOH354" s="540"/>
      <c r="BOI354" s="545"/>
      <c r="BOJ354" s="540"/>
      <c r="BOK354" s="545"/>
      <c r="BOL354" s="540"/>
      <c r="BOM354" s="545"/>
      <c r="BON354" s="540"/>
      <c r="BOO354" s="545"/>
      <c r="BOP354" s="540"/>
      <c r="BOQ354" s="545"/>
      <c r="BOR354" s="540"/>
      <c r="BOS354" s="545"/>
      <c r="BOT354" s="540"/>
      <c r="BOU354" s="545"/>
      <c r="BOV354" s="540"/>
      <c r="BOW354" s="545"/>
      <c r="BOX354" s="540"/>
      <c r="BOY354" s="545"/>
      <c r="BOZ354" s="540"/>
      <c r="BPA354" s="545"/>
      <c r="BPB354" s="540"/>
      <c r="BPC354" s="545"/>
      <c r="BPD354" s="540"/>
      <c r="BPE354" s="545"/>
      <c r="BPF354" s="540"/>
      <c r="BPG354" s="545"/>
      <c r="BPH354" s="540"/>
      <c r="BPI354" s="545"/>
      <c r="BPJ354" s="540"/>
      <c r="BPK354" s="545"/>
      <c r="BPL354" s="540"/>
      <c r="BPM354" s="545"/>
      <c r="BPN354" s="540"/>
      <c r="BPO354" s="545"/>
      <c r="BPP354" s="540"/>
      <c r="BPQ354" s="545"/>
      <c r="BPR354" s="540"/>
      <c r="BPS354" s="545"/>
      <c r="BPT354" s="540"/>
      <c r="BPU354" s="545"/>
      <c r="BPV354" s="540"/>
      <c r="BPW354" s="545"/>
      <c r="BPX354" s="540"/>
      <c r="BPY354" s="545"/>
      <c r="BPZ354" s="540"/>
      <c r="BQA354" s="545"/>
      <c r="BQB354" s="540"/>
      <c r="BQC354" s="545"/>
      <c r="BQD354" s="540"/>
      <c r="BQE354" s="545"/>
      <c r="BQF354" s="540"/>
      <c r="BQG354" s="545"/>
      <c r="BQH354" s="540"/>
      <c r="BQI354" s="545"/>
      <c r="BQJ354" s="540"/>
      <c r="BQK354" s="545"/>
      <c r="BQL354" s="540"/>
      <c r="BQM354" s="545"/>
      <c r="BQN354" s="540"/>
      <c r="BQO354" s="545"/>
      <c r="BQP354" s="540"/>
      <c r="BQQ354" s="545"/>
      <c r="BQR354" s="540"/>
      <c r="BQS354" s="545"/>
      <c r="BQT354" s="540"/>
      <c r="BQU354" s="545"/>
      <c r="BQV354" s="540"/>
      <c r="BQW354" s="545"/>
      <c r="BQX354" s="540"/>
      <c r="BQY354" s="545"/>
      <c r="BQZ354" s="540"/>
      <c r="BRA354" s="545"/>
      <c r="BRB354" s="540"/>
      <c r="BRC354" s="545"/>
      <c r="BRD354" s="540"/>
      <c r="BRE354" s="545"/>
      <c r="BRF354" s="540"/>
      <c r="BRG354" s="545"/>
      <c r="BRH354" s="540"/>
      <c r="BRI354" s="545"/>
      <c r="BRJ354" s="540"/>
      <c r="BRK354" s="545"/>
      <c r="BRL354" s="540"/>
      <c r="BRM354" s="545"/>
      <c r="BRN354" s="540"/>
      <c r="BRO354" s="545"/>
      <c r="BRP354" s="540"/>
      <c r="BRQ354" s="545"/>
      <c r="BRR354" s="540"/>
      <c r="BRS354" s="545"/>
      <c r="BRT354" s="540"/>
      <c r="BRU354" s="545"/>
      <c r="BRV354" s="540"/>
      <c r="BRW354" s="545"/>
      <c r="BRX354" s="540"/>
      <c r="BRY354" s="545"/>
      <c r="BRZ354" s="540"/>
      <c r="BSA354" s="545"/>
      <c r="BSB354" s="540"/>
      <c r="BSC354" s="545"/>
      <c r="BSD354" s="540"/>
      <c r="BSE354" s="545"/>
      <c r="BSF354" s="540"/>
      <c r="BSG354" s="545"/>
      <c r="BSH354" s="540"/>
      <c r="BSI354" s="545"/>
      <c r="BSJ354" s="540"/>
      <c r="BSK354" s="545"/>
      <c r="BSL354" s="540"/>
      <c r="BSM354" s="545"/>
      <c r="BSN354" s="540"/>
      <c r="BSO354" s="545"/>
      <c r="BSP354" s="540"/>
      <c r="BSQ354" s="545"/>
      <c r="BSR354" s="540"/>
      <c r="BSS354" s="545"/>
      <c r="BST354" s="540"/>
      <c r="BSU354" s="545"/>
      <c r="BSV354" s="540"/>
      <c r="BSW354" s="545"/>
      <c r="BSX354" s="540"/>
      <c r="BSY354" s="545"/>
      <c r="BSZ354" s="540"/>
      <c r="BTA354" s="545"/>
      <c r="BTB354" s="540"/>
      <c r="BTC354" s="545"/>
      <c r="BTD354" s="540"/>
      <c r="BTE354" s="545"/>
      <c r="BTF354" s="540"/>
      <c r="BTG354" s="545"/>
      <c r="BTH354" s="540"/>
      <c r="BTI354" s="545"/>
      <c r="BTJ354" s="540"/>
      <c r="BTK354" s="545"/>
      <c r="BTL354" s="540"/>
      <c r="BTM354" s="545"/>
      <c r="BTN354" s="540"/>
      <c r="BTO354" s="545"/>
      <c r="BTP354" s="540"/>
      <c r="BTQ354" s="545"/>
      <c r="BTR354" s="540"/>
      <c r="BTS354" s="545"/>
      <c r="BTT354" s="540"/>
      <c r="BTU354" s="545"/>
      <c r="BTV354" s="540"/>
      <c r="BTW354" s="545"/>
      <c r="BTX354" s="540"/>
      <c r="BTY354" s="545"/>
      <c r="BTZ354" s="540"/>
      <c r="BUA354" s="545"/>
      <c r="BUB354" s="540"/>
      <c r="BUC354" s="545"/>
      <c r="BUD354" s="540"/>
      <c r="BUE354" s="545"/>
      <c r="BUF354" s="540"/>
      <c r="BUG354" s="545"/>
      <c r="BUH354" s="540"/>
      <c r="BUI354" s="545"/>
      <c r="BUJ354" s="540"/>
      <c r="BUK354" s="545"/>
      <c r="BUL354" s="540"/>
      <c r="BUM354" s="545"/>
      <c r="BUN354" s="540"/>
      <c r="BUO354" s="545"/>
      <c r="BUP354" s="540"/>
      <c r="BUQ354" s="545"/>
      <c r="BUR354" s="540"/>
      <c r="BUS354" s="545"/>
      <c r="BUT354" s="540"/>
      <c r="BUU354" s="545"/>
      <c r="BUV354" s="540"/>
      <c r="BUW354" s="545"/>
      <c r="BUX354" s="540"/>
      <c r="BUY354" s="545"/>
      <c r="BUZ354" s="540"/>
      <c r="BVA354" s="545"/>
      <c r="BVB354" s="540"/>
      <c r="BVC354" s="545"/>
      <c r="BVD354" s="540"/>
      <c r="BVE354" s="545"/>
      <c r="BVF354" s="540"/>
      <c r="BVG354" s="545"/>
      <c r="BVH354" s="540"/>
      <c r="BVI354" s="545"/>
      <c r="BVJ354" s="540"/>
      <c r="BVK354" s="545"/>
      <c r="BVL354" s="540"/>
      <c r="BVM354" s="545"/>
      <c r="BVN354" s="540"/>
      <c r="BVO354" s="545"/>
      <c r="BVP354" s="540"/>
      <c r="BVQ354" s="545"/>
      <c r="BVR354" s="540"/>
      <c r="BVS354" s="545"/>
      <c r="BVT354" s="540"/>
      <c r="BVU354" s="545"/>
      <c r="BVV354" s="540"/>
      <c r="BVW354" s="545"/>
      <c r="BVX354" s="540"/>
      <c r="BVY354" s="545"/>
      <c r="BVZ354" s="540"/>
      <c r="BWA354" s="545"/>
      <c r="BWB354" s="540"/>
      <c r="BWC354" s="545"/>
      <c r="BWD354" s="540"/>
      <c r="BWE354" s="545"/>
      <c r="BWF354" s="540"/>
      <c r="BWG354" s="545"/>
      <c r="BWH354" s="540"/>
      <c r="BWI354" s="545"/>
      <c r="BWJ354" s="540"/>
      <c r="BWK354" s="545"/>
      <c r="BWL354" s="540"/>
      <c r="BWM354" s="545"/>
      <c r="BWN354" s="540"/>
      <c r="BWO354" s="545"/>
      <c r="BWP354" s="540"/>
      <c r="BWQ354" s="545"/>
      <c r="BWR354" s="540"/>
      <c r="BWS354" s="545"/>
      <c r="BWT354" s="540"/>
      <c r="BWU354" s="545"/>
      <c r="BWV354" s="540"/>
      <c r="BWW354" s="545"/>
      <c r="BWX354" s="540"/>
      <c r="BWY354" s="545"/>
      <c r="BWZ354" s="540"/>
      <c r="BXA354" s="545"/>
      <c r="BXB354" s="540"/>
      <c r="BXC354" s="545"/>
      <c r="BXD354" s="540"/>
      <c r="BXE354" s="545"/>
      <c r="BXF354" s="540"/>
      <c r="BXG354" s="545"/>
      <c r="BXH354" s="540"/>
      <c r="BXI354" s="545"/>
      <c r="BXJ354" s="540"/>
      <c r="BXK354" s="545"/>
      <c r="BXL354" s="540"/>
      <c r="BXM354" s="545"/>
      <c r="BXN354" s="540"/>
      <c r="BXO354" s="545"/>
      <c r="BXP354" s="540"/>
      <c r="BXQ354" s="545"/>
      <c r="BXR354" s="540"/>
      <c r="BXS354" s="545"/>
      <c r="BXT354" s="540"/>
      <c r="BXU354" s="545"/>
      <c r="BXV354" s="540"/>
      <c r="BXW354" s="545"/>
      <c r="BXX354" s="540"/>
      <c r="BXY354" s="545"/>
      <c r="BXZ354" s="540"/>
      <c r="BYA354" s="545"/>
      <c r="BYB354" s="540"/>
      <c r="BYC354" s="545"/>
      <c r="BYD354" s="540"/>
      <c r="BYE354" s="545"/>
      <c r="BYF354" s="540"/>
      <c r="BYG354" s="545"/>
      <c r="BYH354" s="540"/>
      <c r="BYI354" s="545"/>
      <c r="BYJ354" s="540"/>
      <c r="BYK354" s="545"/>
      <c r="BYL354" s="540"/>
      <c r="BYM354" s="545"/>
      <c r="BYN354" s="540"/>
      <c r="BYO354" s="545"/>
      <c r="BYP354" s="540"/>
      <c r="BYQ354" s="545"/>
      <c r="BYR354" s="540"/>
      <c r="BYS354" s="545"/>
      <c r="BYT354" s="540"/>
      <c r="BYU354" s="545"/>
      <c r="BYV354" s="540"/>
      <c r="BYW354" s="545"/>
      <c r="BYX354" s="540"/>
      <c r="BYY354" s="545"/>
      <c r="BYZ354" s="540"/>
      <c r="BZA354" s="545"/>
      <c r="BZB354" s="540"/>
      <c r="BZC354" s="545"/>
      <c r="BZD354" s="540"/>
      <c r="BZE354" s="545"/>
      <c r="BZF354" s="540"/>
      <c r="BZG354" s="545"/>
      <c r="BZH354" s="540"/>
      <c r="BZI354" s="545"/>
      <c r="BZJ354" s="540"/>
      <c r="BZK354" s="545"/>
      <c r="BZL354" s="540"/>
      <c r="BZM354" s="545"/>
      <c r="BZN354" s="540"/>
      <c r="BZO354" s="545"/>
      <c r="BZP354" s="540"/>
      <c r="BZQ354" s="545"/>
      <c r="BZR354" s="540"/>
      <c r="BZS354" s="545"/>
      <c r="BZT354" s="540"/>
      <c r="BZU354" s="545"/>
      <c r="BZV354" s="540"/>
      <c r="BZW354" s="545"/>
      <c r="BZX354" s="540"/>
      <c r="BZY354" s="545"/>
      <c r="BZZ354" s="540"/>
      <c r="CAA354" s="545"/>
      <c r="CAB354" s="540"/>
      <c r="CAC354" s="545"/>
      <c r="CAD354" s="540"/>
      <c r="CAE354" s="545"/>
      <c r="CAF354" s="540"/>
      <c r="CAG354" s="545"/>
      <c r="CAH354" s="540"/>
      <c r="CAI354" s="545"/>
      <c r="CAJ354" s="540"/>
      <c r="CAK354" s="545"/>
      <c r="CAL354" s="540"/>
      <c r="CAM354" s="545"/>
      <c r="CAN354" s="540"/>
      <c r="CAO354" s="545"/>
      <c r="CAP354" s="540"/>
      <c r="CAQ354" s="545"/>
      <c r="CAR354" s="540"/>
      <c r="CAS354" s="545"/>
      <c r="CAT354" s="540"/>
      <c r="CAU354" s="545"/>
      <c r="CAV354" s="540"/>
      <c r="CAW354" s="545"/>
      <c r="CAX354" s="540"/>
      <c r="CAY354" s="545"/>
      <c r="CAZ354" s="540"/>
      <c r="CBA354" s="545"/>
      <c r="CBB354" s="540"/>
      <c r="CBC354" s="545"/>
      <c r="CBD354" s="540"/>
      <c r="CBE354" s="545"/>
      <c r="CBF354" s="540"/>
      <c r="CBG354" s="545"/>
      <c r="CBH354" s="540"/>
      <c r="CBI354" s="545"/>
      <c r="CBJ354" s="540"/>
      <c r="CBK354" s="545"/>
      <c r="CBL354" s="540"/>
      <c r="CBM354" s="545"/>
      <c r="CBN354" s="540"/>
      <c r="CBO354" s="545"/>
      <c r="CBP354" s="540"/>
      <c r="CBQ354" s="545"/>
      <c r="CBR354" s="540"/>
      <c r="CBS354" s="545"/>
      <c r="CBT354" s="540"/>
      <c r="CBU354" s="545"/>
      <c r="CBV354" s="540"/>
      <c r="CBW354" s="545"/>
      <c r="CBX354" s="540"/>
      <c r="CBY354" s="545"/>
      <c r="CBZ354" s="540"/>
      <c r="CCA354" s="545"/>
      <c r="CCB354" s="540"/>
      <c r="CCC354" s="545"/>
      <c r="CCD354" s="540"/>
      <c r="CCE354" s="545"/>
      <c r="CCF354" s="540"/>
      <c r="CCG354" s="545"/>
      <c r="CCH354" s="540"/>
      <c r="CCI354" s="545"/>
      <c r="CCJ354" s="540"/>
      <c r="CCK354" s="545"/>
      <c r="CCL354" s="540"/>
      <c r="CCM354" s="545"/>
      <c r="CCN354" s="540"/>
      <c r="CCO354" s="545"/>
      <c r="CCP354" s="540"/>
      <c r="CCQ354" s="545"/>
      <c r="CCR354" s="540"/>
      <c r="CCS354" s="545"/>
      <c r="CCT354" s="540"/>
      <c r="CCU354" s="545"/>
      <c r="CCV354" s="540"/>
      <c r="CCW354" s="545"/>
      <c r="CCX354" s="540"/>
      <c r="CCY354" s="545"/>
      <c r="CCZ354" s="540"/>
      <c r="CDA354" s="545"/>
      <c r="CDB354" s="540"/>
      <c r="CDC354" s="545"/>
      <c r="CDD354" s="540"/>
      <c r="CDE354" s="545"/>
      <c r="CDF354" s="540"/>
      <c r="CDG354" s="545"/>
      <c r="CDH354" s="540"/>
      <c r="CDI354" s="545"/>
      <c r="CDJ354" s="540"/>
      <c r="CDK354" s="545"/>
      <c r="CDL354" s="540"/>
      <c r="CDM354" s="545"/>
      <c r="CDN354" s="540"/>
      <c r="CDO354" s="545"/>
      <c r="CDP354" s="540"/>
      <c r="CDQ354" s="545"/>
      <c r="CDR354" s="540"/>
      <c r="CDS354" s="545"/>
      <c r="CDT354" s="540"/>
      <c r="CDU354" s="545"/>
      <c r="CDV354" s="540"/>
      <c r="CDW354" s="545"/>
      <c r="CDX354" s="540"/>
      <c r="CDY354" s="545"/>
      <c r="CDZ354" s="540"/>
      <c r="CEA354" s="545"/>
      <c r="CEB354" s="540"/>
      <c r="CEC354" s="545"/>
      <c r="CED354" s="540"/>
      <c r="CEE354" s="545"/>
      <c r="CEF354" s="540"/>
      <c r="CEG354" s="545"/>
      <c r="CEH354" s="540"/>
      <c r="CEI354" s="545"/>
      <c r="CEJ354" s="540"/>
      <c r="CEK354" s="545"/>
      <c r="CEL354" s="540"/>
      <c r="CEM354" s="545"/>
      <c r="CEN354" s="540"/>
      <c r="CEO354" s="545"/>
      <c r="CEP354" s="540"/>
      <c r="CEQ354" s="545"/>
      <c r="CER354" s="540"/>
      <c r="CES354" s="545"/>
      <c r="CET354" s="540"/>
      <c r="CEU354" s="545"/>
      <c r="CEV354" s="540"/>
      <c r="CEW354" s="545"/>
      <c r="CEX354" s="540"/>
      <c r="CEY354" s="545"/>
      <c r="CEZ354" s="540"/>
      <c r="CFA354" s="545"/>
      <c r="CFB354" s="540"/>
      <c r="CFC354" s="545"/>
      <c r="CFD354" s="540"/>
      <c r="CFE354" s="545"/>
      <c r="CFF354" s="540"/>
      <c r="CFG354" s="545"/>
      <c r="CFH354" s="540"/>
      <c r="CFI354" s="545"/>
      <c r="CFJ354" s="540"/>
      <c r="CFK354" s="545"/>
      <c r="CFL354" s="540"/>
      <c r="CFM354" s="545"/>
      <c r="CFN354" s="540"/>
      <c r="CFO354" s="545"/>
      <c r="CFP354" s="540"/>
      <c r="CFQ354" s="545"/>
      <c r="CFR354" s="540"/>
      <c r="CFS354" s="545"/>
      <c r="CFT354" s="540"/>
      <c r="CFU354" s="545"/>
      <c r="CFV354" s="540"/>
      <c r="CFW354" s="545"/>
      <c r="CFX354" s="540"/>
      <c r="CFY354" s="545"/>
      <c r="CFZ354" s="540"/>
      <c r="CGA354" s="545"/>
      <c r="CGB354" s="540"/>
      <c r="CGC354" s="545"/>
      <c r="CGD354" s="540"/>
      <c r="CGE354" s="545"/>
      <c r="CGF354" s="540"/>
      <c r="CGG354" s="545"/>
      <c r="CGH354" s="540"/>
      <c r="CGI354" s="545"/>
      <c r="CGJ354" s="540"/>
      <c r="CGK354" s="545"/>
      <c r="CGL354" s="540"/>
      <c r="CGM354" s="545"/>
      <c r="CGN354" s="540"/>
      <c r="CGO354" s="545"/>
      <c r="CGP354" s="540"/>
      <c r="CGQ354" s="545"/>
      <c r="CGR354" s="540"/>
      <c r="CGS354" s="545"/>
      <c r="CGT354" s="540"/>
      <c r="CGU354" s="545"/>
      <c r="CGV354" s="540"/>
      <c r="CGW354" s="545"/>
      <c r="CGX354" s="540"/>
      <c r="CGY354" s="545"/>
      <c r="CGZ354" s="540"/>
      <c r="CHA354" s="545"/>
      <c r="CHB354" s="540"/>
      <c r="CHC354" s="545"/>
      <c r="CHD354" s="540"/>
      <c r="CHE354" s="545"/>
      <c r="CHF354" s="540"/>
      <c r="CHG354" s="545"/>
      <c r="CHH354" s="540"/>
      <c r="CHI354" s="545"/>
      <c r="CHJ354" s="540"/>
      <c r="CHK354" s="545"/>
      <c r="CHL354" s="540"/>
      <c r="CHM354" s="545"/>
      <c r="CHN354" s="540"/>
      <c r="CHO354" s="545"/>
      <c r="CHP354" s="540"/>
      <c r="CHQ354" s="545"/>
      <c r="CHR354" s="540"/>
      <c r="CHS354" s="545"/>
      <c r="CHT354" s="540"/>
      <c r="CHU354" s="545"/>
      <c r="CHV354" s="540"/>
      <c r="CHW354" s="545"/>
      <c r="CHX354" s="540"/>
      <c r="CHY354" s="545"/>
      <c r="CHZ354" s="540"/>
      <c r="CIA354" s="545"/>
      <c r="CIB354" s="540"/>
      <c r="CIC354" s="545"/>
      <c r="CID354" s="540"/>
      <c r="CIE354" s="545"/>
      <c r="CIF354" s="540"/>
      <c r="CIG354" s="545"/>
      <c r="CIH354" s="540"/>
      <c r="CII354" s="545"/>
      <c r="CIJ354" s="540"/>
      <c r="CIK354" s="545"/>
      <c r="CIL354" s="540"/>
      <c r="CIM354" s="545"/>
      <c r="CIN354" s="540"/>
      <c r="CIO354" s="545"/>
      <c r="CIP354" s="540"/>
      <c r="CIQ354" s="545"/>
      <c r="CIR354" s="540"/>
      <c r="CIS354" s="545"/>
      <c r="CIT354" s="540"/>
      <c r="CIU354" s="545"/>
      <c r="CIV354" s="540"/>
      <c r="CIW354" s="545"/>
      <c r="CIX354" s="540"/>
      <c r="CIY354" s="545"/>
      <c r="CIZ354" s="540"/>
      <c r="CJA354" s="545"/>
      <c r="CJB354" s="540"/>
      <c r="CJC354" s="545"/>
      <c r="CJD354" s="540"/>
      <c r="CJE354" s="545"/>
      <c r="CJF354" s="540"/>
      <c r="CJG354" s="545"/>
      <c r="CJH354" s="540"/>
      <c r="CJI354" s="545"/>
      <c r="CJJ354" s="540"/>
      <c r="CJK354" s="545"/>
      <c r="CJL354" s="540"/>
      <c r="CJM354" s="545"/>
      <c r="CJN354" s="540"/>
      <c r="CJO354" s="545"/>
      <c r="CJP354" s="540"/>
      <c r="CJQ354" s="545"/>
      <c r="CJR354" s="540"/>
      <c r="CJS354" s="545"/>
      <c r="CJT354" s="540"/>
      <c r="CJU354" s="545"/>
      <c r="CJV354" s="540"/>
      <c r="CJW354" s="545"/>
      <c r="CJX354" s="540"/>
      <c r="CJY354" s="545"/>
      <c r="CJZ354" s="540"/>
      <c r="CKA354" s="545"/>
      <c r="CKB354" s="540"/>
      <c r="CKC354" s="545"/>
      <c r="CKD354" s="540"/>
      <c r="CKE354" s="545"/>
      <c r="CKF354" s="540"/>
      <c r="CKG354" s="545"/>
      <c r="CKH354" s="540"/>
      <c r="CKI354" s="545"/>
      <c r="CKJ354" s="540"/>
      <c r="CKK354" s="545"/>
      <c r="CKL354" s="540"/>
      <c r="CKM354" s="545"/>
      <c r="CKN354" s="540"/>
      <c r="CKO354" s="545"/>
      <c r="CKP354" s="540"/>
      <c r="CKQ354" s="545"/>
      <c r="CKR354" s="540"/>
      <c r="CKS354" s="545"/>
      <c r="CKT354" s="540"/>
      <c r="CKU354" s="545"/>
      <c r="CKV354" s="540"/>
      <c r="CKW354" s="545"/>
      <c r="CKX354" s="540"/>
      <c r="CKY354" s="545"/>
      <c r="CKZ354" s="540"/>
      <c r="CLA354" s="545"/>
      <c r="CLB354" s="540"/>
      <c r="CLC354" s="545"/>
      <c r="CLD354" s="540"/>
      <c r="CLE354" s="545"/>
      <c r="CLF354" s="540"/>
      <c r="CLG354" s="545"/>
      <c r="CLH354" s="540"/>
      <c r="CLI354" s="545"/>
      <c r="CLJ354" s="540"/>
      <c r="CLK354" s="545"/>
      <c r="CLL354" s="540"/>
      <c r="CLM354" s="545"/>
      <c r="CLN354" s="540"/>
      <c r="CLO354" s="545"/>
      <c r="CLP354" s="540"/>
      <c r="CLQ354" s="545"/>
      <c r="CLR354" s="540"/>
      <c r="CLS354" s="545"/>
      <c r="CLT354" s="540"/>
      <c r="CLU354" s="545"/>
      <c r="CLV354" s="540"/>
      <c r="CLW354" s="545"/>
      <c r="CLX354" s="540"/>
      <c r="CLY354" s="545"/>
      <c r="CLZ354" s="540"/>
      <c r="CMA354" s="545"/>
      <c r="CMB354" s="540"/>
      <c r="CMC354" s="545"/>
      <c r="CMD354" s="540"/>
      <c r="CME354" s="545"/>
      <c r="CMF354" s="540"/>
      <c r="CMG354" s="545"/>
      <c r="CMH354" s="540"/>
      <c r="CMI354" s="545"/>
      <c r="CMJ354" s="540"/>
      <c r="CMK354" s="545"/>
      <c r="CML354" s="540"/>
      <c r="CMM354" s="545"/>
      <c r="CMN354" s="540"/>
      <c r="CMO354" s="545"/>
      <c r="CMP354" s="540"/>
      <c r="CMQ354" s="545"/>
      <c r="CMR354" s="540"/>
      <c r="CMS354" s="545"/>
      <c r="CMT354" s="540"/>
      <c r="CMU354" s="545"/>
      <c r="CMV354" s="540"/>
      <c r="CMW354" s="545"/>
      <c r="CMX354" s="540"/>
      <c r="CMY354" s="545"/>
      <c r="CMZ354" s="540"/>
      <c r="CNA354" s="545"/>
      <c r="CNB354" s="540"/>
      <c r="CNC354" s="545"/>
      <c r="CND354" s="540"/>
      <c r="CNE354" s="545"/>
      <c r="CNF354" s="540"/>
      <c r="CNG354" s="545"/>
      <c r="CNH354" s="540"/>
      <c r="CNI354" s="545"/>
      <c r="CNJ354" s="540"/>
      <c r="CNK354" s="545"/>
      <c r="CNL354" s="540"/>
      <c r="CNM354" s="545"/>
      <c r="CNN354" s="540"/>
      <c r="CNO354" s="545"/>
      <c r="CNP354" s="540"/>
      <c r="CNQ354" s="545"/>
      <c r="CNR354" s="540"/>
      <c r="CNS354" s="545"/>
      <c r="CNT354" s="540"/>
      <c r="CNU354" s="545"/>
      <c r="CNV354" s="540"/>
      <c r="CNW354" s="545"/>
      <c r="CNX354" s="540"/>
      <c r="CNY354" s="545"/>
      <c r="CNZ354" s="540"/>
      <c r="COA354" s="545"/>
      <c r="COB354" s="540"/>
      <c r="COC354" s="545"/>
      <c r="COD354" s="540"/>
      <c r="COE354" s="545"/>
      <c r="COF354" s="540"/>
      <c r="COG354" s="545"/>
      <c r="COH354" s="540"/>
      <c r="COI354" s="545"/>
      <c r="COJ354" s="540"/>
      <c r="COK354" s="545"/>
      <c r="COL354" s="540"/>
      <c r="COM354" s="545"/>
      <c r="CON354" s="540"/>
      <c r="COO354" s="545"/>
      <c r="COP354" s="540"/>
      <c r="COQ354" s="545"/>
      <c r="COR354" s="540"/>
      <c r="COS354" s="545"/>
      <c r="COT354" s="540"/>
      <c r="COU354" s="545"/>
      <c r="COV354" s="540"/>
      <c r="COW354" s="545"/>
      <c r="COX354" s="540"/>
      <c r="COY354" s="545"/>
      <c r="COZ354" s="540"/>
      <c r="CPA354" s="545"/>
      <c r="CPB354" s="540"/>
      <c r="CPC354" s="545"/>
      <c r="CPD354" s="540"/>
      <c r="CPE354" s="545"/>
      <c r="CPF354" s="540"/>
      <c r="CPG354" s="545"/>
      <c r="CPH354" s="540"/>
      <c r="CPI354" s="545"/>
      <c r="CPJ354" s="540"/>
      <c r="CPK354" s="545"/>
      <c r="CPL354" s="540"/>
      <c r="CPM354" s="545"/>
      <c r="CPN354" s="540"/>
      <c r="CPO354" s="545"/>
      <c r="CPP354" s="540"/>
      <c r="CPQ354" s="545"/>
      <c r="CPR354" s="540"/>
      <c r="CPS354" s="545"/>
      <c r="CPT354" s="540"/>
      <c r="CPU354" s="545"/>
      <c r="CPV354" s="540"/>
      <c r="CPW354" s="545"/>
      <c r="CPX354" s="540"/>
      <c r="CPY354" s="545"/>
      <c r="CPZ354" s="540"/>
      <c r="CQA354" s="545"/>
      <c r="CQB354" s="540"/>
      <c r="CQC354" s="545"/>
      <c r="CQD354" s="540"/>
      <c r="CQE354" s="545"/>
      <c r="CQF354" s="540"/>
      <c r="CQG354" s="545"/>
      <c r="CQH354" s="540"/>
      <c r="CQI354" s="545"/>
      <c r="CQJ354" s="540"/>
      <c r="CQK354" s="545"/>
      <c r="CQL354" s="540"/>
      <c r="CQM354" s="545"/>
      <c r="CQN354" s="540"/>
      <c r="CQO354" s="545"/>
      <c r="CQP354" s="540"/>
      <c r="CQQ354" s="545"/>
      <c r="CQR354" s="540"/>
      <c r="CQS354" s="545"/>
      <c r="CQT354" s="540"/>
      <c r="CQU354" s="545"/>
      <c r="CQV354" s="540"/>
      <c r="CQW354" s="545"/>
      <c r="CQX354" s="540"/>
      <c r="CQY354" s="545"/>
      <c r="CQZ354" s="540"/>
      <c r="CRA354" s="545"/>
      <c r="CRB354" s="540"/>
      <c r="CRC354" s="545"/>
      <c r="CRD354" s="540"/>
      <c r="CRE354" s="545"/>
      <c r="CRF354" s="540"/>
      <c r="CRG354" s="545"/>
      <c r="CRH354" s="540"/>
      <c r="CRI354" s="545"/>
      <c r="CRJ354" s="540"/>
      <c r="CRK354" s="545"/>
      <c r="CRL354" s="540"/>
      <c r="CRM354" s="545"/>
      <c r="CRN354" s="540"/>
      <c r="CRO354" s="545"/>
      <c r="CRP354" s="540"/>
      <c r="CRQ354" s="545"/>
      <c r="CRR354" s="540"/>
      <c r="CRS354" s="545"/>
      <c r="CRT354" s="540"/>
      <c r="CRU354" s="545"/>
      <c r="CRV354" s="540"/>
      <c r="CRW354" s="545"/>
      <c r="CRX354" s="540"/>
      <c r="CRY354" s="545"/>
      <c r="CRZ354" s="540"/>
      <c r="CSA354" s="545"/>
      <c r="CSB354" s="540"/>
      <c r="CSC354" s="545"/>
      <c r="CSD354" s="540"/>
      <c r="CSE354" s="545"/>
      <c r="CSF354" s="540"/>
      <c r="CSG354" s="545"/>
      <c r="CSH354" s="540"/>
      <c r="CSI354" s="545"/>
      <c r="CSJ354" s="540"/>
      <c r="CSK354" s="545"/>
      <c r="CSL354" s="540"/>
      <c r="CSM354" s="545"/>
      <c r="CSN354" s="540"/>
      <c r="CSO354" s="545"/>
      <c r="CSP354" s="540"/>
      <c r="CSQ354" s="545"/>
      <c r="CSR354" s="540"/>
      <c r="CSS354" s="545"/>
      <c r="CST354" s="540"/>
      <c r="CSU354" s="545"/>
      <c r="CSV354" s="540"/>
      <c r="CSW354" s="545"/>
      <c r="CSX354" s="540"/>
      <c r="CSY354" s="545"/>
      <c r="CSZ354" s="540"/>
      <c r="CTA354" s="545"/>
      <c r="CTB354" s="540"/>
      <c r="CTC354" s="545"/>
      <c r="CTD354" s="540"/>
      <c r="CTE354" s="545"/>
      <c r="CTF354" s="540"/>
      <c r="CTG354" s="545"/>
      <c r="CTH354" s="540"/>
      <c r="CTI354" s="545"/>
      <c r="CTJ354" s="540"/>
      <c r="CTK354" s="545"/>
      <c r="CTL354" s="540"/>
      <c r="CTM354" s="545"/>
      <c r="CTN354" s="540"/>
      <c r="CTO354" s="545"/>
      <c r="CTP354" s="540"/>
      <c r="CTQ354" s="545"/>
      <c r="CTR354" s="540"/>
      <c r="CTS354" s="545"/>
      <c r="CTT354" s="540"/>
      <c r="CTU354" s="545"/>
      <c r="CTV354" s="540"/>
      <c r="CTW354" s="545"/>
      <c r="CTX354" s="540"/>
      <c r="CTY354" s="545"/>
      <c r="CTZ354" s="540"/>
      <c r="CUA354" s="545"/>
      <c r="CUB354" s="540"/>
      <c r="CUC354" s="545"/>
      <c r="CUD354" s="540"/>
      <c r="CUE354" s="545"/>
      <c r="CUF354" s="540"/>
      <c r="CUG354" s="545"/>
      <c r="CUH354" s="540"/>
      <c r="CUI354" s="545"/>
      <c r="CUJ354" s="540"/>
      <c r="CUK354" s="545"/>
      <c r="CUL354" s="540"/>
      <c r="CUM354" s="545"/>
      <c r="CUN354" s="540"/>
      <c r="CUO354" s="545"/>
      <c r="CUP354" s="540"/>
      <c r="CUQ354" s="545"/>
      <c r="CUR354" s="540"/>
      <c r="CUS354" s="545"/>
      <c r="CUT354" s="540"/>
      <c r="CUU354" s="545"/>
      <c r="CUV354" s="540"/>
      <c r="CUW354" s="545"/>
      <c r="CUX354" s="540"/>
      <c r="CUY354" s="545"/>
      <c r="CUZ354" s="540"/>
      <c r="CVA354" s="545"/>
      <c r="CVB354" s="540"/>
      <c r="CVC354" s="545"/>
      <c r="CVD354" s="540"/>
      <c r="CVE354" s="545"/>
      <c r="CVF354" s="540"/>
      <c r="CVG354" s="545"/>
      <c r="CVH354" s="540"/>
      <c r="CVI354" s="545"/>
      <c r="CVJ354" s="540"/>
      <c r="CVK354" s="545"/>
      <c r="CVL354" s="540"/>
      <c r="CVM354" s="545"/>
      <c r="CVN354" s="540"/>
      <c r="CVO354" s="545"/>
      <c r="CVP354" s="540"/>
      <c r="CVQ354" s="545"/>
      <c r="CVR354" s="540"/>
      <c r="CVS354" s="545"/>
      <c r="CVT354" s="540"/>
      <c r="CVU354" s="545"/>
      <c r="CVV354" s="540"/>
      <c r="CVW354" s="545"/>
      <c r="CVX354" s="540"/>
      <c r="CVY354" s="545"/>
      <c r="CVZ354" s="540"/>
      <c r="CWA354" s="545"/>
      <c r="CWB354" s="540"/>
      <c r="CWC354" s="545"/>
      <c r="CWD354" s="540"/>
      <c r="CWE354" s="545"/>
      <c r="CWF354" s="540"/>
      <c r="CWG354" s="545"/>
      <c r="CWH354" s="540"/>
      <c r="CWI354" s="545"/>
      <c r="CWJ354" s="540"/>
      <c r="CWK354" s="545"/>
      <c r="CWL354" s="540"/>
      <c r="CWM354" s="545"/>
      <c r="CWN354" s="540"/>
      <c r="CWO354" s="545"/>
      <c r="CWP354" s="540"/>
      <c r="CWQ354" s="545"/>
      <c r="CWR354" s="540"/>
      <c r="CWS354" s="545"/>
      <c r="CWT354" s="540"/>
      <c r="CWU354" s="545"/>
      <c r="CWV354" s="540"/>
      <c r="CWW354" s="545"/>
      <c r="CWX354" s="540"/>
      <c r="CWY354" s="545"/>
      <c r="CWZ354" s="540"/>
      <c r="CXA354" s="545"/>
      <c r="CXB354" s="540"/>
      <c r="CXC354" s="545"/>
      <c r="CXD354" s="540"/>
      <c r="CXE354" s="545"/>
      <c r="CXF354" s="540"/>
      <c r="CXG354" s="545"/>
      <c r="CXH354" s="540"/>
      <c r="CXI354" s="545"/>
      <c r="CXJ354" s="540"/>
      <c r="CXK354" s="545"/>
      <c r="CXL354" s="540"/>
      <c r="CXM354" s="545"/>
      <c r="CXN354" s="540"/>
      <c r="CXO354" s="545"/>
      <c r="CXP354" s="540"/>
      <c r="CXQ354" s="545"/>
      <c r="CXR354" s="540"/>
      <c r="CXS354" s="545"/>
      <c r="CXT354" s="540"/>
      <c r="CXU354" s="545"/>
      <c r="CXV354" s="540"/>
      <c r="CXW354" s="545"/>
      <c r="CXX354" s="540"/>
      <c r="CXY354" s="545"/>
      <c r="CXZ354" s="540"/>
      <c r="CYA354" s="545"/>
      <c r="CYB354" s="540"/>
      <c r="CYC354" s="545"/>
      <c r="CYD354" s="540"/>
      <c r="CYE354" s="545"/>
      <c r="CYF354" s="540"/>
      <c r="CYG354" s="545"/>
      <c r="CYH354" s="540"/>
      <c r="CYI354" s="545"/>
      <c r="CYJ354" s="540"/>
      <c r="CYK354" s="545"/>
      <c r="CYL354" s="540"/>
      <c r="CYM354" s="545"/>
      <c r="CYN354" s="540"/>
      <c r="CYO354" s="545"/>
      <c r="CYP354" s="540"/>
      <c r="CYQ354" s="545"/>
      <c r="CYR354" s="540"/>
      <c r="CYS354" s="545"/>
      <c r="CYT354" s="540"/>
      <c r="CYU354" s="545"/>
      <c r="CYV354" s="540"/>
      <c r="CYW354" s="545"/>
      <c r="CYX354" s="540"/>
      <c r="CYY354" s="545"/>
      <c r="CYZ354" s="540"/>
      <c r="CZA354" s="545"/>
      <c r="CZB354" s="540"/>
      <c r="CZC354" s="545"/>
      <c r="CZD354" s="540"/>
      <c r="CZE354" s="545"/>
      <c r="CZF354" s="540"/>
      <c r="CZG354" s="545"/>
      <c r="CZH354" s="540"/>
      <c r="CZI354" s="545"/>
      <c r="CZJ354" s="540"/>
      <c r="CZK354" s="545"/>
      <c r="CZL354" s="540"/>
      <c r="CZM354" s="545"/>
      <c r="CZN354" s="540"/>
      <c r="CZO354" s="545"/>
      <c r="CZP354" s="540"/>
      <c r="CZQ354" s="545"/>
      <c r="CZR354" s="540"/>
      <c r="CZS354" s="545"/>
      <c r="CZT354" s="540"/>
      <c r="CZU354" s="545"/>
      <c r="CZV354" s="540"/>
      <c r="CZW354" s="545"/>
      <c r="CZX354" s="540"/>
      <c r="CZY354" s="545"/>
      <c r="CZZ354" s="540"/>
      <c r="DAA354" s="545"/>
      <c r="DAB354" s="540"/>
      <c r="DAC354" s="545"/>
      <c r="DAD354" s="540"/>
      <c r="DAE354" s="545"/>
      <c r="DAF354" s="540"/>
      <c r="DAG354" s="545"/>
      <c r="DAH354" s="540"/>
      <c r="DAI354" s="545"/>
      <c r="DAJ354" s="540"/>
      <c r="DAK354" s="545"/>
      <c r="DAL354" s="540"/>
      <c r="DAM354" s="545"/>
      <c r="DAN354" s="540"/>
      <c r="DAO354" s="545"/>
      <c r="DAP354" s="540"/>
      <c r="DAQ354" s="545"/>
      <c r="DAR354" s="540"/>
      <c r="DAS354" s="545"/>
      <c r="DAT354" s="540"/>
      <c r="DAU354" s="545"/>
      <c r="DAV354" s="540"/>
      <c r="DAW354" s="545"/>
      <c r="DAX354" s="540"/>
      <c r="DAY354" s="545"/>
      <c r="DAZ354" s="540"/>
      <c r="DBA354" s="545"/>
      <c r="DBB354" s="540"/>
      <c r="DBC354" s="545"/>
      <c r="DBD354" s="540"/>
      <c r="DBE354" s="545"/>
      <c r="DBF354" s="540"/>
      <c r="DBG354" s="545"/>
      <c r="DBH354" s="540"/>
      <c r="DBI354" s="545"/>
      <c r="DBJ354" s="540"/>
      <c r="DBK354" s="545"/>
      <c r="DBL354" s="540"/>
      <c r="DBM354" s="545"/>
      <c r="DBN354" s="540"/>
      <c r="DBO354" s="545"/>
      <c r="DBP354" s="540"/>
      <c r="DBQ354" s="545"/>
      <c r="DBR354" s="540"/>
      <c r="DBS354" s="545"/>
      <c r="DBT354" s="540"/>
      <c r="DBU354" s="545"/>
      <c r="DBV354" s="540"/>
      <c r="DBW354" s="545"/>
      <c r="DBX354" s="540"/>
      <c r="DBY354" s="545"/>
      <c r="DBZ354" s="540"/>
      <c r="DCA354" s="545"/>
      <c r="DCB354" s="540"/>
      <c r="DCC354" s="545"/>
      <c r="DCD354" s="540"/>
      <c r="DCE354" s="545"/>
      <c r="DCF354" s="540"/>
      <c r="DCG354" s="545"/>
      <c r="DCH354" s="540"/>
      <c r="DCI354" s="545"/>
      <c r="DCJ354" s="540"/>
      <c r="DCK354" s="545"/>
      <c r="DCL354" s="540"/>
      <c r="DCM354" s="545"/>
      <c r="DCN354" s="540"/>
      <c r="DCO354" s="545"/>
      <c r="DCP354" s="540"/>
      <c r="DCQ354" s="545"/>
      <c r="DCR354" s="540"/>
      <c r="DCS354" s="545"/>
      <c r="DCT354" s="540"/>
      <c r="DCU354" s="545"/>
      <c r="DCV354" s="540"/>
      <c r="DCW354" s="545"/>
      <c r="DCX354" s="540"/>
      <c r="DCY354" s="545"/>
      <c r="DCZ354" s="540"/>
      <c r="DDA354" s="545"/>
      <c r="DDB354" s="540"/>
      <c r="DDC354" s="545"/>
      <c r="DDD354" s="540"/>
      <c r="DDE354" s="545"/>
      <c r="DDF354" s="540"/>
      <c r="DDG354" s="545"/>
      <c r="DDH354" s="540"/>
      <c r="DDI354" s="545"/>
      <c r="DDJ354" s="540"/>
      <c r="DDK354" s="545"/>
      <c r="DDL354" s="540"/>
      <c r="DDM354" s="545"/>
      <c r="DDN354" s="540"/>
      <c r="DDO354" s="545"/>
      <c r="DDP354" s="540"/>
      <c r="DDQ354" s="545"/>
      <c r="DDR354" s="540"/>
      <c r="DDS354" s="545"/>
      <c r="DDT354" s="540"/>
      <c r="DDU354" s="545"/>
      <c r="DDV354" s="540"/>
      <c r="DDW354" s="545"/>
      <c r="DDX354" s="540"/>
      <c r="DDY354" s="545"/>
      <c r="DDZ354" s="540"/>
      <c r="DEA354" s="545"/>
      <c r="DEB354" s="540"/>
      <c r="DEC354" s="545"/>
      <c r="DED354" s="540"/>
      <c r="DEE354" s="545"/>
      <c r="DEF354" s="540"/>
      <c r="DEG354" s="545"/>
      <c r="DEH354" s="540"/>
      <c r="DEI354" s="545"/>
      <c r="DEJ354" s="540"/>
      <c r="DEK354" s="545"/>
      <c r="DEL354" s="540"/>
      <c r="DEM354" s="545"/>
      <c r="DEN354" s="540"/>
      <c r="DEO354" s="545"/>
      <c r="DEP354" s="540"/>
      <c r="DEQ354" s="545"/>
      <c r="DER354" s="540"/>
      <c r="DES354" s="545"/>
      <c r="DET354" s="540"/>
      <c r="DEU354" s="545"/>
      <c r="DEV354" s="540"/>
      <c r="DEW354" s="545"/>
      <c r="DEX354" s="540"/>
      <c r="DEY354" s="545"/>
      <c r="DEZ354" s="540"/>
      <c r="DFA354" s="545"/>
      <c r="DFB354" s="540"/>
      <c r="DFC354" s="545"/>
      <c r="DFD354" s="540"/>
      <c r="DFE354" s="545"/>
      <c r="DFF354" s="540"/>
      <c r="DFG354" s="545"/>
      <c r="DFH354" s="540"/>
      <c r="DFI354" s="545"/>
      <c r="DFJ354" s="540"/>
      <c r="DFK354" s="545"/>
      <c r="DFL354" s="540"/>
      <c r="DFM354" s="545"/>
      <c r="DFN354" s="540"/>
      <c r="DFO354" s="545"/>
      <c r="DFP354" s="540"/>
      <c r="DFQ354" s="545"/>
      <c r="DFR354" s="540"/>
      <c r="DFS354" s="545"/>
      <c r="DFT354" s="540"/>
      <c r="DFU354" s="545"/>
      <c r="DFV354" s="540"/>
      <c r="DFW354" s="545"/>
      <c r="DFX354" s="540"/>
      <c r="DFY354" s="545"/>
      <c r="DFZ354" s="540"/>
      <c r="DGA354" s="545"/>
      <c r="DGB354" s="540"/>
      <c r="DGC354" s="545"/>
      <c r="DGD354" s="540"/>
      <c r="DGE354" s="545"/>
      <c r="DGF354" s="540"/>
      <c r="DGG354" s="545"/>
      <c r="DGH354" s="540"/>
      <c r="DGI354" s="545"/>
      <c r="DGJ354" s="540"/>
      <c r="DGK354" s="545"/>
      <c r="DGL354" s="540"/>
      <c r="DGM354" s="545"/>
      <c r="DGN354" s="540"/>
      <c r="DGO354" s="545"/>
      <c r="DGP354" s="540"/>
      <c r="DGQ354" s="545"/>
      <c r="DGR354" s="540"/>
      <c r="DGS354" s="545"/>
      <c r="DGT354" s="540"/>
      <c r="DGU354" s="545"/>
      <c r="DGV354" s="540"/>
      <c r="DGW354" s="545"/>
      <c r="DGX354" s="540"/>
      <c r="DGY354" s="545"/>
      <c r="DGZ354" s="540"/>
      <c r="DHA354" s="545"/>
      <c r="DHB354" s="540"/>
      <c r="DHC354" s="545"/>
      <c r="DHD354" s="540"/>
      <c r="DHE354" s="545"/>
      <c r="DHF354" s="540"/>
      <c r="DHG354" s="545"/>
      <c r="DHH354" s="540"/>
      <c r="DHI354" s="545"/>
      <c r="DHJ354" s="540"/>
      <c r="DHK354" s="545"/>
      <c r="DHL354" s="540"/>
      <c r="DHM354" s="545"/>
      <c r="DHN354" s="540"/>
      <c r="DHO354" s="545"/>
      <c r="DHP354" s="540"/>
      <c r="DHQ354" s="545"/>
      <c r="DHR354" s="540"/>
      <c r="DHS354" s="545"/>
      <c r="DHT354" s="540"/>
      <c r="DHU354" s="545"/>
      <c r="DHV354" s="540"/>
      <c r="DHW354" s="545"/>
      <c r="DHX354" s="540"/>
      <c r="DHY354" s="545"/>
      <c r="DHZ354" s="540"/>
      <c r="DIA354" s="545"/>
      <c r="DIB354" s="540"/>
      <c r="DIC354" s="545"/>
      <c r="DID354" s="540"/>
      <c r="DIE354" s="545"/>
      <c r="DIF354" s="540"/>
      <c r="DIG354" s="545"/>
      <c r="DIH354" s="540"/>
      <c r="DII354" s="545"/>
      <c r="DIJ354" s="540"/>
      <c r="DIK354" s="545"/>
      <c r="DIL354" s="540"/>
      <c r="DIM354" s="545"/>
      <c r="DIN354" s="540"/>
      <c r="DIO354" s="545"/>
      <c r="DIP354" s="540"/>
      <c r="DIQ354" s="545"/>
      <c r="DIR354" s="540"/>
      <c r="DIS354" s="545"/>
      <c r="DIT354" s="540"/>
      <c r="DIU354" s="545"/>
      <c r="DIV354" s="540"/>
      <c r="DIW354" s="545"/>
      <c r="DIX354" s="540"/>
      <c r="DIY354" s="545"/>
      <c r="DIZ354" s="540"/>
      <c r="DJA354" s="545"/>
      <c r="DJB354" s="540"/>
      <c r="DJC354" s="545"/>
      <c r="DJD354" s="540"/>
      <c r="DJE354" s="545"/>
      <c r="DJF354" s="540"/>
      <c r="DJG354" s="545"/>
      <c r="DJH354" s="540"/>
      <c r="DJI354" s="545"/>
      <c r="DJJ354" s="540"/>
      <c r="DJK354" s="545"/>
      <c r="DJL354" s="540"/>
      <c r="DJM354" s="545"/>
      <c r="DJN354" s="540"/>
      <c r="DJO354" s="545"/>
      <c r="DJP354" s="540"/>
      <c r="DJQ354" s="545"/>
      <c r="DJR354" s="540"/>
      <c r="DJS354" s="545"/>
      <c r="DJT354" s="540"/>
      <c r="DJU354" s="545"/>
      <c r="DJV354" s="540"/>
      <c r="DJW354" s="545"/>
      <c r="DJX354" s="540"/>
      <c r="DJY354" s="545"/>
      <c r="DJZ354" s="540"/>
      <c r="DKA354" s="545"/>
      <c r="DKB354" s="540"/>
      <c r="DKC354" s="545"/>
      <c r="DKD354" s="540"/>
      <c r="DKE354" s="545"/>
      <c r="DKF354" s="540"/>
      <c r="DKG354" s="545"/>
      <c r="DKH354" s="540"/>
      <c r="DKI354" s="545"/>
      <c r="DKJ354" s="540"/>
      <c r="DKK354" s="545"/>
      <c r="DKL354" s="540"/>
      <c r="DKM354" s="545"/>
      <c r="DKN354" s="540"/>
      <c r="DKO354" s="545"/>
      <c r="DKP354" s="540"/>
      <c r="DKQ354" s="545"/>
      <c r="DKR354" s="540"/>
      <c r="DKS354" s="545"/>
      <c r="DKT354" s="540"/>
      <c r="DKU354" s="545"/>
      <c r="DKV354" s="540"/>
      <c r="DKW354" s="545"/>
      <c r="DKX354" s="540"/>
      <c r="DKY354" s="545"/>
      <c r="DKZ354" s="540"/>
      <c r="DLA354" s="545"/>
      <c r="DLB354" s="540"/>
      <c r="DLC354" s="545"/>
      <c r="DLD354" s="540"/>
      <c r="DLE354" s="545"/>
      <c r="DLF354" s="540"/>
      <c r="DLG354" s="545"/>
      <c r="DLH354" s="540"/>
      <c r="DLI354" s="545"/>
      <c r="DLJ354" s="540"/>
      <c r="DLK354" s="545"/>
      <c r="DLL354" s="540"/>
      <c r="DLM354" s="545"/>
      <c r="DLN354" s="540"/>
      <c r="DLO354" s="545"/>
      <c r="DLP354" s="540"/>
      <c r="DLQ354" s="545"/>
      <c r="DLR354" s="540"/>
      <c r="DLS354" s="545"/>
      <c r="DLT354" s="540"/>
      <c r="DLU354" s="545"/>
      <c r="DLV354" s="540"/>
      <c r="DLW354" s="545"/>
      <c r="DLX354" s="540"/>
      <c r="DLY354" s="545"/>
      <c r="DLZ354" s="540"/>
      <c r="DMA354" s="545"/>
      <c r="DMB354" s="540"/>
      <c r="DMC354" s="545"/>
      <c r="DMD354" s="540"/>
      <c r="DME354" s="545"/>
      <c r="DMF354" s="540"/>
      <c r="DMG354" s="545"/>
      <c r="DMH354" s="540"/>
      <c r="DMI354" s="545"/>
      <c r="DMJ354" s="540"/>
      <c r="DMK354" s="545"/>
      <c r="DML354" s="540"/>
      <c r="DMM354" s="545"/>
      <c r="DMN354" s="540"/>
      <c r="DMO354" s="545"/>
      <c r="DMP354" s="540"/>
      <c r="DMQ354" s="545"/>
      <c r="DMR354" s="540"/>
      <c r="DMS354" s="545"/>
      <c r="DMT354" s="540"/>
      <c r="DMU354" s="545"/>
      <c r="DMV354" s="540"/>
      <c r="DMW354" s="545"/>
      <c r="DMX354" s="540"/>
      <c r="DMY354" s="545"/>
      <c r="DMZ354" s="540"/>
      <c r="DNA354" s="545"/>
      <c r="DNB354" s="540"/>
      <c r="DNC354" s="545"/>
      <c r="DND354" s="540"/>
      <c r="DNE354" s="545"/>
      <c r="DNF354" s="540"/>
      <c r="DNG354" s="545"/>
      <c r="DNH354" s="540"/>
      <c r="DNI354" s="545"/>
      <c r="DNJ354" s="540"/>
      <c r="DNK354" s="545"/>
      <c r="DNL354" s="540"/>
      <c r="DNM354" s="545"/>
      <c r="DNN354" s="540"/>
      <c r="DNO354" s="545"/>
      <c r="DNP354" s="540"/>
      <c r="DNQ354" s="545"/>
      <c r="DNR354" s="540"/>
      <c r="DNS354" s="545"/>
      <c r="DNT354" s="540"/>
      <c r="DNU354" s="545"/>
      <c r="DNV354" s="540"/>
      <c r="DNW354" s="545"/>
      <c r="DNX354" s="540"/>
      <c r="DNY354" s="545"/>
      <c r="DNZ354" s="540"/>
      <c r="DOA354" s="545"/>
      <c r="DOB354" s="540"/>
      <c r="DOC354" s="545"/>
      <c r="DOD354" s="540"/>
      <c r="DOE354" s="545"/>
      <c r="DOF354" s="540"/>
      <c r="DOG354" s="545"/>
      <c r="DOH354" s="540"/>
      <c r="DOI354" s="545"/>
      <c r="DOJ354" s="540"/>
      <c r="DOK354" s="545"/>
      <c r="DOL354" s="540"/>
      <c r="DOM354" s="545"/>
      <c r="DON354" s="540"/>
      <c r="DOO354" s="545"/>
      <c r="DOP354" s="540"/>
      <c r="DOQ354" s="545"/>
      <c r="DOR354" s="540"/>
      <c r="DOS354" s="545"/>
      <c r="DOT354" s="540"/>
      <c r="DOU354" s="545"/>
      <c r="DOV354" s="540"/>
      <c r="DOW354" s="545"/>
      <c r="DOX354" s="540"/>
      <c r="DOY354" s="545"/>
      <c r="DOZ354" s="540"/>
      <c r="DPA354" s="545"/>
      <c r="DPB354" s="540"/>
      <c r="DPC354" s="545"/>
      <c r="DPD354" s="540"/>
      <c r="DPE354" s="545"/>
      <c r="DPF354" s="540"/>
      <c r="DPG354" s="545"/>
      <c r="DPH354" s="540"/>
      <c r="DPI354" s="545"/>
      <c r="DPJ354" s="540"/>
      <c r="DPK354" s="545"/>
      <c r="DPL354" s="540"/>
      <c r="DPM354" s="545"/>
      <c r="DPN354" s="540"/>
      <c r="DPO354" s="545"/>
      <c r="DPP354" s="540"/>
      <c r="DPQ354" s="545"/>
      <c r="DPR354" s="540"/>
      <c r="DPS354" s="545"/>
      <c r="DPT354" s="540"/>
      <c r="DPU354" s="545"/>
      <c r="DPV354" s="540"/>
      <c r="DPW354" s="545"/>
      <c r="DPX354" s="540"/>
      <c r="DPY354" s="545"/>
      <c r="DPZ354" s="540"/>
      <c r="DQA354" s="545"/>
      <c r="DQB354" s="540"/>
      <c r="DQC354" s="545"/>
      <c r="DQD354" s="540"/>
      <c r="DQE354" s="545"/>
      <c r="DQF354" s="540"/>
      <c r="DQG354" s="545"/>
      <c r="DQH354" s="540"/>
      <c r="DQI354" s="545"/>
      <c r="DQJ354" s="540"/>
      <c r="DQK354" s="545"/>
      <c r="DQL354" s="540"/>
      <c r="DQM354" s="545"/>
      <c r="DQN354" s="540"/>
      <c r="DQO354" s="545"/>
      <c r="DQP354" s="540"/>
      <c r="DQQ354" s="545"/>
      <c r="DQR354" s="540"/>
      <c r="DQS354" s="545"/>
      <c r="DQT354" s="540"/>
      <c r="DQU354" s="545"/>
      <c r="DQV354" s="540"/>
      <c r="DQW354" s="545"/>
      <c r="DQX354" s="540"/>
      <c r="DQY354" s="545"/>
      <c r="DQZ354" s="540"/>
      <c r="DRA354" s="545"/>
      <c r="DRB354" s="540"/>
      <c r="DRC354" s="545"/>
      <c r="DRD354" s="540"/>
      <c r="DRE354" s="545"/>
      <c r="DRF354" s="540"/>
      <c r="DRG354" s="545"/>
      <c r="DRH354" s="540"/>
      <c r="DRI354" s="545"/>
      <c r="DRJ354" s="540"/>
      <c r="DRK354" s="545"/>
      <c r="DRL354" s="540"/>
      <c r="DRM354" s="545"/>
      <c r="DRN354" s="540"/>
      <c r="DRO354" s="545"/>
      <c r="DRP354" s="540"/>
      <c r="DRQ354" s="545"/>
      <c r="DRR354" s="540"/>
      <c r="DRS354" s="545"/>
      <c r="DRT354" s="540"/>
      <c r="DRU354" s="545"/>
      <c r="DRV354" s="540"/>
      <c r="DRW354" s="545"/>
      <c r="DRX354" s="540"/>
      <c r="DRY354" s="545"/>
      <c r="DRZ354" s="540"/>
      <c r="DSA354" s="545"/>
      <c r="DSB354" s="540"/>
      <c r="DSC354" s="545"/>
      <c r="DSD354" s="540"/>
      <c r="DSE354" s="545"/>
      <c r="DSF354" s="540"/>
      <c r="DSG354" s="545"/>
      <c r="DSH354" s="540"/>
      <c r="DSI354" s="545"/>
      <c r="DSJ354" s="540"/>
      <c r="DSK354" s="545"/>
      <c r="DSL354" s="540"/>
      <c r="DSM354" s="545"/>
      <c r="DSN354" s="540"/>
      <c r="DSO354" s="545"/>
      <c r="DSP354" s="540"/>
      <c r="DSQ354" s="545"/>
      <c r="DSR354" s="540"/>
      <c r="DSS354" s="545"/>
      <c r="DST354" s="540"/>
      <c r="DSU354" s="545"/>
      <c r="DSV354" s="540"/>
      <c r="DSW354" s="545"/>
      <c r="DSX354" s="540"/>
      <c r="DSY354" s="545"/>
      <c r="DSZ354" s="540"/>
      <c r="DTA354" s="545"/>
      <c r="DTB354" s="540"/>
      <c r="DTC354" s="545"/>
      <c r="DTD354" s="540"/>
      <c r="DTE354" s="545"/>
      <c r="DTF354" s="540"/>
      <c r="DTG354" s="545"/>
      <c r="DTH354" s="540"/>
      <c r="DTI354" s="545"/>
      <c r="DTJ354" s="540"/>
      <c r="DTK354" s="545"/>
      <c r="DTL354" s="540"/>
      <c r="DTM354" s="545"/>
      <c r="DTN354" s="540"/>
      <c r="DTO354" s="545"/>
      <c r="DTP354" s="540"/>
      <c r="DTQ354" s="545"/>
      <c r="DTR354" s="540"/>
      <c r="DTS354" s="545"/>
      <c r="DTT354" s="540"/>
      <c r="DTU354" s="545"/>
      <c r="DTV354" s="540"/>
      <c r="DTW354" s="545"/>
      <c r="DTX354" s="540"/>
      <c r="DTY354" s="545"/>
      <c r="DTZ354" s="540"/>
      <c r="DUA354" s="545"/>
      <c r="DUB354" s="540"/>
      <c r="DUC354" s="545"/>
      <c r="DUD354" s="540"/>
      <c r="DUE354" s="545"/>
      <c r="DUF354" s="540"/>
      <c r="DUG354" s="545"/>
      <c r="DUH354" s="540"/>
      <c r="DUI354" s="545"/>
      <c r="DUJ354" s="540"/>
      <c r="DUK354" s="545"/>
      <c r="DUL354" s="540"/>
      <c r="DUM354" s="545"/>
      <c r="DUN354" s="540"/>
      <c r="DUO354" s="545"/>
      <c r="DUP354" s="540"/>
      <c r="DUQ354" s="545"/>
      <c r="DUR354" s="540"/>
      <c r="DUS354" s="545"/>
      <c r="DUT354" s="540"/>
      <c r="DUU354" s="545"/>
      <c r="DUV354" s="540"/>
      <c r="DUW354" s="545"/>
      <c r="DUX354" s="540"/>
      <c r="DUY354" s="545"/>
      <c r="DUZ354" s="540"/>
      <c r="DVA354" s="545"/>
      <c r="DVB354" s="540"/>
      <c r="DVC354" s="545"/>
      <c r="DVD354" s="540"/>
      <c r="DVE354" s="545"/>
      <c r="DVF354" s="540"/>
      <c r="DVG354" s="545"/>
      <c r="DVH354" s="540"/>
      <c r="DVI354" s="545"/>
      <c r="DVJ354" s="540"/>
      <c r="DVK354" s="545"/>
      <c r="DVL354" s="540"/>
      <c r="DVM354" s="545"/>
      <c r="DVN354" s="540"/>
      <c r="DVO354" s="545"/>
      <c r="DVP354" s="540"/>
      <c r="DVQ354" s="545"/>
      <c r="DVR354" s="540"/>
      <c r="DVS354" s="545"/>
      <c r="DVT354" s="540"/>
      <c r="DVU354" s="545"/>
      <c r="DVV354" s="540"/>
      <c r="DVW354" s="545"/>
      <c r="DVX354" s="540"/>
      <c r="DVY354" s="545"/>
      <c r="DVZ354" s="540"/>
      <c r="DWA354" s="545"/>
      <c r="DWB354" s="540"/>
      <c r="DWC354" s="545"/>
      <c r="DWD354" s="540"/>
      <c r="DWE354" s="545"/>
      <c r="DWF354" s="540"/>
      <c r="DWG354" s="545"/>
      <c r="DWH354" s="540"/>
      <c r="DWI354" s="545"/>
      <c r="DWJ354" s="540"/>
      <c r="DWK354" s="545"/>
      <c r="DWL354" s="540"/>
      <c r="DWM354" s="545"/>
      <c r="DWN354" s="540"/>
      <c r="DWO354" s="545"/>
      <c r="DWP354" s="540"/>
      <c r="DWQ354" s="545"/>
      <c r="DWR354" s="540"/>
      <c r="DWS354" s="545"/>
      <c r="DWT354" s="540"/>
      <c r="DWU354" s="545"/>
      <c r="DWV354" s="540"/>
      <c r="DWW354" s="545"/>
      <c r="DWX354" s="540"/>
      <c r="DWY354" s="545"/>
      <c r="DWZ354" s="540"/>
      <c r="DXA354" s="545"/>
      <c r="DXB354" s="540"/>
      <c r="DXC354" s="545"/>
      <c r="DXD354" s="540"/>
      <c r="DXE354" s="545"/>
      <c r="DXF354" s="540"/>
      <c r="DXG354" s="545"/>
      <c r="DXH354" s="540"/>
      <c r="DXI354" s="545"/>
      <c r="DXJ354" s="540"/>
      <c r="DXK354" s="545"/>
      <c r="DXL354" s="540"/>
      <c r="DXM354" s="545"/>
      <c r="DXN354" s="540"/>
      <c r="DXO354" s="545"/>
      <c r="DXP354" s="540"/>
      <c r="DXQ354" s="545"/>
      <c r="DXR354" s="540"/>
      <c r="DXS354" s="545"/>
      <c r="DXT354" s="540"/>
      <c r="DXU354" s="545"/>
      <c r="DXV354" s="540"/>
      <c r="DXW354" s="545"/>
      <c r="DXX354" s="540"/>
      <c r="DXY354" s="545"/>
      <c r="DXZ354" s="540"/>
      <c r="DYA354" s="545"/>
      <c r="DYB354" s="540"/>
      <c r="DYC354" s="545"/>
      <c r="DYD354" s="540"/>
      <c r="DYE354" s="545"/>
      <c r="DYF354" s="540"/>
      <c r="DYG354" s="545"/>
      <c r="DYH354" s="540"/>
      <c r="DYI354" s="545"/>
      <c r="DYJ354" s="540"/>
      <c r="DYK354" s="545"/>
      <c r="DYL354" s="540"/>
      <c r="DYM354" s="545"/>
      <c r="DYN354" s="540"/>
      <c r="DYO354" s="545"/>
      <c r="DYP354" s="540"/>
      <c r="DYQ354" s="545"/>
      <c r="DYR354" s="540"/>
      <c r="DYS354" s="545"/>
      <c r="DYT354" s="540"/>
      <c r="DYU354" s="545"/>
      <c r="DYV354" s="540"/>
      <c r="DYW354" s="545"/>
      <c r="DYX354" s="540"/>
      <c r="DYY354" s="545"/>
      <c r="DYZ354" s="540"/>
      <c r="DZA354" s="545"/>
      <c r="DZB354" s="540"/>
      <c r="DZC354" s="545"/>
      <c r="DZD354" s="540"/>
      <c r="DZE354" s="545"/>
      <c r="DZF354" s="540"/>
      <c r="DZG354" s="545"/>
      <c r="DZH354" s="540"/>
      <c r="DZI354" s="545"/>
      <c r="DZJ354" s="540"/>
      <c r="DZK354" s="545"/>
      <c r="DZL354" s="540"/>
      <c r="DZM354" s="545"/>
      <c r="DZN354" s="540"/>
      <c r="DZO354" s="545"/>
      <c r="DZP354" s="540"/>
      <c r="DZQ354" s="545"/>
      <c r="DZR354" s="540"/>
      <c r="DZS354" s="545"/>
      <c r="DZT354" s="540"/>
      <c r="DZU354" s="545"/>
      <c r="DZV354" s="540"/>
      <c r="DZW354" s="545"/>
      <c r="DZX354" s="540"/>
      <c r="DZY354" s="545"/>
      <c r="DZZ354" s="540"/>
      <c r="EAA354" s="545"/>
      <c r="EAB354" s="540"/>
      <c r="EAC354" s="545"/>
      <c r="EAD354" s="540"/>
      <c r="EAE354" s="545"/>
      <c r="EAF354" s="540"/>
      <c r="EAG354" s="545"/>
      <c r="EAH354" s="540"/>
      <c r="EAI354" s="545"/>
      <c r="EAJ354" s="540"/>
      <c r="EAK354" s="545"/>
      <c r="EAL354" s="540"/>
      <c r="EAM354" s="545"/>
      <c r="EAN354" s="540"/>
      <c r="EAO354" s="545"/>
      <c r="EAP354" s="540"/>
      <c r="EAQ354" s="545"/>
      <c r="EAR354" s="540"/>
      <c r="EAS354" s="545"/>
      <c r="EAT354" s="540"/>
      <c r="EAU354" s="545"/>
      <c r="EAV354" s="540"/>
      <c r="EAW354" s="545"/>
      <c r="EAX354" s="540"/>
      <c r="EAY354" s="545"/>
      <c r="EAZ354" s="540"/>
      <c r="EBA354" s="545"/>
      <c r="EBB354" s="540"/>
      <c r="EBC354" s="545"/>
      <c r="EBD354" s="540"/>
      <c r="EBE354" s="545"/>
      <c r="EBF354" s="540"/>
      <c r="EBG354" s="545"/>
      <c r="EBH354" s="540"/>
      <c r="EBI354" s="545"/>
      <c r="EBJ354" s="540"/>
      <c r="EBK354" s="545"/>
      <c r="EBL354" s="540"/>
      <c r="EBM354" s="545"/>
      <c r="EBN354" s="540"/>
      <c r="EBO354" s="545"/>
      <c r="EBP354" s="540"/>
      <c r="EBQ354" s="545"/>
      <c r="EBR354" s="540"/>
      <c r="EBS354" s="545"/>
      <c r="EBT354" s="540"/>
      <c r="EBU354" s="545"/>
      <c r="EBV354" s="540"/>
      <c r="EBW354" s="545"/>
      <c r="EBX354" s="540"/>
      <c r="EBY354" s="545"/>
      <c r="EBZ354" s="540"/>
      <c r="ECA354" s="545"/>
      <c r="ECB354" s="540"/>
      <c r="ECC354" s="545"/>
      <c r="ECD354" s="540"/>
      <c r="ECE354" s="545"/>
      <c r="ECF354" s="540"/>
      <c r="ECG354" s="545"/>
      <c r="ECH354" s="540"/>
      <c r="ECI354" s="545"/>
      <c r="ECJ354" s="540"/>
      <c r="ECK354" s="545"/>
      <c r="ECL354" s="540"/>
      <c r="ECM354" s="545"/>
      <c r="ECN354" s="540"/>
      <c r="ECO354" s="545"/>
      <c r="ECP354" s="540"/>
      <c r="ECQ354" s="545"/>
      <c r="ECR354" s="540"/>
      <c r="ECS354" s="545"/>
      <c r="ECT354" s="540"/>
      <c r="ECU354" s="545"/>
      <c r="ECV354" s="540"/>
      <c r="ECW354" s="545"/>
      <c r="ECX354" s="540"/>
      <c r="ECY354" s="545"/>
      <c r="ECZ354" s="540"/>
      <c r="EDA354" s="545"/>
      <c r="EDB354" s="540"/>
      <c r="EDC354" s="545"/>
      <c r="EDD354" s="540"/>
      <c r="EDE354" s="545"/>
      <c r="EDF354" s="540"/>
      <c r="EDG354" s="545"/>
      <c r="EDH354" s="540"/>
      <c r="EDI354" s="545"/>
      <c r="EDJ354" s="540"/>
      <c r="EDK354" s="545"/>
      <c r="EDL354" s="540"/>
      <c r="EDM354" s="545"/>
      <c r="EDN354" s="540"/>
      <c r="EDO354" s="545"/>
      <c r="EDP354" s="540"/>
      <c r="EDQ354" s="545"/>
      <c r="EDR354" s="540"/>
      <c r="EDS354" s="545"/>
      <c r="EDT354" s="540"/>
      <c r="EDU354" s="545"/>
      <c r="EDV354" s="540"/>
      <c r="EDW354" s="545"/>
      <c r="EDX354" s="540"/>
      <c r="EDY354" s="545"/>
      <c r="EDZ354" s="540"/>
      <c r="EEA354" s="545"/>
      <c r="EEB354" s="540"/>
      <c r="EEC354" s="545"/>
      <c r="EED354" s="540"/>
      <c r="EEE354" s="545"/>
      <c r="EEF354" s="540"/>
      <c r="EEG354" s="545"/>
      <c r="EEH354" s="540"/>
      <c r="EEI354" s="545"/>
      <c r="EEJ354" s="540"/>
      <c r="EEK354" s="545"/>
      <c r="EEL354" s="540"/>
      <c r="EEM354" s="545"/>
      <c r="EEN354" s="540"/>
      <c r="EEO354" s="545"/>
      <c r="EEP354" s="540"/>
      <c r="EEQ354" s="545"/>
      <c r="EER354" s="540"/>
      <c r="EES354" s="545"/>
      <c r="EET354" s="540"/>
      <c r="EEU354" s="545"/>
      <c r="EEV354" s="540"/>
      <c r="EEW354" s="545"/>
      <c r="EEX354" s="540"/>
      <c r="EEY354" s="545"/>
      <c r="EEZ354" s="540"/>
      <c r="EFA354" s="545"/>
      <c r="EFB354" s="540"/>
      <c r="EFC354" s="545"/>
      <c r="EFD354" s="540"/>
      <c r="EFE354" s="545"/>
      <c r="EFF354" s="540"/>
      <c r="EFG354" s="545"/>
      <c r="EFH354" s="540"/>
      <c r="EFI354" s="545"/>
      <c r="EFJ354" s="540"/>
      <c r="EFK354" s="545"/>
      <c r="EFL354" s="540"/>
      <c r="EFM354" s="545"/>
      <c r="EFN354" s="540"/>
      <c r="EFO354" s="545"/>
      <c r="EFP354" s="540"/>
      <c r="EFQ354" s="545"/>
      <c r="EFR354" s="540"/>
      <c r="EFS354" s="545"/>
      <c r="EFT354" s="540"/>
      <c r="EFU354" s="545"/>
      <c r="EFV354" s="540"/>
      <c r="EFW354" s="545"/>
      <c r="EFX354" s="540"/>
      <c r="EFY354" s="545"/>
      <c r="EFZ354" s="540"/>
      <c r="EGA354" s="545"/>
      <c r="EGB354" s="540"/>
      <c r="EGC354" s="545"/>
      <c r="EGD354" s="540"/>
      <c r="EGE354" s="545"/>
      <c r="EGF354" s="540"/>
      <c r="EGG354" s="545"/>
      <c r="EGH354" s="540"/>
      <c r="EGI354" s="545"/>
      <c r="EGJ354" s="540"/>
      <c r="EGK354" s="545"/>
      <c r="EGL354" s="540"/>
      <c r="EGM354" s="545"/>
      <c r="EGN354" s="540"/>
      <c r="EGO354" s="545"/>
      <c r="EGP354" s="540"/>
      <c r="EGQ354" s="545"/>
      <c r="EGR354" s="540"/>
      <c r="EGS354" s="545"/>
      <c r="EGT354" s="540"/>
      <c r="EGU354" s="545"/>
      <c r="EGV354" s="540"/>
      <c r="EGW354" s="545"/>
      <c r="EGX354" s="540"/>
      <c r="EGY354" s="545"/>
      <c r="EGZ354" s="540"/>
      <c r="EHA354" s="545"/>
      <c r="EHB354" s="540"/>
      <c r="EHC354" s="545"/>
      <c r="EHD354" s="540"/>
      <c r="EHE354" s="545"/>
      <c r="EHF354" s="540"/>
      <c r="EHG354" s="545"/>
      <c r="EHH354" s="540"/>
      <c r="EHI354" s="545"/>
      <c r="EHJ354" s="540"/>
      <c r="EHK354" s="545"/>
      <c r="EHL354" s="540"/>
      <c r="EHM354" s="545"/>
      <c r="EHN354" s="540"/>
      <c r="EHO354" s="545"/>
      <c r="EHP354" s="540"/>
      <c r="EHQ354" s="545"/>
      <c r="EHR354" s="540"/>
      <c r="EHS354" s="545"/>
      <c r="EHT354" s="540"/>
      <c r="EHU354" s="545"/>
      <c r="EHV354" s="540"/>
      <c r="EHW354" s="545"/>
      <c r="EHX354" s="540"/>
      <c r="EHY354" s="545"/>
      <c r="EHZ354" s="540"/>
      <c r="EIA354" s="545"/>
      <c r="EIB354" s="540"/>
      <c r="EIC354" s="545"/>
      <c r="EID354" s="540"/>
      <c r="EIE354" s="545"/>
      <c r="EIF354" s="540"/>
      <c r="EIG354" s="545"/>
      <c r="EIH354" s="540"/>
      <c r="EII354" s="545"/>
      <c r="EIJ354" s="540"/>
      <c r="EIK354" s="545"/>
      <c r="EIL354" s="540"/>
      <c r="EIM354" s="545"/>
      <c r="EIN354" s="540"/>
      <c r="EIO354" s="545"/>
      <c r="EIP354" s="540"/>
      <c r="EIQ354" s="545"/>
      <c r="EIR354" s="540"/>
      <c r="EIS354" s="545"/>
      <c r="EIT354" s="540"/>
      <c r="EIU354" s="545"/>
      <c r="EIV354" s="540"/>
      <c r="EIW354" s="545"/>
      <c r="EIX354" s="540"/>
      <c r="EIY354" s="545"/>
      <c r="EIZ354" s="540"/>
      <c r="EJA354" s="545"/>
      <c r="EJB354" s="540"/>
      <c r="EJC354" s="545"/>
      <c r="EJD354" s="540"/>
      <c r="EJE354" s="545"/>
      <c r="EJF354" s="540"/>
      <c r="EJG354" s="545"/>
      <c r="EJH354" s="540"/>
      <c r="EJI354" s="545"/>
      <c r="EJJ354" s="540"/>
      <c r="EJK354" s="545"/>
      <c r="EJL354" s="540"/>
      <c r="EJM354" s="545"/>
      <c r="EJN354" s="540"/>
      <c r="EJO354" s="545"/>
      <c r="EJP354" s="540"/>
      <c r="EJQ354" s="545"/>
      <c r="EJR354" s="540"/>
      <c r="EJS354" s="545"/>
      <c r="EJT354" s="540"/>
      <c r="EJU354" s="545"/>
      <c r="EJV354" s="540"/>
      <c r="EJW354" s="545"/>
      <c r="EJX354" s="540"/>
      <c r="EJY354" s="545"/>
      <c r="EJZ354" s="540"/>
      <c r="EKA354" s="545"/>
      <c r="EKB354" s="540"/>
      <c r="EKC354" s="545"/>
      <c r="EKD354" s="540"/>
      <c r="EKE354" s="545"/>
      <c r="EKF354" s="540"/>
      <c r="EKG354" s="545"/>
      <c r="EKH354" s="540"/>
      <c r="EKI354" s="545"/>
      <c r="EKJ354" s="540"/>
      <c r="EKK354" s="545"/>
      <c r="EKL354" s="540"/>
      <c r="EKM354" s="545"/>
      <c r="EKN354" s="540"/>
      <c r="EKO354" s="545"/>
      <c r="EKP354" s="540"/>
      <c r="EKQ354" s="545"/>
      <c r="EKR354" s="540"/>
      <c r="EKS354" s="545"/>
      <c r="EKT354" s="540"/>
      <c r="EKU354" s="545"/>
      <c r="EKV354" s="540"/>
      <c r="EKW354" s="545"/>
      <c r="EKX354" s="540"/>
      <c r="EKY354" s="545"/>
      <c r="EKZ354" s="540"/>
      <c r="ELA354" s="545"/>
      <c r="ELB354" s="540"/>
      <c r="ELC354" s="545"/>
      <c r="ELD354" s="540"/>
      <c r="ELE354" s="545"/>
      <c r="ELF354" s="540"/>
      <c r="ELG354" s="545"/>
      <c r="ELH354" s="540"/>
      <c r="ELI354" s="545"/>
      <c r="ELJ354" s="540"/>
      <c r="ELK354" s="545"/>
      <c r="ELL354" s="540"/>
      <c r="ELM354" s="545"/>
      <c r="ELN354" s="540"/>
      <c r="ELO354" s="545"/>
      <c r="ELP354" s="540"/>
      <c r="ELQ354" s="545"/>
      <c r="ELR354" s="540"/>
      <c r="ELS354" s="545"/>
      <c r="ELT354" s="540"/>
      <c r="ELU354" s="545"/>
      <c r="ELV354" s="540"/>
      <c r="ELW354" s="545"/>
      <c r="ELX354" s="540"/>
      <c r="ELY354" s="545"/>
      <c r="ELZ354" s="540"/>
      <c r="EMA354" s="545"/>
      <c r="EMB354" s="540"/>
      <c r="EMC354" s="545"/>
      <c r="EMD354" s="540"/>
      <c r="EME354" s="545"/>
      <c r="EMF354" s="540"/>
      <c r="EMG354" s="545"/>
      <c r="EMH354" s="540"/>
      <c r="EMI354" s="545"/>
      <c r="EMJ354" s="540"/>
      <c r="EMK354" s="545"/>
      <c r="EML354" s="540"/>
      <c r="EMM354" s="545"/>
      <c r="EMN354" s="540"/>
      <c r="EMO354" s="545"/>
      <c r="EMP354" s="540"/>
      <c r="EMQ354" s="545"/>
      <c r="EMR354" s="540"/>
      <c r="EMS354" s="545"/>
      <c r="EMT354" s="540"/>
      <c r="EMU354" s="545"/>
      <c r="EMV354" s="540"/>
      <c r="EMW354" s="545"/>
      <c r="EMX354" s="540"/>
      <c r="EMY354" s="545"/>
      <c r="EMZ354" s="540"/>
      <c r="ENA354" s="545"/>
      <c r="ENB354" s="540"/>
      <c r="ENC354" s="545"/>
      <c r="END354" s="540"/>
      <c r="ENE354" s="545"/>
      <c r="ENF354" s="540"/>
      <c r="ENG354" s="545"/>
      <c r="ENH354" s="540"/>
      <c r="ENI354" s="545"/>
      <c r="ENJ354" s="540"/>
      <c r="ENK354" s="545"/>
      <c r="ENL354" s="540"/>
      <c r="ENM354" s="545"/>
      <c r="ENN354" s="540"/>
      <c r="ENO354" s="545"/>
      <c r="ENP354" s="540"/>
      <c r="ENQ354" s="545"/>
      <c r="ENR354" s="540"/>
      <c r="ENS354" s="545"/>
      <c r="ENT354" s="540"/>
      <c r="ENU354" s="545"/>
      <c r="ENV354" s="540"/>
      <c r="ENW354" s="545"/>
      <c r="ENX354" s="540"/>
      <c r="ENY354" s="545"/>
      <c r="ENZ354" s="540"/>
      <c r="EOA354" s="545"/>
      <c r="EOB354" s="540"/>
      <c r="EOC354" s="545"/>
      <c r="EOD354" s="540"/>
      <c r="EOE354" s="545"/>
      <c r="EOF354" s="540"/>
      <c r="EOG354" s="545"/>
      <c r="EOH354" s="540"/>
      <c r="EOI354" s="545"/>
      <c r="EOJ354" s="540"/>
      <c r="EOK354" s="545"/>
      <c r="EOL354" s="540"/>
      <c r="EOM354" s="545"/>
      <c r="EON354" s="540"/>
      <c r="EOO354" s="545"/>
      <c r="EOP354" s="540"/>
      <c r="EOQ354" s="545"/>
      <c r="EOR354" s="540"/>
      <c r="EOS354" s="545"/>
      <c r="EOT354" s="540"/>
      <c r="EOU354" s="545"/>
      <c r="EOV354" s="540"/>
      <c r="EOW354" s="545"/>
      <c r="EOX354" s="540"/>
      <c r="EOY354" s="545"/>
      <c r="EOZ354" s="540"/>
      <c r="EPA354" s="545"/>
      <c r="EPB354" s="540"/>
      <c r="EPC354" s="545"/>
      <c r="EPD354" s="540"/>
      <c r="EPE354" s="545"/>
      <c r="EPF354" s="540"/>
      <c r="EPG354" s="545"/>
      <c r="EPH354" s="540"/>
      <c r="EPI354" s="545"/>
      <c r="EPJ354" s="540"/>
      <c r="EPK354" s="545"/>
      <c r="EPL354" s="540"/>
      <c r="EPM354" s="545"/>
      <c r="EPN354" s="540"/>
      <c r="EPO354" s="545"/>
      <c r="EPP354" s="540"/>
      <c r="EPQ354" s="545"/>
      <c r="EPR354" s="540"/>
      <c r="EPS354" s="545"/>
      <c r="EPT354" s="540"/>
      <c r="EPU354" s="545"/>
      <c r="EPV354" s="540"/>
      <c r="EPW354" s="545"/>
      <c r="EPX354" s="540"/>
      <c r="EPY354" s="545"/>
      <c r="EPZ354" s="540"/>
      <c r="EQA354" s="545"/>
      <c r="EQB354" s="540"/>
      <c r="EQC354" s="545"/>
      <c r="EQD354" s="540"/>
      <c r="EQE354" s="545"/>
      <c r="EQF354" s="540"/>
      <c r="EQG354" s="545"/>
      <c r="EQH354" s="540"/>
      <c r="EQI354" s="545"/>
      <c r="EQJ354" s="540"/>
      <c r="EQK354" s="545"/>
      <c r="EQL354" s="540"/>
      <c r="EQM354" s="545"/>
      <c r="EQN354" s="540"/>
      <c r="EQO354" s="545"/>
      <c r="EQP354" s="540"/>
      <c r="EQQ354" s="545"/>
      <c r="EQR354" s="540"/>
      <c r="EQS354" s="545"/>
      <c r="EQT354" s="540"/>
      <c r="EQU354" s="545"/>
      <c r="EQV354" s="540"/>
      <c r="EQW354" s="545"/>
      <c r="EQX354" s="540"/>
      <c r="EQY354" s="545"/>
      <c r="EQZ354" s="540"/>
      <c r="ERA354" s="545"/>
      <c r="ERB354" s="540"/>
      <c r="ERC354" s="545"/>
      <c r="ERD354" s="540"/>
      <c r="ERE354" s="545"/>
      <c r="ERF354" s="540"/>
      <c r="ERG354" s="545"/>
      <c r="ERH354" s="540"/>
      <c r="ERI354" s="545"/>
      <c r="ERJ354" s="540"/>
      <c r="ERK354" s="545"/>
      <c r="ERL354" s="540"/>
      <c r="ERM354" s="545"/>
      <c r="ERN354" s="540"/>
      <c r="ERO354" s="545"/>
      <c r="ERP354" s="540"/>
      <c r="ERQ354" s="545"/>
      <c r="ERR354" s="540"/>
      <c r="ERS354" s="545"/>
      <c r="ERT354" s="540"/>
      <c r="ERU354" s="545"/>
      <c r="ERV354" s="540"/>
      <c r="ERW354" s="545"/>
      <c r="ERX354" s="540"/>
      <c r="ERY354" s="545"/>
      <c r="ERZ354" s="540"/>
      <c r="ESA354" s="545"/>
      <c r="ESB354" s="540"/>
      <c r="ESC354" s="545"/>
      <c r="ESD354" s="540"/>
      <c r="ESE354" s="545"/>
      <c r="ESF354" s="540"/>
      <c r="ESG354" s="545"/>
      <c r="ESH354" s="540"/>
      <c r="ESI354" s="545"/>
      <c r="ESJ354" s="540"/>
      <c r="ESK354" s="545"/>
      <c r="ESL354" s="540"/>
      <c r="ESM354" s="545"/>
      <c r="ESN354" s="540"/>
      <c r="ESO354" s="545"/>
      <c r="ESP354" s="540"/>
      <c r="ESQ354" s="545"/>
      <c r="ESR354" s="540"/>
      <c r="ESS354" s="545"/>
      <c r="EST354" s="540"/>
      <c r="ESU354" s="545"/>
      <c r="ESV354" s="540"/>
      <c r="ESW354" s="545"/>
      <c r="ESX354" s="540"/>
      <c r="ESY354" s="545"/>
      <c r="ESZ354" s="540"/>
      <c r="ETA354" s="545"/>
      <c r="ETB354" s="540"/>
      <c r="ETC354" s="545"/>
      <c r="ETD354" s="540"/>
      <c r="ETE354" s="545"/>
      <c r="ETF354" s="540"/>
      <c r="ETG354" s="545"/>
      <c r="ETH354" s="540"/>
      <c r="ETI354" s="545"/>
      <c r="ETJ354" s="540"/>
      <c r="ETK354" s="545"/>
      <c r="ETL354" s="540"/>
      <c r="ETM354" s="545"/>
      <c r="ETN354" s="540"/>
      <c r="ETO354" s="545"/>
      <c r="ETP354" s="540"/>
      <c r="ETQ354" s="545"/>
      <c r="ETR354" s="540"/>
      <c r="ETS354" s="545"/>
      <c r="ETT354" s="540"/>
      <c r="ETU354" s="545"/>
      <c r="ETV354" s="540"/>
      <c r="ETW354" s="545"/>
      <c r="ETX354" s="540"/>
      <c r="ETY354" s="545"/>
      <c r="ETZ354" s="540"/>
      <c r="EUA354" s="545"/>
      <c r="EUB354" s="540"/>
      <c r="EUC354" s="545"/>
      <c r="EUD354" s="540"/>
      <c r="EUE354" s="545"/>
      <c r="EUF354" s="540"/>
      <c r="EUG354" s="545"/>
      <c r="EUH354" s="540"/>
      <c r="EUI354" s="545"/>
      <c r="EUJ354" s="540"/>
      <c r="EUK354" s="545"/>
      <c r="EUL354" s="540"/>
      <c r="EUM354" s="545"/>
      <c r="EUN354" s="540"/>
      <c r="EUO354" s="545"/>
      <c r="EUP354" s="540"/>
      <c r="EUQ354" s="545"/>
      <c r="EUR354" s="540"/>
      <c r="EUS354" s="545"/>
      <c r="EUT354" s="540"/>
      <c r="EUU354" s="545"/>
      <c r="EUV354" s="540"/>
      <c r="EUW354" s="545"/>
      <c r="EUX354" s="540"/>
      <c r="EUY354" s="545"/>
      <c r="EUZ354" s="540"/>
      <c r="EVA354" s="545"/>
      <c r="EVB354" s="540"/>
      <c r="EVC354" s="545"/>
      <c r="EVD354" s="540"/>
      <c r="EVE354" s="545"/>
      <c r="EVF354" s="540"/>
      <c r="EVG354" s="545"/>
      <c r="EVH354" s="540"/>
      <c r="EVI354" s="545"/>
      <c r="EVJ354" s="540"/>
      <c r="EVK354" s="545"/>
      <c r="EVL354" s="540"/>
      <c r="EVM354" s="545"/>
      <c r="EVN354" s="540"/>
      <c r="EVO354" s="545"/>
      <c r="EVP354" s="540"/>
      <c r="EVQ354" s="545"/>
      <c r="EVR354" s="540"/>
      <c r="EVS354" s="545"/>
      <c r="EVT354" s="540"/>
      <c r="EVU354" s="545"/>
      <c r="EVV354" s="540"/>
      <c r="EVW354" s="545"/>
      <c r="EVX354" s="540"/>
      <c r="EVY354" s="545"/>
      <c r="EVZ354" s="540"/>
      <c r="EWA354" s="545"/>
      <c r="EWB354" s="540"/>
      <c r="EWC354" s="545"/>
      <c r="EWD354" s="540"/>
      <c r="EWE354" s="545"/>
      <c r="EWF354" s="540"/>
      <c r="EWG354" s="545"/>
      <c r="EWH354" s="540"/>
      <c r="EWI354" s="545"/>
      <c r="EWJ354" s="540"/>
      <c r="EWK354" s="545"/>
      <c r="EWL354" s="540"/>
      <c r="EWM354" s="545"/>
      <c r="EWN354" s="540"/>
      <c r="EWO354" s="545"/>
      <c r="EWP354" s="540"/>
      <c r="EWQ354" s="545"/>
      <c r="EWR354" s="540"/>
      <c r="EWS354" s="545"/>
      <c r="EWT354" s="540"/>
      <c r="EWU354" s="545"/>
      <c r="EWV354" s="540"/>
      <c r="EWW354" s="545"/>
      <c r="EWX354" s="540"/>
      <c r="EWY354" s="545"/>
      <c r="EWZ354" s="540"/>
      <c r="EXA354" s="545"/>
      <c r="EXB354" s="540"/>
      <c r="EXC354" s="545"/>
      <c r="EXD354" s="540"/>
      <c r="EXE354" s="545"/>
      <c r="EXF354" s="540"/>
      <c r="EXG354" s="545"/>
      <c r="EXH354" s="540"/>
      <c r="EXI354" s="545"/>
      <c r="EXJ354" s="540"/>
      <c r="EXK354" s="545"/>
      <c r="EXL354" s="540"/>
      <c r="EXM354" s="545"/>
      <c r="EXN354" s="540"/>
      <c r="EXO354" s="545"/>
      <c r="EXP354" s="540"/>
      <c r="EXQ354" s="545"/>
      <c r="EXR354" s="540"/>
      <c r="EXS354" s="545"/>
      <c r="EXT354" s="540"/>
      <c r="EXU354" s="545"/>
      <c r="EXV354" s="540"/>
      <c r="EXW354" s="545"/>
      <c r="EXX354" s="540"/>
      <c r="EXY354" s="545"/>
      <c r="EXZ354" s="540"/>
      <c r="EYA354" s="545"/>
      <c r="EYB354" s="540"/>
      <c r="EYC354" s="545"/>
      <c r="EYD354" s="540"/>
      <c r="EYE354" s="545"/>
      <c r="EYF354" s="540"/>
      <c r="EYG354" s="545"/>
      <c r="EYH354" s="540"/>
      <c r="EYI354" s="545"/>
      <c r="EYJ354" s="540"/>
      <c r="EYK354" s="545"/>
      <c r="EYL354" s="540"/>
      <c r="EYM354" s="545"/>
      <c r="EYN354" s="540"/>
      <c r="EYO354" s="545"/>
      <c r="EYP354" s="540"/>
      <c r="EYQ354" s="545"/>
      <c r="EYR354" s="540"/>
      <c r="EYS354" s="545"/>
      <c r="EYT354" s="540"/>
      <c r="EYU354" s="545"/>
      <c r="EYV354" s="540"/>
      <c r="EYW354" s="545"/>
      <c r="EYX354" s="540"/>
      <c r="EYY354" s="545"/>
      <c r="EYZ354" s="540"/>
      <c r="EZA354" s="545"/>
      <c r="EZB354" s="540"/>
      <c r="EZC354" s="545"/>
      <c r="EZD354" s="540"/>
      <c r="EZE354" s="545"/>
      <c r="EZF354" s="540"/>
      <c r="EZG354" s="545"/>
      <c r="EZH354" s="540"/>
      <c r="EZI354" s="545"/>
      <c r="EZJ354" s="540"/>
      <c r="EZK354" s="545"/>
      <c r="EZL354" s="540"/>
      <c r="EZM354" s="545"/>
      <c r="EZN354" s="540"/>
      <c r="EZO354" s="545"/>
      <c r="EZP354" s="540"/>
      <c r="EZQ354" s="545"/>
      <c r="EZR354" s="540"/>
      <c r="EZS354" s="545"/>
      <c r="EZT354" s="540"/>
      <c r="EZU354" s="545"/>
      <c r="EZV354" s="540"/>
      <c r="EZW354" s="545"/>
      <c r="EZX354" s="540"/>
      <c r="EZY354" s="545"/>
      <c r="EZZ354" s="540"/>
      <c r="FAA354" s="545"/>
      <c r="FAB354" s="540"/>
      <c r="FAC354" s="545"/>
      <c r="FAD354" s="540"/>
      <c r="FAE354" s="545"/>
      <c r="FAF354" s="540"/>
      <c r="FAG354" s="545"/>
      <c r="FAH354" s="540"/>
      <c r="FAI354" s="545"/>
      <c r="FAJ354" s="540"/>
      <c r="FAK354" s="545"/>
      <c r="FAL354" s="540"/>
      <c r="FAM354" s="545"/>
      <c r="FAN354" s="540"/>
      <c r="FAO354" s="545"/>
      <c r="FAP354" s="540"/>
      <c r="FAQ354" s="545"/>
      <c r="FAR354" s="540"/>
      <c r="FAS354" s="545"/>
      <c r="FAT354" s="540"/>
      <c r="FAU354" s="545"/>
      <c r="FAV354" s="540"/>
      <c r="FAW354" s="545"/>
      <c r="FAX354" s="540"/>
      <c r="FAY354" s="545"/>
      <c r="FAZ354" s="540"/>
      <c r="FBA354" s="545"/>
      <c r="FBB354" s="540"/>
      <c r="FBC354" s="545"/>
      <c r="FBD354" s="540"/>
      <c r="FBE354" s="545"/>
      <c r="FBF354" s="540"/>
      <c r="FBG354" s="545"/>
      <c r="FBH354" s="540"/>
      <c r="FBI354" s="545"/>
      <c r="FBJ354" s="540"/>
      <c r="FBK354" s="545"/>
      <c r="FBL354" s="540"/>
      <c r="FBM354" s="545"/>
      <c r="FBN354" s="540"/>
      <c r="FBO354" s="545"/>
      <c r="FBP354" s="540"/>
      <c r="FBQ354" s="545"/>
      <c r="FBR354" s="540"/>
      <c r="FBS354" s="545"/>
      <c r="FBT354" s="540"/>
      <c r="FBU354" s="545"/>
      <c r="FBV354" s="540"/>
      <c r="FBW354" s="545"/>
      <c r="FBX354" s="540"/>
      <c r="FBY354" s="545"/>
      <c r="FBZ354" s="540"/>
      <c r="FCA354" s="545"/>
      <c r="FCB354" s="540"/>
      <c r="FCC354" s="545"/>
      <c r="FCD354" s="540"/>
      <c r="FCE354" s="545"/>
      <c r="FCF354" s="540"/>
      <c r="FCG354" s="545"/>
      <c r="FCH354" s="540"/>
      <c r="FCI354" s="545"/>
      <c r="FCJ354" s="540"/>
      <c r="FCK354" s="545"/>
      <c r="FCL354" s="540"/>
      <c r="FCM354" s="545"/>
      <c r="FCN354" s="540"/>
      <c r="FCO354" s="545"/>
      <c r="FCP354" s="540"/>
      <c r="FCQ354" s="545"/>
      <c r="FCR354" s="540"/>
      <c r="FCS354" s="545"/>
      <c r="FCT354" s="540"/>
      <c r="FCU354" s="545"/>
      <c r="FCV354" s="540"/>
      <c r="FCW354" s="545"/>
      <c r="FCX354" s="540"/>
      <c r="FCY354" s="545"/>
      <c r="FCZ354" s="540"/>
      <c r="FDA354" s="545"/>
      <c r="FDB354" s="540"/>
      <c r="FDC354" s="545"/>
      <c r="FDD354" s="540"/>
      <c r="FDE354" s="545"/>
      <c r="FDF354" s="540"/>
      <c r="FDG354" s="545"/>
      <c r="FDH354" s="540"/>
      <c r="FDI354" s="545"/>
      <c r="FDJ354" s="540"/>
      <c r="FDK354" s="545"/>
      <c r="FDL354" s="540"/>
      <c r="FDM354" s="545"/>
      <c r="FDN354" s="540"/>
      <c r="FDO354" s="545"/>
      <c r="FDP354" s="540"/>
      <c r="FDQ354" s="545"/>
      <c r="FDR354" s="540"/>
      <c r="FDS354" s="545"/>
      <c r="FDT354" s="540"/>
      <c r="FDU354" s="545"/>
      <c r="FDV354" s="540"/>
      <c r="FDW354" s="545"/>
      <c r="FDX354" s="540"/>
      <c r="FDY354" s="545"/>
      <c r="FDZ354" s="540"/>
      <c r="FEA354" s="545"/>
      <c r="FEB354" s="540"/>
      <c r="FEC354" s="545"/>
      <c r="FED354" s="540"/>
      <c r="FEE354" s="545"/>
      <c r="FEF354" s="540"/>
      <c r="FEG354" s="545"/>
      <c r="FEH354" s="540"/>
      <c r="FEI354" s="545"/>
      <c r="FEJ354" s="540"/>
      <c r="FEK354" s="545"/>
      <c r="FEL354" s="540"/>
      <c r="FEM354" s="545"/>
      <c r="FEN354" s="540"/>
      <c r="FEO354" s="545"/>
      <c r="FEP354" s="540"/>
      <c r="FEQ354" s="545"/>
      <c r="FER354" s="540"/>
      <c r="FES354" s="545"/>
      <c r="FET354" s="540"/>
      <c r="FEU354" s="545"/>
      <c r="FEV354" s="540"/>
      <c r="FEW354" s="545"/>
      <c r="FEX354" s="540"/>
      <c r="FEY354" s="545"/>
      <c r="FEZ354" s="540"/>
      <c r="FFA354" s="545"/>
      <c r="FFB354" s="540"/>
      <c r="FFC354" s="545"/>
      <c r="FFD354" s="540"/>
      <c r="FFE354" s="545"/>
      <c r="FFF354" s="540"/>
      <c r="FFG354" s="545"/>
      <c r="FFH354" s="540"/>
      <c r="FFI354" s="545"/>
      <c r="FFJ354" s="540"/>
      <c r="FFK354" s="545"/>
      <c r="FFL354" s="540"/>
      <c r="FFM354" s="545"/>
      <c r="FFN354" s="540"/>
      <c r="FFO354" s="545"/>
      <c r="FFP354" s="540"/>
      <c r="FFQ354" s="545"/>
      <c r="FFR354" s="540"/>
      <c r="FFS354" s="545"/>
      <c r="FFT354" s="540"/>
      <c r="FFU354" s="545"/>
      <c r="FFV354" s="540"/>
      <c r="FFW354" s="545"/>
      <c r="FFX354" s="540"/>
      <c r="FFY354" s="545"/>
      <c r="FFZ354" s="540"/>
      <c r="FGA354" s="545"/>
      <c r="FGB354" s="540"/>
      <c r="FGC354" s="545"/>
      <c r="FGD354" s="540"/>
      <c r="FGE354" s="545"/>
      <c r="FGF354" s="540"/>
      <c r="FGG354" s="545"/>
      <c r="FGH354" s="540"/>
      <c r="FGI354" s="545"/>
      <c r="FGJ354" s="540"/>
      <c r="FGK354" s="545"/>
      <c r="FGL354" s="540"/>
      <c r="FGM354" s="545"/>
      <c r="FGN354" s="540"/>
      <c r="FGO354" s="545"/>
      <c r="FGP354" s="540"/>
      <c r="FGQ354" s="545"/>
      <c r="FGR354" s="540"/>
      <c r="FGS354" s="545"/>
      <c r="FGT354" s="540"/>
      <c r="FGU354" s="545"/>
      <c r="FGV354" s="540"/>
      <c r="FGW354" s="545"/>
      <c r="FGX354" s="540"/>
      <c r="FGY354" s="545"/>
      <c r="FGZ354" s="540"/>
      <c r="FHA354" s="545"/>
      <c r="FHB354" s="540"/>
      <c r="FHC354" s="545"/>
      <c r="FHD354" s="540"/>
      <c r="FHE354" s="545"/>
      <c r="FHF354" s="540"/>
      <c r="FHG354" s="545"/>
      <c r="FHH354" s="540"/>
      <c r="FHI354" s="545"/>
      <c r="FHJ354" s="540"/>
      <c r="FHK354" s="545"/>
      <c r="FHL354" s="540"/>
      <c r="FHM354" s="545"/>
      <c r="FHN354" s="540"/>
      <c r="FHO354" s="545"/>
      <c r="FHP354" s="540"/>
      <c r="FHQ354" s="545"/>
      <c r="FHR354" s="540"/>
      <c r="FHS354" s="545"/>
      <c r="FHT354" s="540"/>
      <c r="FHU354" s="545"/>
      <c r="FHV354" s="540"/>
      <c r="FHW354" s="545"/>
      <c r="FHX354" s="540"/>
      <c r="FHY354" s="545"/>
      <c r="FHZ354" s="540"/>
      <c r="FIA354" s="545"/>
      <c r="FIB354" s="540"/>
      <c r="FIC354" s="545"/>
      <c r="FID354" s="540"/>
      <c r="FIE354" s="545"/>
      <c r="FIF354" s="540"/>
      <c r="FIG354" s="545"/>
      <c r="FIH354" s="540"/>
      <c r="FII354" s="545"/>
      <c r="FIJ354" s="540"/>
      <c r="FIK354" s="545"/>
      <c r="FIL354" s="540"/>
      <c r="FIM354" s="545"/>
      <c r="FIN354" s="540"/>
      <c r="FIO354" s="545"/>
      <c r="FIP354" s="540"/>
      <c r="FIQ354" s="545"/>
      <c r="FIR354" s="540"/>
      <c r="FIS354" s="545"/>
      <c r="FIT354" s="540"/>
      <c r="FIU354" s="545"/>
      <c r="FIV354" s="540"/>
      <c r="FIW354" s="545"/>
      <c r="FIX354" s="540"/>
      <c r="FIY354" s="545"/>
      <c r="FIZ354" s="540"/>
      <c r="FJA354" s="545"/>
      <c r="FJB354" s="540"/>
      <c r="FJC354" s="545"/>
      <c r="FJD354" s="540"/>
      <c r="FJE354" s="545"/>
      <c r="FJF354" s="540"/>
      <c r="FJG354" s="545"/>
      <c r="FJH354" s="540"/>
      <c r="FJI354" s="545"/>
      <c r="FJJ354" s="540"/>
      <c r="FJK354" s="545"/>
      <c r="FJL354" s="540"/>
      <c r="FJM354" s="545"/>
      <c r="FJN354" s="540"/>
      <c r="FJO354" s="545"/>
      <c r="FJP354" s="540"/>
      <c r="FJQ354" s="545"/>
      <c r="FJR354" s="540"/>
      <c r="FJS354" s="545"/>
      <c r="FJT354" s="540"/>
      <c r="FJU354" s="545"/>
      <c r="FJV354" s="540"/>
      <c r="FJW354" s="545"/>
      <c r="FJX354" s="540"/>
      <c r="FJY354" s="545"/>
      <c r="FJZ354" s="540"/>
      <c r="FKA354" s="545"/>
      <c r="FKB354" s="540"/>
      <c r="FKC354" s="545"/>
      <c r="FKD354" s="540"/>
      <c r="FKE354" s="545"/>
      <c r="FKF354" s="540"/>
      <c r="FKG354" s="545"/>
      <c r="FKH354" s="540"/>
      <c r="FKI354" s="545"/>
      <c r="FKJ354" s="540"/>
      <c r="FKK354" s="545"/>
      <c r="FKL354" s="540"/>
      <c r="FKM354" s="545"/>
      <c r="FKN354" s="540"/>
      <c r="FKO354" s="545"/>
      <c r="FKP354" s="540"/>
      <c r="FKQ354" s="545"/>
      <c r="FKR354" s="540"/>
      <c r="FKS354" s="545"/>
      <c r="FKT354" s="540"/>
      <c r="FKU354" s="545"/>
      <c r="FKV354" s="540"/>
      <c r="FKW354" s="545"/>
      <c r="FKX354" s="540"/>
      <c r="FKY354" s="545"/>
      <c r="FKZ354" s="540"/>
      <c r="FLA354" s="545"/>
      <c r="FLB354" s="540"/>
      <c r="FLC354" s="545"/>
      <c r="FLD354" s="540"/>
      <c r="FLE354" s="545"/>
      <c r="FLF354" s="540"/>
      <c r="FLG354" s="545"/>
      <c r="FLH354" s="540"/>
      <c r="FLI354" s="545"/>
      <c r="FLJ354" s="540"/>
      <c r="FLK354" s="545"/>
      <c r="FLL354" s="540"/>
      <c r="FLM354" s="545"/>
      <c r="FLN354" s="540"/>
      <c r="FLO354" s="545"/>
      <c r="FLP354" s="540"/>
      <c r="FLQ354" s="545"/>
      <c r="FLR354" s="540"/>
      <c r="FLS354" s="545"/>
      <c r="FLT354" s="540"/>
      <c r="FLU354" s="545"/>
      <c r="FLV354" s="540"/>
      <c r="FLW354" s="545"/>
      <c r="FLX354" s="540"/>
      <c r="FLY354" s="545"/>
      <c r="FLZ354" s="540"/>
      <c r="FMA354" s="545"/>
      <c r="FMB354" s="540"/>
      <c r="FMC354" s="545"/>
      <c r="FMD354" s="540"/>
      <c r="FME354" s="545"/>
      <c r="FMF354" s="540"/>
      <c r="FMG354" s="545"/>
      <c r="FMH354" s="540"/>
      <c r="FMI354" s="545"/>
      <c r="FMJ354" s="540"/>
      <c r="FMK354" s="545"/>
      <c r="FML354" s="540"/>
      <c r="FMM354" s="545"/>
      <c r="FMN354" s="540"/>
      <c r="FMO354" s="545"/>
      <c r="FMP354" s="540"/>
      <c r="FMQ354" s="545"/>
      <c r="FMR354" s="540"/>
      <c r="FMS354" s="545"/>
      <c r="FMT354" s="540"/>
      <c r="FMU354" s="545"/>
      <c r="FMV354" s="540"/>
      <c r="FMW354" s="545"/>
      <c r="FMX354" s="540"/>
      <c r="FMY354" s="545"/>
      <c r="FMZ354" s="540"/>
      <c r="FNA354" s="545"/>
      <c r="FNB354" s="540"/>
      <c r="FNC354" s="545"/>
      <c r="FND354" s="540"/>
      <c r="FNE354" s="545"/>
      <c r="FNF354" s="540"/>
      <c r="FNG354" s="545"/>
      <c r="FNH354" s="540"/>
      <c r="FNI354" s="545"/>
      <c r="FNJ354" s="540"/>
      <c r="FNK354" s="545"/>
      <c r="FNL354" s="540"/>
      <c r="FNM354" s="545"/>
      <c r="FNN354" s="540"/>
      <c r="FNO354" s="545"/>
      <c r="FNP354" s="540"/>
      <c r="FNQ354" s="545"/>
      <c r="FNR354" s="540"/>
      <c r="FNS354" s="545"/>
      <c r="FNT354" s="540"/>
      <c r="FNU354" s="545"/>
      <c r="FNV354" s="540"/>
      <c r="FNW354" s="545"/>
      <c r="FNX354" s="540"/>
      <c r="FNY354" s="545"/>
      <c r="FNZ354" s="540"/>
      <c r="FOA354" s="545"/>
      <c r="FOB354" s="540"/>
      <c r="FOC354" s="545"/>
      <c r="FOD354" s="540"/>
      <c r="FOE354" s="545"/>
      <c r="FOF354" s="540"/>
      <c r="FOG354" s="545"/>
      <c r="FOH354" s="540"/>
      <c r="FOI354" s="545"/>
      <c r="FOJ354" s="540"/>
      <c r="FOK354" s="545"/>
      <c r="FOL354" s="540"/>
      <c r="FOM354" s="545"/>
      <c r="FON354" s="540"/>
      <c r="FOO354" s="545"/>
      <c r="FOP354" s="540"/>
      <c r="FOQ354" s="545"/>
      <c r="FOR354" s="540"/>
      <c r="FOS354" s="545"/>
      <c r="FOT354" s="540"/>
      <c r="FOU354" s="545"/>
      <c r="FOV354" s="540"/>
      <c r="FOW354" s="545"/>
      <c r="FOX354" s="540"/>
      <c r="FOY354" s="545"/>
      <c r="FOZ354" s="540"/>
      <c r="FPA354" s="545"/>
      <c r="FPB354" s="540"/>
      <c r="FPC354" s="545"/>
      <c r="FPD354" s="540"/>
      <c r="FPE354" s="545"/>
      <c r="FPF354" s="540"/>
      <c r="FPG354" s="545"/>
      <c r="FPH354" s="540"/>
      <c r="FPI354" s="545"/>
      <c r="FPJ354" s="540"/>
      <c r="FPK354" s="545"/>
      <c r="FPL354" s="540"/>
      <c r="FPM354" s="545"/>
      <c r="FPN354" s="540"/>
      <c r="FPO354" s="545"/>
      <c r="FPP354" s="540"/>
      <c r="FPQ354" s="545"/>
      <c r="FPR354" s="540"/>
      <c r="FPS354" s="545"/>
      <c r="FPT354" s="540"/>
      <c r="FPU354" s="545"/>
      <c r="FPV354" s="540"/>
      <c r="FPW354" s="545"/>
      <c r="FPX354" s="540"/>
      <c r="FPY354" s="545"/>
      <c r="FPZ354" s="540"/>
      <c r="FQA354" s="545"/>
      <c r="FQB354" s="540"/>
      <c r="FQC354" s="545"/>
      <c r="FQD354" s="540"/>
      <c r="FQE354" s="545"/>
      <c r="FQF354" s="540"/>
      <c r="FQG354" s="545"/>
      <c r="FQH354" s="540"/>
      <c r="FQI354" s="545"/>
      <c r="FQJ354" s="540"/>
      <c r="FQK354" s="545"/>
      <c r="FQL354" s="540"/>
      <c r="FQM354" s="545"/>
      <c r="FQN354" s="540"/>
      <c r="FQO354" s="545"/>
      <c r="FQP354" s="540"/>
      <c r="FQQ354" s="545"/>
      <c r="FQR354" s="540"/>
      <c r="FQS354" s="545"/>
      <c r="FQT354" s="540"/>
      <c r="FQU354" s="545"/>
      <c r="FQV354" s="540"/>
      <c r="FQW354" s="545"/>
      <c r="FQX354" s="540"/>
      <c r="FQY354" s="545"/>
      <c r="FQZ354" s="540"/>
      <c r="FRA354" s="545"/>
      <c r="FRB354" s="540"/>
      <c r="FRC354" s="545"/>
      <c r="FRD354" s="540"/>
      <c r="FRE354" s="545"/>
      <c r="FRF354" s="540"/>
      <c r="FRG354" s="545"/>
      <c r="FRH354" s="540"/>
      <c r="FRI354" s="545"/>
      <c r="FRJ354" s="540"/>
      <c r="FRK354" s="545"/>
      <c r="FRL354" s="540"/>
      <c r="FRM354" s="545"/>
      <c r="FRN354" s="540"/>
      <c r="FRO354" s="545"/>
      <c r="FRP354" s="540"/>
      <c r="FRQ354" s="545"/>
      <c r="FRR354" s="540"/>
      <c r="FRS354" s="545"/>
      <c r="FRT354" s="540"/>
      <c r="FRU354" s="545"/>
      <c r="FRV354" s="540"/>
      <c r="FRW354" s="545"/>
      <c r="FRX354" s="540"/>
      <c r="FRY354" s="545"/>
      <c r="FRZ354" s="540"/>
      <c r="FSA354" s="545"/>
      <c r="FSB354" s="540"/>
      <c r="FSC354" s="545"/>
      <c r="FSD354" s="540"/>
      <c r="FSE354" s="545"/>
      <c r="FSF354" s="540"/>
      <c r="FSG354" s="545"/>
      <c r="FSH354" s="540"/>
      <c r="FSI354" s="545"/>
      <c r="FSJ354" s="540"/>
      <c r="FSK354" s="545"/>
      <c r="FSL354" s="540"/>
      <c r="FSM354" s="545"/>
      <c r="FSN354" s="540"/>
      <c r="FSO354" s="545"/>
      <c r="FSP354" s="540"/>
      <c r="FSQ354" s="545"/>
      <c r="FSR354" s="540"/>
      <c r="FSS354" s="545"/>
      <c r="FST354" s="540"/>
      <c r="FSU354" s="545"/>
      <c r="FSV354" s="540"/>
      <c r="FSW354" s="545"/>
      <c r="FSX354" s="540"/>
      <c r="FSY354" s="545"/>
      <c r="FSZ354" s="540"/>
      <c r="FTA354" s="545"/>
      <c r="FTB354" s="540"/>
      <c r="FTC354" s="545"/>
      <c r="FTD354" s="540"/>
      <c r="FTE354" s="545"/>
      <c r="FTF354" s="540"/>
      <c r="FTG354" s="545"/>
      <c r="FTH354" s="540"/>
      <c r="FTI354" s="545"/>
      <c r="FTJ354" s="540"/>
      <c r="FTK354" s="545"/>
      <c r="FTL354" s="540"/>
      <c r="FTM354" s="545"/>
      <c r="FTN354" s="540"/>
      <c r="FTO354" s="545"/>
      <c r="FTP354" s="540"/>
      <c r="FTQ354" s="545"/>
      <c r="FTR354" s="540"/>
      <c r="FTS354" s="545"/>
      <c r="FTT354" s="540"/>
      <c r="FTU354" s="545"/>
      <c r="FTV354" s="540"/>
      <c r="FTW354" s="545"/>
      <c r="FTX354" s="540"/>
      <c r="FTY354" s="545"/>
      <c r="FTZ354" s="540"/>
      <c r="FUA354" s="545"/>
      <c r="FUB354" s="540"/>
      <c r="FUC354" s="545"/>
      <c r="FUD354" s="540"/>
      <c r="FUE354" s="545"/>
      <c r="FUF354" s="540"/>
      <c r="FUG354" s="545"/>
      <c r="FUH354" s="540"/>
      <c r="FUI354" s="545"/>
      <c r="FUJ354" s="540"/>
      <c r="FUK354" s="545"/>
      <c r="FUL354" s="540"/>
      <c r="FUM354" s="545"/>
      <c r="FUN354" s="540"/>
      <c r="FUO354" s="545"/>
      <c r="FUP354" s="540"/>
      <c r="FUQ354" s="545"/>
      <c r="FUR354" s="540"/>
      <c r="FUS354" s="545"/>
      <c r="FUT354" s="540"/>
      <c r="FUU354" s="545"/>
      <c r="FUV354" s="540"/>
      <c r="FUW354" s="545"/>
      <c r="FUX354" s="540"/>
      <c r="FUY354" s="545"/>
      <c r="FUZ354" s="540"/>
      <c r="FVA354" s="545"/>
      <c r="FVB354" s="540"/>
      <c r="FVC354" s="545"/>
      <c r="FVD354" s="540"/>
      <c r="FVE354" s="545"/>
      <c r="FVF354" s="540"/>
      <c r="FVG354" s="545"/>
      <c r="FVH354" s="540"/>
      <c r="FVI354" s="545"/>
      <c r="FVJ354" s="540"/>
      <c r="FVK354" s="545"/>
      <c r="FVL354" s="540"/>
      <c r="FVM354" s="545"/>
      <c r="FVN354" s="540"/>
      <c r="FVO354" s="545"/>
      <c r="FVP354" s="540"/>
      <c r="FVQ354" s="545"/>
      <c r="FVR354" s="540"/>
      <c r="FVS354" s="545"/>
      <c r="FVT354" s="540"/>
      <c r="FVU354" s="545"/>
      <c r="FVV354" s="540"/>
      <c r="FVW354" s="545"/>
      <c r="FVX354" s="540"/>
      <c r="FVY354" s="545"/>
      <c r="FVZ354" s="540"/>
      <c r="FWA354" s="545"/>
      <c r="FWB354" s="540"/>
      <c r="FWC354" s="545"/>
      <c r="FWD354" s="540"/>
      <c r="FWE354" s="545"/>
      <c r="FWF354" s="540"/>
      <c r="FWG354" s="545"/>
      <c r="FWH354" s="540"/>
      <c r="FWI354" s="545"/>
      <c r="FWJ354" s="540"/>
      <c r="FWK354" s="545"/>
      <c r="FWL354" s="540"/>
      <c r="FWM354" s="545"/>
      <c r="FWN354" s="540"/>
      <c r="FWO354" s="545"/>
      <c r="FWP354" s="540"/>
      <c r="FWQ354" s="545"/>
      <c r="FWR354" s="540"/>
      <c r="FWS354" s="545"/>
      <c r="FWT354" s="540"/>
      <c r="FWU354" s="545"/>
      <c r="FWV354" s="540"/>
      <c r="FWW354" s="545"/>
      <c r="FWX354" s="540"/>
      <c r="FWY354" s="545"/>
      <c r="FWZ354" s="540"/>
      <c r="FXA354" s="545"/>
      <c r="FXB354" s="540"/>
      <c r="FXC354" s="545"/>
      <c r="FXD354" s="540"/>
      <c r="FXE354" s="545"/>
      <c r="FXF354" s="540"/>
      <c r="FXG354" s="545"/>
      <c r="FXH354" s="540"/>
      <c r="FXI354" s="545"/>
      <c r="FXJ354" s="540"/>
      <c r="FXK354" s="545"/>
      <c r="FXL354" s="540"/>
      <c r="FXM354" s="545"/>
      <c r="FXN354" s="540"/>
      <c r="FXO354" s="545"/>
      <c r="FXP354" s="540"/>
      <c r="FXQ354" s="545"/>
      <c r="FXR354" s="540"/>
      <c r="FXS354" s="545"/>
      <c r="FXT354" s="540"/>
      <c r="FXU354" s="545"/>
      <c r="FXV354" s="540"/>
      <c r="FXW354" s="545"/>
      <c r="FXX354" s="540"/>
      <c r="FXY354" s="545"/>
      <c r="FXZ354" s="540"/>
      <c r="FYA354" s="545"/>
      <c r="FYB354" s="540"/>
      <c r="FYC354" s="545"/>
      <c r="FYD354" s="540"/>
      <c r="FYE354" s="545"/>
      <c r="FYF354" s="540"/>
      <c r="FYG354" s="545"/>
      <c r="FYH354" s="540"/>
      <c r="FYI354" s="545"/>
      <c r="FYJ354" s="540"/>
      <c r="FYK354" s="545"/>
      <c r="FYL354" s="540"/>
      <c r="FYM354" s="545"/>
      <c r="FYN354" s="540"/>
      <c r="FYO354" s="545"/>
      <c r="FYP354" s="540"/>
      <c r="FYQ354" s="545"/>
      <c r="FYR354" s="540"/>
      <c r="FYS354" s="545"/>
      <c r="FYT354" s="540"/>
      <c r="FYU354" s="545"/>
      <c r="FYV354" s="540"/>
      <c r="FYW354" s="545"/>
      <c r="FYX354" s="540"/>
      <c r="FYY354" s="545"/>
      <c r="FYZ354" s="540"/>
      <c r="FZA354" s="545"/>
      <c r="FZB354" s="540"/>
      <c r="FZC354" s="545"/>
      <c r="FZD354" s="540"/>
      <c r="FZE354" s="545"/>
      <c r="FZF354" s="540"/>
      <c r="FZG354" s="545"/>
      <c r="FZH354" s="540"/>
      <c r="FZI354" s="545"/>
      <c r="FZJ354" s="540"/>
      <c r="FZK354" s="545"/>
      <c r="FZL354" s="540"/>
      <c r="FZM354" s="545"/>
      <c r="FZN354" s="540"/>
      <c r="FZO354" s="545"/>
      <c r="FZP354" s="540"/>
      <c r="FZQ354" s="545"/>
      <c r="FZR354" s="540"/>
      <c r="FZS354" s="545"/>
      <c r="FZT354" s="540"/>
      <c r="FZU354" s="545"/>
      <c r="FZV354" s="540"/>
      <c r="FZW354" s="545"/>
      <c r="FZX354" s="540"/>
      <c r="FZY354" s="545"/>
      <c r="FZZ354" s="540"/>
      <c r="GAA354" s="545"/>
      <c r="GAB354" s="540"/>
      <c r="GAC354" s="545"/>
      <c r="GAD354" s="540"/>
      <c r="GAE354" s="545"/>
      <c r="GAF354" s="540"/>
      <c r="GAG354" s="545"/>
      <c r="GAH354" s="540"/>
      <c r="GAI354" s="545"/>
      <c r="GAJ354" s="540"/>
      <c r="GAK354" s="545"/>
      <c r="GAL354" s="540"/>
      <c r="GAM354" s="545"/>
      <c r="GAN354" s="540"/>
      <c r="GAO354" s="545"/>
      <c r="GAP354" s="540"/>
      <c r="GAQ354" s="545"/>
      <c r="GAR354" s="540"/>
      <c r="GAS354" s="545"/>
      <c r="GAT354" s="540"/>
      <c r="GAU354" s="545"/>
      <c r="GAV354" s="540"/>
      <c r="GAW354" s="545"/>
      <c r="GAX354" s="540"/>
      <c r="GAY354" s="545"/>
      <c r="GAZ354" s="540"/>
      <c r="GBA354" s="545"/>
      <c r="GBB354" s="540"/>
      <c r="GBC354" s="545"/>
      <c r="GBD354" s="540"/>
      <c r="GBE354" s="545"/>
      <c r="GBF354" s="540"/>
      <c r="GBG354" s="545"/>
      <c r="GBH354" s="540"/>
      <c r="GBI354" s="545"/>
      <c r="GBJ354" s="540"/>
      <c r="GBK354" s="545"/>
      <c r="GBL354" s="540"/>
      <c r="GBM354" s="545"/>
      <c r="GBN354" s="540"/>
      <c r="GBO354" s="545"/>
      <c r="GBP354" s="540"/>
      <c r="GBQ354" s="545"/>
      <c r="GBR354" s="540"/>
      <c r="GBS354" s="545"/>
      <c r="GBT354" s="540"/>
      <c r="GBU354" s="545"/>
      <c r="GBV354" s="540"/>
      <c r="GBW354" s="545"/>
      <c r="GBX354" s="540"/>
      <c r="GBY354" s="545"/>
      <c r="GBZ354" s="540"/>
      <c r="GCA354" s="545"/>
      <c r="GCB354" s="540"/>
      <c r="GCC354" s="545"/>
      <c r="GCD354" s="540"/>
      <c r="GCE354" s="545"/>
      <c r="GCF354" s="540"/>
      <c r="GCG354" s="545"/>
      <c r="GCH354" s="540"/>
      <c r="GCI354" s="545"/>
      <c r="GCJ354" s="540"/>
      <c r="GCK354" s="545"/>
      <c r="GCL354" s="540"/>
      <c r="GCM354" s="545"/>
      <c r="GCN354" s="540"/>
      <c r="GCO354" s="545"/>
      <c r="GCP354" s="540"/>
      <c r="GCQ354" s="545"/>
      <c r="GCR354" s="540"/>
      <c r="GCS354" s="545"/>
      <c r="GCT354" s="540"/>
      <c r="GCU354" s="545"/>
      <c r="GCV354" s="540"/>
      <c r="GCW354" s="545"/>
      <c r="GCX354" s="540"/>
      <c r="GCY354" s="545"/>
      <c r="GCZ354" s="540"/>
      <c r="GDA354" s="545"/>
      <c r="GDB354" s="540"/>
      <c r="GDC354" s="545"/>
      <c r="GDD354" s="540"/>
      <c r="GDE354" s="545"/>
      <c r="GDF354" s="540"/>
      <c r="GDG354" s="545"/>
      <c r="GDH354" s="540"/>
      <c r="GDI354" s="545"/>
      <c r="GDJ354" s="540"/>
      <c r="GDK354" s="545"/>
      <c r="GDL354" s="540"/>
      <c r="GDM354" s="545"/>
      <c r="GDN354" s="540"/>
      <c r="GDO354" s="545"/>
      <c r="GDP354" s="540"/>
      <c r="GDQ354" s="545"/>
      <c r="GDR354" s="540"/>
      <c r="GDS354" s="545"/>
      <c r="GDT354" s="540"/>
      <c r="GDU354" s="545"/>
      <c r="GDV354" s="540"/>
      <c r="GDW354" s="545"/>
      <c r="GDX354" s="540"/>
      <c r="GDY354" s="545"/>
      <c r="GDZ354" s="540"/>
      <c r="GEA354" s="545"/>
      <c r="GEB354" s="540"/>
      <c r="GEC354" s="545"/>
      <c r="GED354" s="540"/>
      <c r="GEE354" s="545"/>
      <c r="GEF354" s="540"/>
      <c r="GEG354" s="545"/>
      <c r="GEH354" s="540"/>
      <c r="GEI354" s="545"/>
      <c r="GEJ354" s="540"/>
      <c r="GEK354" s="545"/>
      <c r="GEL354" s="540"/>
      <c r="GEM354" s="545"/>
      <c r="GEN354" s="540"/>
      <c r="GEO354" s="545"/>
      <c r="GEP354" s="540"/>
      <c r="GEQ354" s="545"/>
      <c r="GER354" s="540"/>
      <c r="GES354" s="545"/>
      <c r="GET354" s="540"/>
      <c r="GEU354" s="545"/>
      <c r="GEV354" s="540"/>
      <c r="GEW354" s="545"/>
      <c r="GEX354" s="540"/>
      <c r="GEY354" s="545"/>
      <c r="GEZ354" s="540"/>
      <c r="GFA354" s="545"/>
      <c r="GFB354" s="540"/>
      <c r="GFC354" s="545"/>
      <c r="GFD354" s="540"/>
      <c r="GFE354" s="545"/>
      <c r="GFF354" s="540"/>
      <c r="GFG354" s="545"/>
      <c r="GFH354" s="540"/>
      <c r="GFI354" s="545"/>
      <c r="GFJ354" s="540"/>
      <c r="GFK354" s="545"/>
      <c r="GFL354" s="540"/>
      <c r="GFM354" s="545"/>
      <c r="GFN354" s="540"/>
      <c r="GFO354" s="545"/>
      <c r="GFP354" s="540"/>
      <c r="GFQ354" s="545"/>
      <c r="GFR354" s="540"/>
      <c r="GFS354" s="545"/>
      <c r="GFT354" s="540"/>
      <c r="GFU354" s="545"/>
      <c r="GFV354" s="540"/>
      <c r="GFW354" s="545"/>
      <c r="GFX354" s="540"/>
      <c r="GFY354" s="545"/>
      <c r="GFZ354" s="540"/>
      <c r="GGA354" s="545"/>
      <c r="GGB354" s="540"/>
      <c r="GGC354" s="545"/>
      <c r="GGD354" s="540"/>
      <c r="GGE354" s="545"/>
      <c r="GGF354" s="540"/>
      <c r="GGG354" s="545"/>
      <c r="GGH354" s="540"/>
      <c r="GGI354" s="545"/>
      <c r="GGJ354" s="540"/>
      <c r="GGK354" s="545"/>
      <c r="GGL354" s="540"/>
      <c r="GGM354" s="545"/>
      <c r="GGN354" s="540"/>
      <c r="GGO354" s="545"/>
      <c r="GGP354" s="540"/>
      <c r="GGQ354" s="545"/>
      <c r="GGR354" s="540"/>
      <c r="GGS354" s="545"/>
      <c r="GGT354" s="540"/>
      <c r="GGU354" s="545"/>
      <c r="GGV354" s="540"/>
      <c r="GGW354" s="545"/>
      <c r="GGX354" s="540"/>
      <c r="GGY354" s="545"/>
      <c r="GGZ354" s="540"/>
      <c r="GHA354" s="545"/>
      <c r="GHB354" s="540"/>
      <c r="GHC354" s="545"/>
      <c r="GHD354" s="540"/>
      <c r="GHE354" s="545"/>
      <c r="GHF354" s="540"/>
      <c r="GHG354" s="545"/>
      <c r="GHH354" s="540"/>
      <c r="GHI354" s="545"/>
      <c r="GHJ354" s="540"/>
      <c r="GHK354" s="545"/>
      <c r="GHL354" s="540"/>
      <c r="GHM354" s="545"/>
      <c r="GHN354" s="540"/>
      <c r="GHO354" s="545"/>
      <c r="GHP354" s="540"/>
      <c r="GHQ354" s="545"/>
      <c r="GHR354" s="540"/>
      <c r="GHS354" s="545"/>
      <c r="GHT354" s="540"/>
      <c r="GHU354" s="545"/>
      <c r="GHV354" s="540"/>
      <c r="GHW354" s="545"/>
      <c r="GHX354" s="540"/>
      <c r="GHY354" s="545"/>
      <c r="GHZ354" s="540"/>
      <c r="GIA354" s="545"/>
      <c r="GIB354" s="540"/>
      <c r="GIC354" s="545"/>
      <c r="GID354" s="540"/>
      <c r="GIE354" s="545"/>
      <c r="GIF354" s="540"/>
      <c r="GIG354" s="545"/>
      <c r="GIH354" s="540"/>
      <c r="GII354" s="545"/>
      <c r="GIJ354" s="540"/>
      <c r="GIK354" s="545"/>
      <c r="GIL354" s="540"/>
      <c r="GIM354" s="545"/>
      <c r="GIN354" s="540"/>
      <c r="GIO354" s="545"/>
      <c r="GIP354" s="540"/>
      <c r="GIQ354" s="545"/>
      <c r="GIR354" s="540"/>
      <c r="GIS354" s="545"/>
      <c r="GIT354" s="540"/>
      <c r="GIU354" s="545"/>
      <c r="GIV354" s="540"/>
      <c r="GIW354" s="545"/>
      <c r="GIX354" s="540"/>
      <c r="GIY354" s="545"/>
      <c r="GIZ354" s="540"/>
      <c r="GJA354" s="545"/>
      <c r="GJB354" s="540"/>
      <c r="GJC354" s="545"/>
      <c r="GJD354" s="540"/>
      <c r="GJE354" s="545"/>
      <c r="GJF354" s="540"/>
      <c r="GJG354" s="545"/>
      <c r="GJH354" s="540"/>
      <c r="GJI354" s="545"/>
      <c r="GJJ354" s="540"/>
      <c r="GJK354" s="545"/>
      <c r="GJL354" s="540"/>
      <c r="GJM354" s="545"/>
      <c r="GJN354" s="540"/>
      <c r="GJO354" s="545"/>
      <c r="GJP354" s="540"/>
      <c r="GJQ354" s="545"/>
      <c r="GJR354" s="540"/>
      <c r="GJS354" s="545"/>
      <c r="GJT354" s="540"/>
      <c r="GJU354" s="545"/>
      <c r="GJV354" s="540"/>
      <c r="GJW354" s="545"/>
      <c r="GJX354" s="540"/>
      <c r="GJY354" s="545"/>
      <c r="GJZ354" s="540"/>
      <c r="GKA354" s="545"/>
      <c r="GKB354" s="540"/>
      <c r="GKC354" s="545"/>
      <c r="GKD354" s="540"/>
      <c r="GKE354" s="545"/>
      <c r="GKF354" s="540"/>
      <c r="GKG354" s="545"/>
      <c r="GKH354" s="540"/>
      <c r="GKI354" s="545"/>
      <c r="GKJ354" s="540"/>
      <c r="GKK354" s="545"/>
      <c r="GKL354" s="540"/>
      <c r="GKM354" s="545"/>
      <c r="GKN354" s="540"/>
      <c r="GKO354" s="545"/>
      <c r="GKP354" s="540"/>
      <c r="GKQ354" s="545"/>
      <c r="GKR354" s="540"/>
      <c r="GKS354" s="545"/>
      <c r="GKT354" s="540"/>
      <c r="GKU354" s="545"/>
      <c r="GKV354" s="540"/>
      <c r="GKW354" s="545"/>
      <c r="GKX354" s="540"/>
      <c r="GKY354" s="545"/>
      <c r="GKZ354" s="540"/>
      <c r="GLA354" s="545"/>
      <c r="GLB354" s="540"/>
      <c r="GLC354" s="545"/>
      <c r="GLD354" s="540"/>
      <c r="GLE354" s="545"/>
      <c r="GLF354" s="540"/>
      <c r="GLG354" s="545"/>
      <c r="GLH354" s="540"/>
      <c r="GLI354" s="545"/>
      <c r="GLJ354" s="540"/>
      <c r="GLK354" s="545"/>
      <c r="GLL354" s="540"/>
      <c r="GLM354" s="545"/>
      <c r="GLN354" s="540"/>
      <c r="GLO354" s="545"/>
      <c r="GLP354" s="540"/>
      <c r="GLQ354" s="545"/>
      <c r="GLR354" s="540"/>
      <c r="GLS354" s="545"/>
      <c r="GLT354" s="540"/>
      <c r="GLU354" s="545"/>
      <c r="GLV354" s="540"/>
      <c r="GLW354" s="545"/>
      <c r="GLX354" s="540"/>
      <c r="GLY354" s="545"/>
      <c r="GLZ354" s="540"/>
      <c r="GMA354" s="545"/>
      <c r="GMB354" s="540"/>
      <c r="GMC354" s="545"/>
      <c r="GMD354" s="540"/>
      <c r="GME354" s="545"/>
      <c r="GMF354" s="540"/>
      <c r="GMG354" s="545"/>
      <c r="GMH354" s="540"/>
      <c r="GMI354" s="545"/>
      <c r="GMJ354" s="540"/>
      <c r="GMK354" s="545"/>
      <c r="GML354" s="540"/>
      <c r="GMM354" s="545"/>
      <c r="GMN354" s="540"/>
      <c r="GMO354" s="545"/>
      <c r="GMP354" s="540"/>
      <c r="GMQ354" s="545"/>
      <c r="GMR354" s="540"/>
      <c r="GMS354" s="545"/>
      <c r="GMT354" s="540"/>
      <c r="GMU354" s="545"/>
      <c r="GMV354" s="540"/>
      <c r="GMW354" s="545"/>
      <c r="GMX354" s="540"/>
      <c r="GMY354" s="545"/>
      <c r="GMZ354" s="540"/>
      <c r="GNA354" s="545"/>
      <c r="GNB354" s="540"/>
      <c r="GNC354" s="545"/>
      <c r="GND354" s="540"/>
      <c r="GNE354" s="545"/>
      <c r="GNF354" s="540"/>
      <c r="GNG354" s="545"/>
      <c r="GNH354" s="540"/>
      <c r="GNI354" s="545"/>
      <c r="GNJ354" s="540"/>
      <c r="GNK354" s="545"/>
      <c r="GNL354" s="540"/>
      <c r="GNM354" s="545"/>
      <c r="GNN354" s="540"/>
      <c r="GNO354" s="545"/>
      <c r="GNP354" s="540"/>
      <c r="GNQ354" s="545"/>
      <c r="GNR354" s="540"/>
      <c r="GNS354" s="545"/>
      <c r="GNT354" s="540"/>
      <c r="GNU354" s="545"/>
      <c r="GNV354" s="540"/>
      <c r="GNW354" s="545"/>
      <c r="GNX354" s="540"/>
      <c r="GNY354" s="545"/>
      <c r="GNZ354" s="540"/>
      <c r="GOA354" s="545"/>
      <c r="GOB354" s="540"/>
      <c r="GOC354" s="545"/>
      <c r="GOD354" s="540"/>
      <c r="GOE354" s="545"/>
      <c r="GOF354" s="540"/>
      <c r="GOG354" s="545"/>
      <c r="GOH354" s="540"/>
      <c r="GOI354" s="545"/>
      <c r="GOJ354" s="540"/>
      <c r="GOK354" s="545"/>
      <c r="GOL354" s="540"/>
      <c r="GOM354" s="545"/>
      <c r="GON354" s="540"/>
      <c r="GOO354" s="545"/>
      <c r="GOP354" s="540"/>
      <c r="GOQ354" s="545"/>
      <c r="GOR354" s="540"/>
      <c r="GOS354" s="545"/>
      <c r="GOT354" s="540"/>
      <c r="GOU354" s="545"/>
      <c r="GOV354" s="540"/>
      <c r="GOW354" s="545"/>
      <c r="GOX354" s="540"/>
      <c r="GOY354" s="545"/>
      <c r="GOZ354" s="540"/>
      <c r="GPA354" s="545"/>
      <c r="GPB354" s="540"/>
      <c r="GPC354" s="545"/>
      <c r="GPD354" s="540"/>
      <c r="GPE354" s="545"/>
      <c r="GPF354" s="540"/>
      <c r="GPG354" s="545"/>
      <c r="GPH354" s="540"/>
      <c r="GPI354" s="545"/>
      <c r="GPJ354" s="540"/>
      <c r="GPK354" s="545"/>
      <c r="GPL354" s="540"/>
      <c r="GPM354" s="545"/>
      <c r="GPN354" s="540"/>
      <c r="GPO354" s="545"/>
      <c r="GPP354" s="540"/>
      <c r="GPQ354" s="545"/>
      <c r="GPR354" s="540"/>
      <c r="GPS354" s="545"/>
      <c r="GPT354" s="540"/>
      <c r="GPU354" s="545"/>
      <c r="GPV354" s="540"/>
      <c r="GPW354" s="545"/>
      <c r="GPX354" s="540"/>
      <c r="GPY354" s="545"/>
      <c r="GPZ354" s="540"/>
      <c r="GQA354" s="545"/>
      <c r="GQB354" s="540"/>
      <c r="GQC354" s="545"/>
      <c r="GQD354" s="540"/>
      <c r="GQE354" s="545"/>
      <c r="GQF354" s="540"/>
      <c r="GQG354" s="545"/>
      <c r="GQH354" s="540"/>
      <c r="GQI354" s="545"/>
      <c r="GQJ354" s="540"/>
      <c r="GQK354" s="545"/>
      <c r="GQL354" s="540"/>
      <c r="GQM354" s="545"/>
      <c r="GQN354" s="540"/>
      <c r="GQO354" s="545"/>
      <c r="GQP354" s="540"/>
      <c r="GQQ354" s="545"/>
      <c r="GQR354" s="540"/>
      <c r="GQS354" s="545"/>
      <c r="GQT354" s="540"/>
      <c r="GQU354" s="545"/>
      <c r="GQV354" s="540"/>
      <c r="GQW354" s="545"/>
      <c r="GQX354" s="540"/>
      <c r="GQY354" s="545"/>
      <c r="GQZ354" s="540"/>
      <c r="GRA354" s="545"/>
      <c r="GRB354" s="540"/>
      <c r="GRC354" s="545"/>
      <c r="GRD354" s="540"/>
      <c r="GRE354" s="545"/>
      <c r="GRF354" s="540"/>
      <c r="GRG354" s="545"/>
      <c r="GRH354" s="540"/>
      <c r="GRI354" s="545"/>
      <c r="GRJ354" s="540"/>
      <c r="GRK354" s="545"/>
      <c r="GRL354" s="540"/>
      <c r="GRM354" s="545"/>
      <c r="GRN354" s="540"/>
      <c r="GRO354" s="545"/>
      <c r="GRP354" s="540"/>
      <c r="GRQ354" s="545"/>
      <c r="GRR354" s="540"/>
      <c r="GRS354" s="545"/>
      <c r="GRT354" s="540"/>
      <c r="GRU354" s="545"/>
      <c r="GRV354" s="540"/>
      <c r="GRW354" s="545"/>
      <c r="GRX354" s="540"/>
      <c r="GRY354" s="545"/>
      <c r="GRZ354" s="540"/>
      <c r="GSA354" s="545"/>
      <c r="GSB354" s="540"/>
      <c r="GSC354" s="545"/>
      <c r="GSD354" s="540"/>
      <c r="GSE354" s="545"/>
      <c r="GSF354" s="540"/>
      <c r="GSG354" s="545"/>
      <c r="GSH354" s="540"/>
      <c r="GSI354" s="545"/>
      <c r="GSJ354" s="540"/>
      <c r="GSK354" s="545"/>
      <c r="GSL354" s="540"/>
      <c r="GSM354" s="545"/>
      <c r="GSN354" s="540"/>
      <c r="GSO354" s="545"/>
      <c r="GSP354" s="540"/>
      <c r="GSQ354" s="545"/>
      <c r="GSR354" s="540"/>
      <c r="GSS354" s="545"/>
      <c r="GST354" s="540"/>
      <c r="GSU354" s="545"/>
      <c r="GSV354" s="540"/>
      <c r="GSW354" s="545"/>
      <c r="GSX354" s="540"/>
      <c r="GSY354" s="545"/>
      <c r="GSZ354" s="540"/>
      <c r="GTA354" s="545"/>
      <c r="GTB354" s="540"/>
      <c r="GTC354" s="545"/>
      <c r="GTD354" s="540"/>
      <c r="GTE354" s="545"/>
      <c r="GTF354" s="540"/>
      <c r="GTG354" s="545"/>
      <c r="GTH354" s="540"/>
      <c r="GTI354" s="545"/>
      <c r="GTJ354" s="540"/>
      <c r="GTK354" s="545"/>
      <c r="GTL354" s="540"/>
      <c r="GTM354" s="545"/>
      <c r="GTN354" s="540"/>
      <c r="GTO354" s="545"/>
      <c r="GTP354" s="540"/>
      <c r="GTQ354" s="545"/>
      <c r="GTR354" s="540"/>
      <c r="GTS354" s="545"/>
      <c r="GTT354" s="540"/>
      <c r="GTU354" s="545"/>
      <c r="GTV354" s="540"/>
      <c r="GTW354" s="545"/>
      <c r="GTX354" s="540"/>
      <c r="GTY354" s="545"/>
      <c r="GTZ354" s="540"/>
      <c r="GUA354" s="545"/>
      <c r="GUB354" s="540"/>
      <c r="GUC354" s="545"/>
      <c r="GUD354" s="540"/>
      <c r="GUE354" s="545"/>
      <c r="GUF354" s="540"/>
      <c r="GUG354" s="545"/>
      <c r="GUH354" s="540"/>
      <c r="GUI354" s="545"/>
      <c r="GUJ354" s="540"/>
      <c r="GUK354" s="545"/>
      <c r="GUL354" s="540"/>
      <c r="GUM354" s="545"/>
      <c r="GUN354" s="540"/>
      <c r="GUO354" s="545"/>
      <c r="GUP354" s="540"/>
      <c r="GUQ354" s="545"/>
      <c r="GUR354" s="540"/>
      <c r="GUS354" s="545"/>
      <c r="GUT354" s="540"/>
      <c r="GUU354" s="545"/>
      <c r="GUV354" s="540"/>
      <c r="GUW354" s="545"/>
      <c r="GUX354" s="540"/>
      <c r="GUY354" s="545"/>
      <c r="GUZ354" s="540"/>
      <c r="GVA354" s="545"/>
      <c r="GVB354" s="540"/>
      <c r="GVC354" s="545"/>
      <c r="GVD354" s="540"/>
      <c r="GVE354" s="545"/>
      <c r="GVF354" s="540"/>
      <c r="GVG354" s="545"/>
      <c r="GVH354" s="540"/>
      <c r="GVI354" s="545"/>
      <c r="GVJ354" s="540"/>
      <c r="GVK354" s="545"/>
      <c r="GVL354" s="540"/>
      <c r="GVM354" s="545"/>
      <c r="GVN354" s="540"/>
      <c r="GVO354" s="545"/>
      <c r="GVP354" s="540"/>
      <c r="GVQ354" s="545"/>
      <c r="GVR354" s="540"/>
      <c r="GVS354" s="545"/>
      <c r="GVT354" s="540"/>
      <c r="GVU354" s="545"/>
      <c r="GVV354" s="540"/>
      <c r="GVW354" s="545"/>
      <c r="GVX354" s="540"/>
      <c r="GVY354" s="545"/>
      <c r="GVZ354" s="540"/>
      <c r="GWA354" s="545"/>
      <c r="GWB354" s="540"/>
      <c r="GWC354" s="545"/>
      <c r="GWD354" s="540"/>
      <c r="GWE354" s="545"/>
      <c r="GWF354" s="540"/>
      <c r="GWG354" s="545"/>
      <c r="GWH354" s="540"/>
      <c r="GWI354" s="545"/>
      <c r="GWJ354" s="540"/>
      <c r="GWK354" s="545"/>
      <c r="GWL354" s="540"/>
      <c r="GWM354" s="545"/>
      <c r="GWN354" s="540"/>
      <c r="GWO354" s="545"/>
      <c r="GWP354" s="540"/>
      <c r="GWQ354" s="545"/>
      <c r="GWR354" s="540"/>
      <c r="GWS354" s="545"/>
      <c r="GWT354" s="540"/>
      <c r="GWU354" s="545"/>
      <c r="GWV354" s="540"/>
      <c r="GWW354" s="545"/>
      <c r="GWX354" s="540"/>
      <c r="GWY354" s="545"/>
      <c r="GWZ354" s="540"/>
      <c r="GXA354" s="545"/>
      <c r="GXB354" s="540"/>
      <c r="GXC354" s="545"/>
      <c r="GXD354" s="540"/>
      <c r="GXE354" s="545"/>
      <c r="GXF354" s="540"/>
      <c r="GXG354" s="545"/>
      <c r="GXH354" s="540"/>
      <c r="GXI354" s="545"/>
      <c r="GXJ354" s="540"/>
      <c r="GXK354" s="545"/>
      <c r="GXL354" s="540"/>
      <c r="GXM354" s="545"/>
      <c r="GXN354" s="540"/>
      <c r="GXO354" s="545"/>
      <c r="GXP354" s="540"/>
      <c r="GXQ354" s="545"/>
      <c r="GXR354" s="540"/>
      <c r="GXS354" s="545"/>
      <c r="GXT354" s="540"/>
      <c r="GXU354" s="545"/>
      <c r="GXV354" s="540"/>
      <c r="GXW354" s="545"/>
      <c r="GXX354" s="540"/>
      <c r="GXY354" s="545"/>
      <c r="GXZ354" s="540"/>
      <c r="GYA354" s="545"/>
      <c r="GYB354" s="540"/>
      <c r="GYC354" s="545"/>
      <c r="GYD354" s="540"/>
      <c r="GYE354" s="545"/>
      <c r="GYF354" s="540"/>
      <c r="GYG354" s="545"/>
      <c r="GYH354" s="540"/>
      <c r="GYI354" s="545"/>
      <c r="GYJ354" s="540"/>
      <c r="GYK354" s="545"/>
      <c r="GYL354" s="540"/>
      <c r="GYM354" s="545"/>
      <c r="GYN354" s="540"/>
      <c r="GYO354" s="545"/>
      <c r="GYP354" s="540"/>
      <c r="GYQ354" s="545"/>
      <c r="GYR354" s="540"/>
      <c r="GYS354" s="545"/>
      <c r="GYT354" s="540"/>
      <c r="GYU354" s="545"/>
      <c r="GYV354" s="540"/>
      <c r="GYW354" s="545"/>
      <c r="GYX354" s="540"/>
      <c r="GYY354" s="545"/>
      <c r="GYZ354" s="540"/>
      <c r="GZA354" s="545"/>
      <c r="GZB354" s="540"/>
      <c r="GZC354" s="545"/>
      <c r="GZD354" s="540"/>
      <c r="GZE354" s="545"/>
      <c r="GZF354" s="540"/>
      <c r="GZG354" s="545"/>
      <c r="GZH354" s="540"/>
      <c r="GZI354" s="545"/>
      <c r="GZJ354" s="540"/>
      <c r="GZK354" s="545"/>
      <c r="GZL354" s="540"/>
      <c r="GZM354" s="545"/>
      <c r="GZN354" s="540"/>
      <c r="GZO354" s="545"/>
      <c r="GZP354" s="540"/>
      <c r="GZQ354" s="545"/>
      <c r="GZR354" s="540"/>
      <c r="GZS354" s="545"/>
      <c r="GZT354" s="540"/>
      <c r="GZU354" s="545"/>
      <c r="GZV354" s="540"/>
      <c r="GZW354" s="545"/>
      <c r="GZX354" s="540"/>
      <c r="GZY354" s="545"/>
      <c r="GZZ354" s="540"/>
      <c r="HAA354" s="545"/>
      <c r="HAB354" s="540"/>
      <c r="HAC354" s="545"/>
      <c r="HAD354" s="540"/>
      <c r="HAE354" s="545"/>
      <c r="HAF354" s="540"/>
      <c r="HAG354" s="545"/>
      <c r="HAH354" s="540"/>
      <c r="HAI354" s="545"/>
      <c r="HAJ354" s="540"/>
      <c r="HAK354" s="545"/>
      <c r="HAL354" s="540"/>
      <c r="HAM354" s="545"/>
      <c r="HAN354" s="540"/>
      <c r="HAO354" s="545"/>
      <c r="HAP354" s="540"/>
      <c r="HAQ354" s="545"/>
      <c r="HAR354" s="540"/>
      <c r="HAS354" s="545"/>
      <c r="HAT354" s="540"/>
      <c r="HAU354" s="545"/>
      <c r="HAV354" s="540"/>
      <c r="HAW354" s="545"/>
      <c r="HAX354" s="540"/>
      <c r="HAY354" s="545"/>
      <c r="HAZ354" s="540"/>
      <c r="HBA354" s="545"/>
      <c r="HBB354" s="540"/>
      <c r="HBC354" s="545"/>
      <c r="HBD354" s="540"/>
      <c r="HBE354" s="545"/>
      <c r="HBF354" s="540"/>
      <c r="HBG354" s="545"/>
      <c r="HBH354" s="540"/>
      <c r="HBI354" s="545"/>
      <c r="HBJ354" s="540"/>
      <c r="HBK354" s="545"/>
      <c r="HBL354" s="540"/>
      <c r="HBM354" s="545"/>
      <c r="HBN354" s="540"/>
      <c r="HBO354" s="545"/>
      <c r="HBP354" s="540"/>
      <c r="HBQ354" s="545"/>
      <c r="HBR354" s="540"/>
      <c r="HBS354" s="545"/>
      <c r="HBT354" s="540"/>
      <c r="HBU354" s="545"/>
      <c r="HBV354" s="540"/>
      <c r="HBW354" s="545"/>
      <c r="HBX354" s="540"/>
      <c r="HBY354" s="545"/>
      <c r="HBZ354" s="540"/>
      <c r="HCA354" s="545"/>
      <c r="HCB354" s="540"/>
      <c r="HCC354" s="545"/>
      <c r="HCD354" s="540"/>
      <c r="HCE354" s="545"/>
      <c r="HCF354" s="540"/>
      <c r="HCG354" s="545"/>
      <c r="HCH354" s="540"/>
      <c r="HCI354" s="545"/>
      <c r="HCJ354" s="540"/>
      <c r="HCK354" s="545"/>
      <c r="HCL354" s="540"/>
      <c r="HCM354" s="545"/>
      <c r="HCN354" s="540"/>
      <c r="HCO354" s="545"/>
      <c r="HCP354" s="540"/>
      <c r="HCQ354" s="545"/>
      <c r="HCR354" s="540"/>
      <c r="HCS354" s="545"/>
      <c r="HCT354" s="540"/>
      <c r="HCU354" s="545"/>
      <c r="HCV354" s="540"/>
      <c r="HCW354" s="545"/>
      <c r="HCX354" s="540"/>
      <c r="HCY354" s="545"/>
      <c r="HCZ354" s="540"/>
      <c r="HDA354" s="545"/>
      <c r="HDB354" s="540"/>
      <c r="HDC354" s="545"/>
      <c r="HDD354" s="540"/>
      <c r="HDE354" s="545"/>
      <c r="HDF354" s="540"/>
      <c r="HDG354" s="545"/>
      <c r="HDH354" s="540"/>
      <c r="HDI354" s="545"/>
      <c r="HDJ354" s="540"/>
      <c r="HDK354" s="545"/>
      <c r="HDL354" s="540"/>
      <c r="HDM354" s="545"/>
      <c r="HDN354" s="540"/>
      <c r="HDO354" s="545"/>
      <c r="HDP354" s="540"/>
      <c r="HDQ354" s="545"/>
      <c r="HDR354" s="540"/>
      <c r="HDS354" s="545"/>
      <c r="HDT354" s="540"/>
      <c r="HDU354" s="545"/>
      <c r="HDV354" s="540"/>
      <c r="HDW354" s="545"/>
      <c r="HDX354" s="540"/>
      <c r="HDY354" s="545"/>
      <c r="HDZ354" s="540"/>
      <c r="HEA354" s="545"/>
      <c r="HEB354" s="540"/>
      <c r="HEC354" s="545"/>
      <c r="HED354" s="540"/>
      <c r="HEE354" s="545"/>
      <c r="HEF354" s="540"/>
      <c r="HEG354" s="545"/>
      <c r="HEH354" s="540"/>
      <c r="HEI354" s="545"/>
      <c r="HEJ354" s="540"/>
      <c r="HEK354" s="545"/>
      <c r="HEL354" s="540"/>
      <c r="HEM354" s="545"/>
      <c r="HEN354" s="540"/>
      <c r="HEO354" s="545"/>
      <c r="HEP354" s="540"/>
      <c r="HEQ354" s="545"/>
      <c r="HER354" s="540"/>
      <c r="HES354" s="545"/>
      <c r="HET354" s="540"/>
      <c r="HEU354" s="545"/>
      <c r="HEV354" s="540"/>
      <c r="HEW354" s="545"/>
      <c r="HEX354" s="540"/>
      <c r="HEY354" s="545"/>
      <c r="HEZ354" s="540"/>
      <c r="HFA354" s="545"/>
      <c r="HFB354" s="540"/>
      <c r="HFC354" s="545"/>
      <c r="HFD354" s="540"/>
      <c r="HFE354" s="545"/>
      <c r="HFF354" s="540"/>
      <c r="HFG354" s="545"/>
      <c r="HFH354" s="540"/>
      <c r="HFI354" s="545"/>
      <c r="HFJ354" s="540"/>
      <c r="HFK354" s="545"/>
      <c r="HFL354" s="540"/>
      <c r="HFM354" s="545"/>
      <c r="HFN354" s="540"/>
      <c r="HFO354" s="545"/>
      <c r="HFP354" s="540"/>
      <c r="HFQ354" s="545"/>
      <c r="HFR354" s="540"/>
      <c r="HFS354" s="545"/>
      <c r="HFT354" s="540"/>
      <c r="HFU354" s="545"/>
      <c r="HFV354" s="540"/>
      <c r="HFW354" s="545"/>
      <c r="HFX354" s="540"/>
      <c r="HFY354" s="545"/>
      <c r="HFZ354" s="540"/>
      <c r="HGA354" s="545"/>
      <c r="HGB354" s="540"/>
      <c r="HGC354" s="545"/>
      <c r="HGD354" s="540"/>
      <c r="HGE354" s="545"/>
      <c r="HGF354" s="540"/>
      <c r="HGG354" s="545"/>
      <c r="HGH354" s="540"/>
      <c r="HGI354" s="545"/>
      <c r="HGJ354" s="540"/>
      <c r="HGK354" s="545"/>
      <c r="HGL354" s="540"/>
      <c r="HGM354" s="545"/>
      <c r="HGN354" s="540"/>
      <c r="HGO354" s="545"/>
      <c r="HGP354" s="540"/>
      <c r="HGQ354" s="545"/>
      <c r="HGR354" s="540"/>
      <c r="HGS354" s="545"/>
      <c r="HGT354" s="540"/>
      <c r="HGU354" s="545"/>
      <c r="HGV354" s="540"/>
      <c r="HGW354" s="545"/>
      <c r="HGX354" s="540"/>
      <c r="HGY354" s="545"/>
      <c r="HGZ354" s="540"/>
      <c r="HHA354" s="545"/>
      <c r="HHB354" s="540"/>
      <c r="HHC354" s="545"/>
      <c r="HHD354" s="540"/>
      <c r="HHE354" s="545"/>
      <c r="HHF354" s="540"/>
      <c r="HHG354" s="545"/>
      <c r="HHH354" s="540"/>
      <c r="HHI354" s="545"/>
      <c r="HHJ354" s="540"/>
      <c r="HHK354" s="545"/>
      <c r="HHL354" s="540"/>
      <c r="HHM354" s="545"/>
      <c r="HHN354" s="540"/>
      <c r="HHO354" s="545"/>
      <c r="HHP354" s="540"/>
      <c r="HHQ354" s="545"/>
      <c r="HHR354" s="540"/>
      <c r="HHS354" s="545"/>
      <c r="HHT354" s="540"/>
      <c r="HHU354" s="545"/>
      <c r="HHV354" s="540"/>
      <c r="HHW354" s="545"/>
      <c r="HHX354" s="540"/>
      <c r="HHY354" s="545"/>
      <c r="HHZ354" s="540"/>
      <c r="HIA354" s="545"/>
      <c r="HIB354" s="540"/>
      <c r="HIC354" s="545"/>
      <c r="HID354" s="540"/>
      <c r="HIE354" s="545"/>
      <c r="HIF354" s="540"/>
      <c r="HIG354" s="545"/>
      <c r="HIH354" s="540"/>
      <c r="HII354" s="545"/>
      <c r="HIJ354" s="540"/>
      <c r="HIK354" s="545"/>
      <c r="HIL354" s="540"/>
      <c r="HIM354" s="545"/>
      <c r="HIN354" s="540"/>
      <c r="HIO354" s="545"/>
      <c r="HIP354" s="540"/>
      <c r="HIQ354" s="545"/>
      <c r="HIR354" s="540"/>
      <c r="HIS354" s="545"/>
      <c r="HIT354" s="540"/>
      <c r="HIU354" s="545"/>
      <c r="HIV354" s="540"/>
      <c r="HIW354" s="545"/>
      <c r="HIX354" s="540"/>
      <c r="HIY354" s="545"/>
      <c r="HIZ354" s="540"/>
      <c r="HJA354" s="545"/>
      <c r="HJB354" s="540"/>
      <c r="HJC354" s="545"/>
      <c r="HJD354" s="540"/>
      <c r="HJE354" s="545"/>
      <c r="HJF354" s="540"/>
      <c r="HJG354" s="545"/>
      <c r="HJH354" s="540"/>
      <c r="HJI354" s="545"/>
      <c r="HJJ354" s="540"/>
      <c r="HJK354" s="545"/>
      <c r="HJL354" s="540"/>
      <c r="HJM354" s="545"/>
      <c r="HJN354" s="540"/>
      <c r="HJO354" s="545"/>
      <c r="HJP354" s="540"/>
      <c r="HJQ354" s="545"/>
      <c r="HJR354" s="540"/>
      <c r="HJS354" s="545"/>
      <c r="HJT354" s="540"/>
      <c r="HJU354" s="545"/>
      <c r="HJV354" s="540"/>
      <c r="HJW354" s="545"/>
      <c r="HJX354" s="540"/>
      <c r="HJY354" s="545"/>
      <c r="HJZ354" s="540"/>
      <c r="HKA354" s="545"/>
      <c r="HKB354" s="540"/>
      <c r="HKC354" s="545"/>
      <c r="HKD354" s="540"/>
      <c r="HKE354" s="545"/>
      <c r="HKF354" s="540"/>
      <c r="HKG354" s="545"/>
      <c r="HKH354" s="540"/>
      <c r="HKI354" s="545"/>
      <c r="HKJ354" s="540"/>
      <c r="HKK354" s="545"/>
      <c r="HKL354" s="540"/>
      <c r="HKM354" s="545"/>
      <c r="HKN354" s="540"/>
      <c r="HKO354" s="545"/>
      <c r="HKP354" s="540"/>
      <c r="HKQ354" s="545"/>
      <c r="HKR354" s="540"/>
      <c r="HKS354" s="545"/>
      <c r="HKT354" s="540"/>
      <c r="HKU354" s="545"/>
      <c r="HKV354" s="540"/>
      <c r="HKW354" s="545"/>
      <c r="HKX354" s="540"/>
      <c r="HKY354" s="545"/>
      <c r="HKZ354" s="540"/>
      <c r="HLA354" s="545"/>
      <c r="HLB354" s="540"/>
      <c r="HLC354" s="545"/>
      <c r="HLD354" s="540"/>
      <c r="HLE354" s="545"/>
      <c r="HLF354" s="540"/>
      <c r="HLG354" s="545"/>
      <c r="HLH354" s="540"/>
      <c r="HLI354" s="545"/>
      <c r="HLJ354" s="540"/>
      <c r="HLK354" s="545"/>
      <c r="HLL354" s="540"/>
      <c r="HLM354" s="545"/>
      <c r="HLN354" s="540"/>
      <c r="HLO354" s="545"/>
      <c r="HLP354" s="540"/>
      <c r="HLQ354" s="545"/>
      <c r="HLR354" s="540"/>
      <c r="HLS354" s="545"/>
      <c r="HLT354" s="540"/>
      <c r="HLU354" s="545"/>
      <c r="HLV354" s="540"/>
      <c r="HLW354" s="545"/>
      <c r="HLX354" s="540"/>
      <c r="HLY354" s="545"/>
      <c r="HLZ354" s="540"/>
      <c r="HMA354" s="545"/>
      <c r="HMB354" s="540"/>
      <c r="HMC354" s="545"/>
      <c r="HMD354" s="540"/>
      <c r="HME354" s="545"/>
      <c r="HMF354" s="540"/>
      <c r="HMG354" s="545"/>
      <c r="HMH354" s="540"/>
      <c r="HMI354" s="545"/>
      <c r="HMJ354" s="540"/>
      <c r="HMK354" s="545"/>
      <c r="HML354" s="540"/>
      <c r="HMM354" s="545"/>
      <c r="HMN354" s="540"/>
      <c r="HMO354" s="545"/>
      <c r="HMP354" s="540"/>
      <c r="HMQ354" s="545"/>
      <c r="HMR354" s="540"/>
      <c r="HMS354" s="545"/>
      <c r="HMT354" s="540"/>
      <c r="HMU354" s="545"/>
      <c r="HMV354" s="540"/>
      <c r="HMW354" s="545"/>
      <c r="HMX354" s="540"/>
      <c r="HMY354" s="545"/>
      <c r="HMZ354" s="540"/>
      <c r="HNA354" s="545"/>
      <c r="HNB354" s="540"/>
      <c r="HNC354" s="545"/>
      <c r="HND354" s="540"/>
      <c r="HNE354" s="545"/>
      <c r="HNF354" s="540"/>
      <c r="HNG354" s="545"/>
      <c r="HNH354" s="540"/>
      <c r="HNI354" s="545"/>
      <c r="HNJ354" s="540"/>
      <c r="HNK354" s="545"/>
      <c r="HNL354" s="540"/>
      <c r="HNM354" s="545"/>
      <c r="HNN354" s="540"/>
      <c r="HNO354" s="545"/>
      <c r="HNP354" s="540"/>
      <c r="HNQ354" s="545"/>
      <c r="HNR354" s="540"/>
      <c r="HNS354" s="545"/>
      <c r="HNT354" s="540"/>
      <c r="HNU354" s="545"/>
      <c r="HNV354" s="540"/>
      <c r="HNW354" s="545"/>
      <c r="HNX354" s="540"/>
      <c r="HNY354" s="545"/>
      <c r="HNZ354" s="540"/>
      <c r="HOA354" s="545"/>
      <c r="HOB354" s="540"/>
      <c r="HOC354" s="545"/>
      <c r="HOD354" s="540"/>
      <c r="HOE354" s="545"/>
      <c r="HOF354" s="540"/>
      <c r="HOG354" s="545"/>
      <c r="HOH354" s="540"/>
      <c r="HOI354" s="545"/>
      <c r="HOJ354" s="540"/>
      <c r="HOK354" s="545"/>
      <c r="HOL354" s="540"/>
      <c r="HOM354" s="545"/>
      <c r="HON354" s="540"/>
      <c r="HOO354" s="545"/>
      <c r="HOP354" s="540"/>
      <c r="HOQ354" s="545"/>
      <c r="HOR354" s="540"/>
      <c r="HOS354" s="545"/>
      <c r="HOT354" s="540"/>
      <c r="HOU354" s="545"/>
      <c r="HOV354" s="540"/>
      <c r="HOW354" s="545"/>
      <c r="HOX354" s="540"/>
      <c r="HOY354" s="545"/>
      <c r="HOZ354" s="540"/>
      <c r="HPA354" s="545"/>
      <c r="HPB354" s="540"/>
      <c r="HPC354" s="545"/>
      <c r="HPD354" s="540"/>
      <c r="HPE354" s="545"/>
      <c r="HPF354" s="540"/>
      <c r="HPG354" s="545"/>
      <c r="HPH354" s="540"/>
      <c r="HPI354" s="545"/>
      <c r="HPJ354" s="540"/>
      <c r="HPK354" s="545"/>
      <c r="HPL354" s="540"/>
      <c r="HPM354" s="545"/>
      <c r="HPN354" s="540"/>
      <c r="HPO354" s="545"/>
      <c r="HPP354" s="540"/>
      <c r="HPQ354" s="545"/>
      <c r="HPR354" s="540"/>
      <c r="HPS354" s="545"/>
      <c r="HPT354" s="540"/>
      <c r="HPU354" s="545"/>
      <c r="HPV354" s="540"/>
      <c r="HPW354" s="545"/>
      <c r="HPX354" s="540"/>
      <c r="HPY354" s="545"/>
      <c r="HPZ354" s="540"/>
      <c r="HQA354" s="545"/>
      <c r="HQB354" s="540"/>
      <c r="HQC354" s="545"/>
      <c r="HQD354" s="540"/>
      <c r="HQE354" s="545"/>
      <c r="HQF354" s="540"/>
      <c r="HQG354" s="545"/>
      <c r="HQH354" s="540"/>
      <c r="HQI354" s="545"/>
      <c r="HQJ354" s="540"/>
      <c r="HQK354" s="545"/>
      <c r="HQL354" s="540"/>
      <c r="HQM354" s="545"/>
      <c r="HQN354" s="540"/>
      <c r="HQO354" s="545"/>
      <c r="HQP354" s="540"/>
      <c r="HQQ354" s="545"/>
      <c r="HQR354" s="540"/>
      <c r="HQS354" s="545"/>
      <c r="HQT354" s="540"/>
      <c r="HQU354" s="545"/>
      <c r="HQV354" s="540"/>
      <c r="HQW354" s="545"/>
      <c r="HQX354" s="540"/>
      <c r="HQY354" s="545"/>
      <c r="HQZ354" s="540"/>
      <c r="HRA354" s="545"/>
      <c r="HRB354" s="540"/>
      <c r="HRC354" s="545"/>
      <c r="HRD354" s="540"/>
      <c r="HRE354" s="545"/>
      <c r="HRF354" s="540"/>
      <c r="HRG354" s="545"/>
      <c r="HRH354" s="540"/>
      <c r="HRI354" s="545"/>
      <c r="HRJ354" s="540"/>
      <c r="HRK354" s="545"/>
      <c r="HRL354" s="540"/>
      <c r="HRM354" s="545"/>
      <c r="HRN354" s="540"/>
      <c r="HRO354" s="545"/>
      <c r="HRP354" s="540"/>
      <c r="HRQ354" s="545"/>
      <c r="HRR354" s="540"/>
      <c r="HRS354" s="545"/>
      <c r="HRT354" s="540"/>
      <c r="HRU354" s="545"/>
      <c r="HRV354" s="540"/>
      <c r="HRW354" s="545"/>
      <c r="HRX354" s="540"/>
      <c r="HRY354" s="545"/>
      <c r="HRZ354" s="540"/>
      <c r="HSA354" s="545"/>
      <c r="HSB354" s="540"/>
      <c r="HSC354" s="545"/>
      <c r="HSD354" s="540"/>
      <c r="HSE354" s="545"/>
      <c r="HSF354" s="540"/>
      <c r="HSG354" s="545"/>
      <c r="HSH354" s="540"/>
      <c r="HSI354" s="545"/>
      <c r="HSJ354" s="540"/>
      <c r="HSK354" s="545"/>
      <c r="HSL354" s="540"/>
      <c r="HSM354" s="545"/>
      <c r="HSN354" s="540"/>
      <c r="HSO354" s="545"/>
      <c r="HSP354" s="540"/>
      <c r="HSQ354" s="545"/>
      <c r="HSR354" s="540"/>
      <c r="HSS354" s="545"/>
      <c r="HST354" s="540"/>
      <c r="HSU354" s="545"/>
      <c r="HSV354" s="540"/>
      <c r="HSW354" s="545"/>
      <c r="HSX354" s="540"/>
      <c r="HSY354" s="545"/>
      <c r="HSZ354" s="540"/>
      <c r="HTA354" s="545"/>
      <c r="HTB354" s="540"/>
      <c r="HTC354" s="545"/>
      <c r="HTD354" s="540"/>
      <c r="HTE354" s="545"/>
      <c r="HTF354" s="540"/>
      <c r="HTG354" s="545"/>
      <c r="HTH354" s="540"/>
      <c r="HTI354" s="545"/>
      <c r="HTJ354" s="540"/>
      <c r="HTK354" s="545"/>
      <c r="HTL354" s="540"/>
      <c r="HTM354" s="545"/>
      <c r="HTN354" s="540"/>
      <c r="HTO354" s="545"/>
      <c r="HTP354" s="540"/>
      <c r="HTQ354" s="545"/>
      <c r="HTR354" s="540"/>
      <c r="HTS354" s="545"/>
      <c r="HTT354" s="540"/>
      <c r="HTU354" s="545"/>
      <c r="HTV354" s="540"/>
      <c r="HTW354" s="545"/>
      <c r="HTX354" s="540"/>
      <c r="HTY354" s="545"/>
      <c r="HTZ354" s="540"/>
      <c r="HUA354" s="545"/>
      <c r="HUB354" s="540"/>
      <c r="HUC354" s="545"/>
      <c r="HUD354" s="540"/>
      <c r="HUE354" s="545"/>
      <c r="HUF354" s="540"/>
      <c r="HUG354" s="545"/>
      <c r="HUH354" s="540"/>
      <c r="HUI354" s="545"/>
      <c r="HUJ354" s="540"/>
      <c r="HUK354" s="545"/>
      <c r="HUL354" s="540"/>
      <c r="HUM354" s="545"/>
      <c r="HUN354" s="540"/>
      <c r="HUO354" s="545"/>
      <c r="HUP354" s="540"/>
      <c r="HUQ354" s="545"/>
      <c r="HUR354" s="540"/>
      <c r="HUS354" s="545"/>
      <c r="HUT354" s="540"/>
      <c r="HUU354" s="545"/>
      <c r="HUV354" s="540"/>
      <c r="HUW354" s="545"/>
      <c r="HUX354" s="540"/>
      <c r="HUY354" s="545"/>
      <c r="HUZ354" s="540"/>
      <c r="HVA354" s="545"/>
      <c r="HVB354" s="540"/>
      <c r="HVC354" s="545"/>
      <c r="HVD354" s="540"/>
      <c r="HVE354" s="545"/>
      <c r="HVF354" s="540"/>
      <c r="HVG354" s="545"/>
      <c r="HVH354" s="540"/>
      <c r="HVI354" s="545"/>
      <c r="HVJ354" s="540"/>
      <c r="HVK354" s="545"/>
      <c r="HVL354" s="540"/>
      <c r="HVM354" s="545"/>
      <c r="HVN354" s="540"/>
      <c r="HVO354" s="545"/>
      <c r="HVP354" s="540"/>
      <c r="HVQ354" s="545"/>
      <c r="HVR354" s="540"/>
      <c r="HVS354" s="545"/>
      <c r="HVT354" s="540"/>
      <c r="HVU354" s="545"/>
      <c r="HVV354" s="540"/>
      <c r="HVW354" s="545"/>
      <c r="HVX354" s="540"/>
      <c r="HVY354" s="545"/>
      <c r="HVZ354" s="540"/>
      <c r="HWA354" s="545"/>
      <c r="HWB354" s="540"/>
      <c r="HWC354" s="545"/>
      <c r="HWD354" s="540"/>
      <c r="HWE354" s="545"/>
      <c r="HWF354" s="540"/>
      <c r="HWG354" s="545"/>
      <c r="HWH354" s="540"/>
      <c r="HWI354" s="545"/>
      <c r="HWJ354" s="540"/>
      <c r="HWK354" s="545"/>
      <c r="HWL354" s="540"/>
      <c r="HWM354" s="545"/>
      <c r="HWN354" s="540"/>
      <c r="HWO354" s="545"/>
      <c r="HWP354" s="540"/>
      <c r="HWQ354" s="545"/>
      <c r="HWR354" s="540"/>
      <c r="HWS354" s="545"/>
      <c r="HWT354" s="540"/>
      <c r="HWU354" s="545"/>
      <c r="HWV354" s="540"/>
      <c r="HWW354" s="545"/>
      <c r="HWX354" s="540"/>
      <c r="HWY354" s="545"/>
      <c r="HWZ354" s="540"/>
      <c r="HXA354" s="545"/>
      <c r="HXB354" s="540"/>
      <c r="HXC354" s="545"/>
      <c r="HXD354" s="540"/>
      <c r="HXE354" s="545"/>
      <c r="HXF354" s="540"/>
      <c r="HXG354" s="545"/>
      <c r="HXH354" s="540"/>
      <c r="HXI354" s="545"/>
      <c r="HXJ354" s="540"/>
      <c r="HXK354" s="545"/>
      <c r="HXL354" s="540"/>
      <c r="HXM354" s="545"/>
      <c r="HXN354" s="540"/>
      <c r="HXO354" s="545"/>
      <c r="HXP354" s="540"/>
      <c r="HXQ354" s="545"/>
      <c r="HXR354" s="540"/>
      <c r="HXS354" s="545"/>
      <c r="HXT354" s="540"/>
      <c r="HXU354" s="545"/>
      <c r="HXV354" s="540"/>
      <c r="HXW354" s="545"/>
      <c r="HXX354" s="540"/>
      <c r="HXY354" s="545"/>
      <c r="HXZ354" s="540"/>
      <c r="HYA354" s="545"/>
      <c r="HYB354" s="540"/>
      <c r="HYC354" s="545"/>
      <c r="HYD354" s="540"/>
      <c r="HYE354" s="545"/>
      <c r="HYF354" s="540"/>
      <c r="HYG354" s="545"/>
      <c r="HYH354" s="540"/>
      <c r="HYI354" s="545"/>
      <c r="HYJ354" s="540"/>
      <c r="HYK354" s="545"/>
      <c r="HYL354" s="540"/>
      <c r="HYM354" s="545"/>
      <c r="HYN354" s="540"/>
      <c r="HYO354" s="545"/>
      <c r="HYP354" s="540"/>
      <c r="HYQ354" s="545"/>
      <c r="HYR354" s="540"/>
      <c r="HYS354" s="545"/>
      <c r="HYT354" s="540"/>
      <c r="HYU354" s="545"/>
      <c r="HYV354" s="540"/>
      <c r="HYW354" s="545"/>
      <c r="HYX354" s="540"/>
      <c r="HYY354" s="545"/>
      <c r="HYZ354" s="540"/>
      <c r="HZA354" s="545"/>
      <c r="HZB354" s="540"/>
      <c r="HZC354" s="545"/>
      <c r="HZD354" s="540"/>
      <c r="HZE354" s="545"/>
      <c r="HZF354" s="540"/>
      <c r="HZG354" s="545"/>
      <c r="HZH354" s="540"/>
      <c r="HZI354" s="545"/>
      <c r="HZJ354" s="540"/>
      <c r="HZK354" s="545"/>
      <c r="HZL354" s="540"/>
      <c r="HZM354" s="545"/>
      <c r="HZN354" s="540"/>
      <c r="HZO354" s="545"/>
      <c r="HZP354" s="540"/>
      <c r="HZQ354" s="545"/>
      <c r="HZR354" s="540"/>
      <c r="HZS354" s="545"/>
      <c r="HZT354" s="540"/>
      <c r="HZU354" s="545"/>
      <c r="HZV354" s="540"/>
      <c r="HZW354" s="545"/>
      <c r="HZX354" s="540"/>
      <c r="HZY354" s="545"/>
      <c r="HZZ354" s="540"/>
      <c r="IAA354" s="545"/>
      <c r="IAB354" s="540"/>
      <c r="IAC354" s="545"/>
      <c r="IAD354" s="540"/>
      <c r="IAE354" s="545"/>
      <c r="IAF354" s="540"/>
      <c r="IAG354" s="545"/>
      <c r="IAH354" s="540"/>
      <c r="IAI354" s="545"/>
      <c r="IAJ354" s="540"/>
      <c r="IAK354" s="545"/>
      <c r="IAL354" s="540"/>
      <c r="IAM354" s="545"/>
      <c r="IAN354" s="540"/>
      <c r="IAO354" s="545"/>
      <c r="IAP354" s="540"/>
      <c r="IAQ354" s="545"/>
      <c r="IAR354" s="540"/>
      <c r="IAS354" s="545"/>
      <c r="IAT354" s="540"/>
      <c r="IAU354" s="545"/>
      <c r="IAV354" s="540"/>
      <c r="IAW354" s="545"/>
      <c r="IAX354" s="540"/>
      <c r="IAY354" s="545"/>
      <c r="IAZ354" s="540"/>
      <c r="IBA354" s="545"/>
      <c r="IBB354" s="540"/>
      <c r="IBC354" s="545"/>
      <c r="IBD354" s="540"/>
      <c r="IBE354" s="545"/>
      <c r="IBF354" s="540"/>
      <c r="IBG354" s="545"/>
      <c r="IBH354" s="540"/>
      <c r="IBI354" s="545"/>
      <c r="IBJ354" s="540"/>
      <c r="IBK354" s="545"/>
      <c r="IBL354" s="540"/>
      <c r="IBM354" s="545"/>
      <c r="IBN354" s="540"/>
      <c r="IBO354" s="545"/>
      <c r="IBP354" s="540"/>
      <c r="IBQ354" s="545"/>
      <c r="IBR354" s="540"/>
      <c r="IBS354" s="545"/>
      <c r="IBT354" s="540"/>
      <c r="IBU354" s="545"/>
      <c r="IBV354" s="540"/>
      <c r="IBW354" s="545"/>
      <c r="IBX354" s="540"/>
      <c r="IBY354" s="545"/>
      <c r="IBZ354" s="540"/>
      <c r="ICA354" s="545"/>
      <c r="ICB354" s="540"/>
      <c r="ICC354" s="545"/>
      <c r="ICD354" s="540"/>
      <c r="ICE354" s="545"/>
      <c r="ICF354" s="540"/>
      <c r="ICG354" s="545"/>
      <c r="ICH354" s="540"/>
      <c r="ICI354" s="545"/>
      <c r="ICJ354" s="540"/>
      <c r="ICK354" s="545"/>
      <c r="ICL354" s="540"/>
      <c r="ICM354" s="545"/>
      <c r="ICN354" s="540"/>
      <c r="ICO354" s="545"/>
      <c r="ICP354" s="540"/>
      <c r="ICQ354" s="545"/>
      <c r="ICR354" s="540"/>
      <c r="ICS354" s="545"/>
      <c r="ICT354" s="540"/>
      <c r="ICU354" s="545"/>
      <c r="ICV354" s="540"/>
      <c r="ICW354" s="545"/>
      <c r="ICX354" s="540"/>
      <c r="ICY354" s="545"/>
      <c r="ICZ354" s="540"/>
      <c r="IDA354" s="545"/>
      <c r="IDB354" s="540"/>
      <c r="IDC354" s="545"/>
      <c r="IDD354" s="540"/>
      <c r="IDE354" s="545"/>
      <c r="IDF354" s="540"/>
      <c r="IDG354" s="545"/>
      <c r="IDH354" s="540"/>
      <c r="IDI354" s="545"/>
      <c r="IDJ354" s="540"/>
      <c r="IDK354" s="545"/>
      <c r="IDL354" s="540"/>
      <c r="IDM354" s="545"/>
      <c r="IDN354" s="540"/>
      <c r="IDO354" s="545"/>
      <c r="IDP354" s="540"/>
      <c r="IDQ354" s="545"/>
      <c r="IDR354" s="540"/>
      <c r="IDS354" s="545"/>
      <c r="IDT354" s="540"/>
      <c r="IDU354" s="545"/>
      <c r="IDV354" s="540"/>
      <c r="IDW354" s="545"/>
      <c r="IDX354" s="540"/>
      <c r="IDY354" s="545"/>
      <c r="IDZ354" s="540"/>
      <c r="IEA354" s="545"/>
      <c r="IEB354" s="540"/>
      <c r="IEC354" s="545"/>
      <c r="IED354" s="540"/>
      <c r="IEE354" s="545"/>
      <c r="IEF354" s="540"/>
      <c r="IEG354" s="545"/>
      <c r="IEH354" s="540"/>
      <c r="IEI354" s="545"/>
      <c r="IEJ354" s="540"/>
      <c r="IEK354" s="545"/>
      <c r="IEL354" s="540"/>
      <c r="IEM354" s="545"/>
      <c r="IEN354" s="540"/>
      <c r="IEO354" s="545"/>
      <c r="IEP354" s="540"/>
      <c r="IEQ354" s="545"/>
      <c r="IER354" s="540"/>
      <c r="IES354" s="545"/>
      <c r="IET354" s="540"/>
      <c r="IEU354" s="545"/>
      <c r="IEV354" s="540"/>
      <c r="IEW354" s="545"/>
      <c r="IEX354" s="540"/>
      <c r="IEY354" s="545"/>
      <c r="IEZ354" s="540"/>
      <c r="IFA354" s="545"/>
      <c r="IFB354" s="540"/>
      <c r="IFC354" s="545"/>
      <c r="IFD354" s="540"/>
      <c r="IFE354" s="545"/>
      <c r="IFF354" s="540"/>
      <c r="IFG354" s="545"/>
      <c r="IFH354" s="540"/>
      <c r="IFI354" s="545"/>
      <c r="IFJ354" s="540"/>
      <c r="IFK354" s="545"/>
      <c r="IFL354" s="540"/>
      <c r="IFM354" s="545"/>
      <c r="IFN354" s="540"/>
      <c r="IFO354" s="545"/>
      <c r="IFP354" s="540"/>
      <c r="IFQ354" s="545"/>
      <c r="IFR354" s="540"/>
      <c r="IFS354" s="545"/>
      <c r="IFT354" s="540"/>
      <c r="IFU354" s="545"/>
      <c r="IFV354" s="540"/>
      <c r="IFW354" s="545"/>
      <c r="IFX354" s="540"/>
      <c r="IFY354" s="545"/>
      <c r="IFZ354" s="540"/>
      <c r="IGA354" s="545"/>
      <c r="IGB354" s="540"/>
      <c r="IGC354" s="545"/>
      <c r="IGD354" s="540"/>
      <c r="IGE354" s="545"/>
      <c r="IGF354" s="540"/>
      <c r="IGG354" s="545"/>
      <c r="IGH354" s="540"/>
      <c r="IGI354" s="545"/>
      <c r="IGJ354" s="540"/>
      <c r="IGK354" s="545"/>
      <c r="IGL354" s="540"/>
      <c r="IGM354" s="545"/>
      <c r="IGN354" s="540"/>
      <c r="IGO354" s="545"/>
      <c r="IGP354" s="540"/>
      <c r="IGQ354" s="545"/>
      <c r="IGR354" s="540"/>
      <c r="IGS354" s="545"/>
      <c r="IGT354" s="540"/>
      <c r="IGU354" s="545"/>
      <c r="IGV354" s="540"/>
      <c r="IGW354" s="545"/>
      <c r="IGX354" s="540"/>
      <c r="IGY354" s="545"/>
      <c r="IGZ354" s="540"/>
      <c r="IHA354" s="545"/>
      <c r="IHB354" s="540"/>
      <c r="IHC354" s="545"/>
      <c r="IHD354" s="540"/>
      <c r="IHE354" s="545"/>
      <c r="IHF354" s="540"/>
      <c r="IHG354" s="545"/>
      <c r="IHH354" s="540"/>
      <c r="IHI354" s="545"/>
      <c r="IHJ354" s="540"/>
      <c r="IHK354" s="545"/>
      <c r="IHL354" s="540"/>
      <c r="IHM354" s="545"/>
      <c r="IHN354" s="540"/>
      <c r="IHO354" s="545"/>
      <c r="IHP354" s="540"/>
      <c r="IHQ354" s="545"/>
      <c r="IHR354" s="540"/>
      <c r="IHS354" s="545"/>
      <c r="IHT354" s="540"/>
      <c r="IHU354" s="545"/>
      <c r="IHV354" s="540"/>
      <c r="IHW354" s="545"/>
      <c r="IHX354" s="540"/>
      <c r="IHY354" s="545"/>
      <c r="IHZ354" s="540"/>
      <c r="IIA354" s="545"/>
      <c r="IIB354" s="540"/>
      <c r="IIC354" s="545"/>
      <c r="IID354" s="540"/>
      <c r="IIE354" s="545"/>
      <c r="IIF354" s="540"/>
      <c r="IIG354" s="545"/>
      <c r="IIH354" s="540"/>
      <c r="III354" s="545"/>
      <c r="IIJ354" s="540"/>
      <c r="IIK354" s="545"/>
      <c r="IIL354" s="540"/>
      <c r="IIM354" s="545"/>
      <c r="IIN354" s="540"/>
      <c r="IIO354" s="545"/>
      <c r="IIP354" s="540"/>
      <c r="IIQ354" s="545"/>
      <c r="IIR354" s="540"/>
      <c r="IIS354" s="545"/>
      <c r="IIT354" s="540"/>
      <c r="IIU354" s="545"/>
      <c r="IIV354" s="540"/>
      <c r="IIW354" s="545"/>
      <c r="IIX354" s="540"/>
      <c r="IIY354" s="545"/>
      <c r="IIZ354" s="540"/>
      <c r="IJA354" s="545"/>
      <c r="IJB354" s="540"/>
      <c r="IJC354" s="545"/>
      <c r="IJD354" s="540"/>
      <c r="IJE354" s="545"/>
      <c r="IJF354" s="540"/>
      <c r="IJG354" s="545"/>
      <c r="IJH354" s="540"/>
      <c r="IJI354" s="545"/>
      <c r="IJJ354" s="540"/>
      <c r="IJK354" s="545"/>
      <c r="IJL354" s="540"/>
      <c r="IJM354" s="545"/>
      <c r="IJN354" s="540"/>
      <c r="IJO354" s="545"/>
      <c r="IJP354" s="540"/>
      <c r="IJQ354" s="545"/>
      <c r="IJR354" s="540"/>
      <c r="IJS354" s="545"/>
      <c r="IJT354" s="540"/>
      <c r="IJU354" s="545"/>
      <c r="IJV354" s="540"/>
      <c r="IJW354" s="545"/>
      <c r="IJX354" s="540"/>
      <c r="IJY354" s="545"/>
      <c r="IJZ354" s="540"/>
      <c r="IKA354" s="545"/>
      <c r="IKB354" s="540"/>
      <c r="IKC354" s="545"/>
      <c r="IKD354" s="540"/>
      <c r="IKE354" s="545"/>
      <c r="IKF354" s="540"/>
      <c r="IKG354" s="545"/>
      <c r="IKH354" s="540"/>
      <c r="IKI354" s="545"/>
      <c r="IKJ354" s="540"/>
      <c r="IKK354" s="545"/>
      <c r="IKL354" s="540"/>
      <c r="IKM354" s="545"/>
      <c r="IKN354" s="540"/>
      <c r="IKO354" s="545"/>
      <c r="IKP354" s="540"/>
      <c r="IKQ354" s="545"/>
      <c r="IKR354" s="540"/>
      <c r="IKS354" s="545"/>
      <c r="IKT354" s="540"/>
      <c r="IKU354" s="545"/>
      <c r="IKV354" s="540"/>
      <c r="IKW354" s="545"/>
      <c r="IKX354" s="540"/>
      <c r="IKY354" s="545"/>
      <c r="IKZ354" s="540"/>
      <c r="ILA354" s="545"/>
      <c r="ILB354" s="540"/>
      <c r="ILC354" s="545"/>
      <c r="ILD354" s="540"/>
      <c r="ILE354" s="545"/>
      <c r="ILF354" s="540"/>
      <c r="ILG354" s="545"/>
      <c r="ILH354" s="540"/>
      <c r="ILI354" s="545"/>
      <c r="ILJ354" s="540"/>
      <c r="ILK354" s="545"/>
      <c r="ILL354" s="540"/>
      <c r="ILM354" s="545"/>
      <c r="ILN354" s="540"/>
      <c r="ILO354" s="545"/>
      <c r="ILP354" s="540"/>
      <c r="ILQ354" s="545"/>
      <c r="ILR354" s="540"/>
      <c r="ILS354" s="545"/>
      <c r="ILT354" s="540"/>
      <c r="ILU354" s="545"/>
      <c r="ILV354" s="540"/>
      <c r="ILW354" s="545"/>
      <c r="ILX354" s="540"/>
      <c r="ILY354" s="545"/>
      <c r="ILZ354" s="540"/>
      <c r="IMA354" s="545"/>
      <c r="IMB354" s="540"/>
      <c r="IMC354" s="545"/>
      <c r="IMD354" s="540"/>
      <c r="IME354" s="545"/>
      <c r="IMF354" s="540"/>
      <c r="IMG354" s="545"/>
      <c r="IMH354" s="540"/>
      <c r="IMI354" s="545"/>
      <c r="IMJ354" s="540"/>
      <c r="IMK354" s="545"/>
      <c r="IML354" s="540"/>
      <c r="IMM354" s="545"/>
      <c r="IMN354" s="540"/>
      <c r="IMO354" s="545"/>
      <c r="IMP354" s="540"/>
      <c r="IMQ354" s="545"/>
      <c r="IMR354" s="540"/>
      <c r="IMS354" s="545"/>
      <c r="IMT354" s="540"/>
      <c r="IMU354" s="545"/>
      <c r="IMV354" s="540"/>
      <c r="IMW354" s="545"/>
      <c r="IMX354" s="540"/>
      <c r="IMY354" s="545"/>
      <c r="IMZ354" s="540"/>
      <c r="INA354" s="545"/>
      <c r="INB354" s="540"/>
      <c r="INC354" s="545"/>
      <c r="IND354" s="540"/>
      <c r="INE354" s="545"/>
      <c r="INF354" s="540"/>
      <c r="ING354" s="545"/>
      <c r="INH354" s="540"/>
      <c r="INI354" s="545"/>
      <c r="INJ354" s="540"/>
      <c r="INK354" s="545"/>
      <c r="INL354" s="540"/>
      <c r="INM354" s="545"/>
      <c r="INN354" s="540"/>
      <c r="INO354" s="545"/>
      <c r="INP354" s="540"/>
      <c r="INQ354" s="545"/>
      <c r="INR354" s="540"/>
      <c r="INS354" s="545"/>
      <c r="INT354" s="540"/>
      <c r="INU354" s="545"/>
      <c r="INV354" s="540"/>
      <c r="INW354" s="545"/>
      <c r="INX354" s="540"/>
      <c r="INY354" s="545"/>
      <c r="INZ354" s="540"/>
      <c r="IOA354" s="545"/>
      <c r="IOB354" s="540"/>
      <c r="IOC354" s="545"/>
      <c r="IOD354" s="540"/>
      <c r="IOE354" s="545"/>
      <c r="IOF354" s="540"/>
      <c r="IOG354" s="545"/>
      <c r="IOH354" s="540"/>
      <c r="IOI354" s="545"/>
      <c r="IOJ354" s="540"/>
      <c r="IOK354" s="545"/>
      <c r="IOL354" s="540"/>
      <c r="IOM354" s="545"/>
      <c r="ION354" s="540"/>
      <c r="IOO354" s="545"/>
      <c r="IOP354" s="540"/>
      <c r="IOQ354" s="545"/>
      <c r="IOR354" s="540"/>
      <c r="IOS354" s="545"/>
      <c r="IOT354" s="540"/>
      <c r="IOU354" s="545"/>
      <c r="IOV354" s="540"/>
      <c r="IOW354" s="545"/>
      <c r="IOX354" s="540"/>
      <c r="IOY354" s="545"/>
      <c r="IOZ354" s="540"/>
      <c r="IPA354" s="545"/>
      <c r="IPB354" s="540"/>
      <c r="IPC354" s="545"/>
      <c r="IPD354" s="540"/>
      <c r="IPE354" s="545"/>
      <c r="IPF354" s="540"/>
      <c r="IPG354" s="545"/>
      <c r="IPH354" s="540"/>
      <c r="IPI354" s="545"/>
      <c r="IPJ354" s="540"/>
      <c r="IPK354" s="545"/>
      <c r="IPL354" s="540"/>
      <c r="IPM354" s="545"/>
      <c r="IPN354" s="540"/>
      <c r="IPO354" s="545"/>
      <c r="IPP354" s="540"/>
      <c r="IPQ354" s="545"/>
      <c r="IPR354" s="540"/>
      <c r="IPS354" s="545"/>
      <c r="IPT354" s="540"/>
      <c r="IPU354" s="545"/>
      <c r="IPV354" s="540"/>
      <c r="IPW354" s="545"/>
      <c r="IPX354" s="540"/>
      <c r="IPY354" s="545"/>
      <c r="IPZ354" s="540"/>
      <c r="IQA354" s="545"/>
      <c r="IQB354" s="540"/>
      <c r="IQC354" s="545"/>
      <c r="IQD354" s="540"/>
      <c r="IQE354" s="545"/>
      <c r="IQF354" s="540"/>
      <c r="IQG354" s="545"/>
      <c r="IQH354" s="540"/>
      <c r="IQI354" s="545"/>
      <c r="IQJ354" s="540"/>
      <c r="IQK354" s="545"/>
      <c r="IQL354" s="540"/>
      <c r="IQM354" s="545"/>
      <c r="IQN354" s="540"/>
      <c r="IQO354" s="545"/>
      <c r="IQP354" s="540"/>
      <c r="IQQ354" s="545"/>
      <c r="IQR354" s="540"/>
      <c r="IQS354" s="545"/>
      <c r="IQT354" s="540"/>
      <c r="IQU354" s="545"/>
      <c r="IQV354" s="540"/>
      <c r="IQW354" s="545"/>
      <c r="IQX354" s="540"/>
      <c r="IQY354" s="545"/>
      <c r="IQZ354" s="540"/>
      <c r="IRA354" s="545"/>
      <c r="IRB354" s="540"/>
      <c r="IRC354" s="545"/>
      <c r="IRD354" s="540"/>
      <c r="IRE354" s="545"/>
      <c r="IRF354" s="540"/>
      <c r="IRG354" s="545"/>
      <c r="IRH354" s="540"/>
      <c r="IRI354" s="545"/>
      <c r="IRJ354" s="540"/>
      <c r="IRK354" s="545"/>
      <c r="IRL354" s="540"/>
      <c r="IRM354" s="545"/>
      <c r="IRN354" s="540"/>
      <c r="IRO354" s="545"/>
      <c r="IRP354" s="540"/>
      <c r="IRQ354" s="545"/>
      <c r="IRR354" s="540"/>
      <c r="IRS354" s="545"/>
      <c r="IRT354" s="540"/>
      <c r="IRU354" s="545"/>
      <c r="IRV354" s="540"/>
      <c r="IRW354" s="545"/>
      <c r="IRX354" s="540"/>
      <c r="IRY354" s="545"/>
      <c r="IRZ354" s="540"/>
      <c r="ISA354" s="545"/>
      <c r="ISB354" s="540"/>
      <c r="ISC354" s="545"/>
      <c r="ISD354" s="540"/>
      <c r="ISE354" s="545"/>
      <c r="ISF354" s="540"/>
      <c r="ISG354" s="545"/>
      <c r="ISH354" s="540"/>
      <c r="ISI354" s="545"/>
      <c r="ISJ354" s="540"/>
      <c r="ISK354" s="545"/>
      <c r="ISL354" s="540"/>
      <c r="ISM354" s="545"/>
      <c r="ISN354" s="540"/>
      <c r="ISO354" s="545"/>
      <c r="ISP354" s="540"/>
      <c r="ISQ354" s="545"/>
      <c r="ISR354" s="540"/>
      <c r="ISS354" s="545"/>
      <c r="IST354" s="540"/>
      <c r="ISU354" s="545"/>
      <c r="ISV354" s="540"/>
      <c r="ISW354" s="545"/>
      <c r="ISX354" s="540"/>
      <c r="ISY354" s="545"/>
      <c r="ISZ354" s="540"/>
      <c r="ITA354" s="545"/>
      <c r="ITB354" s="540"/>
      <c r="ITC354" s="545"/>
      <c r="ITD354" s="540"/>
      <c r="ITE354" s="545"/>
      <c r="ITF354" s="540"/>
      <c r="ITG354" s="545"/>
      <c r="ITH354" s="540"/>
      <c r="ITI354" s="545"/>
      <c r="ITJ354" s="540"/>
      <c r="ITK354" s="545"/>
      <c r="ITL354" s="540"/>
      <c r="ITM354" s="545"/>
      <c r="ITN354" s="540"/>
      <c r="ITO354" s="545"/>
      <c r="ITP354" s="540"/>
      <c r="ITQ354" s="545"/>
      <c r="ITR354" s="540"/>
      <c r="ITS354" s="545"/>
      <c r="ITT354" s="540"/>
      <c r="ITU354" s="545"/>
      <c r="ITV354" s="540"/>
      <c r="ITW354" s="545"/>
      <c r="ITX354" s="540"/>
      <c r="ITY354" s="545"/>
      <c r="ITZ354" s="540"/>
      <c r="IUA354" s="545"/>
      <c r="IUB354" s="540"/>
      <c r="IUC354" s="545"/>
      <c r="IUD354" s="540"/>
      <c r="IUE354" s="545"/>
      <c r="IUF354" s="540"/>
      <c r="IUG354" s="545"/>
      <c r="IUH354" s="540"/>
      <c r="IUI354" s="545"/>
      <c r="IUJ354" s="540"/>
      <c r="IUK354" s="545"/>
      <c r="IUL354" s="540"/>
      <c r="IUM354" s="545"/>
      <c r="IUN354" s="540"/>
      <c r="IUO354" s="545"/>
      <c r="IUP354" s="540"/>
      <c r="IUQ354" s="545"/>
      <c r="IUR354" s="540"/>
      <c r="IUS354" s="545"/>
      <c r="IUT354" s="540"/>
      <c r="IUU354" s="545"/>
      <c r="IUV354" s="540"/>
      <c r="IUW354" s="545"/>
      <c r="IUX354" s="540"/>
      <c r="IUY354" s="545"/>
      <c r="IUZ354" s="540"/>
      <c r="IVA354" s="545"/>
      <c r="IVB354" s="540"/>
      <c r="IVC354" s="545"/>
      <c r="IVD354" s="540"/>
      <c r="IVE354" s="545"/>
      <c r="IVF354" s="540"/>
      <c r="IVG354" s="545"/>
      <c r="IVH354" s="540"/>
      <c r="IVI354" s="545"/>
      <c r="IVJ354" s="540"/>
      <c r="IVK354" s="545"/>
      <c r="IVL354" s="540"/>
      <c r="IVM354" s="545"/>
      <c r="IVN354" s="540"/>
      <c r="IVO354" s="545"/>
      <c r="IVP354" s="540"/>
      <c r="IVQ354" s="545"/>
      <c r="IVR354" s="540"/>
      <c r="IVS354" s="545"/>
      <c r="IVT354" s="540"/>
      <c r="IVU354" s="545"/>
      <c r="IVV354" s="540"/>
      <c r="IVW354" s="545"/>
      <c r="IVX354" s="540"/>
      <c r="IVY354" s="545"/>
      <c r="IVZ354" s="540"/>
      <c r="IWA354" s="545"/>
      <c r="IWB354" s="540"/>
      <c r="IWC354" s="545"/>
      <c r="IWD354" s="540"/>
      <c r="IWE354" s="545"/>
      <c r="IWF354" s="540"/>
      <c r="IWG354" s="545"/>
      <c r="IWH354" s="540"/>
      <c r="IWI354" s="545"/>
      <c r="IWJ354" s="540"/>
      <c r="IWK354" s="545"/>
      <c r="IWL354" s="540"/>
      <c r="IWM354" s="545"/>
      <c r="IWN354" s="540"/>
      <c r="IWO354" s="545"/>
      <c r="IWP354" s="540"/>
      <c r="IWQ354" s="545"/>
      <c r="IWR354" s="540"/>
      <c r="IWS354" s="545"/>
      <c r="IWT354" s="540"/>
      <c r="IWU354" s="545"/>
      <c r="IWV354" s="540"/>
      <c r="IWW354" s="545"/>
      <c r="IWX354" s="540"/>
      <c r="IWY354" s="545"/>
      <c r="IWZ354" s="540"/>
      <c r="IXA354" s="545"/>
      <c r="IXB354" s="540"/>
      <c r="IXC354" s="545"/>
      <c r="IXD354" s="540"/>
      <c r="IXE354" s="545"/>
      <c r="IXF354" s="540"/>
      <c r="IXG354" s="545"/>
      <c r="IXH354" s="540"/>
      <c r="IXI354" s="545"/>
      <c r="IXJ354" s="540"/>
      <c r="IXK354" s="545"/>
      <c r="IXL354" s="540"/>
      <c r="IXM354" s="545"/>
      <c r="IXN354" s="540"/>
      <c r="IXO354" s="545"/>
      <c r="IXP354" s="540"/>
      <c r="IXQ354" s="545"/>
      <c r="IXR354" s="540"/>
      <c r="IXS354" s="545"/>
      <c r="IXT354" s="540"/>
      <c r="IXU354" s="545"/>
      <c r="IXV354" s="540"/>
      <c r="IXW354" s="545"/>
      <c r="IXX354" s="540"/>
      <c r="IXY354" s="545"/>
      <c r="IXZ354" s="540"/>
      <c r="IYA354" s="545"/>
      <c r="IYB354" s="540"/>
      <c r="IYC354" s="545"/>
      <c r="IYD354" s="540"/>
      <c r="IYE354" s="545"/>
      <c r="IYF354" s="540"/>
      <c r="IYG354" s="545"/>
      <c r="IYH354" s="540"/>
      <c r="IYI354" s="545"/>
      <c r="IYJ354" s="540"/>
      <c r="IYK354" s="545"/>
      <c r="IYL354" s="540"/>
      <c r="IYM354" s="545"/>
      <c r="IYN354" s="540"/>
      <c r="IYO354" s="545"/>
      <c r="IYP354" s="540"/>
      <c r="IYQ354" s="545"/>
      <c r="IYR354" s="540"/>
      <c r="IYS354" s="545"/>
      <c r="IYT354" s="540"/>
      <c r="IYU354" s="545"/>
      <c r="IYV354" s="540"/>
      <c r="IYW354" s="545"/>
      <c r="IYX354" s="540"/>
      <c r="IYY354" s="545"/>
      <c r="IYZ354" s="540"/>
      <c r="IZA354" s="545"/>
      <c r="IZB354" s="540"/>
      <c r="IZC354" s="545"/>
      <c r="IZD354" s="540"/>
      <c r="IZE354" s="545"/>
      <c r="IZF354" s="540"/>
      <c r="IZG354" s="545"/>
      <c r="IZH354" s="540"/>
      <c r="IZI354" s="545"/>
      <c r="IZJ354" s="540"/>
      <c r="IZK354" s="545"/>
      <c r="IZL354" s="540"/>
      <c r="IZM354" s="545"/>
      <c r="IZN354" s="540"/>
      <c r="IZO354" s="545"/>
      <c r="IZP354" s="540"/>
      <c r="IZQ354" s="545"/>
      <c r="IZR354" s="540"/>
      <c r="IZS354" s="545"/>
      <c r="IZT354" s="540"/>
      <c r="IZU354" s="545"/>
      <c r="IZV354" s="540"/>
      <c r="IZW354" s="545"/>
      <c r="IZX354" s="540"/>
      <c r="IZY354" s="545"/>
      <c r="IZZ354" s="540"/>
      <c r="JAA354" s="545"/>
      <c r="JAB354" s="540"/>
      <c r="JAC354" s="545"/>
      <c r="JAD354" s="540"/>
      <c r="JAE354" s="545"/>
      <c r="JAF354" s="540"/>
      <c r="JAG354" s="545"/>
      <c r="JAH354" s="540"/>
      <c r="JAI354" s="545"/>
      <c r="JAJ354" s="540"/>
      <c r="JAK354" s="545"/>
      <c r="JAL354" s="540"/>
      <c r="JAM354" s="545"/>
      <c r="JAN354" s="540"/>
      <c r="JAO354" s="545"/>
      <c r="JAP354" s="540"/>
      <c r="JAQ354" s="545"/>
      <c r="JAR354" s="540"/>
      <c r="JAS354" s="545"/>
      <c r="JAT354" s="540"/>
      <c r="JAU354" s="545"/>
      <c r="JAV354" s="540"/>
      <c r="JAW354" s="545"/>
      <c r="JAX354" s="540"/>
      <c r="JAY354" s="545"/>
      <c r="JAZ354" s="540"/>
      <c r="JBA354" s="545"/>
      <c r="JBB354" s="540"/>
      <c r="JBC354" s="545"/>
      <c r="JBD354" s="540"/>
      <c r="JBE354" s="545"/>
      <c r="JBF354" s="540"/>
      <c r="JBG354" s="545"/>
      <c r="JBH354" s="540"/>
      <c r="JBI354" s="545"/>
      <c r="JBJ354" s="540"/>
      <c r="JBK354" s="545"/>
      <c r="JBL354" s="540"/>
      <c r="JBM354" s="545"/>
      <c r="JBN354" s="540"/>
      <c r="JBO354" s="545"/>
      <c r="JBP354" s="540"/>
      <c r="JBQ354" s="545"/>
      <c r="JBR354" s="540"/>
      <c r="JBS354" s="545"/>
      <c r="JBT354" s="540"/>
      <c r="JBU354" s="545"/>
      <c r="JBV354" s="540"/>
      <c r="JBW354" s="545"/>
      <c r="JBX354" s="540"/>
      <c r="JBY354" s="545"/>
      <c r="JBZ354" s="540"/>
      <c r="JCA354" s="545"/>
      <c r="JCB354" s="540"/>
      <c r="JCC354" s="545"/>
      <c r="JCD354" s="540"/>
      <c r="JCE354" s="545"/>
      <c r="JCF354" s="540"/>
      <c r="JCG354" s="545"/>
      <c r="JCH354" s="540"/>
      <c r="JCI354" s="545"/>
      <c r="JCJ354" s="540"/>
      <c r="JCK354" s="545"/>
      <c r="JCL354" s="540"/>
      <c r="JCM354" s="545"/>
      <c r="JCN354" s="540"/>
      <c r="JCO354" s="545"/>
      <c r="JCP354" s="540"/>
      <c r="JCQ354" s="545"/>
      <c r="JCR354" s="540"/>
      <c r="JCS354" s="545"/>
      <c r="JCT354" s="540"/>
      <c r="JCU354" s="545"/>
      <c r="JCV354" s="540"/>
      <c r="JCW354" s="545"/>
      <c r="JCX354" s="540"/>
      <c r="JCY354" s="545"/>
      <c r="JCZ354" s="540"/>
      <c r="JDA354" s="545"/>
      <c r="JDB354" s="540"/>
      <c r="JDC354" s="545"/>
      <c r="JDD354" s="540"/>
      <c r="JDE354" s="545"/>
      <c r="JDF354" s="540"/>
      <c r="JDG354" s="545"/>
      <c r="JDH354" s="540"/>
      <c r="JDI354" s="545"/>
      <c r="JDJ354" s="540"/>
      <c r="JDK354" s="545"/>
      <c r="JDL354" s="540"/>
      <c r="JDM354" s="545"/>
      <c r="JDN354" s="540"/>
      <c r="JDO354" s="545"/>
      <c r="JDP354" s="540"/>
      <c r="JDQ354" s="545"/>
      <c r="JDR354" s="540"/>
      <c r="JDS354" s="545"/>
      <c r="JDT354" s="540"/>
      <c r="JDU354" s="545"/>
      <c r="JDV354" s="540"/>
      <c r="JDW354" s="545"/>
      <c r="JDX354" s="540"/>
      <c r="JDY354" s="545"/>
      <c r="JDZ354" s="540"/>
      <c r="JEA354" s="545"/>
      <c r="JEB354" s="540"/>
      <c r="JEC354" s="545"/>
      <c r="JED354" s="540"/>
      <c r="JEE354" s="545"/>
      <c r="JEF354" s="540"/>
      <c r="JEG354" s="545"/>
      <c r="JEH354" s="540"/>
      <c r="JEI354" s="545"/>
      <c r="JEJ354" s="540"/>
      <c r="JEK354" s="545"/>
      <c r="JEL354" s="540"/>
      <c r="JEM354" s="545"/>
      <c r="JEN354" s="540"/>
      <c r="JEO354" s="545"/>
      <c r="JEP354" s="540"/>
      <c r="JEQ354" s="545"/>
      <c r="JER354" s="540"/>
      <c r="JES354" s="545"/>
      <c r="JET354" s="540"/>
      <c r="JEU354" s="545"/>
      <c r="JEV354" s="540"/>
      <c r="JEW354" s="545"/>
      <c r="JEX354" s="540"/>
      <c r="JEY354" s="545"/>
      <c r="JEZ354" s="540"/>
      <c r="JFA354" s="545"/>
      <c r="JFB354" s="540"/>
      <c r="JFC354" s="545"/>
      <c r="JFD354" s="540"/>
      <c r="JFE354" s="545"/>
      <c r="JFF354" s="540"/>
      <c r="JFG354" s="545"/>
      <c r="JFH354" s="540"/>
      <c r="JFI354" s="545"/>
      <c r="JFJ354" s="540"/>
      <c r="JFK354" s="545"/>
      <c r="JFL354" s="540"/>
      <c r="JFM354" s="545"/>
      <c r="JFN354" s="540"/>
      <c r="JFO354" s="545"/>
      <c r="JFP354" s="540"/>
      <c r="JFQ354" s="545"/>
      <c r="JFR354" s="540"/>
      <c r="JFS354" s="545"/>
      <c r="JFT354" s="540"/>
      <c r="JFU354" s="545"/>
      <c r="JFV354" s="540"/>
      <c r="JFW354" s="545"/>
      <c r="JFX354" s="540"/>
      <c r="JFY354" s="545"/>
      <c r="JFZ354" s="540"/>
      <c r="JGA354" s="545"/>
      <c r="JGB354" s="540"/>
      <c r="JGC354" s="545"/>
      <c r="JGD354" s="540"/>
      <c r="JGE354" s="545"/>
      <c r="JGF354" s="540"/>
      <c r="JGG354" s="545"/>
      <c r="JGH354" s="540"/>
      <c r="JGI354" s="545"/>
      <c r="JGJ354" s="540"/>
      <c r="JGK354" s="545"/>
      <c r="JGL354" s="540"/>
      <c r="JGM354" s="545"/>
      <c r="JGN354" s="540"/>
      <c r="JGO354" s="545"/>
      <c r="JGP354" s="540"/>
      <c r="JGQ354" s="545"/>
      <c r="JGR354" s="540"/>
      <c r="JGS354" s="545"/>
      <c r="JGT354" s="540"/>
      <c r="JGU354" s="545"/>
      <c r="JGV354" s="540"/>
      <c r="JGW354" s="545"/>
      <c r="JGX354" s="540"/>
      <c r="JGY354" s="545"/>
      <c r="JGZ354" s="540"/>
      <c r="JHA354" s="545"/>
      <c r="JHB354" s="540"/>
      <c r="JHC354" s="545"/>
      <c r="JHD354" s="540"/>
      <c r="JHE354" s="545"/>
      <c r="JHF354" s="540"/>
      <c r="JHG354" s="545"/>
      <c r="JHH354" s="540"/>
      <c r="JHI354" s="545"/>
      <c r="JHJ354" s="540"/>
      <c r="JHK354" s="545"/>
      <c r="JHL354" s="540"/>
      <c r="JHM354" s="545"/>
      <c r="JHN354" s="540"/>
      <c r="JHO354" s="545"/>
      <c r="JHP354" s="540"/>
      <c r="JHQ354" s="545"/>
      <c r="JHR354" s="540"/>
      <c r="JHS354" s="545"/>
      <c r="JHT354" s="540"/>
      <c r="JHU354" s="545"/>
      <c r="JHV354" s="540"/>
      <c r="JHW354" s="545"/>
      <c r="JHX354" s="540"/>
      <c r="JHY354" s="545"/>
      <c r="JHZ354" s="540"/>
      <c r="JIA354" s="545"/>
      <c r="JIB354" s="540"/>
      <c r="JIC354" s="545"/>
      <c r="JID354" s="540"/>
      <c r="JIE354" s="545"/>
      <c r="JIF354" s="540"/>
      <c r="JIG354" s="545"/>
      <c r="JIH354" s="540"/>
      <c r="JII354" s="545"/>
      <c r="JIJ354" s="540"/>
      <c r="JIK354" s="545"/>
      <c r="JIL354" s="540"/>
      <c r="JIM354" s="545"/>
      <c r="JIN354" s="540"/>
      <c r="JIO354" s="545"/>
      <c r="JIP354" s="540"/>
      <c r="JIQ354" s="545"/>
      <c r="JIR354" s="540"/>
      <c r="JIS354" s="545"/>
      <c r="JIT354" s="540"/>
      <c r="JIU354" s="545"/>
      <c r="JIV354" s="540"/>
      <c r="JIW354" s="545"/>
      <c r="JIX354" s="540"/>
      <c r="JIY354" s="545"/>
      <c r="JIZ354" s="540"/>
      <c r="JJA354" s="545"/>
      <c r="JJB354" s="540"/>
      <c r="JJC354" s="545"/>
      <c r="JJD354" s="540"/>
      <c r="JJE354" s="545"/>
      <c r="JJF354" s="540"/>
      <c r="JJG354" s="545"/>
      <c r="JJH354" s="540"/>
      <c r="JJI354" s="545"/>
      <c r="JJJ354" s="540"/>
      <c r="JJK354" s="545"/>
      <c r="JJL354" s="540"/>
      <c r="JJM354" s="545"/>
      <c r="JJN354" s="540"/>
      <c r="JJO354" s="545"/>
      <c r="JJP354" s="540"/>
      <c r="JJQ354" s="545"/>
      <c r="JJR354" s="540"/>
      <c r="JJS354" s="545"/>
      <c r="JJT354" s="540"/>
      <c r="JJU354" s="545"/>
      <c r="JJV354" s="540"/>
      <c r="JJW354" s="545"/>
      <c r="JJX354" s="540"/>
      <c r="JJY354" s="545"/>
      <c r="JJZ354" s="540"/>
      <c r="JKA354" s="545"/>
      <c r="JKB354" s="540"/>
      <c r="JKC354" s="545"/>
      <c r="JKD354" s="540"/>
      <c r="JKE354" s="545"/>
      <c r="JKF354" s="540"/>
      <c r="JKG354" s="545"/>
      <c r="JKH354" s="540"/>
      <c r="JKI354" s="545"/>
      <c r="JKJ354" s="540"/>
      <c r="JKK354" s="545"/>
      <c r="JKL354" s="540"/>
      <c r="JKM354" s="545"/>
      <c r="JKN354" s="540"/>
      <c r="JKO354" s="545"/>
      <c r="JKP354" s="540"/>
      <c r="JKQ354" s="545"/>
      <c r="JKR354" s="540"/>
      <c r="JKS354" s="545"/>
      <c r="JKT354" s="540"/>
      <c r="JKU354" s="545"/>
      <c r="JKV354" s="540"/>
      <c r="JKW354" s="545"/>
      <c r="JKX354" s="540"/>
      <c r="JKY354" s="545"/>
      <c r="JKZ354" s="540"/>
      <c r="JLA354" s="545"/>
      <c r="JLB354" s="540"/>
      <c r="JLC354" s="545"/>
      <c r="JLD354" s="540"/>
      <c r="JLE354" s="545"/>
      <c r="JLF354" s="540"/>
      <c r="JLG354" s="545"/>
      <c r="JLH354" s="540"/>
      <c r="JLI354" s="545"/>
      <c r="JLJ354" s="540"/>
      <c r="JLK354" s="545"/>
      <c r="JLL354" s="540"/>
      <c r="JLM354" s="545"/>
      <c r="JLN354" s="540"/>
      <c r="JLO354" s="545"/>
      <c r="JLP354" s="540"/>
      <c r="JLQ354" s="545"/>
      <c r="JLR354" s="540"/>
      <c r="JLS354" s="545"/>
      <c r="JLT354" s="540"/>
      <c r="JLU354" s="545"/>
      <c r="JLV354" s="540"/>
      <c r="JLW354" s="545"/>
      <c r="JLX354" s="540"/>
      <c r="JLY354" s="545"/>
      <c r="JLZ354" s="540"/>
      <c r="JMA354" s="545"/>
      <c r="JMB354" s="540"/>
      <c r="JMC354" s="545"/>
      <c r="JMD354" s="540"/>
      <c r="JME354" s="545"/>
      <c r="JMF354" s="540"/>
      <c r="JMG354" s="545"/>
      <c r="JMH354" s="540"/>
      <c r="JMI354" s="545"/>
      <c r="JMJ354" s="540"/>
      <c r="JMK354" s="545"/>
      <c r="JML354" s="540"/>
      <c r="JMM354" s="545"/>
      <c r="JMN354" s="540"/>
      <c r="JMO354" s="545"/>
      <c r="JMP354" s="540"/>
      <c r="JMQ354" s="545"/>
      <c r="JMR354" s="540"/>
      <c r="JMS354" s="545"/>
      <c r="JMT354" s="540"/>
      <c r="JMU354" s="545"/>
      <c r="JMV354" s="540"/>
      <c r="JMW354" s="545"/>
      <c r="JMX354" s="540"/>
      <c r="JMY354" s="545"/>
      <c r="JMZ354" s="540"/>
      <c r="JNA354" s="545"/>
      <c r="JNB354" s="540"/>
      <c r="JNC354" s="545"/>
      <c r="JND354" s="540"/>
      <c r="JNE354" s="545"/>
      <c r="JNF354" s="540"/>
      <c r="JNG354" s="545"/>
      <c r="JNH354" s="540"/>
      <c r="JNI354" s="545"/>
      <c r="JNJ354" s="540"/>
      <c r="JNK354" s="545"/>
      <c r="JNL354" s="540"/>
      <c r="JNM354" s="545"/>
      <c r="JNN354" s="540"/>
      <c r="JNO354" s="545"/>
      <c r="JNP354" s="540"/>
      <c r="JNQ354" s="545"/>
      <c r="JNR354" s="540"/>
      <c r="JNS354" s="545"/>
      <c r="JNT354" s="540"/>
      <c r="JNU354" s="545"/>
      <c r="JNV354" s="540"/>
      <c r="JNW354" s="545"/>
      <c r="JNX354" s="540"/>
      <c r="JNY354" s="545"/>
      <c r="JNZ354" s="540"/>
      <c r="JOA354" s="545"/>
      <c r="JOB354" s="540"/>
      <c r="JOC354" s="545"/>
      <c r="JOD354" s="540"/>
      <c r="JOE354" s="545"/>
      <c r="JOF354" s="540"/>
      <c r="JOG354" s="545"/>
      <c r="JOH354" s="540"/>
      <c r="JOI354" s="545"/>
      <c r="JOJ354" s="540"/>
      <c r="JOK354" s="545"/>
      <c r="JOL354" s="540"/>
      <c r="JOM354" s="545"/>
      <c r="JON354" s="540"/>
      <c r="JOO354" s="545"/>
      <c r="JOP354" s="540"/>
      <c r="JOQ354" s="545"/>
      <c r="JOR354" s="540"/>
      <c r="JOS354" s="545"/>
      <c r="JOT354" s="540"/>
      <c r="JOU354" s="545"/>
      <c r="JOV354" s="540"/>
      <c r="JOW354" s="545"/>
      <c r="JOX354" s="540"/>
      <c r="JOY354" s="545"/>
      <c r="JOZ354" s="540"/>
      <c r="JPA354" s="545"/>
      <c r="JPB354" s="540"/>
      <c r="JPC354" s="545"/>
      <c r="JPD354" s="540"/>
      <c r="JPE354" s="545"/>
      <c r="JPF354" s="540"/>
      <c r="JPG354" s="545"/>
      <c r="JPH354" s="540"/>
      <c r="JPI354" s="545"/>
      <c r="JPJ354" s="540"/>
      <c r="JPK354" s="545"/>
      <c r="JPL354" s="540"/>
      <c r="JPM354" s="545"/>
      <c r="JPN354" s="540"/>
      <c r="JPO354" s="545"/>
      <c r="JPP354" s="540"/>
      <c r="JPQ354" s="545"/>
      <c r="JPR354" s="540"/>
      <c r="JPS354" s="545"/>
      <c r="JPT354" s="540"/>
      <c r="JPU354" s="545"/>
      <c r="JPV354" s="540"/>
      <c r="JPW354" s="545"/>
      <c r="JPX354" s="540"/>
      <c r="JPY354" s="545"/>
      <c r="JPZ354" s="540"/>
      <c r="JQA354" s="545"/>
      <c r="JQB354" s="540"/>
      <c r="JQC354" s="545"/>
      <c r="JQD354" s="540"/>
      <c r="JQE354" s="545"/>
      <c r="JQF354" s="540"/>
      <c r="JQG354" s="545"/>
      <c r="JQH354" s="540"/>
      <c r="JQI354" s="545"/>
      <c r="JQJ354" s="540"/>
      <c r="JQK354" s="545"/>
      <c r="JQL354" s="540"/>
      <c r="JQM354" s="545"/>
      <c r="JQN354" s="540"/>
      <c r="JQO354" s="545"/>
      <c r="JQP354" s="540"/>
      <c r="JQQ354" s="545"/>
      <c r="JQR354" s="540"/>
      <c r="JQS354" s="545"/>
      <c r="JQT354" s="540"/>
      <c r="JQU354" s="545"/>
      <c r="JQV354" s="540"/>
      <c r="JQW354" s="545"/>
      <c r="JQX354" s="540"/>
      <c r="JQY354" s="545"/>
      <c r="JQZ354" s="540"/>
      <c r="JRA354" s="545"/>
      <c r="JRB354" s="540"/>
      <c r="JRC354" s="545"/>
      <c r="JRD354" s="540"/>
      <c r="JRE354" s="545"/>
      <c r="JRF354" s="540"/>
      <c r="JRG354" s="545"/>
      <c r="JRH354" s="540"/>
      <c r="JRI354" s="545"/>
      <c r="JRJ354" s="540"/>
      <c r="JRK354" s="545"/>
      <c r="JRL354" s="540"/>
      <c r="JRM354" s="545"/>
      <c r="JRN354" s="540"/>
      <c r="JRO354" s="545"/>
      <c r="JRP354" s="540"/>
      <c r="JRQ354" s="545"/>
      <c r="JRR354" s="540"/>
      <c r="JRS354" s="545"/>
      <c r="JRT354" s="540"/>
      <c r="JRU354" s="545"/>
      <c r="JRV354" s="540"/>
      <c r="JRW354" s="545"/>
      <c r="JRX354" s="540"/>
      <c r="JRY354" s="545"/>
      <c r="JRZ354" s="540"/>
      <c r="JSA354" s="545"/>
      <c r="JSB354" s="540"/>
      <c r="JSC354" s="545"/>
      <c r="JSD354" s="540"/>
      <c r="JSE354" s="545"/>
      <c r="JSF354" s="540"/>
      <c r="JSG354" s="545"/>
      <c r="JSH354" s="540"/>
      <c r="JSI354" s="545"/>
      <c r="JSJ354" s="540"/>
      <c r="JSK354" s="545"/>
      <c r="JSL354" s="540"/>
      <c r="JSM354" s="545"/>
      <c r="JSN354" s="540"/>
      <c r="JSO354" s="545"/>
      <c r="JSP354" s="540"/>
      <c r="JSQ354" s="545"/>
      <c r="JSR354" s="540"/>
      <c r="JSS354" s="545"/>
      <c r="JST354" s="540"/>
      <c r="JSU354" s="545"/>
      <c r="JSV354" s="540"/>
      <c r="JSW354" s="545"/>
      <c r="JSX354" s="540"/>
      <c r="JSY354" s="545"/>
      <c r="JSZ354" s="540"/>
      <c r="JTA354" s="545"/>
      <c r="JTB354" s="540"/>
      <c r="JTC354" s="545"/>
      <c r="JTD354" s="540"/>
      <c r="JTE354" s="545"/>
      <c r="JTF354" s="540"/>
      <c r="JTG354" s="545"/>
      <c r="JTH354" s="540"/>
      <c r="JTI354" s="545"/>
      <c r="JTJ354" s="540"/>
      <c r="JTK354" s="545"/>
      <c r="JTL354" s="540"/>
      <c r="JTM354" s="545"/>
      <c r="JTN354" s="540"/>
      <c r="JTO354" s="545"/>
      <c r="JTP354" s="540"/>
      <c r="JTQ354" s="545"/>
      <c r="JTR354" s="540"/>
      <c r="JTS354" s="545"/>
      <c r="JTT354" s="540"/>
      <c r="JTU354" s="545"/>
      <c r="JTV354" s="540"/>
      <c r="JTW354" s="545"/>
      <c r="JTX354" s="540"/>
      <c r="JTY354" s="545"/>
      <c r="JTZ354" s="540"/>
      <c r="JUA354" s="545"/>
      <c r="JUB354" s="540"/>
      <c r="JUC354" s="545"/>
      <c r="JUD354" s="540"/>
      <c r="JUE354" s="545"/>
      <c r="JUF354" s="540"/>
      <c r="JUG354" s="545"/>
      <c r="JUH354" s="540"/>
      <c r="JUI354" s="545"/>
      <c r="JUJ354" s="540"/>
      <c r="JUK354" s="545"/>
      <c r="JUL354" s="540"/>
      <c r="JUM354" s="545"/>
      <c r="JUN354" s="540"/>
      <c r="JUO354" s="545"/>
      <c r="JUP354" s="540"/>
      <c r="JUQ354" s="545"/>
      <c r="JUR354" s="540"/>
      <c r="JUS354" s="545"/>
      <c r="JUT354" s="540"/>
      <c r="JUU354" s="545"/>
      <c r="JUV354" s="540"/>
      <c r="JUW354" s="545"/>
      <c r="JUX354" s="540"/>
      <c r="JUY354" s="545"/>
      <c r="JUZ354" s="540"/>
      <c r="JVA354" s="545"/>
      <c r="JVB354" s="540"/>
      <c r="JVC354" s="545"/>
      <c r="JVD354" s="540"/>
      <c r="JVE354" s="545"/>
      <c r="JVF354" s="540"/>
      <c r="JVG354" s="545"/>
      <c r="JVH354" s="540"/>
      <c r="JVI354" s="545"/>
      <c r="JVJ354" s="540"/>
      <c r="JVK354" s="545"/>
      <c r="JVL354" s="540"/>
      <c r="JVM354" s="545"/>
      <c r="JVN354" s="540"/>
      <c r="JVO354" s="545"/>
      <c r="JVP354" s="540"/>
      <c r="JVQ354" s="545"/>
      <c r="JVR354" s="540"/>
      <c r="JVS354" s="545"/>
      <c r="JVT354" s="540"/>
      <c r="JVU354" s="545"/>
      <c r="JVV354" s="540"/>
      <c r="JVW354" s="545"/>
      <c r="JVX354" s="540"/>
      <c r="JVY354" s="545"/>
      <c r="JVZ354" s="540"/>
      <c r="JWA354" s="545"/>
      <c r="JWB354" s="540"/>
      <c r="JWC354" s="545"/>
      <c r="JWD354" s="540"/>
      <c r="JWE354" s="545"/>
      <c r="JWF354" s="540"/>
      <c r="JWG354" s="545"/>
      <c r="JWH354" s="540"/>
      <c r="JWI354" s="545"/>
      <c r="JWJ354" s="540"/>
      <c r="JWK354" s="545"/>
      <c r="JWL354" s="540"/>
      <c r="JWM354" s="545"/>
      <c r="JWN354" s="540"/>
      <c r="JWO354" s="545"/>
      <c r="JWP354" s="540"/>
      <c r="JWQ354" s="545"/>
      <c r="JWR354" s="540"/>
      <c r="JWS354" s="545"/>
      <c r="JWT354" s="540"/>
      <c r="JWU354" s="545"/>
      <c r="JWV354" s="540"/>
      <c r="JWW354" s="545"/>
      <c r="JWX354" s="540"/>
      <c r="JWY354" s="545"/>
      <c r="JWZ354" s="540"/>
      <c r="JXA354" s="545"/>
      <c r="JXB354" s="540"/>
      <c r="JXC354" s="545"/>
      <c r="JXD354" s="540"/>
      <c r="JXE354" s="545"/>
      <c r="JXF354" s="540"/>
      <c r="JXG354" s="545"/>
      <c r="JXH354" s="540"/>
      <c r="JXI354" s="545"/>
      <c r="JXJ354" s="540"/>
      <c r="JXK354" s="545"/>
      <c r="JXL354" s="540"/>
      <c r="JXM354" s="545"/>
      <c r="JXN354" s="540"/>
      <c r="JXO354" s="545"/>
      <c r="JXP354" s="540"/>
      <c r="JXQ354" s="545"/>
      <c r="JXR354" s="540"/>
      <c r="JXS354" s="545"/>
      <c r="JXT354" s="540"/>
      <c r="JXU354" s="545"/>
      <c r="JXV354" s="540"/>
      <c r="JXW354" s="545"/>
      <c r="JXX354" s="540"/>
      <c r="JXY354" s="545"/>
      <c r="JXZ354" s="540"/>
      <c r="JYA354" s="545"/>
      <c r="JYB354" s="540"/>
      <c r="JYC354" s="545"/>
      <c r="JYD354" s="540"/>
      <c r="JYE354" s="545"/>
      <c r="JYF354" s="540"/>
      <c r="JYG354" s="545"/>
      <c r="JYH354" s="540"/>
      <c r="JYI354" s="545"/>
      <c r="JYJ354" s="540"/>
      <c r="JYK354" s="545"/>
      <c r="JYL354" s="540"/>
      <c r="JYM354" s="545"/>
      <c r="JYN354" s="540"/>
      <c r="JYO354" s="545"/>
      <c r="JYP354" s="540"/>
      <c r="JYQ354" s="545"/>
      <c r="JYR354" s="540"/>
      <c r="JYS354" s="545"/>
      <c r="JYT354" s="540"/>
      <c r="JYU354" s="545"/>
      <c r="JYV354" s="540"/>
      <c r="JYW354" s="545"/>
      <c r="JYX354" s="540"/>
      <c r="JYY354" s="545"/>
      <c r="JYZ354" s="540"/>
      <c r="JZA354" s="545"/>
      <c r="JZB354" s="540"/>
      <c r="JZC354" s="545"/>
      <c r="JZD354" s="540"/>
      <c r="JZE354" s="545"/>
      <c r="JZF354" s="540"/>
      <c r="JZG354" s="545"/>
      <c r="JZH354" s="540"/>
      <c r="JZI354" s="545"/>
      <c r="JZJ354" s="540"/>
      <c r="JZK354" s="545"/>
      <c r="JZL354" s="540"/>
      <c r="JZM354" s="545"/>
      <c r="JZN354" s="540"/>
      <c r="JZO354" s="545"/>
      <c r="JZP354" s="540"/>
      <c r="JZQ354" s="545"/>
      <c r="JZR354" s="540"/>
      <c r="JZS354" s="545"/>
      <c r="JZT354" s="540"/>
      <c r="JZU354" s="545"/>
      <c r="JZV354" s="540"/>
      <c r="JZW354" s="545"/>
      <c r="JZX354" s="540"/>
      <c r="JZY354" s="545"/>
      <c r="JZZ354" s="540"/>
      <c r="KAA354" s="545"/>
      <c r="KAB354" s="540"/>
      <c r="KAC354" s="545"/>
      <c r="KAD354" s="540"/>
      <c r="KAE354" s="545"/>
      <c r="KAF354" s="540"/>
      <c r="KAG354" s="545"/>
      <c r="KAH354" s="540"/>
      <c r="KAI354" s="545"/>
      <c r="KAJ354" s="540"/>
      <c r="KAK354" s="545"/>
      <c r="KAL354" s="540"/>
      <c r="KAM354" s="545"/>
      <c r="KAN354" s="540"/>
      <c r="KAO354" s="545"/>
      <c r="KAP354" s="540"/>
      <c r="KAQ354" s="545"/>
      <c r="KAR354" s="540"/>
      <c r="KAS354" s="545"/>
      <c r="KAT354" s="540"/>
      <c r="KAU354" s="545"/>
      <c r="KAV354" s="540"/>
      <c r="KAW354" s="545"/>
      <c r="KAX354" s="540"/>
      <c r="KAY354" s="545"/>
      <c r="KAZ354" s="540"/>
      <c r="KBA354" s="545"/>
      <c r="KBB354" s="540"/>
      <c r="KBC354" s="545"/>
      <c r="KBD354" s="540"/>
      <c r="KBE354" s="545"/>
      <c r="KBF354" s="540"/>
      <c r="KBG354" s="545"/>
      <c r="KBH354" s="540"/>
      <c r="KBI354" s="545"/>
      <c r="KBJ354" s="540"/>
      <c r="KBK354" s="545"/>
      <c r="KBL354" s="540"/>
      <c r="KBM354" s="545"/>
      <c r="KBN354" s="540"/>
      <c r="KBO354" s="545"/>
      <c r="KBP354" s="540"/>
      <c r="KBQ354" s="545"/>
      <c r="KBR354" s="540"/>
      <c r="KBS354" s="545"/>
      <c r="KBT354" s="540"/>
      <c r="KBU354" s="545"/>
      <c r="KBV354" s="540"/>
      <c r="KBW354" s="545"/>
      <c r="KBX354" s="540"/>
      <c r="KBY354" s="545"/>
      <c r="KBZ354" s="540"/>
      <c r="KCA354" s="545"/>
      <c r="KCB354" s="540"/>
      <c r="KCC354" s="545"/>
      <c r="KCD354" s="540"/>
      <c r="KCE354" s="545"/>
      <c r="KCF354" s="540"/>
      <c r="KCG354" s="545"/>
      <c r="KCH354" s="540"/>
      <c r="KCI354" s="545"/>
      <c r="KCJ354" s="540"/>
      <c r="KCK354" s="545"/>
      <c r="KCL354" s="540"/>
      <c r="KCM354" s="545"/>
      <c r="KCN354" s="540"/>
      <c r="KCO354" s="545"/>
      <c r="KCP354" s="540"/>
      <c r="KCQ354" s="545"/>
      <c r="KCR354" s="540"/>
      <c r="KCS354" s="545"/>
      <c r="KCT354" s="540"/>
      <c r="KCU354" s="545"/>
      <c r="KCV354" s="540"/>
      <c r="KCW354" s="545"/>
      <c r="KCX354" s="540"/>
      <c r="KCY354" s="545"/>
      <c r="KCZ354" s="540"/>
      <c r="KDA354" s="545"/>
      <c r="KDB354" s="540"/>
      <c r="KDC354" s="545"/>
      <c r="KDD354" s="540"/>
      <c r="KDE354" s="545"/>
      <c r="KDF354" s="540"/>
      <c r="KDG354" s="545"/>
      <c r="KDH354" s="540"/>
      <c r="KDI354" s="545"/>
      <c r="KDJ354" s="540"/>
      <c r="KDK354" s="545"/>
      <c r="KDL354" s="540"/>
      <c r="KDM354" s="545"/>
      <c r="KDN354" s="540"/>
      <c r="KDO354" s="545"/>
      <c r="KDP354" s="540"/>
      <c r="KDQ354" s="545"/>
      <c r="KDR354" s="540"/>
      <c r="KDS354" s="545"/>
      <c r="KDT354" s="540"/>
      <c r="KDU354" s="545"/>
      <c r="KDV354" s="540"/>
      <c r="KDW354" s="545"/>
      <c r="KDX354" s="540"/>
      <c r="KDY354" s="545"/>
      <c r="KDZ354" s="540"/>
      <c r="KEA354" s="545"/>
      <c r="KEB354" s="540"/>
      <c r="KEC354" s="545"/>
      <c r="KED354" s="540"/>
      <c r="KEE354" s="545"/>
      <c r="KEF354" s="540"/>
      <c r="KEG354" s="545"/>
      <c r="KEH354" s="540"/>
      <c r="KEI354" s="545"/>
      <c r="KEJ354" s="540"/>
      <c r="KEK354" s="545"/>
      <c r="KEL354" s="540"/>
      <c r="KEM354" s="545"/>
      <c r="KEN354" s="540"/>
      <c r="KEO354" s="545"/>
      <c r="KEP354" s="540"/>
      <c r="KEQ354" s="545"/>
      <c r="KER354" s="540"/>
      <c r="KES354" s="545"/>
      <c r="KET354" s="540"/>
      <c r="KEU354" s="545"/>
      <c r="KEV354" s="540"/>
      <c r="KEW354" s="545"/>
      <c r="KEX354" s="540"/>
      <c r="KEY354" s="545"/>
      <c r="KEZ354" s="540"/>
      <c r="KFA354" s="545"/>
      <c r="KFB354" s="540"/>
      <c r="KFC354" s="545"/>
      <c r="KFD354" s="540"/>
      <c r="KFE354" s="545"/>
      <c r="KFF354" s="540"/>
      <c r="KFG354" s="545"/>
      <c r="KFH354" s="540"/>
      <c r="KFI354" s="545"/>
      <c r="KFJ354" s="540"/>
      <c r="KFK354" s="545"/>
      <c r="KFL354" s="540"/>
      <c r="KFM354" s="545"/>
      <c r="KFN354" s="540"/>
      <c r="KFO354" s="545"/>
      <c r="KFP354" s="540"/>
      <c r="KFQ354" s="545"/>
      <c r="KFR354" s="540"/>
      <c r="KFS354" s="545"/>
      <c r="KFT354" s="540"/>
      <c r="KFU354" s="545"/>
      <c r="KFV354" s="540"/>
      <c r="KFW354" s="545"/>
      <c r="KFX354" s="540"/>
      <c r="KFY354" s="545"/>
      <c r="KFZ354" s="540"/>
      <c r="KGA354" s="545"/>
      <c r="KGB354" s="540"/>
      <c r="KGC354" s="545"/>
      <c r="KGD354" s="540"/>
      <c r="KGE354" s="545"/>
      <c r="KGF354" s="540"/>
      <c r="KGG354" s="545"/>
      <c r="KGH354" s="540"/>
      <c r="KGI354" s="545"/>
      <c r="KGJ354" s="540"/>
      <c r="KGK354" s="545"/>
      <c r="KGL354" s="540"/>
      <c r="KGM354" s="545"/>
      <c r="KGN354" s="540"/>
      <c r="KGO354" s="545"/>
      <c r="KGP354" s="540"/>
      <c r="KGQ354" s="545"/>
      <c r="KGR354" s="540"/>
      <c r="KGS354" s="545"/>
      <c r="KGT354" s="540"/>
      <c r="KGU354" s="545"/>
      <c r="KGV354" s="540"/>
      <c r="KGW354" s="545"/>
      <c r="KGX354" s="540"/>
      <c r="KGY354" s="545"/>
      <c r="KGZ354" s="540"/>
      <c r="KHA354" s="545"/>
      <c r="KHB354" s="540"/>
      <c r="KHC354" s="545"/>
      <c r="KHD354" s="540"/>
      <c r="KHE354" s="545"/>
      <c r="KHF354" s="540"/>
      <c r="KHG354" s="545"/>
      <c r="KHH354" s="540"/>
      <c r="KHI354" s="545"/>
      <c r="KHJ354" s="540"/>
      <c r="KHK354" s="545"/>
      <c r="KHL354" s="540"/>
      <c r="KHM354" s="545"/>
      <c r="KHN354" s="540"/>
      <c r="KHO354" s="545"/>
      <c r="KHP354" s="540"/>
      <c r="KHQ354" s="545"/>
      <c r="KHR354" s="540"/>
      <c r="KHS354" s="545"/>
      <c r="KHT354" s="540"/>
      <c r="KHU354" s="545"/>
      <c r="KHV354" s="540"/>
      <c r="KHW354" s="545"/>
      <c r="KHX354" s="540"/>
      <c r="KHY354" s="545"/>
      <c r="KHZ354" s="540"/>
      <c r="KIA354" s="545"/>
      <c r="KIB354" s="540"/>
      <c r="KIC354" s="545"/>
      <c r="KID354" s="540"/>
      <c r="KIE354" s="545"/>
      <c r="KIF354" s="540"/>
      <c r="KIG354" s="545"/>
      <c r="KIH354" s="540"/>
      <c r="KII354" s="545"/>
      <c r="KIJ354" s="540"/>
      <c r="KIK354" s="545"/>
      <c r="KIL354" s="540"/>
      <c r="KIM354" s="545"/>
      <c r="KIN354" s="540"/>
      <c r="KIO354" s="545"/>
      <c r="KIP354" s="540"/>
      <c r="KIQ354" s="545"/>
      <c r="KIR354" s="540"/>
      <c r="KIS354" s="545"/>
      <c r="KIT354" s="540"/>
      <c r="KIU354" s="545"/>
      <c r="KIV354" s="540"/>
      <c r="KIW354" s="545"/>
      <c r="KIX354" s="540"/>
      <c r="KIY354" s="545"/>
      <c r="KIZ354" s="540"/>
      <c r="KJA354" s="545"/>
      <c r="KJB354" s="540"/>
      <c r="KJC354" s="545"/>
      <c r="KJD354" s="540"/>
      <c r="KJE354" s="545"/>
      <c r="KJF354" s="540"/>
      <c r="KJG354" s="545"/>
      <c r="KJH354" s="540"/>
      <c r="KJI354" s="545"/>
      <c r="KJJ354" s="540"/>
      <c r="KJK354" s="545"/>
      <c r="KJL354" s="540"/>
      <c r="KJM354" s="545"/>
      <c r="KJN354" s="540"/>
      <c r="KJO354" s="545"/>
      <c r="KJP354" s="540"/>
      <c r="KJQ354" s="545"/>
      <c r="KJR354" s="540"/>
      <c r="KJS354" s="545"/>
      <c r="KJT354" s="540"/>
      <c r="KJU354" s="545"/>
      <c r="KJV354" s="540"/>
      <c r="KJW354" s="545"/>
      <c r="KJX354" s="540"/>
      <c r="KJY354" s="545"/>
      <c r="KJZ354" s="540"/>
      <c r="KKA354" s="545"/>
      <c r="KKB354" s="540"/>
      <c r="KKC354" s="545"/>
      <c r="KKD354" s="540"/>
      <c r="KKE354" s="545"/>
      <c r="KKF354" s="540"/>
      <c r="KKG354" s="545"/>
      <c r="KKH354" s="540"/>
      <c r="KKI354" s="545"/>
      <c r="KKJ354" s="540"/>
      <c r="KKK354" s="545"/>
      <c r="KKL354" s="540"/>
      <c r="KKM354" s="545"/>
      <c r="KKN354" s="540"/>
      <c r="KKO354" s="545"/>
      <c r="KKP354" s="540"/>
      <c r="KKQ354" s="545"/>
      <c r="KKR354" s="540"/>
      <c r="KKS354" s="545"/>
      <c r="KKT354" s="540"/>
      <c r="KKU354" s="545"/>
      <c r="KKV354" s="540"/>
      <c r="KKW354" s="545"/>
      <c r="KKX354" s="540"/>
      <c r="KKY354" s="545"/>
      <c r="KKZ354" s="540"/>
      <c r="KLA354" s="545"/>
      <c r="KLB354" s="540"/>
      <c r="KLC354" s="545"/>
      <c r="KLD354" s="540"/>
      <c r="KLE354" s="545"/>
      <c r="KLF354" s="540"/>
      <c r="KLG354" s="545"/>
      <c r="KLH354" s="540"/>
      <c r="KLI354" s="545"/>
      <c r="KLJ354" s="540"/>
      <c r="KLK354" s="545"/>
      <c r="KLL354" s="540"/>
      <c r="KLM354" s="545"/>
      <c r="KLN354" s="540"/>
      <c r="KLO354" s="545"/>
      <c r="KLP354" s="540"/>
      <c r="KLQ354" s="545"/>
      <c r="KLR354" s="540"/>
      <c r="KLS354" s="545"/>
      <c r="KLT354" s="540"/>
      <c r="KLU354" s="545"/>
      <c r="KLV354" s="540"/>
      <c r="KLW354" s="545"/>
      <c r="KLX354" s="540"/>
      <c r="KLY354" s="545"/>
      <c r="KLZ354" s="540"/>
      <c r="KMA354" s="545"/>
      <c r="KMB354" s="540"/>
      <c r="KMC354" s="545"/>
      <c r="KMD354" s="540"/>
      <c r="KME354" s="545"/>
      <c r="KMF354" s="540"/>
      <c r="KMG354" s="545"/>
      <c r="KMH354" s="540"/>
      <c r="KMI354" s="545"/>
      <c r="KMJ354" s="540"/>
      <c r="KMK354" s="545"/>
      <c r="KML354" s="540"/>
      <c r="KMM354" s="545"/>
      <c r="KMN354" s="540"/>
      <c r="KMO354" s="545"/>
      <c r="KMP354" s="540"/>
      <c r="KMQ354" s="545"/>
      <c r="KMR354" s="540"/>
      <c r="KMS354" s="545"/>
      <c r="KMT354" s="540"/>
      <c r="KMU354" s="545"/>
      <c r="KMV354" s="540"/>
      <c r="KMW354" s="545"/>
      <c r="KMX354" s="540"/>
      <c r="KMY354" s="545"/>
      <c r="KMZ354" s="540"/>
      <c r="KNA354" s="545"/>
      <c r="KNB354" s="540"/>
      <c r="KNC354" s="545"/>
      <c r="KND354" s="540"/>
      <c r="KNE354" s="545"/>
      <c r="KNF354" s="540"/>
      <c r="KNG354" s="545"/>
      <c r="KNH354" s="540"/>
      <c r="KNI354" s="545"/>
      <c r="KNJ354" s="540"/>
      <c r="KNK354" s="545"/>
      <c r="KNL354" s="540"/>
      <c r="KNM354" s="545"/>
      <c r="KNN354" s="540"/>
      <c r="KNO354" s="545"/>
      <c r="KNP354" s="540"/>
      <c r="KNQ354" s="545"/>
      <c r="KNR354" s="540"/>
      <c r="KNS354" s="545"/>
      <c r="KNT354" s="540"/>
      <c r="KNU354" s="545"/>
      <c r="KNV354" s="540"/>
      <c r="KNW354" s="545"/>
      <c r="KNX354" s="540"/>
      <c r="KNY354" s="545"/>
      <c r="KNZ354" s="540"/>
      <c r="KOA354" s="545"/>
      <c r="KOB354" s="540"/>
      <c r="KOC354" s="545"/>
      <c r="KOD354" s="540"/>
      <c r="KOE354" s="545"/>
      <c r="KOF354" s="540"/>
      <c r="KOG354" s="545"/>
      <c r="KOH354" s="540"/>
      <c r="KOI354" s="545"/>
      <c r="KOJ354" s="540"/>
      <c r="KOK354" s="545"/>
      <c r="KOL354" s="540"/>
      <c r="KOM354" s="545"/>
      <c r="KON354" s="540"/>
      <c r="KOO354" s="545"/>
      <c r="KOP354" s="540"/>
      <c r="KOQ354" s="545"/>
      <c r="KOR354" s="540"/>
      <c r="KOS354" s="545"/>
      <c r="KOT354" s="540"/>
      <c r="KOU354" s="545"/>
      <c r="KOV354" s="540"/>
      <c r="KOW354" s="545"/>
      <c r="KOX354" s="540"/>
      <c r="KOY354" s="545"/>
      <c r="KOZ354" s="540"/>
      <c r="KPA354" s="545"/>
      <c r="KPB354" s="540"/>
      <c r="KPC354" s="545"/>
      <c r="KPD354" s="540"/>
      <c r="KPE354" s="545"/>
      <c r="KPF354" s="540"/>
      <c r="KPG354" s="545"/>
      <c r="KPH354" s="540"/>
      <c r="KPI354" s="545"/>
      <c r="KPJ354" s="540"/>
      <c r="KPK354" s="545"/>
      <c r="KPL354" s="540"/>
      <c r="KPM354" s="545"/>
      <c r="KPN354" s="540"/>
      <c r="KPO354" s="545"/>
      <c r="KPP354" s="540"/>
      <c r="KPQ354" s="545"/>
      <c r="KPR354" s="540"/>
      <c r="KPS354" s="545"/>
      <c r="KPT354" s="540"/>
      <c r="KPU354" s="545"/>
      <c r="KPV354" s="540"/>
      <c r="KPW354" s="545"/>
      <c r="KPX354" s="540"/>
      <c r="KPY354" s="545"/>
      <c r="KPZ354" s="540"/>
      <c r="KQA354" s="545"/>
      <c r="KQB354" s="540"/>
      <c r="KQC354" s="545"/>
      <c r="KQD354" s="540"/>
      <c r="KQE354" s="545"/>
      <c r="KQF354" s="540"/>
      <c r="KQG354" s="545"/>
      <c r="KQH354" s="540"/>
      <c r="KQI354" s="545"/>
      <c r="KQJ354" s="540"/>
      <c r="KQK354" s="545"/>
      <c r="KQL354" s="540"/>
      <c r="KQM354" s="545"/>
      <c r="KQN354" s="540"/>
      <c r="KQO354" s="545"/>
      <c r="KQP354" s="540"/>
      <c r="KQQ354" s="545"/>
      <c r="KQR354" s="540"/>
      <c r="KQS354" s="545"/>
      <c r="KQT354" s="540"/>
      <c r="KQU354" s="545"/>
      <c r="KQV354" s="540"/>
      <c r="KQW354" s="545"/>
      <c r="KQX354" s="540"/>
      <c r="KQY354" s="545"/>
      <c r="KQZ354" s="540"/>
      <c r="KRA354" s="545"/>
      <c r="KRB354" s="540"/>
      <c r="KRC354" s="545"/>
      <c r="KRD354" s="540"/>
      <c r="KRE354" s="545"/>
      <c r="KRF354" s="540"/>
      <c r="KRG354" s="545"/>
      <c r="KRH354" s="540"/>
      <c r="KRI354" s="545"/>
      <c r="KRJ354" s="540"/>
      <c r="KRK354" s="545"/>
      <c r="KRL354" s="540"/>
      <c r="KRM354" s="545"/>
      <c r="KRN354" s="540"/>
      <c r="KRO354" s="545"/>
      <c r="KRP354" s="540"/>
      <c r="KRQ354" s="545"/>
      <c r="KRR354" s="540"/>
      <c r="KRS354" s="545"/>
      <c r="KRT354" s="540"/>
      <c r="KRU354" s="545"/>
      <c r="KRV354" s="540"/>
      <c r="KRW354" s="545"/>
      <c r="KRX354" s="540"/>
      <c r="KRY354" s="545"/>
      <c r="KRZ354" s="540"/>
      <c r="KSA354" s="545"/>
      <c r="KSB354" s="540"/>
      <c r="KSC354" s="545"/>
      <c r="KSD354" s="540"/>
      <c r="KSE354" s="545"/>
      <c r="KSF354" s="540"/>
      <c r="KSG354" s="545"/>
      <c r="KSH354" s="540"/>
      <c r="KSI354" s="545"/>
      <c r="KSJ354" s="540"/>
      <c r="KSK354" s="545"/>
      <c r="KSL354" s="540"/>
      <c r="KSM354" s="545"/>
      <c r="KSN354" s="540"/>
      <c r="KSO354" s="545"/>
      <c r="KSP354" s="540"/>
      <c r="KSQ354" s="545"/>
      <c r="KSR354" s="540"/>
      <c r="KSS354" s="545"/>
      <c r="KST354" s="540"/>
      <c r="KSU354" s="545"/>
      <c r="KSV354" s="540"/>
      <c r="KSW354" s="545"/>
      <c r="KSX354" s="540"/>
      <c r="KSY354" s="545"/>
      <c r="KSZ354" s="540"/>
      <c r="KTA354" s="545"/>
      <c r="KTB354" s="540"/>
      <c r="KTC354" s="545"/>
      <c r="KTD354" s="540"/>
      <c r="KTE354" s="545"/>
      <c r="KTF354" s="540"/>
      <c r="KTG354" s="545"/>
      <c r="KTH354" s="540"/>
      <c r="KTI354" s="545"/>
      <c r="KTJ354" s="540"/>
      <c r="KTK354" s="545"/>
      <c r="KTL354" s="540"/>
      <c r="KTM354" s="545"/>
      <c r="KTN354" s="540"/>
      <c r="KTO354" s="545"/>
      <c r="KTP354" s="540"/>
      <c r="KTQ354" s="545"/>
      <c r="KTR354" s="540"/>
      <c r="KTS354" s="545"/>
      <c r="KTT354" s="540"/>
      <c r="KTU354" s="545"/>
      <c r="KTV354" s="540"/>
      <c r="KTW354" s="545"/>
      <c r="KTX354" s="540"/>
      <c r="KTY354" s="545"/>
      <c r="KTZ354" s="540"/>
      <c r="KUA354" s="545"/>
      <c r="KUB354" s="540"/>
      <c r="KUC354" s="545"/>
      <c r="KUD354" s="540"/>
      <c r="KUE354" s="545"/>
      <c r="KUF354" s="540"/>
      <c r="KUG354" s="545"/>
      <c r="KUH354" s="540"/>
      <c r="KUI354" s="545"/>
      <c r="KUJ354" s="540"/>
      <c r="KUK354" s="545"/>
      <c r="KUL354" s="540"/>
      <c r="KUM354" s="545"/>
      <c r="KUN354" s="540"/>
      <c r="KUO354" s="545"/>
      <c r="KUP354" s="540"/>
      <c r="KUQ354" s="545"/>
      <c r="KUR354" s="540"/>
      <c r="KUS354" s="545"/>
      <c r="KUT354" s="540"/>
      <c r="KUU354" s="545"/>
      <c r="KUV354" s="540"/>
      <c r="KUW354" s="545"/>
      <c r="KUX354" s="540"/>
      <c r="KUY354" s="545"/>
      <c r="KUZ354" s="540"/>
      <c r="KVA354" s="545"/>
      <c r="KVB354" s="540"/>
      <c r="KVC354" s="545"/>
      <c r="KVD354" s="540"/>
      <c r="KVE354" s="545"/>
      <c r="KVF354" s="540"/>
      <c r="KVG354" s="545"/>
      <c r="KVH354" s="540"/>
      <c r="KVI354" s="545"/>
      <c r="KVJ354" s="540"/>
      <c r="KVK354" s="545"/>
      <c r="KVL354" s="540"/>
      <c r="KVM354" s="545"/>
      <c r="KVN354" s="540"/>
      <c r="KVO354" s="545"/>
      <c r="KVP354" s="540"/>
      <c r="KVQ354" s="545"/>
      <c r="KVR354" s="540"/>
      <c r="KVS354" s="545"/>
      <c r="KVT354" s="540"/>
      <c r="KVU354" s="545"/>
      <c r="KVV354" s="540"/>
      <c r="KVW354" s="545"/>
      <c r="KVX354" s="540"/>
      <c r="KVY354" s="545"/>
      <c r="KVZ354" s="540"/>
      <c r="KWA354" s="545"/>
      <c r="KWB354" s="540"/>
      <c r="KWC354" s="545"/>
      <c r="KWD354" s="540"/>
      <c r="KWE354" s="545"/>
      <c r="KWF354" s="540"/>
      <c r="KWG354" s="545"/>
      <c r="KWH354" s="540"/>
      <c r="KWI354" s="545"/>
      <c r="KWJ354" s="540"/>
      <c r="KWK354" s="545"/>
      <c r="KWL354" s="540"/>
      <c r="KWM354" s="545"/>
      <c r="KWN354" s="540"/>
      <c r="KWO354" s="545"/>
      <c r="KWP354" s="540"/>
      <c r="KWQ354" s="545"/>
      <c r="KWR354" s="540"/>
      <c r="KWS354" s="545"/>
      <c r="KWT354" s="540"/>
      <c r="KWU354" s="545"/>
      <c r="KWV354" s="540"/>
      <c r="KWW354" s="545"/>
      <c r="KWX354" s="540"/>
      <c r="KWY354" s="545"/>
      <c r="KWZ354" s="540"/>
      <c r="KXA354" s="545"/>
      <c r="KXB354" s="540"/>
      <c r="KXC354" s="545"/>
      <c r="KXD354" s="540"/>
      <c r="KXE354" s="545"/>
      <c r="KXF354" s="540"/>
      <c r="KXG354" s="545"/>
      <c r="KXH354" s="540"/>
      <c r="KXI354" s="545"/>
      <c r="KXJ354" s="540"/>
      <c r="KXK354" s="545"/>
      <c r="KXL354" s="540"/>
      <c r="KXM354" s="545"/>
      <c r="KXN354" s="540"/>
      <c r="KXO354" s="545"/>
      <c r="KXP354" s="540"/>
      <c r="KXQ354" s="545"/>
      <c r="KXR354" s="540"/>
      <c r="KXS354" s="545"/>
      <c r="KXT354" s="540"/>
      <c r="KXU354" s="545"/>
      <c r="KXV354" s="540"/>
      <c r="KXW354" s="545"/>
      <c r="KXX354" s="540"/>
      <c r="KXY354" s="545"/>
      <c r="KXZ354" s="540"/>
      <c r="KYA354" s="545"/>
      <c r="KYB354" s="540"/>
      <c r="KYC354" s="545"/>
      <c r="KYD354" s="540"/>
      <c r="KYE354" s="545"/>
      <c r="KYF354" s="540"/>
      <c r="KYG354" s="545"/>
      <c r="KYH354" s="540"/>
      <c r="KYI354" s="545"/>
      <c r="KYJ354" s="540"/>
      <c r="KYK354" s="545"/>
      <c r="KYL354" s="540"/>
      <c r="KYM354" s="545"/>
      <c r="KYN354" s="540"/>
      <c r="KYO354" s="545"/>
      <c r="KYP354" s="540"/>
      <c r="KYQ354" s="545"/>
      <c r="KYR354" s="540"/>
      <c r="KYS354" s="545"/>
      <c r="KYT354" s="540"/>
      <c r="KYU354" s="545"/>
      <c r="KYV354" s="540"/>
      <c r="KYW354" s="545"/>
      <c r="KYX354" s="540"/>
      <c r="KYY354" s="545"/>
      <c r="KYZ354" s="540"/>
      <c r="KZA354" s="545"/>
      <c r="KZB354" s="540"/>
      <c r="KZC354" s="545"/>
      <c r="KZD354" s="540"/>
      <c r="KZE354" s="545"/>
      <c r="KZF354" s="540"/>
      <c r="KZG354" s="545"/>
      <c r="KZH354" s="540"/>
      <c r="KZI354" s="545"/>
      <c r="KZJ354" s="540"/>
      <c r="KZK354" s="545"/>
      <c r="KZL354" s="540"/>
      <c r="KZM354" s="545"/>
      <c r="KZN354" s="540"/>
      <c r="KZO354" s="545"/>
      <c r="KZP354" s="540"/>
      <c r="KZQ354" s="545"/>
      <c r="KZR354" s="540"/>
      <c r="KZS354" s="545"/>
      <c r="KZT354" s="540"/>
      <c r="KZU354" s="545"/>
      <c r="KZV354" s="540"/>
      <c r="KZW354" s="545"/>
      <c r="KZX354" s="540"/>
      <c r="KZY354" s="545"/>
      <c r="KZZ354" s="540"/>
      <c r="LAA354" s="545"/>
      <c r="LAB354" s="540"/>
      <c r="LAC354" s="545"/>
      <c r="LAD354" s="540"/>
      <c r="LAE354" s="545"/>
      <c r="LAF354" s="540"/>
      <c r="LAG354" s="545"/>
      <c r="LAH354" s="540"/>
      <c r="LAI354" s="545"/>
      <c r="LAJ354" s="540"/>
      <c r="LAK354" s="545"/>
      <c r="LAL354" s="540"/>
      <c r="LAM354" s="545"/>
      <c r="LAN354" s="540"/>
      <c r="LAO354" s="545"/>
      <c r="LAP354" s="540"/>
      <c r="LAQ354" s="545"/>
      <c r="LAR354" s="540"/>
      <c r="LAS354" s="545"/>
      <c r="LAT354" s="540"/>
      <c r="LAU354" s="545"/>
      <c r="LAV354" s="540"/>
      <c r="LAW354" s="545"/>
      <c r="LAX354" s="540"/>
      <c r="LAY354" s="545"/>
      <c r="LAZ354" s="540"/>
      <c r="LBA354" s="545"/>
      <c r="LBB354" s="540"/>
      <c r="LBC354" s="545"/>
      <c r="LBD354" s="540"/>
      <c r="LBE354" s="545"/>
      <c r="LBF354" s="540"/>
      <c r="LBG354" s="545"/>
      <c r="LBH354" s="540"/>
      <c r="LBI354" s="545"/>
      <c r="LBJ354" s="540"/>
      <c r="LBK354" s="545"/>
      <c r="LBL354" s="540"/>
      <c r="LBM354" s="545"/>
      <c r="LBN354" s="540"/>
      <c r="LBO354" s="545"/>
      <c r="LBP354" s="540"/>
      <c r="LBQ354" s="545"/>
      <c r="LBR354" s="540"/>
      <c r="LBS354" s="545"/>
      <c r="LBT354" s="540"/>
      <c r="LBU354" s="545"/>
      <c r="LBV354" s="540"/>
      <c r="LBW354" s="545"/>
      <c r="LBX354" s="540"/>
      <c r="LBY354" s="545"/>
      <c r="LBZ354" s="540"/>
      <c r="LCA354" s="545"/>
      <c r="LCB354" s="540"/>
      <c r="LCC354" s="545"/>
      <c r="LCD354" s="540"/>
      <c r="LCE354" s="545"/>
      <c r="LCF354" s="540"/>
      <c r="LCG354" s="545"/>
      <c r="LCH354" s="540"/>
      <c r="LCI354" s="545"/>
      <c r="LCJ354" s="540"/>
      <c r="LCK354" s="545"/>
      <c r="LCL354" s="540"/>
      <c r="LCM354" s="545"/>
      <c r="LCN354" s="540"/>
      <c r="LCO354" s="545"/>
      <c r="LCP354" s="540"/>
      <c r="LCQ354" s="545"/>
      <c r="LCR354" s="540"/>
      <c r="LCS354" s="545"/>
      <c r="LCT354" s="540"/>
      <c r="LCU354" s="545"/>
      <c r="LCV354" s="540"/>
      <c r="LCW354" s="545"/>
      <c r="LCX354" s="540"/>
      <c r="LCY354" s="545"/>
      <c r="LCZ354" s="540"/>
      <c r="LDA354" s="545"/>
      <c r="LDB354" s="540"/>
      <c r="LDC354" s="545"/>
      <c r="LDD354" s="540"/>
      <c r="LDE354" s="545"/>
      <c r="LDF354" s="540"/>
      <c r="LDG354" s="545"/>
      <c r="LDH354" s="540"/>
      <c r="LDI354" s="545"/>
      <c r="LDJ354" s="540"/>
      <c r="LDK354" s="545"/>
      <c r="LDL354" s="540"/>
      <c r="LDM354" s="545"/>
      <c r="LDN354" s="540"/>
      <c r="LDO354" s="545"/>
      <c r="LDP354" s="540"/>
      <c r="LDQ354" s="545"/>
      <c r="LDR354" s="540"/>
      <c r="LDS354" s="545"/>
      <c r="LDT354" s="540"/>
      <c r="LDU354" s="545"/>
      <c r="LDV354" s="540"/>
      <c r="LDW354" s="545"/>
      <c r="LDX354" s="540"/>
      <c r="LDY354" s="545"/>
      <c r="LDZ354" s="540"/>
      <c r="LEA354" s="545"/>
      <c r="LEB354" s="540"/>
      <c r="LEC354" s="545"/>
      <c r="LED354" s="540"/>
      <c r="LEE354" s="545"/>
      <c r="LEF354" s="540"/>
      <c r="LEG354" s="545"/>
      <c r="LEH354" s="540"/>
      <c r="LEI354" s="545"/>
      <c r="LEJ354" s="540"/>
      <c r="LEK354" s="545"/>
      <c r="LEL354" s="540"/>
      <c r="LEM354" s="545"/>
      <c r="LEN354" s="540"/>
      <c r="LEO354" s="545"/>
      <c r="LEP354" s="540"/>
      <c r="LEQ354" s="545"/>
      <c r="LER354" s="540"/>
      <c r="LES354" s="545"/>
      <c r="LET354" s="540"/>
      <c r="LEU354" s="545"/>
      <c r="LEV354" s="540"/>
      <c r="LEW354" s="545"/>
      <c r="LEX354" s="540"/>
      <c r="LEY354" s="545"/>
      <c r="LEZ354" s="540"/>
      <c r="LFA354" s="545"/>
      <c r="LFB354" s="540"/>
      <c r="LFC354" s="545"/>
      <c r="LFD354" s="540"/>
      <c r="LFE354" s="545"/>
      <c r="LFF354" s="540"/>
      <c r="LFG354" s="545"/>
      <c r="LFH354" s="540"/>
      <c r="LFI354" s="545"/>
      <c r="LFJ354" s="540"/>
      <c r="LFK354" s="545"/>
      <c r="LFL354" s="540"/>
      <c r="LFM354" s="545"/>
      <c r="LFN354" s="540"/>
      <c r="LFO354" s="545"/>
      <c r="LFP354" s="540"/>
      <c r="LFQ354" s="545"/>
      <c r="LFR354" s="540"/>
      <c r="LFS354" s="545"/>
      <c r="LFT354" s="540"/>
      <c r="LFU354" s="545"/>
      <c r="LFV354" s="540"/>
      <c r="LFW354" s="545"/>
      <c r="LFX354" s="540"/>
      <c r="LFY354" s="545"/>
      <c r="LFZ354" s="540"/>
      <c r="LGA354" s="545"/>
      <c r="LGB354" s="540"/>
      <c r="LGC354" s="545"/>
      <c r="LGD354" s="540"/>
      <c r="LGE354" s="545"/>
      <c r="LGF354" s="540"/>
      <c r="LGG354" s="545"/>
      <c r="LGH354" s="540"/>
      <c r="LGI354" s="545"/>
      <c r="LGJ354" s="540"/>
      <c r="LGK354" s="545"/>
      <c r="LGL354" s="540"/>
      <c r="LGM354" s="545"/>
      <c r="LGN354" s="540"/>
      <c r="LGO354" s="545"/>
      <c r="LGP354" s="540"/>
      <c r="LGQ354" s="545"/>
      <c r="LGR354" s="540"/>
      <c r="LGS354" s="545"/>
      <c r="LGT354" s="540"/>
      <c r="LGU354" s="545"/>
      <c r="LGV354" s="540"/>
      <c r="LGW354" s="545"/>
      <c r="LGX354" s="540"/>
      <c r="LGY354" s="545"/>
      <c r="LGZ354" s="540"/>
      <c r="LHA354" s="545"/>
      <c r="LHB354" s="540"/>
      <c r="LHC354" s="545"/>
      <c r="LHD354" s="540"/>
      <c r="LHE354" s="545"/>
      <c r="LHF354" s="540"/>
      <c r="LHG354" s="545"/>
      <c r="LHH354" s="540"/>
      <c r="LHI354" s="545"/>
      <c r="LHJ354" s="540"/>
      <c r="LHK354" s="545"/>
      <c r="LHL354" s="540"/>
      <c r="LHM354" s="545"/>
      <c r="LHN354" s="540"/>
      <c r="LHO354" s="545"/>
      <c r="LHP354" s="540"/>
      <c r="LHQ354" s="545"/>
      <c r="LHR354" s="540"/>
      <c r="LHS354" s="545"/>
      <c r="LHT354" s="540"/>
      <c r="LHU354" s="545"/>
      <c r="LHV354" s="540"/>
      <c r="LHW354" s="545"/>
      <c r="LHX354" s="540"/>
      <c r="LHY354" s="545"/>
      <c r="LHZ354" s="540"/>
      <c r="LIA354" s="545"/>
      <c r="LIB354" s="540"/>
      <c r="LIC354" s="545"/>
      <c r="LID354" s="540"/>
      <c r="LIE354" s="545"/>
      <c r="LIF354" s="540"/>
      <c r="LIG354" s="545"/>
      <c r="LIH354" s="540"/>
      <c r="LII354" s="545"/>
      <c r="LIJ354" s="540"/>
      <c r="LIK354" s="545"/>
      <c r="LIL354" s="540"/>
      <c r="LIM354" s="545"/>
      <c r="LIN354" s="540"/>
      <c r="LIO354" s="545"/>
      <c r="LIP354" s="540"/>
      <c r="LIQ354" s="545"/>
      <c r="LIR354" s="540"/>
      <c r="LIS354" s="545"/>
      <c r="LIT354" s="540"/>
      <c r="LIU354" s="545"/>
      <c r="LIV354" s="540"/>
      <c r="LIW354" s="545"/>
      <c r="LIX354" s="540"/>
      <c r="LIY354" s="545"/>
      <c r="LIZ354" s="540"/>
      <c r="LJA354" s="545"/>
      <c r="LJB354" s="540"/>
      <c r="LJC354" s="545"/>
      <c r="LJD354" s="540"/>
      <c r="LJE354" s="545"/>
      <c r="LJF354" s="540"/>
      <c r="LJG354" s="545"/>
      <c r="LJH354" s="540"/>
      <c r="LJI354" s="545"/>
      <c r="LJJ354" s="540"/>
      <c r="LJK354" s="545"/>
      <c r="LJL354" s="540"/>
      <c r="LJM354" s="545"/>
      <c r="LJN354" s="540"/>
      <c r="LJO354" s="545"/>
      <c r="LJP354" s="540"/>
      <c r="LJQ354" s="545"/>
      <c r="LJR354" s="540"/>
      <c r="LJS354" s="545"/>
      <c r="LJT354" s="540"/>
      <c r="LJU354" s="545"/>
      <c r="LJV354" s="540"/>
      <c r="LJW354" s="545"/>
      <c r="LJX354" s="540"/>
      <c r="LJY354" s="545"/>
      <c r="LJZ354" s="540"/>
      <c r="LKA354" s="545"/>
      <c r="LKB354" s="540"/>
      <c r="LKC354" s="545"/>
      <c r="LKD354" s="540"/>
      <c r="LKE354" s="545"/>
      <c r="LKF354" s="540"/>
      <c r="LKG354" s="545"/>
      <c r="LKH354" s="540"/>
      <c r="LKI354" s="545"/>
      <c r="LKJ354" s="540"/>
      <c r="LKK354" s="545"/>
      <c r="LKL354" s="540"/>
      <c r="LKM354" s="545"/>
      <c r="LKN354" s="540"/>
      <c r="LKO354" s="545"/>
      <c r="LKP354" s="540"/>
      <c r="LKQ354" s="545"/>
      <c r="LKR354" s="540"/>
      <c r="LKS354" s="545"/>
      <c r="LKT354" s="540"/>
      <c r="LKU354" s="545"/>
      <c r="LKV354" s="540"/>
      <c r="LKW354" s="545"/>
      <c r="LKX354" s="540"/>
      <c r="LKY354" s="545"/>
      <c r="LKZ354" s="540"/>
      <c r="LLA354" s="545"/>
      <c r="LLB354" s="540"/>
      <c r="LLC354" s="545"/>
      <c r="LLD354" s="540"/>
      <c r="LLE354" s="545"/>
      <c r="LLF354" s="540"/>
      <c r="LLG354" s="545"/>
      <c r="LLH354" s="540"/>
      <c r="LLI354" s="545"/>
      <c r="LLJ354" s="540"/>
      <c r="LLK354" s="545"/>
      <c r="LLL354" s="540"/>
      <c r="LLM354" s="545"/>
      <c r="LLN354" s="540"/>
      <c r="LLO354" s="545"/>
      <c r="LLP354" s="540"/>
      <c r="LLQ354" s="545"/>
      <c r="LLR354" s="540"/>
      <c r="LLS354" s="545"/>
      <c r="LLT354" s="540"/>
      <c r="LLU354" s="545"/>
      <c r="LLV354" s="540"/>
      <c r="LLW354" s="545"/>
      <c r="LLX354" s="540"/>
      <c r="LLY354" s="545"/>
      <c r="LLZ354" s="540"/>
      <c r="LMA354" s="545"/>
      <c r="LMB354" s="540"/>
      <c r="LMC354" s="545"/>
      <c r="LMD354" s="540"/>
      <c r="LME354" s="545"/>
      <c r="LMF354" s="540"/>
      <c r="LMG354" s="545"/>
      <c r="LMH354" s="540"/>
      <c r="LMI354" s="545"/>
      <c r="LMJ354" s="540"/>
      <c r="LMK354" s="545"/>
      <c r="LML354" s="540"/>
      <c r="LMM354" s="545"/>
      <c r="LMN354" s="540"/>
      <c r="LMO354" s="545"/>
      <c r="LMP354" s="540"/>
      <c r="LMQ354" s="545"/>
      <c r="LMR354" s="540"/>
      <c r="LMS354" s="545"/>
      <c r="LMT354" s="540"/>
      <c r="LMU354" s="545"/>
      <c r="LMV354" s="540"/>
      <c r="LMW354" s="545"/>
      <c r="LMX354" s="540"/>
      <c r="LMY354" s="545"/>
      <c r="LMZ354" s="540"/>
      <c r="LNA354" s="545"/>
      <c r="LNB354" s="540"/>
      <c r="LNC354" s="545"/>
      <c r="LND354" s="540"/>
      <c r="LNE354" s="545"/>
      <c r="LNF354" s="540"/>
      <c r="LNG354" s="545"/>
      <c r="LNH354" s="540"/>
      <c r="LNI354" s="545"/>
      <c r="LNJ354" s="540"/>
      <c r="LNK354" s="545"/>
      <c r="LNL354" s="540"/>
      <c r="LNM354" s="545"/>
      <c r="LNN354" s="540"/>
      <c r="LNO354" s="545"/>
      <c r="LNP354" s="540"/>
      <c r="LNQ354" s="545"/>
      <c r="LNR354" s="540"/>
      <c r="LNS354" s="545"/>
      <c r="LNT354" s="540"/>
      <c r="LNU354" s="545"/>
      <c r="LNV354" s="540"/>
      <c r="LNW354" s="545"/>
      <c r="LNX354" s="540"/>
      <c r="LNY354" s="545"/>
      <c r="LNZ354" s="540"/>
      <c r="LOA354" s="545"/>
      <c r="LOB354" s="540"/>
      <c r="LOC354" s="545"/>
      <c r="LOD354" s="540"/>
      <c r="LOE354" s="545"/>
      <c r="LOF354" s="540"/>
      <c r="LOG354" s="545"/>
      <c r="LOH354" s="540"/>
      <c r="LOI354" s="545"/>
      <c r="LOJ354" s="540"/>
      <c r="LOK354" s="545"/>
      <c r="LOL354" s="540"/>
      <c r="LOM354" s="545"/>
      <c r="LON354" s="540"/>
      <c r="LOO354" s="545"/>
      <c r="LOP354" s="540"/>
      <c r="LOQ354" s="545"/>
      <c r="LOR354" s="540"/>
      <c r="LOS354" s="545"/>
      <c r="LOT354" s="540"/>
      <c r="LOU354" s="545"/>
      <c r="LOV354" s="540"/>
      <c r="LOW354" s="545"/>
      <c r="LOX354" s="540"/>
      <c r="LOY354" s="545"/>
      <c r="LOZ354" s="540"/>
      <c r="LPA354" s="545"/>
      <c r="LPB354" s="540"/>
      <c r="LPC354" s="545"/>
      <c r="LPD354" s="540"/>
      <c r="LPE354" s="545"/>
      <c r="LPF354" s="540"/>
      <c r="LPG354" s="545"/>
      <c r="LPH354" s="540"/>
      <c r="LPI354" s="545"/>
      <c r="LPJ354" s="540"/>
      <c r="LPK354" s="545"/>
      <c r="LPL354" s="540"/>
      <c r="LPM354" s="545"/>
      <c r="LPN354" s="540"/>
      <c r="LPO354" s="545"/>
      <c r="LPP354" s="540"/>
      <c r="LPQ354" s="545"/>
      <c r="LPR354" s="540"/>
      <c r="LPS354" s="545"/>
      <c r="LPT354" s="540"/>
      <c r="LPU354" s="545"/>
      <c r="LPV354" s="540"/>
      <c r="LPW354" s="545"/>
      <c r="LPX354" s="540"/>
      <c r="LPY354" s="545"/>
      <c r="LPZ354" s="540"/>
      <c r="LQA354" s="545"/>
      <c r="LQB354" s="540"/>
      <c r="LQC354" s="545"/>
      <c r="LQD354" s="540"/>
      <c r="LQE354" s="545"/>
      <c r="LQF354" s="540"/>
      <c r="LQG354" s="545"/>
      <c r="LQH354" s="540"/>
      <c r="LQI354" s="545"/>
      <c r="LQJ354" s="540"/>
      <c r="LQK354" s="545"/>
      <c r="LQL354" s="540"/>
      <c r="LQM354" s="545"/>
      <c r="LQN354" s="540"/>
      <c r="LQO354" s="545"/>
      <c r="LQP354" s="540"/>
      <c r="LQQ354" s="545"/>
      <c r="LQR354" s="540"/>
      <c r="LQS354" s="545"/>
      <c r="LQT354" s="540"/>
      <c r="LQU354" s="545"/>
      <c r="LQV354" s="540"/>
      <c r="LQW354" s="545"/>
      <c r="LQX354" s="540"/>
      <c r="LQY354" s="545"/>
      <c r="LQZ354" s="540"/>
      <c r="LRA354" s="545"/>
      <c r="LRB354" s="540"/>
      <c r="LRC354" s="545"/>
      <c r="LRD354" s="540"/>
      <c r="LRE354" s="545"/>
      <c r="LRF354" s="540"/>
      <c r="LRG354" s="545"/>
      <c r="LRH354" s="540"/>
      <c r="LRI354" s="545"/>
      <c r="LRJ354" s="540"/>
      <c r="LRK354" s="545"/>
      <c r="LRL354" s="540"/>
      <c r="LRM354" s="545"/>
      <c r="LRN354" s="540"/>
      <c r="LRO354" s="545"/>
      <c r="LRP354" s="540"/>
      <c r="LRQ354" s="545"/>
      <c r="LRR354" s="540"/>
      <c r="LRS354" s="545"/>
      <c r="LRT354" s="540"/>
      <c r="LRU354" s="545"/>
      <c r="LRV354" s="540"/>
      <c r="LRW354" s="545"/>
      <c r="LRX354" s="540"/>
      <c r="LRY354" s="545"/>
      <c r="LRZ354" s="540"/>
      <c r="LSA354" s="545"/>
      <c r="LSB354" s="540"/>
      <c r="LSC354" s="545"/>
      <c r="LSD354" s="540"/>
      <c r="LSE354" s="545"/>
      <c r="LSF354" s="540"/>
      <c r="LSG354" s="545"/>
      <c r="LSH354" s="540"/>
      <c r="LSI354" s="545"/>
      <c r="LSJ354" s="540"/>
      <c r="LSK354" s="545"/>
      <c r="LSL354" s="540"/>
      <c r="LSM354" s="545"/>
      <c r="LSN354" s="540"/>
      <c r="LSO354" s="545"/>
      <c r="LSP354" s="540"/>
      <c r="LSQ354" s="545"/>
      <c r="LSR354" s="540"/>
      <c r="LSS354" s="545"/>
      <c r="LST354" s="540"/>
      <c r="LSU354" s="545"/>
      <c r="LSV354" s="540"/>
      <c r="LSW354" s="545"/>
      <c r="LSX354" s="540"/>
      <c r="LSY354" s="545"/>
      <c r="LSZ354" s="540"/>
      <c r="LTA354" s="545"/>
      <c r="LTB354" s="540"/>
      <c r="LTC354" s="545"/>
      <c r="LTD354" s="540"/>
      <c r="LTE354" s="545"/>
      <c r="LTF354" s="540"/>
      <c r="LTG354" s="545"/>
      <c r="LTH354" s="540"/>
      <c r="LTI354" s="545"/>
      <c r="LTJ354" s="540"/>
      <c r="LTK354" s="545"/>
      <c r="LTL354" s="540"/>
      <c r="LTM354" s="545"/>
      <c r="LTN354" s="540"/>
      <c r="LTO354" s="545"/>
      <c r="LTP354" s="540"/>
      <c r="LTQ354" s="545"/>
      <c r="LTR354" s="540"/>
      <c r="LTS354" s="545"/>
      <c r="LTT354" s="540"/>
      <c r="LTU354" s="545"/>
      <c r="LTV354" s="540"/>
      <c r="LTW354" s="545"/>
      <c r="LTX354" s="540"/>
      <c r="LTY354" s="545"/>
      <c r="LTZ354" s="540"/>
      <c r="LUA354" s="545"/>
      <c r="LUB354" s="540"/>
      <c r="LUC354" s="545"/>
      <c r="LUD354" s="540"/>
      <c r="LUE354" s="545"/>
      <c r="LUF354" s="540"/>
      <c r="LUG354" s="545"/>
      <c r="LUH354" s="540"/>
      <c r="LUI354" s="545"/>
      <c r="LUJ354" s="540"/>
      <c r="LUK354" s="545"/>
      <c r="LUL354" s="540"/>
      <c r="LUM354" s="545"/>
      <c r="LUN354" s="540"/>
      <c r="LUO354" s="545"/>
      <c r="LUP354" s="540"/>
      <c r="LUQ354" s="545"/>
      <c r="LUR354" s="540"/>
      <c r="LUS354" s="545"/>
      <c r="LUT354" s="540"/>
      <c r="LUU354" s="545"/>
      <c r="LUV354" s="540"/>
      <c r="LUW354" s="545"/>
      <c r="LUX354" s="540"/>
      <c r="LUY354" s="545"/>
      <c r="LUZ354" s="540"/>
      <c r="LVA354" s="545"/>
      <c r="LVB354" s="540"/>
      <c r="LVC354" s="545"/>
      <c r="LVD354" s="540"/>
      <c r="LVE354" s="545"/>
      <c r="LVF354" s="540"/>
      <c r="LVG354" s="545"/>
      <c r="LVH354" s="540"/>
      <c r="LVI354" s="545"/>
      <c r="LVJ354" s="540"/>
      <c r="LVK354" s="545"/>
      <c r="LVL354" s="540"/>
      <c r="LVM354" s="545"/>
      <c r="LVN354" s="540"/>
      <c r="LVO354" s="545"/>
      <c r="LVP354" s="540"/>
      <c r="LVQ354" s="545"/>
      <c r="LVR354" s="540"/>
      <c r="LVS354" s="545"/>
      <c r="LVT354" s="540"/>
      <c r="LVU354" s="545"/>
      <c r="LVV354" s="540"/>
      <c r="LVW354" s="545"/>
      <c r="LVX354" s="540"/>
      <c r="LVY354" s="545"/>
      <c r="LVZ354" s="540"/>
      <c r="LWA354" s="545"/>
      <c r="LWB354" s="540"/>
      <c r="LWC354" s="545"/>
      <c r="LWD354" s="540"/>
      <c r="LWE354" s="545"/>
      <c r="LWF354" s="540"/>
      <c r="LWG354" s="545"/>
      <c r="LWH354" s="540"/>
      <c r="LWI354" s="545"/>
      <c r="LWJ354" s="540"/>
      <c r="LWK354" s="545"/>
      <c r="LWL354" s="540"/>
      <c r="LWM354" s="545"/>
      <c r="LWN354" s="540"/>
      <c r="LWO354" s="545"/>
      <c r="LWP354" s="540"/>
      <c r="LWQ354" s="545"/>
      <c r="LWR354" s="540"/>
      <c r="LWS354" s="545"/>
      <c r="LWT354" s="540"/>
      <c r="LWU354" s="545"/>
      <c r="LWV354" s="540"/>
      <c r="LWW354" s="545"/>
      <c r="LWX354" s="540"/>
      <c r="LWY354" s="545"/>
      <c r="LWZ354" s="540"/>
      <c r="LXA354" s="545"/>
      <c r="LXB354" s="540"/>
      <c r="LXC354" s="545"/>
      <c r="LXD354" s="540"/>
      <c r="LXE354" s="545"/>
      <c r="LXF354" s="540"/>
      <c r="LXG354" s="545"/>
      <c r="LXH354" s="540"/>
      <c r="LXI354" s="545"/>
      <c r="LXJ354" s="540"/>
      <c r="LXK354" s="545"/>
      <c r="LXL354" s="540"/>
      <c r="LXM354" s="545"/>
      <c r="LXN354" s="540"/>
      <c r="LXO354" s="545"/>
      <c r="LXP354" s="540"/>
      <c r="LXQ354" s="545"/>
      <c r="LXR354" s="540"/>
      <c r="LXS354" s="545"/>
      <c r="LXT354" s="540"/>
      <c r="LXU354" s="545"/>
      <c r="LXV354" s="540"/>
      <c r="LXW354" s="545"/>
      <c r="LXX354" s="540"/>
      <c r="LXY354" s="545"/>
      <c r="LXZ354" s="540"/>
      <c r="LYA354" s="545"/>
      <c r="LYB354" s="540"/>
      <c r="LYC354" s="545"/>
      <c r="LYD354" s="540"/>
      <c r="LYE354" s="545"/>
      <c r="LYF354" s="540"/>
      <c r="LYG354" s="545"/>
      <c r="LYH354" s="540"/>
      <c r="LYI354" s="545"/>
      <c r="LYJ354" s="540"/>
      <c r="LYK354" s="545"/>
      <c r="LYL354" s="540"/>
      <c r="LYM354" s="545"/>
      <c r="LYN354" s="540"/>
      <c r="LYO354" s="545"/>
      <c r="LYP354" s="540"/>
      <c r="LYQ354" s="545"/>
      <c r="LYR354" s="540"/>
      <c r="LYS354" s="545"/>
      <c r="LYT354" s="540"/>
      <c r="LYU354" s="545"/>
      <c r="LYV354" s="540"/>
      <c r="LYW354" s="545"/>
      <c r="LYX354" s="540"/>
      <c r="LYY354" s="545"/>
      <c r="LYZ354" s="540"/>
      <c r="LZA354" s="545"/>
      <c r="LZB354" s="540"/>
      <c r="LZC354" s="545"/>
      <c r="LZD354" s="540"/>
      <c r="LZE354" s="545"/>
      <c r="LZF354" s="540"/>
      <c r="LZG354" s="545"/>
      <c r="LZH354" s="540"/>
      <c r="LZI354" s="545"/>
      <c r="LZJ354" s="540"/>
      <c r="LZK354" s="545"/>
      <c r="LZL354" s="540"/>
      <c r="LZM354" s="545"/>
      <c r="LZN354" s="540"/>
      <c r="LZO354" s="545"/>
      <c r="LZP354" s="540"/>
      <c r="LZQ354" s="545"/>
      <c r="LZR354" s="540"/>
      <c r="LZS354" s="545"/>
      <c r="LZT354" s="540"/>
      <c r="LZU354" s="545"/>
      <c r="LZV354" s="540"/>
      <c r="LZW354" s="545"/>
      <c r="LZX354" s="540"/>
      <c r="LZY354" s="545"/>
      <c r="LZZ354" s="540"/>
      <c r="MAA354" s="545"/>
      <c r="MAB354" s="540"/>
      <c r="MAC354" s="545"/>
      <c r="MAD354" s="540"/>
      <c r="MAE354" s="545"/>
      <c r="MAF354" s="540"/>
      <c r="MAG354" s="545"/>
      <c r="MAH354" s="540"/>
      <c r="MAI354" s="545"/>
      <c r="MAJ354" s="540"/>
      <c r="MAK354" s="545"/>
      <c r="MAL354" s="540"/>
      <c r="MAM354" s="545"/>
      <c r="MAN354" s="540"/>
      <c r="MAO354" s="545"/>
      <c r="MAP354" s="540"/>
      <c r="MAQ354" s="545"/>
      <c r="MAR354" s="540"/>
      <c r="MAS354" s="545"/>
      <c r="MAT354" s="540"/>
      <c r="MAU354" s="545"/>
      <c r="MAV354" s="540"/>
      <c r="MAW354" s="545"/>
      <c r="MAX354" s="540"/>
      <c r="MAY354" s="545"/>
      <c r="MAZ354" s="540"/>
      <c r="MBA354" s="545"/>
      <c r="MBB354" s="540"/>
      <c r="MBC354" s="545"/>
      <c r="MBD354" s="540"/>
      <c r="MBE354" s="545"/>
      <c r="MBF354" s="540"/>
      <c r="MBG354" s="545"/>
      <c r="MBH354" s="540"/>
      <c r="MBI354" s="545"/>
      <c r="MBJ354" s="540"/>
      <c r="MBK354" s="545"/>
      <c r="MBL354" s="540"/>
      <c r="MBM354" s="545"/>
      <c r="MBN354" s="540"/>
      <c r="MBO354" s="545"/>
      <c r="MBP354" s="540"/>
      <c r="MBQ354" s="545"/>
      <c r="MBR354" s="540"/>
      <c r="MBS354" s="545"/>
      <c r="MBT354" s="540"/>
      <c r="MBU354" s="545"/>
      <c r="MBV354" s="540"/>
      <c r="MBW354" s="545"/>
      <c r="MBX354" s="540"/>
      <c r="MBY354" s="545"/>
      <c r="MBZ354" s="540"/>
      <c r="MCA354" s="545"/>
      <c r="MCB354" s="540"/>
      <c r="MCC354" s="545"/>
      <c r="MCD354" s="540"/>
      <c r="MCE354" s="545"/>
      <c r="MCF354" s="540"/>
      <c r="MCG354" s="545"/>
      <c r="MCH354" s="540"/>
      <c r="MCI354" s="545"/>
      <c r="MCJ354" s="540"/>
      <c r="MCK354" s="545"/>
      <c r="MCL354" s="540"/>
      <c r="MCM354" s="545"/>
      <c r="MCN354" s="540"/>
      <c r="MCO354" s="545"/>
      <c r="MCP354" s="540"/>
      <c r="MCQ354" s="545"/>
      <c r="MCR354" s="540"/>
      <c r="MCS354" s="545"/>
      <c r="MCT354" s="540"/>
      <c r="MCU354" s="545"/>
      <c r="MCV354" s="540"/>
      <c r="MCW354" s="545"/>
      <c r="MCX354" s="540"/>
      <c r="MCY354" s="545"/>
      <c r="MCZ354" s="540"/>
      <c r="MDA354" s="545"/>
      <c r="MDB354" s="540"/>
      <c r="MDC354" s="545"/>
      <c r="MDD354" s="540"/>
      <c r="MDE354" s="545"/>
      <c r="MDF354" s="540"/>
      <c r="MDG354" s="545"/>
      <c r="MDH354" s="540"/>
      <c r="MDI354" s="545"/>
      <c r="MDJ354" s="540"/>
      <c r="MDK354" s="545"/>
      <c r="MDL354" s="540"/>
      <c r="MDM354" s="545"/>
      <c r="MDN354" s="540"/>
      <c r="MDO354" s="545"/>
      <c r="MDP354" s="540"/>
      <c r="MDQ354" s="545"/>
      <c r="MDR354" s="540"/>
      <c r="MDS354" s="545"/>
      <c r="MDT354" s="540"/>
      <c r="MDU354" s="545"/>
      <c r="MDV354" s="540"/>
      <c r="MDW354" s="545"/>
      <c r="MDX354" s="540"/>
      <c r="MDY354" s="545"/>
      <c r="MDZ354" s="540"/>
      <c r="MEA354" s="545"/>
      <c r="MEB354" s="540"/>
      <c r="MEC354" s="545"/>
      <c r="MED354" s="540"/>
      <c r="MEE354" s="545"/>
      <c r="MEF354" s="540"/>
      <c r="MEG354" s="545"/>
      <c r="MEH354" s="540"/>
      <c r="MEI354" s="545"/>
      <c r="MEJ354" s="540"/>
      <c r="MEK354" s="545"/>
      <c r="MEL354" s="540"/>
      <c r="MEM354" s="545"/>
      <c r="MEN354" s="540"/>
      <c r="MEO354" s="545"/>
      <c r="MEP354" s="540"/>
      <c r="MEQ354" s="545"/>
      <c r="MER354" s="540"/>
      <c r="MES354" s="545"/>
      <c r="MET354" s="540"/>
      <c r="MEU354" s="545"/>
      <c r="MEV354" s="540"/>
      <c r="MEW354" s="545"/>
      <c r="MEX354" s="540"/>
      <c r="MEY354" s="545"/>
      <c r="MEZ354" s="540"/>
      <c r="MFA354" s="545"/>
      <c r="MFB354" s="540"/>
      <c r="MFC354" s="545"/>
      <c r="MFD354" s="540"/>
      <c r="MFE354" s="545"/>
      <c r="MFF354" s="540"/>
      <c r="MFG354" s="545"/>
      <c r="MFH354" s="540"/>
      <c r="MFI354" s="545"/>
      <c r="MFJ354" s="540"/>
      <c r="MFK354" s="545"/>
      <c r="MFL354" s="540"/>
      <c r="MFM354" s="545"/>
      <c r="MFN354" s="540"/>
      <c r="MFO354" s="545"/>
      <c r="MFP354" s="540"/>
      <c r="MFQ354" s="545"/>
      <c r="MFR354" s="540"/>
      <c r="MFS354" s="545"/>
      <c r="MFT354" s="540"/>
      <c r="MFU354" s="545"/>
      <c r="MFV354" s="540"/>
      <c r="MFW354" s="545"/>
      <c r="MFX354" s="540"/>
      <c r="MFY354" s="545"/>
      <c r="MFZ354" s="540"/>
      <c r="MGA354" s="545"/>
      <c r="MGB354" s="540"/>
      <c r="MGC354" s="545"/>
      <c r="MGD354" s="540"/>
      <c r="MGE354" s="545"/>
      <c r="MGF354" s="540"/>
      <c r="MGG354" s="545"/>
      <c r="MGH354" s="540"/>
      <c r="MGI354" s="545"/>
      <c r="MGJ354" s="540"/>
      <c r="MGK354" s="545"/>
      <c r="MGL354" s="540"/>
      <c r="MGM354" s="545"/>
      <c r="MGN354" s="540"/>
      <c r="MGO354" s="545"/>
      <c r="MGP354" s="540"/>
      <c r="MGQ354" s="545"/>
      <c r="MGR354" s="540"/>
      <c r="MGS354" s="545"/>
      <c r="MGT354" s="540"/>
      <c r="MGU354" s="545"/>
      <c r="MGV354" s="540"/>
      <c r="MGW354" s="545"/>
      <c r="MGX354" s="540"/>
      <c r="MGY354" s="545"/>
      <c r="MGZ354" s="540"/>
      <c r="MHA354" s="545"/>
      <c r="MHB354" s="540"/>
      <c r="MHC354" s="545"/>
      <c r="MHD354" s="540"/>
      <c r="MHE354" s="545"/>
      <c r="MHF354" s="540"/>
      <c r="MHG354" s="545"/>
      <c r="MHH354" s="540"/>
      <c r="MHI354" s="545"/>
      <c r="MHJ354" s="540"/>
      <c r="MHK354" s="545"/>
      <c r="MHL354" s="540"/>
      <c r="MHM354" s="545"/>
      <c r="MHN354" s="540"/>
      <c r="MHO354" s="545"/>
      <c r="MHP354" s="540"/>
      <c r="MHQ354" s="545"/>
      <c r="MHR354" s="540"/>
      <c r="MHS354" s="545"/>
      <c r="MHT354" s="540"/>
      <c r="MHU354" s="545"/>
      <c r="MHV354" s="540"/>
      <c r="MHW354" s="545"/>
      <c r="MHX354" s="540"/>
      <c r="MHY354" s="545"/>
      <c r="MHZ354" s="540"/>
      <c r="MIA354" s="545"/>
      <c r="MIB354" s="540"/>
      <c r="MIC354" s="545"/>
      <c r="MID354" s="540"/>
      <c r="MIE354" s="545"/>
      <c r="MIF354" s="540"/>
      <c r="MIG354" s="545"/>
      <c r="MIH354" s="540"/>
      <c r="MII354" s="545"/>
      <c r="MIJ354" s="540"/>
      <c r="MIK354" s="545"/>
      <c r="MIL354" s="540"/>
      <c r="MIM354" s="545"/>
      <c r="MIN354" s="540"/>
      <c r="MIO354" s="545"/>
      <c r="MIP354" s="540"/>
      <c r="MIQ354" s="545"/>
      <c r="MIR354" s="540"/>
      <c r="MIS354" s="545"/>
      <c r="MIT354" s="540"/>
      <c r="MIU354" s="545"/>
      <c r="MIV354" s="540"/>
      <c r="MIW354" s="545"/>
      <c r="MIX354" s="540"/>
      <c r="MIY354" s="545"/>
      <c r="MIZ354" s="540"/>
      <c r="MJA354" s="545"/>
      <c r="MJB354" s="540"/>
      <c r="MJC354" s="545"/>
      <c r="MJD354" s="540"/>
      <c r="MJE354" s="545"/>
      <c r="MJF354" s="540"/>
      <c r="MJG354" s="545"/>
      <c r="MJH354" s="540"/>
      <c r="MJI354" s="545"/>
      <c r="MJJ354" s="540"/>
      <c r="MJK354" s="545"/>
      <c r="MJL354" s="540"/>
      <c r="MJM354" s="545"/>
      <c r="MJN354" s="540"/>
      <c r="MJO354" s="545"/>
      <c r="MJP354" s="540"/>
      <c r="MJQ354" s="545"/>
      <c r="MJR354" s="540"/>
      <c r="MJS354" s="545"/>
      <c r="MJT354" s="540"/>
      <c r="MJU354" s="545"/>
      <c r="MJV354" s="540"/>
      <c r="MJW354" s="545"/>
      <c r="MJX354" s="540"/>
      <c r="MJY354" s="545"/>
      <c r="MJZ354" s="540"/>
      <c r="MKA354" s="545"/>
      <c r="MKB354" s="540"/>
      <c r="MKC354" s="545"/>
      <c r="MKD354" s="540"/>
      <c r="MKE354" s="545"/>
      <c r="MKF354" s="540"/>
      <c r="MKG354" s="545"/>
      <c r="MKH354" s="540"/>
      <c r="MKI354" s="545"/>
      <c r="MKJ354" s="540"/>
      <c r="MKK354" s="545"/>
      <c r="MKL354" s="540"/>
      <c r="MKM354" s="545"/>
      <c r="MKN354" s="540"/>
      <c r="MKO354" s="545"/>
      <c r="MKP354" s="540"/>
      <c r="MKQ354" s="545"/>
      <c r="MKR354" s="540"/>
      <c r="MKS354" s="545"/>
      <c r="MKT354" s="540"/>
      <c r="MKU354" s="545"/>
      <c r="MKV354" s="540"/>
      <c r="MKW354" s="545"/>
      <c r="MKX354" s="540"/>
      <c r="MKY354" s="545"/>
      <c r="MKZ354" s="540"/>
      <c r="MLA354" s="545"/>
      <c r="MLB354" s="540"/>
      <c r="MLC354" s="545"/>
      <c r="MLD354" s="540"/>
      <c r="MLE354" s="545"/>
      <c r="MLF354" s="540"/>
      <c r="MLG354" s="545"/>
      <c r="MLH354" s="540"/>
      <c r="MLI354" s="545"/>
      <c r="MLJ354" s="540"/>
      <c r="MLK354" s="545"/>
      <c r="MLL354" s="540"/>
      <c r="MLM354" s="545"/>
      <c r="MLN354" s="540"/>
      <c r="MLO354" s="545"/>
      <c r="MLP354" s="540"/>
      <c r="MLQ354" s="545"/>
      <c r="MLR354" s="540"/>
      <c r="MLS354" s="545"/>
      <c r="MLT354" s="540"/>
      <c r="MLU354" s="545"/>
      <c r="MLV354" s="540"/>
      <c r="MLW354" s="545"/>
      <c r="MLX354" s="540"/>
      <c r="MLY354" s="545"/>
      <c r="MLZ354" s="540"/>
      <c r="MMA354" s="545"/>
      <c r="MMB354" s="540"/>
      <c r="MMC354" s="545"/>
      <c r="MMD354" s="540"/>
      <c r="MME354" s="545"/>
      <c r="MMF354" s="540"/>
      <c r="MMG354" s="545"/>
      <c r="MMH354" s="540"/>
      <c r="MMI354" s="545"/>
      <c r="MMJ354" s="540"/>
      <c r="MMK354" s="545"/>
      <c r="MML354" s="540"/>
      <c r="MMM354" s="545"/>
      <c r="MMN354" s="540"/>
      <c r="MMO354" s="545"/>
      <c r="MMP354" s="540"/>
      <c r="MMQ354" s="545"/>
      <c r="MMR354" s="540"/>
      <c r="MMS354" s="545"/>
      <c r="MMT354" s="540"/>
      <c r="MMU354" s="545"/>
      <c r="MMV354" s="540"/>
      <c r="MMW354" s="545"/>
      <c r="MMX354" s="540"/>
      <c r="MMY354" s="545"/>
      <c r="MMZ354" s="540"/>
      <c r="MNA354" s="545"/>
      <c r="MNB354" s="540"/>
      <c r="MNC354" s="545"/>
      <c r="MND354" s="540"/>
      <c r="MNE354" s="545"/>
      <c r="MNF354" s="540"/>
      <c r="MNG354" s="545"/>
      <c r="MNH354" s="540"/>
      <c r="MNI354" s="545"/>
      <c r="MNJ354" s="540"/>
      <c r="MNK354" s="545"/>
      <c r="MNL354" s="540"/>
      <c r="MNM354" s="545"/>
      <c r="MNN354" s="540"/>
      <c r="MNO354" s="545"/>
      <c r="MNP354" s="540"/>
      <c r="MNQ354" s="545"/>
      <c r="MNR354" s="540"/>
      <c r="MNS354" s="545"/>
      <c r="MNT354" s="540"/>
      <c r="MNU354" s="545"/>
      <c r="MNV354" s="540"/>
      <c r="MNW354" s="545"/>
      <c r="MNX354" s="540"/>
      <c r="MNY354" s="545"/>
      <c r="MNZ354" s="540"/>
      <c r="MOA354" s="545"/>
      <c r="MOB354" s="540"/>
      <c r="MOC354" s="545"/>
      <c r="MOD354" s="540"/>
      <c r="MOE354" s="545"/>
      <c r="MOF354" s="540"/>
      <c r="MOG354" s="545"/>
      <c r="MOH354" s="540"/>
      <c r="MOI354" s="545"/>
      <c r="MOJ354" s="540"/>
      <c r="MOK354" s="545"/>
      <c r="MOL354" s="540"/>
      <c r="MOM354" s="545"/>
      <c r="MON354" s="540"/>
      <c r="MOO354" s="545"/>
      <c r="MOP354" s="540"/>
      <c r="MOQ354" s="545"/>
      <c r="MOR354" s="540"/>
      <c r="MOS354" s="545"/>
      <c r="MOT354" s="540"/>
      <c r="MOU354" s="545"/>
      <c r="MOV354" s="540"/>
      <c r="MOW354" s="545"/>
      <c r="MOX354" s="540"/>
      <c r="MOY354" s="545"/>
      <c r="MOZ354" s="540"/>
      <c r="MPA354" s="545"/>
      <c r="MPB354" s="540"/>
      <c r="MPC354" s="545"/>
      <c r="MPD354" s="540"/>
      <c r="MPE354" s="545"/>
      <c r="MPF354" s="540"/>
      <c r="MPG354" s="545"/>
      <c r="MPH354" s="540"/>
      <c r="MPI354" s="545"/>
      <c r="MPJ354" s="540"/>
      <c r="MPK354" s="545"/>
      <c r="MPL354" s="540"/>
      <c r="MPM354" s="545"/>
      <c r="MPN354" s="540"/>
      <c r="MPO354" s="545"/>
      <c r="MPP354" s="540"/>
      <c r="MPQ354" s="545"/>
      <c r="MPR354" s="540"/>
      <c r="MPS354" s="545"/>
      <c r="MPT354" s="540"/>
      <c r="MPU354" s="545"/>
      <c r="MPV354" s="540"/>
      <c r="MPW354" s="545"/>
      <c r="MPX354" s="540"/>
      <c r="MPY354" s="545"/>
      <c r="MPZ354" s="540"/>
      <c r="MQA354" s="545"/>
      <c r="MQB354" s="540"/>
      <c r="MQC354" s="545"/>
      <c r="MQD354" s="540"/>
      <c r="MQE354" s="545"/>
      <c r="MQF354" s="540"/>
      <c r="MQG354" s="545"/>
      <c r="MQH354" s="540"/>
      <c r="MQI354" s="545"/>
      <c r="MQJ354" s="540"/>
      <c r="MQK354" s="545"/>
      <c r="MQL354" s="540"/>
      <c r="MQM354" s="545"/>
      <c r="MQN354" s="540"/>
      <c r="MQO354" s="545"/>
      <c r="MQP354" s="540"/>
      <c r="MQQ354" s="545"/>
      <c r="MQR354" s="540"/>
      <c r="MQS354" s="545"/>
      <c r="MQT354" s="540"/>
      <c r="MQU354" s="545"/>
      <c r="MQV354" s="540"/>
      <c r="MQW354" s="545"/>
      <c r="MQX354" s="540"/>
      <c r="MQY354" s="545"/>
      <c r="MQZ354" s="540"/>
      <c r="MRA354" s="545"/>
      <c r="MRB354" s="540"/>
      <c r="MRC354" s="545"/>
      <c r="MRD354" s="540"/>
      <c r="MRE354" s="545"/>
      <c r="MRF354" s="540"/>
      <c r="MRG354" s="545"/>
      <c r="MRH354" s="540"/>
      <c r="MRI354" s="545"/>
      <c r="MRJ354" s="540"/>
      <c r="MRK354" s="545"/>
      <c r="MRL354" s="540"/>
      <c r="MRM354" s="545"/>
      <c r="MRN354" s="540"/>
      <c r="MRO354" s="545"/>
      <c r="MRP354" s="540"/>
      <c r="MRQ354" s="545"/>
      <c r="MRR354" s="540"/>
      <c r="MRS354" s="545"/>
      <c r="MRT354" s="540"/>
      <c r="MRU354" s="545"/>
      <c r="MRV354" s="540"/>
      <c r="MRW354" s="545"/>
      <c r="MRX354" s="540"/>
      <c r="MRY354" s="545"/>
      <c r="MRZ354" s="540"/>
      <c r="MSA354" s="545"/>
      <c r="MSB354" s="540"/>
      <c r="MSC354" s="545"/>
      <c r="MSD354" s="540"/>
      <c r="MSE354" s="545"/>
      <c r="MSF354" s="540"/>
      <c r="MSG354" s="545"/>
      <c r="MSH354" s="540"/>
      <c r="MSI354" s="545"/>
      <c r="MSJ354" s="540"/>
      <c r="MSK354" s="545"/>
      <c r="MSL354" s="540"/>
      <c r="MSM354" s="545"/>
      <c r="MSN354" s="540"/>
      <c r="MSO354" s="545"/>
      <c r="MSP354" s="540"/>
      <c r="MSQ354" s="545"/>
      <c r="MSR354" s="540"/>
      <c r="MSS354" s="545"/>
      <c r="MST354" s="540"/>
      <c r="MSU354" s="545"/>
      <c r="MSV354" s="540"/>
      <c r="MSW354" s="545"/>
      <c r="MSX354" s="540"/>
      <c r="MSY354" s="545"/>
      <c r="MSZ354" s="540"/>
      <c r="MTA354" s="545"/>
      <c r="MTB354" s="540"/>
      <c r="MTC354" s="545"/>
      <c r="MTD354" s="540"/>
      <c r="MTE354" s="545"/>
      <c r="MTF354" s="540"/>
      <c r="MTG354" s="545"/>
      <c r="MTH354" s="540"/>
      <c r="MTI354" s="545"/>
      <c r="MTJ354" s="540"/>
      <c r="MTK354" s="545"/>
      <c r="MTL354" s="540"/>
      <c r="MTM354" s="545"/>
      <c r="MTN354" s="540"/>
      <c r="MTO354" s="545"/>
      <c r="MTP354" s="540"/>
      <c r="MTQ354" s="545"/>
      <c r="MTR354" s="540"/>
      <c r="MTS354" s="545"/>
      <c r="MTT354" s="540"/>
      <c r="MTU354" s="545"/>
      <c r="MTV354" s="540"/>
      <c r="MTW354" s="545"/>
      <c r="MTX354" s="540"/>
      <c r="MTY354" s="545"/>
      <c r="MTZ354" s="540"/>
      <c r="MUA354" s="545"/>
      <c r="MUB354" s="540"/>
      <c r="MUC354" s="545"/>
      <c r="MUD354" s="540"/>
      <c r="MUE354" s="545"/>
      <c r="MUF354" s="540"/>
      <c r="MUG354" s="545"/>
      <c r="MUH354" s="540"/>
      <c r="MUI354" s="545"/>
      <c r="MUJ354" s="540"/>
      <c r="MUK354" s="545"/>
      <c r="MUL354" s="540"/>
      <c r="MUM354" s="545"/>
      <c r="MUN354" s="540"/>
      <c r="MUO354" s="545"/>
      <c r="MUP354" s="540"/>
      <c r="MUQ354" s="545"/>
      <c r="MUR354" s="540"/>
      <c r="MUS354" s="545"/>
      <c r="MUT354" s="540"/>
      <c r="MUU354" s="545"/>
      <c r="MUV354" s="540"/>
      <c r="MUW354" s="545"/>
      <c r="MUX354" s="540"/>
      <c r="MUY354" s="545"/>
      <c r="MUZ354" s="540"/>
      <c r="MVA354" s="545"/>
      <c r="MVB354" s="540"/>
      <c r="MVC354" s="545"/>
      <c r="MVD354" s="540"/>
      <c r="MVE354" s="545"/>
      <c r="MVF354" s="540"/>
      <c r="MVG354" s="545"/>
      <c r="MVH354" s="540"/>
      <c r="MVI354" s="545"/>
      <c r="MVJ354" s="540"/>
      <c r="MVK354" s="545"/>
      <c r="MVL354" s="540"/>
      <c r="MVM354" s="545"/>
      <c r="MVN354" s="540"/>
      <c r="MVO354" s="545"/>
      <c r="MVP354" s="540"/>
      <c r="MVQ354" s="545"/>
      <c r="MVR354" s="540"/>
      <c r="MVS354" s="545"/>
      <c r="MVT354" s="540"/>
      <c r="MVU354" s="545"/>
      <c r="MVV354" s="540"/>
      <c r="MVW354" s="545"/>
      <c r="MVX354" s="540"/>
      <c r="MVY354" s="545"/>
      <c r="MVZ354" s="540"/>
      <c r="MWA354" s="545"/>
      <c r="MWB354" s="540"/>
      <c r="MWC354" s="545"/>
      <c r="MWD354" s="540"/>
      <c r="MWE354" s="545"/>
      <c r="MWF354" s="540"/>
      <c r="MWG354" s="545"/>
      <c r="MWH354" s="540"/>
      <c r="MWI354" s="545"/>
      <c r="MWJ354" s="540"/>
      <c r="MWK354" s="545"/>
      <c r="MWL354" s="540"/>
      <c r="MWM354" s="545"/>
      <c r="MWN354" s="540"/>
      <c r="MWO354" s="545"/>
      <c r="MWP354" s="540"/>
      <c r="MWQ354" s="545"/>
      <c r="MWR354" s="540"/>
      <c r="MWS354" s="545"/>
      <c r="MWT354" s="540"/>
      <c r="MWU354" s="545"/>
      <c r="MWV354" s="540"/>
      <c r="MWW354" s="545"/>
      <c r="MWX354" s="540"/>
      <c r="MWY354" s="545"/>
      <c r="MWZ354" s="540"/>
      <c r="MXA354" s="545"/>
      <c r="MXB354" s="540"/>
      <c r="MXC354" s="545"/>
      <c r="MXD354" s="540"/>
      <c r="MXE354" s="545"/>
      <c r="MXF354" s="540"/>
      <c r="MXG354" s="545"/>
      <c r="MXH354" s="540"/>
      <c r="MXI354" s="545"/>
      <c r="MXJ354" s="540"/>
      <c r="MXK354" s="545"/>
      <c r="MXL354" s="540"/>
      <c r="MXM354" s="545"/>
      <c r="MXN354" s="540"/>
      <c r="MXO354" s="545"/>
      <c r="MXP354" s="540"/>
      <c r="MXQ354" s="545"/>
      <c r="MXR354" s="540"/>
      <c r="MXS354" s="545"/>
      <c r="MXT354" s="540"/>
      <c r="MXU354" s="545"/>
      <c r="MXV354" s="540"/>
      <c r="MXW354" s="545"/>
      <c r="MXX354" s="540"/>
      <c r="MXY354" s="545"/>
      <c r="MXZ354" s="540"/>
      <c r="MYA354" s="545"/>
      <c r="MYB354" s="540"/>
      <c r="MYC354" s="545"/>
      <c r="MYD354" s="540"/>
      <c r="MYE354" s="545"/>
      <c r="MYF354" s="540"/>
      <c r="MYG354" s="545"/>
      <c r="MYH354" s="540"/>
      <c r="MYI354" s="545"/>
      <c r="MYJ354" s="540"/>
      <c r="MYK354" s="545"/>
      <c r="MYL354" s="540"/>
      <c r="MYM354" s="545"/>
      <c r="MYN354" s="540"/>
      <c r="MYO354" s="545"/>
      <c r="MYP354" s="540"/>
      <c r="MYQ354" s="545"/>
      <c r="MYR354" s="540"/>
      <c r="MYS354" s="545"/>
      <c r="MYT354" s="540"/>
      <c r="MYU354" s="545"/>
      <c r="MYV354" s="540"/>
      <c r="MYW354" s="545"/>
      <c r="MYX354" s="540"/>
      <c r="MYY354" s="545"/>
      <c r="MYZ354" s="540"/>
      <c r="MZA354" s="545"/>
      <c r="MZB354" s="540"/>
      <c r="MZC354" s="545"/>
      <c r="MZD354" s="540"/>
      <c r="MZE354" s="545"/>
      <c r="MZF354" s="540"/>
      <c r="MZG354" s="545"/>
      <c r="MZH354" s="540"/>
      <c r="MZI354" s="545"/>
      <c r="MZJ354" s="540"/>
      <c r="MZK354" s="545"/>
      <c r="MZL354" s="540"/>
      <c r="MZM354" s="545"/>
      <c r="MZN354" s="540"/>
      <c r="MZO354" s="545"/>
      <c r="MZP354" s="540"/>
      <c r="MZQ354" s="545"/>
      <c r="MZR354" s="540"/>
      <c r="MZS354" s="545"/>
      <c r="MZT354" s="540"/>
      <c r="MZU354" s="545"/>
      <c r="MZV354" s="540"/>
      <c r="MZW354" s="545"/>
      <c r="MZX354" s="540"/>
      <c r="MZY354" s="545"/>
      <c r="MZZ354" s="540"/>
      <c r="NAA354" s="545"/>
      <c r="NAB354" s="540"/>
      <c r="NAC354" s="545"/>
      <c r="NAD354" s="540"/>
      <c r="NAE354" s="545"/>
      <c r="NAF354" s="540"/>
      <c r="NAG354" s="545"/>
      <c r="NAH354" s="540"/>
      <c r="NAI354" s="545"/>
      <c r="NAJ354" s="540"/>
      <c r="NAK354" s="545"/>
      <c r="NAL354" s="540"/>
      <c r="NAM354" s="545"/>
      <c r="NAN354" s="540"/>
      <c r="NAO354" s="545"/>
      <c r="NAP354" s="540"/>
      <c r="NAQ354" s="545"/>
      <c r="NAR354" s="540"/>
      <c r="NAS354" s="545"/>
      <c r="NAT354" s="540"/>
      <c r="NAU354" s="545"/>
      <c r="NAV354" s="540"/>
      <c r="NAW354" s="545"/>
      <c r="NAX354" s="540"/>
      <c r="NAY354" s="545"/>
      <c r="NAZ354" s="540"/>
      <c r="NBA354" s="545"/>
      <c r="NBB354" s="540"/>
      <c r="NBC354" s="545"/>
      <c r="NBD354" s="540"/>
      <c r="NBE354" s="545"/>
      <c r="NBF354" s="540"/>
      <c r="NBG354" s="545"/>
      <c r="NBH354" s="540"/>
      <c r="NBI354" s="545"/>
      <c r="NBJ354" s="540"/>
      <c r="NBK354" s="545"/>
      <c r="NBL354" s="540"/>
      <c r="NBM354" s="545"/>
      <c r="NBN354" s="540"/>
      <c r="NBO354" s="545"/>
      <c r="NBP354" s="540"/>
      <c r="NBQ354" s="545"/>
      <c r="NBR354" s="540"/>
      <c r="NBS354" s="545"/>
      <c r="NBT354" s="540"/>
      <c r="NBU354" s="545"/>
      <c r="NBV354" s="540"/>
      <c r="NBW354" s="545"/>
      <c r="NBX354" s="540"/>
      <c r="NBY354" s="545"/>
      <c r="NBZ354" s="540"/>
      <c r="NCA354" s="545"/>
      <c r="NCB354" s="540"/>
      <c r="NCC354" s="545"/>
      <c r="NCD354" s="540"/>
      <c r="NCE354" s="545"/>
      <c r="NCF354" s="540"/>
      <c r="NCG354" s="545"/>
      <c r="NCH354" s="540"/>
      <c r="NCI354" s="545"/>
      <c r="NCJ354" s="540"/>
      <c r="NCK354" s="545"/>
      <c r="NCL354" s="540"/>
      <c r="NCM354" s="545"/>
      <c r="NCN354" s="540"/>
      <c r="NCO354" s="545"/>
      <c r="NCP354" s="540"/>
      <c r="NCQ354" s="545"/>
      <c r="NCR354" s="540"/>
      <c r="NCS354" s="545"/>
      <c r="NCT354" s="540"/>
      <c r="NCU354" s="545"/>
      <c r="NCV354" s="540"/>
      <c r="NCW354" s="545"/>
      <c r="NCX354" s="540"/>
      <c r="NCY354" s="545"/>
      <c r="NCZ354" s="540"/>
      <c r="NDA354" s="545"/>
      <c r="NDB354" s="540"/>
      <c r="NDC354" s="545"/>
      <c r="NDD354" s="540"/>
      <c r="NDE354" s="545"/>
      <c r="NDF354" s="540"/>
      <c r="NDG354" s="545"/>
      <c r="NDH354" s="540"/>
      <c r="NDI354" s="545"/>
      <c r="NDJ354" s="540"/>
      <c r="NDK354" s="545"/>
      <c r="NDL354" s="540"/>
      <c r="NDM354" s="545"/>
      <c r="NDN354" s="540"/>
      <c r="NDO354" s="545"/>
      <c r="NDP354" s="540"/>
      <c r="NDQ354" s="545"/>
      <c r="NDR354" s="540"/>
      <c r="NDS354" s="545"/>
      <c r="NDT354" s="540"/>
      <c r="NDU354" s="545"/>
      <c r="NDV354" s="540"/>
      <c r="NDW354" s="545"/>
      <c r="NDX354" s="540"/>
      <c r="NDY354" s="545"/>
      <c r="NDZ354" s="540"/>
      <c r="NEA354" s="545"/>
      <c r="NEB354" s="540"/>
      <c r="NEC354" s="545"/>
      <c r="NED354" s="540"/>
      <c r="NEE354" s="545"/>
      <c r="NEF354" s="540"/>
      <c r="NEG354" s="545"/>
      <c r="NEH354" s="540"/>
      <c r="NEI354" s="545"/>
      <c r="NEJ354" s="540"/>
      <c r="NEK354" s="545"/>
      <c r="NEL354" s="540"/>
      <c r="NEM354" s="545"/>
      <c r="NEN354" s="540"/>
      <c r="NEO354" s="545"/>
      <c r="NEP354" s="540"/>
      <c r="NEQ354" s="545"/>
      <c r="NER354" s="540"/>
      <c r="NES354" s="545"/>
      <c r="NET354" s="540"/>
      <c r="NEU354" s="545"/>
      <c r="NEV354" s="540"/>
      <c r="NEW354" s="545"/>
      <c r="NEX354" s="540"/>
      <c r="NEY354" s="545"/>
      <c r="NEZ354" s="540"/>
      <c r="NFA354" s="545"/>
      <c r="NFB354" s="540"/>
      <c r="NFC354" s="545"/>
      <c r="NFD354" s="540"/>
      <c r="NFE354" s="545"/>
      <c r="NFF354" s="540"/>
      <c r="NFG354" s="545"/>
      <c r="NFH354" s="540"/>
      <c r="NFI354" s="545"/>
      <c r="NFJ354" s="540"/>
      <c r="NFK354" s="545"/>
      <c r="NFL354" s="540"/>
      <c r="NFM354" s="545"/>
      <c r="NFN354" s="540"/>
      <c r="NFO354" s="545"/>
      <c r="NFP354" s="540"/>
      <c r="NFQ354" s="545"/>
      <c r="NFR354" s="540"/>
      <c r="NFS354" s="545"/>
      <c r="NFT354" s="540"/>
      <c r="NFU354" s="545"/>
      <c r="NFV354" s="540"/>
      <c r="NFW354" s="545"/>
      <c r="NFX354" s="540"/>
      <c r="NFY354" s="545"/>
      <c r="NFZ354" s="540"/>
      <c r="NGA354" s="545"/>
      <c r="NGB354" s="540"/>
      <c r="NGC354" s="545"/>
      <c r="NGD354" s="540"/>
      <c r="NGE354" s="545"/>
      <c r="NGF354" s="540"/>
      <c r="NGG354" s="545"/>
      <c r="NGH354" s="540"/>
      <c r="NGI354" s="545"/>
      <c r="NGJ354" s="540"/>
      <c r="NGK354" s="545"/>
      <c r="NGL354" s="540"/>
      <c r="NGM354" s="545"/>
      <c r="NGN354" s="540"/>
      <c r="NGO354" s="545"/>
      <c r="NGP354" s="540"/>
      <c r="NGQ354" s="545"/>
      <c r="NGR354" s="540"/>
      <c r="NGS354" s="545"/>
      <c r="NGT354" s="540"/>
      <c r="NGU354" s="545"/>
      <c r="NGV354" s="540"/>
      <c r="NGW354" s="545"/>
      <c r="NGX354" s="540"/>
      <c r="NGY354" s="545"/>
      <c r="NGZ354" s="540"/>
      <c r="NHA354" s="545"/>
      <c r="NHB354" s="540"/>
      <c r="NHC354" s="545"/>
      <c r="NHD354" s="540"/>
      <c r="NHE354" s="545"/>
      <c r="NHF354" s="540"/>
      <c r="NHG354" s="545"/>
      <c r="NHH354" s="540"/>
      <c r="NHI354" s="545"/>
      <c r="NHJ354" s="540"/>
      <c r="NHK354" s="545"/>
      <c r="NHL354" s="540"/>
      <c r="NHM354" s="545"/>
      <c r="NHN354" s="540"/>
      <c r="NHO354" s="545"/>
      <c r="NHP354" s="540"/>
      <c r="NHQ354" s="545"/>
      <c r="NHR354" s="540"/>
      <c r="NHS354" s="545"/>
      <c r="NHT354" s="540"/>
      <c r="NHU354" s="545"/>
      <c r="NHV354" s="540"/>
      <c r="NHW354" s="545"/>
      <c r="NHX354" s="540"/>
      <c r="NHY354" s="545"/>
      <c r="NHZ354" s="540"/>
      <c r="NIA354" s="545"/>
      <c r="NIB354" s="540"/>
      <c r="NIC354" s="545"/>
      <c r="NID354" s="540"/>
      <c r="NIE354" s="545"/>
      <c r="NIF354" s="540"/>
      <c r="NIG354" s="545"/>
      <c r="NIH354" s="540"/>
      <c r="NII354" s="545"/>
      <c r="NIJ354" s="540"/>
      <c r="NIK354" s="545"/>
      <c r="NIL354" s="540"/>
      <c r="NIM354" s="545"/>
      <c r="NIN354" s="540"/>
      <c r="NIO354" s="545"/>
      <c r="NIP354" s="540"/>
      <c r="NIQ354" s="545"/>
      <c r="NIR354" s="540"/>
      <c r="NIS354" s="545"/>
      <c r="NIT354" s="540"/>
      <c r="NIU354" s="545"/>
      <c r="NIV354" s="540"/>
      <c r="NIW354" s="545"/>
      <c r="NIX354" s="540"/>
      <c r="NIY354" s="545"/>
      <c r="NIZ354" s="540"/>
      <c r="NJA354" s="545"/>
      <c r="NJB354" s="540"/>
      <c r="NJC354" s="545"/>
      <c r="NJD354" s="540"/>
      <c r="NJE354" s="545"/>
      <c r="NJF354" s="540"/>
      <c r="NJG354" s="545"/>
      <c r="NJH354" s="540"/>
      <c r="NJI354" s="545"/>
      <c r="NJJ354" s="540"/>
      <c r="NJK354" s="545"/>
      <c r="NJL354" s="540"/>
      <c r="NJM354" s="545"/>
      <c r="NJN354" s="540"/>
      <c r="NJO354" s="545"/>
      <c r="NJP354" s="540"/>
      <c r="NJQ354" s="545"/>
      <c r="NJR354" s="540"/>
      <c r="NJS354" s="545"/>
      <c r="NJT354" s="540"/>
      <c r="NJU354" s="545"/>
      <c r="NJV354" s="540"/>
      <c r="NJW354" s="545"/>
      <c r="NJX354" s="540"/>
      <c r="NJY354" s="545"/>
      <c r="NJZ354" s="540"/>
      <c r="NKA354" s="545"/>
      <c r="NKB354" s="540"/>
      <c r="NKC354" s="545"/>
      <c r="NKD354" s="540"/>
      <c r="NKE354" s="545"/>
      <c r="NKF354" s="540"/>
      <c r="NKG354" s="545"/>
      <c r="NKH354" s="540"/>
      <c r="NKI354" s="545"/>
      <c r="NKJ354" s="540"/>
      <c r="NKK354" s="545"/>
      <c r="NKL354" s="540"/>
      <c r="NKM354" s="545"/>
      <c r="NKN354" s="540"/>
      <c r="NKO354" s="545"/>
      <c r="NKP354" s="540"/>
      <c r="NKQ354" s="545"/>
      <c r="NKR354" s="540"/>
      <c r="NKS354" s="545"/>
      <c r="NKT354" s="540"/>
      <c r="NKU354" s="545"/>
      <c r="NKV354" s="540"/>
      <c r="NKW354" s="545"/>
      <c r="NKX354" s="540"/>
      <c r="NKY354" s="545"/>
      <c r="NKZ354" s="540"/>
      <c r="NLA354" s="545"/>
      <c r="NLB354" s="540"/>
      <c r="NLC354" s="545"/>
      <c r="NLD354" s="540"/>
      <c r="NLE354" s="545"/>
      <c r="NLF354" s="540"/>
      <c r="NLG354" s="545"/>
      <c r="NLH354" s="540"/>
      <c r="NLI354" s="545"/>
      <c r="NLJ354" s="540"/>
      <c r="NLK354" s="545"/>
      <c r="NLL354" s="540"/>
      <c r="NLM354" s="545"/>
      <c r="NLN354" s="540"/>
      <c r="NLO354" s="545"/>
      <c r="NLP354" s="540"/>
      <c r="NLQ354" s="545"/>
      <c r="NLR354" s="540"/>
      <c r="NLS354" s="545"/>
      <c r="NLT354" s="540"/>
      <c r="NLU354" s="545"/>
      <c r="NLV354" s="540"/>
      <c r="NLW354" s="545"/>
      <c r="NLX354" s="540"/>
      <c r="NLY354" s="545"/>
      <c r="NLZ354" s="540"/>
      <c r="NMA354" s="545"/>
      <c r="NMB354" s="540"/>
      <c r="NMC354" s="545"/>
      <c r="NMD354" s="540"/>
      <c r="NME354" s="545"/>
      <c r="NMF354" s="540"/>
      <c r="NMG354" s="545"/>
      <c r="NMH354" s="540"/>
      <c r="NMI354" s="545"/>
      <c r="NMJ354" s="540"/>
      <c r="NMK354" s="545"/>
      <c r="NML354" s="540"/>
      <c r="NMM354" s="545"/>
      <c r="NMN354" s="540"/>
      <c r="NMO354" s="545"/>
      <c r="NMP354" s="540"/>
      <c r="NMQ354" s="545"/>
      <c r="NMR354" s="540"/>
      <c r="NMS354" s="545"/>
      <c r="NMT354" s="540"/>
      <c r="NMU354" s="545"/>
      <c r="NMV354" s="540"/>
      <c r="NMW354" s="545"/>
      <c r="NMX354" s="540"/>
      <c r="NMY354" s="545"/>
      <c r="NMZ354" s="540"/>
      <c r="NNA354" s="545"/>
      <c r="NNB354" s="540"/>
      <c r="NNC354" s="545"/>
      <c r="NND354" s="540"/>
      <c r="NNE354" s="545"/>
      <c r="NNF354" s="540"/>
      <c r="NNG354" s="545"/>
      <c r="NNH354" s="540"/>
      <c r="NNI354" s="545"/>
      <c r="NNJ354" s="540"/>
      <c r="NNK354" s="545"/>
      <c r="NNL354" s="540"/>
      <c r="NNM354" s="545"/>
      <c r="NNN354" s="540"/>
      <c r="NNO354" s="545"/>
      <c r="NNP354" s="540"/>
      <c r="NNQ354" s="545"/>
      <c r="NNR354" s="540"/>
      <c r="NNS354" s="545"/>
      <c r="NNT354" s="540"/>
      <c r="NNU354" s="545"/>
      <c r="NNV354" s="540"/>
      <c r="NNW354" s="545"/>
      <c r="NNX354" s="540"/>
      <c r="NNY354" s="545"/>
      <c r="NNZ354" s="540"/>
      <c r="NOA354" s="545"/>
      <c r="NOB354" s="540"/>
      <c r="NOC354" s="545"/>
      <c r="NOD354" s="540"/>
      <c r="NOE354" s="545"/>
      <c r="NOF354" s="540"/>
      <c r="NOG354" s="545"/>
      <c r="NOH354" s="540"/>
      <c r="NOI354" s="545"/>
      <c r="NOJ354" s="540"/>
      <c r="NOK354" s="545"/>
      <c r="NOL354" s="540"/>
      <c r="NOM354" s="545"/>
      <c r="NON354" s="540"/>
      <c r="NOO354" s="545"/>
      <c r="NOP354" s="540"/>
      <c r="NOQ354" s="545"/>
      <c r="NOR354" s="540"/>
      <c r="NOS354" s="545"/>
      <c r="NOT354" s="540"/>
      <c r="NOU354" s="545"/>
      <c r="NOV354" s="540"/>
      <c r="NOW354" s="545"/>
      <c r="NOX354" s="540"/>
      <c r="NOY354" s="545"/>
      <c r="NOZ354" s="540"/>
      <c r="NPA354" s="545"/>
      <c r="NPB354" s="540"/>
      <c r="NPC354" s="545"/>
      <c r="NPD354" s="540"/>
      <c r="NPE354" s="545"/>
      <c r="NPF354" s="540"/>
      <c r="NPG354" s="545"/>
      <c r="NPH354" s="540"/>
      <c r="NPI354" s="545"/>
      <c r="NPJ354" s="540"/>
      <c r="NPK354" s="545"/>
      <c r="NPL354" s="540"/>
      <c r="NPM354" s="545"/>
      <c r="NPN354" s="540"/>
      <c r="NPO354" s="545"/>
      <c r="NPP354" s="540"/>
      <c r="NPQ354" s="545"/>
      <c r="NPR354" s="540"/>
      <c r="NPS354" s="545"/>
      <c r="NPT354" s="540"/>
      <c r="NPU354" s="545"/>
      <c r="NPV354" s="540"/>
      <c r="NPW354" s="545"/>
      <c r="NPX354" s="540"/>
      <c r="NPY354" s="545"/>
      <c r="NPZ354" s="540"/>
      <c r="NQA354" s="545"/>
      <c r="NQB354" s="540"/>
      <c r="NQC354" s="545"/>
      <c r="NQD354" s="540"/>
      <c r="NQE354" s="545"/>
      <c r="NQF354" s="540"/>
      <c r="NQG354" s="545"/>
      <c r="NQH354" s="540"/>
      <c r="NQI354" s="545"/>
      <c r="NQJ354" s="540"/>
      <c r="NQK354" s="545"/>
      <c r="NQL354" s="540"/>
      <c r="NQM354" s="545"/>
      <c r="NQN354" s="540"/>
      <c r="NQO354" s="545"/>
      <c r="NQP354" s="540"/>
      <c r="NQQ354" s="545"/>
      <c r="NQR354" s="540"/>
      <c r="NQS354" s="545"/>
      <c r="NQT354" s="540"/>
      <c r="NQU354" s="545"/>
      <c r="NQV354" s="540"/>
      <c r="NQW354" s="545"/>
      <c r="NQX354" s="540"/>
      <c r="NQY354" s="545"/>
      <c r="NQZ354" s="540"/>
      <c r="NRA354" s="545"/>
      <c r="NRB354" s="540"/>
      <c r="NRC354" s="545"/>
      <c r="NRD354" s="540"/>
      <c r="NRE354" s="545"/>
      <c r="NRF354" s="540"/>
      <c r="NRG354" s="545"/>
      <c r="NRH354" s="540"/>
      <c r="NRI354" s="545"/>
      <c r="NRJ354" s="540"/>
      <c r="NRK354" s="545"/>
      <c r="NRL354" s="540"/>
      <c r="NRM354" s="545"/>
      <c r="NRN354" s="540"/>
      <c r="NRO354" s="545"/>
      <c r="NRP354" s="540"/>
      <c r="NRQ354" s="545"/>
      <c r="NRR354" s="540"/>
      <c r="NRS354" s="545"/>
      <c r="NRT354" s="540"/>
      <c r="NRU354" s="545"/>
      <c r="NRV354" s="540"/>
      <c r="NRW354" s="545"/>
      <c r="NRX354" s="540"/>
      <c r="NRY354" s="545"/>
      <c r="NRZ354" s="540"/>
      <c r="NSA354" s="545"/>
      <c r="NSB354" s="540"/>
      <c r="NSC354" s="545"/>
      <c r="NSD354" s="540"/>
      <c r="NSE354" s="545"/>
      <c r="NSF354" s="540"/>
      <c r="NSG354" s="545"/>
      <c r="NSH354" s="540"/>
      <c r="NSI354" s="545"/>
      <c r="NSJ354" s="540"/>
      <c r="NSK354" s="545"/>
      <c r="NSL354" s="540"/>
      <c r="NSM354" s="545"/>
      <c r="NSN354" s="540"/>
      <c r="NSO354" s="545"/>
      <c r="NSP354" s="540"/>
      <c r="NSQ354" s="545"/>
      <c r="NSR354" s="540"/>
      <c r="NSS354" s="545"/>
      <c r="NST354" s="540"/>
      <c r="NSU354" s="545"/>
      <c r="NSV354" s="540"/>
      <c r="NSW354" s="545"/>
      <c r="NSX354" s="540"/>
      <c r="NSY354" s="545"/>
      <c r="NSZ354" s="540"/>
      <c r="NTA354" s="545"/>
      <c r="NTB354" s="540"/>
      <c r="NTC354" s="545"/>
      <c r="NTD354" s="540"/>
      <c r="NTE354" s="545"/>
      <c r="NTF354" s="540"/>
      <c r="NTG354" s="545"/>
      <c r="NTH354" s="540"/>
      <c r="NTI354" s="545"/>
      <c r="NTJ354" s="540"/>
      <c r="NTK354" s="545"/>
      <c r="NTL354" s="540"/>
      <c r="NTM354" s="545"/>
      <c r="NTN354" s="540"/>
      <c r="NTO354" s="545"/>
      <c r="NTP354" s="540"/>
      <c r="NTQ354" s="545"/>
      <c r="NTR354" s="540"/>
      <c r="NTS354" s="545"/>
      <c r="NTT354" s="540"/>
      <c r="NTU354" s="545"/>
      <c r="NTV354" s="540"/>
      <c r="NTW354" s="545"/>
      <c r="NTX354" s="540"/>
      <c r="NTY354" s="545"/>
      <c r="NTZ354" s="540"/>
      <c r="NUA354" s="545"/>
      <c r="NUB354" s="540"/>
      <c r="NUC354" s="545"/>
      <c r="NUD354" s="540"/>
      <c r="NUE354" s="545"/>
      <c r="NUF354" s="540"/>
      <c r="NUG354" s="545"/>
      <c r="NUH354" s="540"/>
      <c r="NUI354" s="545"/>
      <c r="NUJ354" s="540"/>
      <c r="NUK354" s="545"/>
      <c r="NUL354" s="540"/>
      <c r="NUM354" s="545"/>
      <c r="NUN354" s="540"/>
      <c r="NUO354" s="545"/>
      <c r="NUP354" s="540"/>
      <c r="NUQ354" s="545"/>
      <c r="NUR354" s="540"/>
      <c r="NUS354" s="545"/>
      <c r="NUT354" s="540"/>
      <c r="NUU354" s="545"/>
      <c r="NUV354" s="540"/>
      <c r="NUW354" s="545"/>
      <c r="NUX354" s="540"/>
      <c r="NUY354" s="545"/>
      <c r="NUZ354" s="540"/>
      <c r="NVA354" s="545"/>
      <c r="NVB354" s="540"/>
      <c r="NVC354" s="545"/>
      <c r="NVD354" s="540"/>
      <c r="NVE354" s="545"/>
      <c r="NVF354" s="540"/>
      <c r="NVG354" s="545"/>
      <c r="NVH354" s="540"/>
      <c r="NVI354" s="545"/>
      <c r="NVJ354" s="540"/>
      <c r="NVK354" s="545"/>
      <c r="NVL354" s="540"/>
      <c r="NVM354" s="545"/>
      <c r="NVN354" s="540"/>
      <c r="NVO354" s="545"/>
      <c r="NVP354" s="540"/>
      <c r="NVQ354" s="545"/>
      <c r="NVR354" s="540"/>
      <c r="NVS354" s="545"/>
      <c r="NVT354" s="540"/>
      <c r="NVU354" s="545"/>
      <c r="NVV354" s="540"/>
      <c r="NVW354" s="545"/>
      <c r="NVX354" s="540"/>
      <c r="NVY354" s="545"/>
      <c r="NVZ354" s="540"/>
      <c r="NWA354" s="545"/>
      <c r="NWB354" s="540"/>
      <c r="NWC354" s="545"/>
      <c r="NWD354" s="540"/>
      <c r="NWE354" s="545"/>
      <c r="NWF354" s="540"/>
      <c r="NWG354" s="545"/>
      <c r="NWH354" s="540"/>
      <c r="NWI354" s="545"/>
      <c r="NWJ354" s="540"/>
      <c r="NWK354" s="545"/>
      <c r="NWL354" s="540"/>
      <c r="NWM354" s="545"/>
      <c r="NWN354" s="540"/>
      <c r="NWO354" s="545"/>
      <c r="NWP354" s="540"/>
      <c r="NWQ354" s="545"/>
      <c r="NWR354" s="540"/>
      <c r="NWS354" s="545"/>
      <c r="NWT354" s="540"/>
      <c r="NWU354" s="545"/>
      <c r="NWV354" s="540"/>
      <c r="NWW354" s="545"/>
      <c r="NWX354" s="540"/>
      <c r="NWY354" s="545"/>
      <c r="NWZ354" s="540"/>
      <c r="NXA354" s="545"/>
      <c r="NXB354" s="540"/>
      <c r="NXC354" s="545"/>
      <c r="NXD354" s="540"/>
      <c r="NXE354" s="545"/>
      <c r="NXF354" s="540"/>
      <c r="NXG354" s="545"/>
      <c r="NXH354" s="540"/>
      <c r="NXI354" s="545"/>
      <c r="NXJ354" s="540"/>
      <c r="NXK354" s="545"/>
      <c r="NXL354" s="540"/>
      <c r="NXM354" s="545"/>
      <c r="NXN354" s="540"/>
      <c r="NXO354" s="545"/>
      <c r="NXP354" s="540"/>
      <c r="NXQ354" s="545"/>
      <c r="NXR354" s="540"/>
      <c r="NXS354" s="545"/>
      <c r="NXT354" s="540"/>
      <c r="NXU354" s="545"/>
      <c r="NXV354" s="540"/>
      <c r="NXW354" s="545"/>
      <c r="NXX354" s="540"/>
      <c r="NXY354" s="545"/>
      <c r="NXZ354" s="540"/>
      <c r="NYA354" s="545"/>
      <c r="NYB354" s="540"/>
      <c r="NYC354" s="545"/>
      <c r="NYD354" s="540"/>
      <c r="NYE354" s="545"/>
      <c r="NYF354" s="540"/>
      <c r="NYG354" s="545"/>
      <c r="NYH354" s="540"/>
      <c r="NYI354" s="545"/>
      <c r="NYJ354" s="540"/>
      <c r="NYK354" s="545"/>
      <c r="NYL354" s="540"/>
      <c r="NYM354" s="545"/>
      <c r="NYN354" s="540"/>
      <c r="NYO354" s="545"/>
      <c r="NYP354" s="540"/>
      <c r="NYQ354" s="545"/>
      <c r="NYR354" s="540"/>
      <c r="NYS354" s="545"/>
      <c r="NYT354" s="540"/>
      <c r="NYU354" s="545"/>
      <c r="NYV354" s="540"/>
      <c r="NYW354" s="545"/>
      <c r="NYX354" s="540"/>
      <c r="NYY354" s="545"/>
      <c r="NYZ354" s="540"/>
      <c r="NZA354" s="545"/>
      <c r="NZB354" s="540"/>
      <c r="NZC354" s="545"/>
      <c r="NZD354" s="540"/>
      <c r="NZE354" s="545"/>
      <c r="NZF354" s="540"/>
      <c r="NZG354" s="545"/>
      <c r="NZH354" s="540"/>
      <c r="NZI354" s="545"/>
      <c r="NZJ354" s="540"/>
      <c r="NZK354" s="545"/>
      <c r="NZL354" s="540"/>
      <c r="NZM354" s="545"/>
      <c r="NZN354" s="540"/>
      <c r="NZO354" s="545"/>
      <c r="NZP354" s="540"/>
      <c r="NZQ354" s="545"/>
      <c r="NZR354" s="540"/>
      <c r="NZS354" s="545"/>
      <c r="NZT354" s="540"/>
      <c r="NZU354" s="545"/>
      <c r="NZV354" s="540"/>
      <c r="NZW354" s="545"/>
      <c r="NZX354" s="540"/>
      <c r="NZY354" s="545"/>
      <c r="NZZ354" s="540"/>
      <c r="OAA354" s="545"/>
      <c r="OAB354" s="540"/>
      <c r="OAC354" s="545"/>
      <c r="OAD354" s="540"/>
      <c r="OAE354" s="545"/>
      <c r="OAF354" s="540"/>
      <c r="OAG354" s="545"/>
      <c r="OAH354" s="540"/>
      <c r="OAI354" s="545"/>
      <c r="OAJ354" s="540"/>
      <c r="OAK354" s="545"/>
      <c r="OAL354" s="540"/>
      <c r="OAM354" s="545"/>
      <c r="OAN354" s="540"/>
      <c r="OAO354" s="545"/>
      <c r="OAP354" s="540"/>
      <c r="OAQ354" s="545"/>
      <c r="OAR354" s="540"/>
      <c r="OAS354" s="545"/>
      <c r="OAT354" s="540"/>
      <c r="OAU354" s="545"/>
      <c r="OAV354" s="540"/>
      <c r="OAW354" s="545"/>
      <c r="OAX354" s="540"/>
      <c r="OAY354" s="545"/>
      <c r="OAZ354" s="540"/>
      <c r="OBA354" s="545"/>
      <c r="OBB354" s="540"/>
      <c r="OBC354" s="545"/>
      <c r="OBD354" s="540"/>
      <c r="OBE354" s="545"/>
      <c r="OBF354" s="540"/>
      <c r="OBG354" s="545"/>
      <c r="OBH354" s="540"/>
      <c r="OBI354" s="545"/>
      <c r="OBJ354" s="540"/>
      <c r="OBK354" s="545"/>
      <c r="OBL354" s="540"/>
      <c r="OBM354" s="545"/>
      <c r="OBN354" s="540"/>
      <c r="OBO354" s="545"/>
      <c r="OBP354" s="540"/>
      <c r="OBQ354" s="545"/>
      <c r="OBR354" s="540"/>
      <c r="OBS354" s="545"/>
      <c r="OBT354" s="540"/>
      <c r="OBU354" s="545"/>
      <c r="OBV354" s="540"/>
      <c r="OBW354" s="545"/>
      <c r="OBX354" s="540"/>
      <c r="OBY354" s="545"/>
      <c r="OBZ354" s="540"/>
      <c r="OCA354" s="545"/>
      <c r="OCB354" s="540"/>
      <c r="OCC354" s="545"/>
      <c r="OCD354" s="540"/>
      <c r="OCE354" s="545"/>
      <c r="OCF354" s="540"/>
      <c r="OCG354" s="545"/>
      <c r="OCH354" s="540"/>
      <c r="OCI354" s="545"/>
      <c r="OCJ354" s="540"/>
      <c r="OCK354" s="545"/>
      <c r="OCL354" s="540"/>
      <c r="OCM354" s="545"/>
      <c r="OCN354" s="540"/>
      <c r="OCO354" s="545"/>
      <c r="OCP354" s="540"/>
      <c r="OCQ354" s="545"/>
      <c r="OCR354" s="540"/>
      <c r="OCS354" s="545"/>
      <c r="OCT354" s="540"/>
      <c r="OCU354" s="545"/>
      <c r="OCV354" s="540"/>
      <c r="OCW354" s="545"/>
      <c r="OCX354" s="540"/>
      <c r="OCY354" s="545"/>
      <c r="OCZ354" s="540"/>
      <c r="ODA354" s="545"/>
      <c r="ODB354" s="540"/>
      <c r="ODC354" s="545"/>
      <c r="ODD354" s="540"/>
      <c r="ODE354" s="545"/>
      <c r="ODF354" s="540"/>
      <c r="ODG354" s="545"/>
      <c r="ODH354" s="540"/>
      <c r="ODI354" s="545"/>
      <c r="ODJ354" s="540"/>
      <c r="ODK354" s="545"/>
      <c r="ODL354" s="540"/>
      <c r="ODM354" s="545"/>
      <c r="ODN354" s="540"/>
      <c r="ODO354" s="545"/>
      <c r="ODP354" s="540"/>
      <c r="ODQ354" s="545"/>
      <c r="ODR354" s="540"/>
      <c r="ODS354" s="545"/>
      <c r="ODT354" s="540"/>
      <c r="ODU354" s="545"/>
      <c r="ODV354" s="540"/>
      <c r="ODW354" s="545"/>
      <c r="ODX354" s="540"/>
      <c r="ODY354" s="545"/>
      <c r="ODZ354" s="540"/>
      <c r="OEA354" s="545"/>
      <c r="OEB354" s="540"/>
      <c r="OEC354" s="545"/>
      <c r="OED354" s="540"/>
      <c r="OEE354" s="545"/>
      <c r="OEF354" s="540"/>
      <c r="OEG354" s="545"/>
      <c r="OEH354" s="540"/>
      <c r="OEI354" s="545"/>
      <c r="OEJ354" s="540"/>
      <c r="OEK354" s="545"/>
      <c r="OEL354" s="540"/>
      <c r="OEM354" s="545"/>
      <c r="OEN354" s="540"/>
      <c r="OEO354" s="545"/>
      <c r="OEP354" s="540"/>
      <c r="OEQ354" s="545"/>
      <c r="OER354" s="540"/>
      <c r="OES354" s="545"/>
      <c r="OET354" s="540"/>
      <c r="OEU354" s="545"/>
      <c r="OEV354" s="540"/>
      <c r="OEW354" s="545"/>
      <c r="OEX354" s="540"/>
      <c r="OEY354" s="545"/>
      <c r="OEZ354" s="540"/>
      <c r="OFA354" s="545"/>
      <c r="OFB354" s="540"/>
      <c r="OFC354" s="545"/>
      <c r="OFD354" s="540"/>
      <c r="OFE354" s="545"/>
      <c r="OFF354" s="540"/>
      <c r="OFG354" s="545"/>
      <c r="OFH354" s="540"/>
      <c r="OFI354" s="545"/>
      <c r="OFJ354" s="540"/>
      <c r="OFK354" s="545"/>
      <c r="OFL354" s="540"/>
      <c r="OFM354" s="545"/>
      <c r="OFN354" s="540"/>
      <c r="OFO354" s="545"/>
      <c r="OFP354" s="540"/>
      <c r="OFQ354" s="545"/>
      <c r="OFR354" s="540"/>
      <c r="OFS354" s="545"/>
      <c r="OFT354" s="540"/>
      <c r="OFU354" s="545"/>
      <c r="OFV354" s="540"/>
      <c r="OFW354" s="545"/>
      <c r="OFX354" s="540"/>
      <c r="OFY354" s="545"/>
      <c r="OFZ354" s="540"/>
      <c r="OGA354" s="545"/>
      <c r="OGB354" s="540"/>
      <c r="OGC354" s="545"/>
      <c r="OGD354" s="540"/>
      <c r="OGE354" s="545"/>
      <c r="OGF354" s="540"/>
      <c r="OGG354" s="545"/>
      <c r="OGH354" s="540"/>
      <c r="OGI354" s="545"/>
      <c r="OGJ354" s="540"/>
      <c r="OGK354" s="545"/>
      <c r="OGL354" s="540"/>
      <c r="OGM354" s="545"/>
      <c r="OGN354" s="540"/>
      <c r="OGO354" s="545"/>
      <c r="OGP354" s="540"/>
      <c r="OGQ354" s="545"/>
      <c r="OGR354" s="540"/>
      <c r="OGS354" s="545"/>
      <c r="OGT354" s="540"/>
      <c r="OGU354" s="545"/>
      <c r="OGV354" s="540"/>
      <c r="OGW354" s="545"/>
      <c r="OGX354" s="540"/>
      <c r="OGY354" s="545"/>
      <c r="OGZ354" s="540"/>
      <c r="OHA354" s="545"/>
      <c r="OHB354" s="540"/>
      <c r="OHC354" s="545"/>
      <c r="OHD354" s="540"/>
      <c r="OHE354" s="545"/>
      <c r="OHF354" s="540"/>
      <c r="OHG354" s="545"/>
      <c r="OHH354" s="540"/>
      <c r="OHI354" s="545"/>
      <c r="OHJ354" s="540"/>
      <c r="OHK354" s="545"/>
      <c r="OHL354" s="540"/>
      <c r="OHM354" s="545"/>
      <c r="OHN354" s="540"/>
      <c r="OHO354" s="545"/>
      <c r="OHP354" s="540"/>
      <c r="OHQ354" s="545"/>
      <c r="OHR354" s="540"/>
      <c r="OHS354" s="545"/>
      <c r="OHT354" s="540"/>
      <c r="OHU354" s="545"/>
      <c r="OHV354" s="540"/>
      <c r="OHW354" s="545"/>
      <c r="OHX354" s="540"/>
      <c r="OHY354" s="545"/>
      <c r="OHZ354" s="540"/>
      <c r="OIA354" s="545"/>
      <c r="OIB354" s="540"/>
      <c r="OIC354" s="545"/>
      <c r="OID354" s="540"/>
      <c r="OIE354" s="545"/>
      <c r="OIF354" s="540"/>
      <c r="OIG354" s="545"/>
      <c r="OIH354" s="540"/>
      <c r="OII354" s="545"/>
      <c r="OIJ354" s="540"/>
      <c r="OIK354" s="545"/>
      <c r="OIL354" s="540"/>
      <c r="OIM354" s="545"/>
      <c r="OIN354" s="540"/>
      <c r="OIO354" s="545"/>
      <c r="OIP354" s="540"/>
      <c r="OIQ354" s="545"/>
      <c r="OIR354" s="540"/>
      <c r="OIS354" s="545"/>
      <c r="OIT354" s="540"/>
      <c r="OIU354" s="545"/>
      <c r="OIV354" s="540"/>
      <c r="OIW354" s="545"/>
      <c r="OIX354" s="540"/>
      <c r="OIY354" s="545"/>
      <c r="OIZ354" s="540"/>
      <c r="OJA354" s="545"/>
      <c r="OJB354" s="540"/>
      <c r="OJC354" s="545"/>
      <c r="OJD354" s="540"/>
      <c r="OJE354" s="545"/>
      <c r="OJF354" s="540"/>
      <c r="OJG354" s="545"/>
      <c r="OJH354" s="540"/>
      <c r="OJI354" s="545"/>
      <c r="OJJ354" s="540"/>
      <c r="OJK354" s="545"/>
      <c r="OJL354" s="540"/>
      <c r="OJM354" s="545"/>
      <c r="OJN354" s="540"/>
      <c r="OJO354" s="545"/>
      <c r="OJP354" s="540"/>
      <c r="OJQ354" s="545"/>
      <c r="OJR354" s="540"/>
      <c r="OJS354" s="545"/>
      <c r="OJT354" s="540"/>
      <c r="OJU354" s="545"/>
      <c r="OJV354" s="540"/>
      <c r="OJW354" s="545"/>
      <c r="OJX354" s="540"/>
      <c r="OJY354" s="545"/>
      <c r="OJZ354" s="540"/>
      <c r="OKA354" s="545"/>
      <c r="OKB354" s="540"/>
      <c r="OKC354" s="545"/>
      <c r="OKD354" s="540"/>
      <c r="OKE354" s="545"/>
      <c r="OKF354" s="540"/>
      <c r="OKG354" s="545"/>
      <c r="OKH354" s="540"/>
      <c r="OKI354" s="545"/>
      <c r="OKJ354" s="540"/>
      <c r="OKK354" s="545"/>
      <c r="OKL354" s="540"/>
      <c r="OKM354" s="545"/>
      <c r="OKN354" s="540"/>
      <c r="OKO354" s="545"/>
      <c r="OKP354" s="540"/>
      <c r="OKQ354" s="545"/>
      <c r="OKR354" s="540"/>
      <c r="OKS354" s="545"/>
      <c r="OKT354" s="540"/>
      <c r="OKU354" s="545"/>
      <c r="OKV354" s="540"/>
      <c r="OKW354" s="545"/>
      <c r="OKX354" s="540"/>
      <c r="OKY354" s="545"/>
      <c r="OKZ354" s="540"/>
      <c r="OLA354" s="545"/>
      <c r="OLB354" s="540"/>
      <c r="OLC354" s="545"/>
      <c r="OLD354" s="540"/>
      <c r="OLE354" s="545"/>
      <c r="OLF354" s="540"/>
      <c r="OLG354" s="545"/>
      <c r="OLH354" s="540"/>
      <c r="OLI354" s="545"/>
      <c r="OLJ354" s="540"/>
      <c r="OLK354" s="545"/>
      <c r="OLL354" s="540"/>
      <c r="OLM354" s="545"/>
      <c r="OLN354" s="540"/>
      <c r="OLO354" s="545"/>
      <c r="OLP354" s="540"/>
      <c r="OLQ354" s="545"/>
      <c r="OLR354" s="540"/>
      <c r="OLS354" s="545"/>
      <c r="OLT354" s="540"/>
      <c r="OLU354" s="545"/>
      <c r="OLV354" s="540"/>
      <c r="OLW354" s="545"/>
      <c r="OLX354" s="540"/>
      <c r="OLY354" s="545"/>
      <c r="OLZ354" s="540"/>
      <c r="OMA354" s="545"/>
      <c r="OMB354" s="540"/>
      <c r="OMC354" s="545"/>
      <c r="OMD354" s="540"/>
      <c r="OME354" s="545"/>
      <c r="OMF354" s="540"/>
      <c r="OMG354" s="545"/>
      <c r="OMH354" s="540"/>
      <c r="OMI354" s="545"/>
      <c r="OMJ354" s="540"/>
      <c r="OMK354" s="545"/>
      <c r="OML354" s="540"/>
      <c r="OMM354" s="545"/>
      <c r="OMN354" s="540"/>
      <c r="OMO354" s="545"/>
      <c r="OMP354" s="540"/>
      <c r="OMQ354" s="545"/>
      <c r="OMR354" s="540"/>
      <c r="OMS354" s="545"/>
      <c r="OMT354" s="540"/>
      <c r="OMU354" s="545"/>
      <c r="OMV354" s="540"/>
      <c r="OMW354" s="545"/>
      <c r="OMX354" s="540"/>
      <c r="OMY354" s="545"/>
      <c r="OMZ354" s="540"/>
      <c r="ONA354" s="545"/>
      <c r="ONB354" s="540"/>
      <c r="ONC354" s="545"/>
      <c r="OND354" s="540"/>
      <c r="ONE354" s="545"/>
      <c r="ONF354" s="540"/>
      <c r="ONG354" s="545"/>
      <c r="ONH354" s="540"/>
      <c r="ONI354" s="545"/>
      <c r="ONJ354" s="540"/>
      <c r="ONK354" s="545"/>
      <c r="ONL354" s="540"/>
      <c r="ONM354" s="545"/>
      <c r="ONN354" s="540"/>
      <c r="ONO354" s="545"/>
      <c r="ONP354" s="540"/>
      <c r="ONQ354" s="545"/>
      <c r="ONR354" s="540"/>
      <c r="ONS354" s="545"/>
      <c r="ONT354" s="540"/>
      <c r="ONU354" s="545"/>
      <c r="ONV354" s="540"/>
      <c r="ONW354" s="545"/>
      <c r="ONX354" s="540"/>
      <c r="ONY354" s="545"/>
      <c r="ONZ354" s="540"/>
      <c r="OOA354" s="545"/>
      <c r="OOB354" s="540"/>
      <c r="OOC354" s="545"/>
      <c r="OOD354" s="540"/>
      <c r="OOE354" s="545"/>
      <c r="OOF354" s="540"/>
      <c r="OOG354" s="545"/>
      <c r="OOH354" s="540"/>
      <c r="OOI354" s="545"/>
      <c r="OOJ354" s="540"/>
      <c r="OOK354" s="545"/>
      <c r="OOL354" s="540"/>
      <c r="OOM354" s="545"/>
      <c r="OON354" s="540"/>
      <c r="OOO354" s="545"/>
      <c r="OOP354" s="540"/>
      <c r="OOQ354" s="545"/>
      <c r="OOR354" s="540"/>
      <c r="OOS354" s="545"/>
      <c r="OOT354" s="540"/>
      <c r="OOU354" s="545"/>
      <c r="OOV354" s="540"/>
      <c r="OOW354" s="545"/>
      <c r="OOX354" s="540"/>
      <c r="OOY354" s="545"/>
      <c r="OOZ354" s="540"/>
      <c r="OPA354" s="545"/>
      <c r="OPB354" s="540"/>
      <c r="OPC354" s="545"/>
      <c r="OPD354" s="540"/>
      <c r="OPE354" s="545"/>
      <c r="OPF354" s="540"/>
      <c r="OPG354" s="545"/>
      <c r="OPH354" s="540"/>
      <c r="OPI354" s="545"/>
      <c r="OPJ354" s="540"/>
      <c r="OPK354" s="545"/>
      <c r="OPL354" s="540"/>
      <c r="OPM354" s="545"/>
      <c r="OPN354" s="540"/>
      <c r="OPO354" s="545"/>
      <c r="OPP354" s="540"/>
      <c r="OPQ354" s="545"/>
      <c r="OPR354" s="540"/>
      <c r="OPS354" s="545"/>
      <c r="OPT354" s="540"/>
      <c r="OPU354" s="545"/>
      <c r="OPV354" s="540"/>
      <c r="OPW354" s="545"/>
      <c r="OPX354" s="540"/>
      <c r="OPY354" s="545"/>
      <c r="OPZ354" s="540"/>
      <c r="OQA354" s="545"/>
      <c r="OQB354" s="540"/>
      <c r="OQC354" s="545"/>
      <c r="OQD354" s="540"/>
      <c r="OQE354" s="545"/>
      <c r="OQF354" s="540"/>
      <c r="OQG354" s="545"/>
      <c r="OQH354" s="540"/>
      <c r="OQI354" s="545"/>
      <c r="OQJ354" s="540"/>
      <c r="OQK354" s="545"/>
      <c r="OQL354" s="540"/>
      <c r="OQM354" s="545"/>
      <c r="OQN354" s="540"/>
      <c r="OQO354" s="545"/>
      <c r="OQP354" s="540"/>
      <c r="OQQ354" s="545"/>
      <c r="OQR354" s="540"/>
      <c r="OQS354" s="545"/>
      <c r="OQT354" s="540"/>
      <c r="OQU354" s="545"/>
      <c r="OQV354" s="540"/>
      <c r="OQW354" s="545"/>
      <c r="OQX354" s="540"/>
      <c r="OQY354" s="545"/>
      <c r="OQZ354" s="540"/>
      <c r="ORA354" s="545"/>
      <c r="ORB354" s="540"/>
      <c r="ORC354" s="545"/>
      <c r="ORD354" s="540"/>
      <c r="ORE354" s="545"/>
      <c r="ORF354" s="540"/>
      <c r="ORG354" s="545"/>
      <c r="ORH354" s="540"/>
      <c r="ORI354" s="545"/>
      <c r="ORJ354" s="540"/>
      <c r="ORK354" s="545"/>
      <c r="ORL354" s="540"/>
      <c r="ORM354" s="545"/>
      <c r="ORN354" s="540"/>
      <c r="ORO354" s="545"/>
      <c r="ORP354" s="540"/>
      <c r="ORQ354" s="545"/>
      <c r="ORR354" s="540"/>
      <c r="ORS354" s="545"/>
      <c r="ORT354" s="540"/>
      <c r="ORU354" s="545"/>
      <c r="ORV354" s="540"/>
      <c r="ORW354" s="545"/>
      <c r="ORX354" s="540"/>
      <c r="ORY354" s="545"/>
      <c r="ORZ354" s="540"/>
      <c r="OSA354" s="545"/>
      <c r="OSB354" s="540"/>
      <c r="OSC354" s="545"/>
      <c r="OSD354" s="540"/>
      <c r="OSE354" s="545"/>
      <c r="OSF354" s="540"/>
      <c r="OSG354" s="545"/>
      <c r="OSH354" s="540"/>
      <c r="OSI354" s="545"/>
      <c r="OSJ354" s="540"/>
      <c r="OSK354" s="545"/>
      <c r="OSL354" s="540"/>
      <c r="OSM354" s="545"/>
      <c r="OSN354" s="540"/>
      <c r="OSO354" s="545"/>
      <c r="OSP354" s="540"/>
      <c r="OSQ354" s="545"/>
      <c r="OSR354" s="540"/>
      <c r="OSS354" s="545"/>
      <c r="OST354" s="540"/>
      <c r="OSU354" s="545"/>
      <c r="OSV354" s="540"/>
      <c r="OSW354" s="545"/>
      <c r="OSX354" s="540"/>
      <c r="OSY354" s="545"/>
      <c r="OSZ354" s="540"/>
      <c r="OTA354" s="545"/>
      <c r="OTB354" s="540"/>
      <c r="OTC354" s="545"/>
      <c r="OTD354" s="540"/>
      <c r="OTE354" s="545"/>
      <c r="OTF354" s="540"/>
      <c r="OTG354" s="545"/>
      <c r="OTH354" s="540"/>
      <c r="OTI354" s="545"/>
      <c r="OTJ354" s="540"/>
      <c r="OTK354" s="545"/>
      <c r="OTL354" s="540"/>
      <c r="OTM354" s="545"/>
      <c r="OTN354" s="540"/>
      <c r="OTO354" s="545"/>
      <c r="OTP354" s="540"/>
      <c r="OTQ354" s="545"/>
      <c r="OTR354" s="540"/>
      <c r="OTS354" s="545"/>
      <c r="OTT354" s="540"/>
      <c r="OTU354" s="545"/>
      <c r="OTV354" s="540"/>
      <c r="OTW354" s="545"/>
      <c r="OTX354" s="540"/>
      <c r="OTY354" s="545"/>
      <c r="OTZ354" s="540"/>
      <c r="OUA354" s="545"/>
      <c r="OUB354" s="540"/>
      <c r="OUC354" s="545"/>
      <c r="OUD354" s="540"/>
      <c r="OUE354" s="545"/>
      <c r="OUF354" s="540"/>
      <c r="OUG354" s="545"/>
      <c r="OUH354" s="540"/>
      <c r="OUI354" s="545"/>
      <c r="OUJ354" s="540"/>
      <c r="OUK354" s="545"/>
      <c r="OUL354" s="540"/>
      <c r="OUM354" s="545"/>
      <c r="OUN354" s="540"/>
      <c r="OUO354" s="545"/>
      <c r="OUP354" s="540"/>
      <c r="OUQ354" s="545"/>
      <c r="OUR354" s="540"/>
      <c r="OUS354" s="545"/>
      <c r="OUT354" s="540"/>
      <c r="OUU354" s="545"/>
      <c r="OUV354" s="540"/>
      <c r="OUW354" s="545"/>
      <c r="OUX354" s="540"/>
      <c r="OUY354" s="545"/>
      <c r="OUZ354" s="540"/>
      <c r="OVA354" s="545"/>
      <c r="OVB354" s="540"/>
      <c r="OVC354" s="545"/>
      <c r="OVD354" s="540"/>
      <c r="OVE354" s="545"/>
      <c r="OVF354" s="540"/>
      <c r="OVG354" s="545"/>
      <c r="OVH354" s="540"/>
      <c r="OVI354" s="545"/>
      <c r="OVJ354" s="540"/>
      <c r="OVK354" s="545"/>
      <c r="OVL354" s="540"/>
      <c r="OVM354" s="545"/>
      <c r="OVN354" s="540"/>
      <c r="OVO354" s="545"/>
      <c r="OVP354" s="540"/>
      <c r="OVQ354" s="545"/>
      <c r="OVR354" s="540"/>
      <c r="OVS354" s="545"/>
      <c r="OVT354" s="540"/>
      <c r="OVU354" s="545"/>
      <c r="OVV354" s="540"/>
      <c r="OVW354" s="545"/>
      <c r="OVX354" s="540"/>
      <c r="OVY354" s="545"/>
      <c r="OVZ354" s="540"/>
      <c r="OWA354" s="545"/>
      <c r="OWB354" s="540"/>
      <c r="OWC354" s="545"/>
      <c r="OWD354" s="540"/>
      <c r="OWE354" s="545"/>
      <c r="OWF354" s="540"/>
      <c r="OWG354" s="545"/>
      <c r="OWH354" s="540"/>
      <c r="OWI354" s="545"/>
      <c r="OWJ354" s="540"/>
      <c r="OWK354" s="545"/>
      <c r="OWL354" s="540"/>
      <c r="OWM354" s="545"/>
      <c r="OWN354" s="540"/>
      <c r="OWO354" s="545"/>
      <c r="OWP354" s="540"/>
      <c r="OWQ354" s="545"/>
      <c r="OWR354" s="540"/>
      <c r="OWS354" s="545"/>
      <c r="OWT354" s="540"/>
      <c r="OWU354" s="545"/>
      <c r="OWV354" s="540"/>
      <c r="OWW354" s="545"/>
      <c r="OWX354" s="540"/>
      <c r="OWY354" s="545"/>
      <c r="OWZ354" s="540"/>
      <c r="OXA354" s="545"/>
      <c r="OXB354" s="540"/>
      <c r="OXC354" s="545"/>
      <c r="OXD354" s="540"/>
      <c r="OXE354" s="545"/>
      <c r="OXF354" s="540"/>
      <c r="OXG354" s="545"/>
      <c r="OXH354" s="540"/>
      <c r="OXI354" s="545"/>
      <c r="OXJ354" s="540"/>
      <c r="OXK354" s="545"/>
      <c r="OXL354" s="540"/>
      <c r="OXM354" s="545"/>
      <c r="OXN354" s="540"/>
      <c r="OXO354" s="545"/>
      <c r="OXP354" s="540"/>
      <c r="OXQ354" s="545"/>
      <c r="OXR354" s="540"/>
      <c r="OXS354" s="545"/>
      <c r="OXT354" s="540"/>
      <c r="OXU354" s="545"/>
      <c r="OXV354" s="540"/>
      <c r="OXW354" s="545"/>
      <c r="OXX354" s="540"/>
      <c r="OXY354" s="545"/>
      <c r="OXZ354" s="540"/>
      <c r="OYA354" s="545"/>
      <c r="OYB354" s="540"/>
      <c r="OYC354" s="545"/>
      <c r="OYD354" s="540"/>
      <c r="OYE354" s="545"/>
      <c r="OYF354" s="540"/>
      <c r="OYG354" s="545"/>
      <c r="OYH354" s="540"/>
      <c r="OYI354" s="545"/>
      <c r="OYJ354" s="540"/>
      <c r="OYK354" s="545"/>
      <c r="OYL354" s="540"/>
      <c r="OYM354" s="545"/>
      <c r="OYN354" s="540"/>
      <c r="OYO354" s="545"/>
      <c r="OYP354" s="540"/>
      <c r="OYQ354" s="545"/>
      <c r="OYR354" s="540"/>
      <c r="OYS354" s="545"/>
      <c r="OYT354" s="540"/>
      <c r="OYU354" s="545"/>
      <c r="OYV354" s="540"/>
      <c r="OYW354" s="545"/>
      <c r="OYX354" s="540"/>
      <c r="OYY354" s="545"/>
      <c r="OYZ354" s="540"/>
      <c r="OZA354" s="545"/>
      <c r="OZB354" s="540"/>
      <c r="OZC354" s="545"/>
      <c r="OZD354" s="540"/>
      <c r="OZE354" s="545"/>
      <c r="OZF354" s="540"/>
      <c r="OZG354" s="545"/>
      <c r="OZH354" s="540"/>
      <c r="OZI354" s="545"/>
      <c r="OZJ354" s="540"/>
      <c r="OZK354" s="545"/>
      <c r="OZL354" s="540"/>
      <c r="OZM354" s="545"/>
      <c r="OZN354" s="540"/>
      <c r="OZO354" s="545"/>
      <c r="OZP354" s="540"/>
      <c r="OZQ354" s="545"/>
      <c r="OZR354" s="540"/>
      <c r="OZS354" s="545"/>
      <c r="OZT354" s="540"/>
      <c r="OZU354" s="545"/>
      <c r="OZV354" s="540"/>
      <c r="OZW354" s="545"/>
      <c r="OZX354" s="540"/>
      <c r="OZY354" s="545"/>
      <c r="OZZ354" s="540"/>
      <c r="PAA354" s="545"/>
      <c r="PAB354" s="540"/>
      <c r="PAC354" s="545"/>
      <c r="PAD354" s="540"/>
      <c r="PAE354" s="545"/>
      <c r="PAF354" s="540"/>
      <c r="PAG354" s="545"/>
      <c r="PAH354" s="540"/>
      <c r="PAI354" s="545"/>
      <c r="PAJ354" s="540"/>
      <c r="PAK354" s="545"/>
      <c r="PAL354" s="540"/>
      <c r="PAM354" s="545"/>
      <c r="PAN354" s="540"/>
      <c r="PAO354" s="545"/>
      <c r="PAP354" s="540"/>
      <c r="PAQ354" s="545"/>
      <c r="PAR354" s="540"/>
      <c r="PAS354" s="545"/>
      <c r="PAT354" s="540"/>
      <c r="PAU354" s="545"/>
      <c r="PAV354" s="540"/>
      <c r="PAW354" s="545"/>
      <c r="PAX354" s="540"/>
      <c r="PAY354" s="545"/>
      <c r="PAZ354" s="540"/>
      <c r="PBA354" s="545"/>
      <c r="PBB354" s="540"/>
      <c r="PBC354" s="545"/>
      <c r="PBD354" s="540"/>
      <c r="PBE354" s="545"/>
      <c r="PBF354" s="540"/>
      <c r="PBG354" s="545"/>
      <c r="PBH354" s="540"/>
      <c r="PBI354" s="545"/>
      <c r="PBJ354" s="540"/>
      <c r="PBK354" s="545"/>
      <c r="PBL354" s="540"/>
      <c r="PBM354" s="545"/>
      <c r="PBN354" s="540"/>
      <c r="PBO354" s="545"/>
      <c r="PBP354" s="540"/>
      <c r="PBQ354" s="545"/>
      <c r="PBR354" s="540"/>
      <c r="PBS354" s="545"/>
      <c r="PBT354" s="540"/>
      <c r="PBU354" s="545"/>
      <c r="PBV354" s="540"/>
      <c r="PBW354" s="545"/>
      <c r="PBX354" s="540"/>
      <c r="PBY354" s="545"/>
      <c r="PBZ354" s="540"/>
      <c r="PCA354" s="545"/>
      <c r="PCB354" s="540"/>
      <c r="PCC354" s="545"/>
      <c r="PCD354" s="540"/>
      <c r="PCE354" s="545"/>
      <c r="PCF354" s="540"/>
      <c r="PCG354" s="545"/>
      <c r="PCH354" s="540"/>
      <c r="PCI354" s="545"/>
      <c r="PCJ354" s="540"/>
      <c r="PCK354" s="545"/>
      <c r="PCL354" s="540"/>
      <c r="PCM354" s="545"/>
      <c r="PCN354" s="540"/>
      <c r="PCO354" s="545"/>
      <c r="PCP354" s="540"/>
      <c r="PCQ354" s="545"/>
      <c r="PCR354" s="540"/>
      <c r="PCS354" s="545"/>
      <c r="PCT354" s="540"/>
      <c r="PCU354" s="545"/>
      <c r="PCV354" s="540"/>
      <c r="PCW354" s="545"/>
      <c r="PCX354" s="540"/>
      <c r="PCY354" s="545"/>
      <c r="PCZ354" s="540"/>
      <c r="PDA354" s="545"/>
      <c r="PDB354" s="540"/>
      <c r="PDC354" s="545"/>
      <c r="PDD354" s="540"/>
      <c r="PDE354" s="545"/>
      <c r="PDF354" s="540"/>
      <c r="PDG354" s="545"/>
      <c r="PDH354" s="540"/>
      <c r="PDI354" s="545"/>
      <c r="PDJ354" s="540"/>
      <c r="PDK354" s="545"/>
      <c r="PDL354" s="540"/>
      <c r="PDM354" s="545"/>
      <c r="PDN354" s="540"/>
      <c r="PDO354" s="545"/>
      <c r="PDP354" s="540"/>
      <c r="PDQ354" s="545"/>
      <c r="PDR354" s="540"/>
      <c r="PDS354" s="545"/>
      <c r="PDT354" s="540"/>
      <c r="PDU354" s="545"/>
      <c r="PDV354" s="540"/>
      <c r="PDW354" s="545"/>
      <c r="PDX354" s="540"/>
      <c r="PDY354" s="545"/>
      <c r="PDZ354" s="540"/>
      <c r="PEA354" s="545"/>
      <c r="PEB354" s="540"/>
      <c r="PEC354" s="545"/>
      <c r="PED354" s="540"/>
      <c r="PEE354" s="545"/>
      <c r="PEF354" s="540"/>
      <c r="PEG354" s="545"/>
      <c r="PEH354" s="540"/>
      <c r="PEI354" s="545"/>
      <c r="PEJ354" s="540"/>
      <c r="PEK354" s="545"/>
      <c r="PEL354" s="540"/>
      <c r="PEM354" s="545"/>
      <c r="PEN354" s="540"/>
      <c r="PEO354" s="545"/>
      <c r="PEP354" s="540"/>
      <c r="PEQ354" s="545"/>
      <c r="PER354" s="540"/>
      <c r="PES354" s="545"/>
      <c r="PET354" s="540"/>
      <c r="PEU354" s="545"/>
      <c r="PEV354" s="540"/>
      <c r="PEW354" s="545"/>
      <c r="PEX354" s="540"/>
      <c r="PEY354" s="545"/>
      <c r="PEZ354" s="540"/>
      <c r="PFA354" s="545"/>
      <c r="PFB354" s="540"/>
      <c r="PFC354" s="545"/>
      <c r="PFD354" s="540"/>
      <c r="PFE354" s="545"/>
      <c r="PFF354" s="540"/>
      <c r="PFG354" s="545"/>
      <c r="PFH354" s="540"/>
      <c r="PFI354" s="545"/>
      <c r="PFJ354" s="540"/>
      <c r="PFK354" s="545"/>
      <c r="PFL354" s="540"/>
      <c r="PFM354" s="545"/>
      <c r="PFN354" s="540"/>
      <c r="PFO354" s="545"/>
      <c r="PFP354" s="540"/>
      <c r="PFQ354" s="545"/>
      <c r="PFR354" s="540"/>
      <c r="PFS354" s="545"/>
      <c r="PFT354" s="540"/>
      <c r="PFU354" s="545"/>
      <c r="PFV354" s="540"/>
      <c r="PFW354" s="545"/>
      <c r="PFX354" s="540"/>
      <c r="PFY354" s="545"/>
      <c r="PFZ354" s="540"/>
      <c r="PGA354" s="545"/>
      <c r="PGB354" s="540"/>
      <c r="PGC354" s="545"/>
      <c r="PGD354" s="540"/>
      <c r="PGE354" s="545"/>
      <c r="PGF354" s="540"/>
      <c r="PGG354" s="545"/>
      <c r="PGH354" s="540"/>
      <c r="PGI354" s="545"/>
      <c r="PGJ354" s="540"/>
      <c r="PGK354" s="545"/>
      <c r="PGL354" s="540"/>
      <c r="PGM354" s="545"/>
      <c r="PGN354" s="540"/>
      <c r="PGO354" s="545"/>
      <c r="PGP354" s="540"/>
      <c r="PGQ354" s="545"/>
      <c r="PGR354" s="540"/>
      <c r="PGS354" s="545"/>
      <c r="PGT354" s="540"/>
      <c r="PGU354" s="545"/>
      <c r="PGV354" s="540"/>
      <c r="PGW354" s="545"/>
      <c r="PGX354" s="540"/>
      <c r="PGY354" s="545"/>
      <c r="PGZ354" s="540"/>
      <c r="PHA354" s="545"/>
      <c r="PHB354" s="540"/>
      <c r="PHC354" s="545"/>
      <c r="PHD354" s="540"/>
      <c r="PHE354" s="545"/>
      <c r="PHF354" s="540"/>
      <c r="PHG354" s="545"/>
      <c r="PHH354" s="540"/>
      <c r="PHI354" s="545"/>
      <c r="PHJ354" s="540"/>
      <c r="PHK354" s="545"/>
      <c r="PHL354" s="540"/>
      <c r="PHM354" s="545"/>
      <c r="PHN354" s="540"/>
      <c r="PHO354" s="545"/>
      <c r="PHP354" s="540"/>
      <c r="PHQ354" s="545"/>
      <c r="PHR354" s="540"/>
      <c r="PHS354" s="545"/>
      <c r="PHT354" s="540"/>
      <c r="PHU354" s="545"/>
      <c r="PHV354" s="540"/>
      <c r="PHW354" s="545"/>
      <c r="PHX354" s="540"/>
      <c r="PHY354" s="545"/>
      <c r="PHZ354" s="540"/>
      <c r="PIA354" s="545"/>
      <c r="PIB354" s="540"/>
      <c r="PIC354" s="545"/>
      <c r="PID354" s="540"/>
      <c r="PIE354" s="545"/>
      <c r="PIF354" s="540"/>
      <c r="PIG354" s="545"/>
      <c r="PIH354" s="540"/>
      <c r="PII354" s="545"/>
      <c r="PIJ354" s="540"/>
      <c r="PIK354" s="545"/>
      <c r="PIL354" s="540"/>
      <c r="PIM354" s="545"/>
      <c r="PIN354" s="540"/>
      <c r="PIO354" s="545"/>
      <c r="PIP354" s="540"/>
      <c r="PIQ354" s="545"/>
      <c r="PIR354" s="540"/>
      <c r="PIS354" s="545"/>
      <c r="PIT354" s="540"/>
      <c r="PIU354" s="545"/>
      <c r="PIV354" s="540"/>
      <c r="PIW354" s="545"/>
      <c r="PIX354" s="540"/>
      <c r="PIY354" s="545"/>
      <c r="PIZ354" s="540"/>
      <c r="PJA354" s="545"/>
      <c r="PJB354" s="540"/>
      <c r="PJC354" s="545"/>
      <c r="PJD354" s="540"/>
      <c r="PJE354" s="545"/>
      <c r="PJF354" s="540"/>
      <c r="PJG354" s="545"/>
      <c r="PJH354" s="540"/>
      <c r="PJI354" s="545"/>
      <c r="PJJ354" s="540"/>
      <c r="PJK354" s="545"/>
      <c r="PJL354" s="540"/>
      <c r="PJM354" s="545"/>
      <c r="PJN354" s="540"/>
      <c r="PJO354" s="545"/>
      <c r="PJP354" s="540"/>
      <c r="PJQ354" s="545"/>
      <c r="PJR354" s="540"/>
      <c r="PJS354" s="545"/>
      <c r="PJT354" s="540"/>
      <c r="PJU354" s="545"/>
      <c r="PJV354" s="540"/>
      <c r="PJW354" s="545"/>
      <c r="PJX354" s="540"/>
      <c r="PJY354" s="545"/>
      <c r="PJZ354" s="540"/>
      <c r="PKA354" s="545"/>
      <c r="PKB354" s="540"/>
      <c r="PKC354" s="545"/>
      <c r="PKD354" s="540"/>
      <c r="PKE354" s="545"/>
      <c r="PKF354" s="540"/>
      <c r="PKG354" s="545"/>
      <c r="PKH354" s="540"/>
      <c r="PKI354" s="545"/>
      <c r="PKJ354" s="540"/>
      <c r="PKK354" s="545"/>
      <c r="PKL354" s="540"/>
      <c r="PKM354" s="545"/>
      <c r="PKN354" s="540"/>
      <c r="PKO354" s="545"/>
      <c r="PKP354" s="540"/>
      <c r="PKQ354" s="545"/>
      <c r="PKR354" s="540"/>
      <c r="PKS354" s="545"/>
      <c r="PKT354" s="540"/>
      <c r="PKU354" s="545"/>
      <c r="PKV354" s="540"/>
      <c r="PKW354" s="545"/>
      <c r="PKX354" s="540"/>
      <c r="PKY354" s="545"/>
      <c r="PKZ354" s="540"/>
      <c r="PLA354" s="545"/>
      <c r="PLB354" s="540"/>
      <c r="PLC354" s="545"/>
      <c r="PLD354" s="540"/>
      <c r="PLE354" s="545"/>
      <c r="PLF354" s="540"/>
      <c r="PLG354" s="545"/>
      <c r="PLH354" s="540"/>
      <c r="PLI354" s="545"/>
      <c r="PLJ354" s="540"/>
      <c r="PLK354" s="545"/>
      <c r="PLL354" s="540"/>
      <c r="PLM354" s="545"/>
      <c r="PLN354" s="540"/>
      <c r="PLO354" s="545"/>
      <c r="PLP354" s="540"/>
      <c r="PLQ354" s="545"/>
      <c r="PLR354" s="540"/>
      <c r="PLS354" s="545"/>
      <c r="PLT354" s="540"/>
      <c r="PLU354" s="545"/>
      <c r="PLV354" s="540"/>
      <c r="PLW354" s="545"/>
      <c r="PLX354" s="540"/>
      <c r="PLY354" s="545"/>
      <c r="PLZ354" s="540"/>
      <c r="PMA354" s="545"/>
      <c r="PMB354" s="540"/>
      <c r="PMC354" s="545"/>
      <c r="PMD354" s="540"/>
      <c r="PME354" s="545"/>
      <c r="PMF354" s="540"/>
      <c r="PMG354" s="545"/>
      <c r="PMH354" s="540"/>
      <c r="PMI354" s="545"/>
      <c r="PMJ354" s="540"/>
      <c r="PMK354" s="545"/>
      <c r="PML354" s="540"/>
      <c r="PMM354" s="545"/>
      <c r="PMN354" s="540"/>
      <c r="PMO354" s="545"/>
      <c r="PMP354" s="540"/>
      <c r="PMQ354" s="545"/>
      <c r="PMR354" s="540"/>
      <c r="PMS354" s="545"/>
      <c r="PMT354" s="540"/>
      <c r="PMU354" s="545"/>
      <c r="PMV354" s="540"/>
      <c r="PMW354" s="545"/>
      <c r="PMX354" s="540"/>
      <c r="PMY354" s="545"/>
      <c r="PMZ354" s="540"/>
      <c r="PNA354" s="545"/>
      <c r="PNB354" s="540"/>
      <c r="PNC354" s="545"/>
      <c r="PND354" s="540"/>
      <c r="PNE354" s="545"/>
      <c r="PNF354" s="540"/>
      <c r="PNG354" s="545"/>
      <c r="PNH354" s="540"/>
      <c r="PNI354" s="545"/>
      <c r="PNJ354" s="540"/>
      <c r="PNK354" s="545"/>
      <c r="PNL354" s="540"/>
      <c r="PNM354" s="545"/>
      <c r="PNN354" s="540"/>
      <c r="PNO354" s="545"/>
      <c r="PNP354" s="540"/>
      <c r="PNQ354" s="545"/>
      <c r="PNR354" s="540"/>
      <c r="PNS354" s="545"/>
      <c r="PNT354" s="540"/>
      <c r="PNU354" s="545"/>
      <c r="PNV354" s="540"/>
      <c r="PNW354" s="545"/>
      <c r="PNX354" s="540"/>
      <c r="PNY354" s="545"/>
      <c r="PNZ354" s="540"/>
      <c r="POA354" s="545"/>
      <c r="POB354" s="540"/>
      <c r="POC354" s="545"/>
      <c r="POD354" s="540"/>
      <c r="POE354" s="545"/>
      <c r="POF354" s="540"/>
      <c r="POG354" s="545"/>
      <c r="POH354" s="540"/>
      <c r="POI354" s="545"/>
      <c r="POJ354" s="540"/>
      <c r="POK354" s="545"/>
      <c r="POL354" s="540"/>
      <c r="POM354" s="545"/>
      <c r="PON354" s="540"/>
      <c r="POO354" s="545"/>
      <c r="POP354" s="540"/>
      <c r="POQ354" s="545"/>
      <c r="POR354" s="540"/>
      <c r="POS354" s="545"/>
      <c r="POT354" s="540"/>
      <c r="POU354" s="545"/>
      <c r="POV354" s="540"/>
      <c r="POW354" s="545"/>
      <c r="POX354" s="540"/>
      <c r="POY354" s="545"/>
      <c r="POZ354" s="540"/>
      <c r="PPA354" s="545"/>
      <c r="PPB354" s="540"/>
      <c r="PPC354" s="545"/>
      <c r="PPD354" s="540"/>
      <c r="PPE354" s="545"/>
      <c r="PPF354" s="540"/>
      <c r="PPG354" s="545"/>
      <c r="PPH354" s="540"/>
      <c r="PPI354" s="545"/>
      <c r="PPJ354" s="540"/>
      <c r="PPK354" s="545"/>
      <c r="PPL354" s="540"/>
      <c r="PPM354" s="545"/>
      <c r="PPN354" s="540"/>
      <c r="PPO354" s="545"/>
      <c r="PPP354" s="540"/>
      <c r="PPQ354" s="545"/>
      <c r="PPR354" s="540"/>
      <c r="PPS354" s="545"/>
      <c r="PPT354" s="540"/>
      <c r="PPU354" s="545"/>
      <c r="PPV354" s="540"/>
      <c r="PPW354" s="545"/>
      <c r="PPX354" s="540"/>
      <c r="PPY354" s="545"/>
      <c r="PPZ354" s="540"/>
      <c r="PQA354" s="545"/>
      <c r="PQB354" s="540"/>
      <c r="PQC354" s="545"/>
      <c r="PQD354" s="540"/>
      <c r="PQE354" s="545"/>
      <c r="PQF354" s="540"/>
      <c r="PQG354" s="545"/>
      <c r="PQH354" s="540"/>
      <c r="PQI354" s="545"/>
      <c r="PQJ354" s="540"/>
      <c r="PQK354" s="545"/>
      <c r="PQL354" s="540"/>
      <c r="PQM354" s="545"/>
      <c r="PQN354" s="540"/>
      <c r="PQO354" s="545"/>
      <c r="PQP354" s="540"/>
      <c r="PQQ354" s="545"/>
      <c r="PQR354" s="540"/>
      <c r="PQS354" s="545"/>
      <c r="PQT354" s="540"/>
      <c r="PQU354" s="545"/>
      <c r="PQV354" s="540"/>
      <c r="PQW354" s="545"/>
      <c r="PQX354" s="540"/>
      <c r="PQY354" s="545"/>
      <c r="PQZ354" s="540"/>
      <c r="PRA354" s="545"/>
      <c r="PRB354" s="540"/>
      <c r="PRC354" s="545"/>
      <c r="PRD354" s="540"/>
      <c r="PRE354" s="545"/>
      <c r="PRF354" s="540"/>
      <c r="PRG354" s="545"/>
      <c r="PRH354" s="540"/>
      <c r="PRI354" s="545"/>
      <c r="PRJ354" s="540"/>
      <c r="PRK354" s="545"/>
      <c r="PRL354" s="540"/>
      <c r="PRM354" s="545"/>
      <c r="PRN354" s="540"/>
      <c r="PRO354" s="545"/>
      <c r="PRP354" s="540"/>
      <c r="PRQ354" s="545"/>
      <c r="PRR354" s="540"/>
      <c r="PRS354" s="545"/>
      <c r="PRT354" s="540"/>
      <c r="PRU354" s="545"/>
      <c r="PRV354" s="540"/>
      <c r="PRW354" s="545"/>
      <c r="PRX354" s="540"/>
      <c r="PRY354" s="545"/>
      <c r="PRZ354" s="540"/>
      <c r="PSA354" s="545"/>
      <c r="PSB354" s="540"/>
      <c r="PSC354" s="545"/>
      <c r="PSD354" s="540"/>
      <c r="PSE354" s="545"/>
      <c r="PSF354" s="540"/>
      <c r="PSG354" s="545"/>
      <c r="PSH354" s="540"/>
      <c r="PSI354" s="545"/>
      <c r="PSJ354" s="540"/>
      <c r="PSK354" s="545"/>
      <c r="PSL354" s="540"/>
      <c r="PSM354" s="545"/>
      <c r="PSN354" s="540"/>
      <c r="PSO354" s="545"/>
      <c r="PSP354" s="540"/>
      <c r="PSQ354" s="545"/>
      <c r="PSR354" s="540"/>
      <c r="PSS354" s="545"/>
      <c r="PST354" s="540"/>
      <c r="PSU354" s="545"/>
      <c r="PSV354" s="540"/>
      <c r="PSW354" s="545"/>
      <c r="PSX354" s="540"/>
      <c r="PSY354" s="545"/>
      <c r="PSZ354" s="540"/>
      <c r="PTA354" s="545"/>
      <c r="PTB354" s="540"/>
      <c r="PTC354" s="545"/>
      <c r="PTD354" s="540"/>
      <c r="PTE354" s="545"/>
      <c r="PTF354" s="540"/>
      <c r="PTG354" s="545"/>
      <c r="PTH354" s="540"/>
      <c r="PTI354" s="545"/>
      <c r="PTJ354" s="540"/>
      <c r="PTK354" s="545"/>
      <c r="PTL354" s="540"/>
      <c r="PTM354" s="545"/>
      <c r="PTN354" s="540"/>
      <c r="PTO354" s="545"/>
      <c r="PTP354" s="540"/>
      <c r="PTQ354" s="545"/>
      <c r="PTR354" s="540"/>
      <c r="PTS354" s="545"/>
      <c r="PTT354" s="540"/>
      <c r="PTU354" s="545"/>
      <c r="PTV354" s="540"/>
      <c r="PTW354" s="545"/>
      <c r="PTX354" s="540"/>
      <c r="PTY354" s="545"/>
      <c r="PTZ354" s="540"/>
      <c r="PUA354" s="545"/>
      <c r="PUB354" s="540"/>
      <c r="PUC354" s="545"/>
      <c r="PUD354" s="540"/>
      <c r="PUE354" s="545"/>
      <c r="PUF354" s="540"/>
      <c r="PUG354" s="545"/>
      <c r="PUH354" s="540"/>
      <c r="PUI354" s="545"/>
      <c r="PUJ354" s="540"/>
      <c r="PUK354" s="545"/>
      <c r="PUL354" s="540"/>
      <c r="PUM354" s="545"/>
      <c r="PUN354" s="540"/>
      <c r="PUO354" s="545"/>
      <c r="PUP354" s="540"/>
      <c r="PUQ354" s="545"/>
      <c r="PUR354" s="540"/>
      <c r="PUS354" s="545"/>
      <c r="PUT354" s="540"/>
      <c r="PUU354" s="545"/>
      <c r="PUV354" s="540"/>
      <c r="PUW354" s="545"/>
      <c r="PUX354" s="540"/>
      <c r="PUY354" s="545"/>
      <c r="PUZ354" s="540"/>
      <c r="PVA354" s="545"/>
      <c r="PVB354" s="540"/>
      <c r="PVC354" s="545"/>
      <c r="PVD354" s="540"/>
      <c r="PVE354" s="545"/>
      <c r="PVF354" s="540"/>
      <c r="PVG354" s="545"/>
      <c r="PVH354" s="540"/>
      <c r="PVI354" s="545"/>
      <c r="PVJ354" s="540"/>
      <c r="PVK354" s="545"/>
      <c r="PVL354" s="540"/>
      <c r="PVM354" s="545"/>
      <c r="PVN354" s="540"/>
      <c r="PVO354" s="545"/>
      <c r="PVP354" s="540"/>
      <c r="PVQ354" s="545"/>
      <c r="PVR354" s="540"/>
      <c r="PVS354" s="545"/>
      <c r="PVT354" s="540"/>
      <c r="PVU354" s="545"/>
      <c r="PVV354" s="540"/>
      <c r="PVW354" s="545"/>
      <c r="PVX354" s="540"/>
      <c r="PVY354" s="545"/>
      <c r="PVZ354" s="540"/>
      <c r="PWA354" s="545"/>
      <c r="PWB354" s="540"/>
      <c r="PWC354" s="545"/>
      <c r="PWD354" s="540"/>
      <c r="PWE354" s="545"/>
      <c r="PWF354" s="540"/>
      <c r="PWG354" s="545"/>
      <c r="PWH354" s="540"/>
      <c r="PWI354" s="545"/>
      <c r="PWJ354" s="540"/>
      <c r="PWK354" s="545"/>
      <c r="PWL354" s="540"/>
      <c r="PWM354" s="545"/>
      <c r="PWN354" s="540"/>
      <c r="PWO354" s="545"/>
      <c r="PWP354" s="540"/>
      <c r="PWQ354" s="545"/>
      <c r="PWR354" s="540"/>
      <c r="PWS354" s="545"/>
      <c r="PWT354" s="540"/>
      <c r="PWU354" s="545"/>
      <c r="PWV354" s="540"/>
      <c r="PWW354" s="545"/>
      <c r="PWX354" s="540"/>
      <c r="PWY354" s="545"/>
      <c r="PWZ354" s="540"/>
      <c r="PXA354" s="545"/>
      <c r="PXB354" s="540"/>
      <c r="PXC354" s="545"/>
      <c r="PXD354" s="540"/>
      <c r="PXE354" s="545"/>
      <c r="PXF354" s="540"/>
      <c r="PXG354" s="545"/>
      <c r="PXH354" s="540"/>
      <c r="PXI354" s="545"/>
      <c r="PXJ354" s="540"/>
      <c r="PXK354" s="545"/>
      <c r="PXL354" s="540"/>
      <c r="PXM354" s="545"/>
      <c r="PXN354" s="540"/>
      <c r="PXO354" s="545"/>
      <c r="PXP354" s="540"/>
      <c r="PXQ354" s="545"/>
      <c r="PXR354" s="540"/>
      <c r="PXS354" s="545"/>
      <c r="PXT354" s="540"/>
      <c r="PXU354" s="545"/>
      <c r="PXV354" s="540"/>
      <c r="PXW354" s="545"/>
      <c r="PXX354" s="540"/>
      <c r="PXY354" s="545"/>
      <c r="PXZ354" s="540"/>
      <c r="PYA354" s="545"/>
      <c r="PYB354" s="540"/>
      <c r="PYC354" s="545"/>
      <c r="PYD354" s="540"/>
      <c r="PYE354" s="545"/>
      <c r="PYF354" s="540"/>
      <c r="PYG354" s="545"/>
      <c r="PYH354" s="540"/>
      <c r="PYI354" s="545"/>
      <c r="PYJ354" s="540"/>
      <c r="PYK354" s="545"/>
      <c r="PYL354" s="540"/>
      <c r="PYM354" s="545"/>
      <c r="PYN354" s="540"/>
      <c r="PYO354" s="545"/>
      <c r="PYP354" s="540"/>
      <c r="PYQ354" s="545"/>
      <c r="PYR354" s="540"/>
      <c r="PYS354" s="545"/>
      <c r="PYT354" s="540"/>
      <c r="PYU354" s="545"/>
      <c r="PYV354" s="540"/>
      <c r="PYW354" s="545"/>
      <c r="PYX354" s="540"/>
      <c r="PYY354" s="545"/>
      <c r="PYZ354" s="540"/>
      <c r="PZA354" s="545"/>
      <c r="PZB354" s="540"/>
      <c r="PZC354" s="545"/>
      <c r="PZD354" s="540"/>
      <c r="PZE354" s="545"/>
      <c r="PZF354" s="540"/>
      <c r="PZG354" s="545"/>
      <c r="PZH354" s="540"/>
      <c r="PZI354" s="545"/>
      <c r="PZJ354" s="540"/>
      <c r="PZK354" s="545"/>
      <c r="PZL354" s="540"/>
      <c r="PZM354" s="545"/>
      <c r="PZN354" s="540"/>
      <c r="PZO354" s="545"/>
      <c r="PZP354" s="540"/>
      <c r="PZQ354" s="545"/>
      <c r="PZR354" s="540"/>
      <c r="PZS354" s="545"/>
      <c r="PZT354" s="540"/>
      <c r="PZU354" s="545"/>
      <c r="PZV354" s="540"/>
      <c r="PZW354" s="545"/>
      <c r="PZX354" s="540"/>
      <c r="PZY354" s="545"/>
      <c r="PZZ354" s="540"/>
      <c r="QAA354" s="545"/>
      <c r="QAB354" s="540"/>
      <c r="QAC354" s="545"/>
      <c r="QAD354" s="540"/>
      <c r="QAE354" s="545"/>
      <c r="QAF354" s="540"/>
      <c r="QAG354" s="545"/>
      <c r="QAH354" s="540"/>
      <c r="QAI354" s="545"/>
      <c r="QAJ354" s="540"/>
      <c r="QAK354" s="545"/>
      <c r="QAL354" s="540"/>
      <c r="QAM354" s="545"/>
      <c r="QAN354" s="540"/>
      <c r="QAO354" s="545"/>
      <c r="QAP354" s="540"/>
      <c r="QAQ354" s="545"/>
      <c r="QAR354" s="540"/>
      <c r="QAS354" s="545"/>
      <c r="QAT354" s="540"/>
      <c r="QAU354" s="545"/>
      <c r="QAV354" s="540"/>
      <c r="QAW354" s="545"/>
      <c r="QAX354" s="540"/>
      <c r="QAY354" s="545"/>
      <c r="QAZ354" s="540"/>
      <c r="QBA354" s="545"/>
      <c r="QBB354" s="540"/>
      <c r="QBC354" s="545"/>
      <c r="QBD354" s="540"/>
      <c r="QBE354" s="545"/>
      <c r="QBF354" s="540"/>
      <c r="QBG354" s="545"/>
      <c r="QBH354" s="540"/>
      <c r="QBI354" s="545"/>
      <c r="QBJ354" s="540"/>
      <c r="QBK354" s="545"/>
      <c r="QBL354" s="540"/>
      <c r="QBM354" s="545"/>
      <c r="QBN354" s="540"/>
      <c r="QBO354" s="545"/>
      <c r="QBP354" s="540"/>
      <c r="QBQ354" s="545"/>
      <c r="QBR354" s="540"/>
      <c r="QBS354" s="545"/>
      <c r="QBT354" s="540"/>
      <c r="QBU354" s="545"/>
      <c r="QBV354" s="540"/>
      <c r="QBW354" s="545"/>
      <c r="QBX354" s="540"/>
      <c r="QBY354" s="545"/>
      <c r="QBZ354" s="540"/>
      <c r="QCA354" s="545"/>
      <c r="QCB354" s="540"/>
      <c r="QCC354" s="545"/>
      <c r="QCD354" s="540"/>
      <c r="QCE354" s="545"/>
      <c r="QCF354" s="540"/>
      <c r="QCG354" s="545"/>
      <c r="QCH354" s="540"/>
      <c r="QCI354" s="545"/>
      <c r="QCJ354" s="540"/>
      <c r="QCK354" s="545"/>
      <c r="QCL354" s="540"/>
      <c r="QCM354" s="545"/>
      <c r="QCN354" s="540"/>
      <c r="QCO354" s="545"/>
      <c r="QCP354" s="540"/>
      <c r="QCQ354" s="545"/>
      <c r="QCR354" s="540"/>
      <c r="QCS354" s="545"/>
      <c r="QCT354" s="540"/>
      <c r="QCU354" s="545"/>
      <c r="QCV354" s="540"/>
      <c r="QCW354" s="545"/>
      <c r="QCX354" s="540"/>
      <c r="QCY354" s="545"/>
      <c r="QCZ354" s="540"/>
      <c r="QDA354" s="545"/>
      <c r="QDB354" s="540"/>
      <c r="QDC354" s="545"/>
      <c r="QDD354" s="540"/>
      <c r="QDE354" s="545"/>
      <c r="QDF354" s="540"/>
      <c r="QDG354" s="545"/>
      <c r="QDH354" s="540"/>
      <c r="QDI354" s="545"/>
      <c r="QDJ354" s="540"/>
      <c r="QDK354" s="545"/>
      <c r="QDL354" s="540"/>
      <c r="QDM354" s="545"/>
      <c r="QDN354" s="540"/>
      <c r="QDO354" s="545"/>
      <c r="QDP354" s="540"/>
      <c r="QDQ354" s="545"/>
      <c r="QDR354" s="540"/>
      <c r="QDS354" s="545"/>
      <c r="QDT354" s="540"/>
      <c r="QDU354" s="545"/>
      <c r="QDV354" s="540"/>
      <c r="QDW354" s="545"/>
      <c r="QDX354" s="540"/>
      <c r="QDY354" s="545"/>
      <c r="QDZ354" s="540"/>
      <c r="QEA354" s="545"/>
      <c r="QEB354" s="540"/>
      <c r="QEC354" s="545"/>
      <c r="QED354" s="540"/>
      <c r="QEE354" s="545"/>
      <c r="QEF354" s="540"/>
      <c r="QEG354" s="545"/>
      <c r="QEH354" s="540"/>
      <c r="QEI354" s="545"/>
      <c r="QEJ354" s="540"/>
      <c r="QEK354" s="545"/>
      <c r="QEL354" s="540"/>
      <c r="QEM354" s="545"/>
      <c r="QEN354" s="540"/>
      <c r="QEO354" s="545"/>
      <c r="QEP354" s="540"/>
      <c r="QEQ354" s="545"/>
      <c r="QER354" s="540"/>
      <c r="QES354" s="545"/>
      <c r="QET354" s="540"/>
      <c r="QEU354" s="545"/>
      <c r="QEV354" s="540"/>
      <c r="QEW354" s="545"/>
      <c r="QEX354" s="540"/>
      <c r="QEY354" s="545"/>
      <c r="QEZ354" s="540"/>
      <c r="QFA354" s="545"/>
      <c r="QFB354" s="540"/>
      <c r="QFC354" s="545"/>
      <c r="QFD354" s="540"/>
      <c r="QFE354" s="545"/>
      <c r="QFF354" s="540"/>
      <c r="QFG354" s="545"/>
      <c r="QFH354" s="540"/>
      <c r="QFI354" s="545"/>
      <c r="QFJ354" s="540"/>
      <c r="QFK354" s="545"/>
      <c r="QFL354" s="540"/>
      <c r="QFM354" s="545"/>
      <c r="QFN354" s="540"/>
      <c r="QFO354" s="545"/>
      <c r="QFP354" s="540"/>
      <c r="QFQ354" s="545"/>
      <c r="QFR354" s="540"/>
      <c r="QFS354" s="545"/>
      <c r="QFT354" s="540"/>
      <c r="QFU354" s="545"/>
      <c r="QFV354" s="540"/>
      <c r="QFW354" s="545"/>
      <c r="QFX354" s="540"/>
      <c r="QFY354" s="545"/>
      <c r="QFZ354" s="540"/>
      <c r="QGA354" s="545"/>
      <c r="QGB354" s="540"/>
      <c r="QGC354" s="545"/>
      <c r="QGD354" s="540"/>
      <c r="QGE354" s="545"/>
      <c r="QGF354" s="540"/>
      <c r="QGG354" s="545"/>
      <c r="QGH354" s="540"/>
      <c r="QGI354" s="545"/>
      <c r="QGJ354" s="540"/>
      <c r="QGK354" s="545"/>
      <c r="QGL354" s="540"/>
      <c r="QGM354" s="545"/>
      <c r="QGN354" s="540"/>
      <c r="QGO354" s="545"/>
      <c r="QGP354" s="540"/>
      <c r="QGQ354" s="545"/>
      <c r="QGR354" s="540"/>
      <c r="QGS354" s="545"/>
      <c r="QGT354" s="540"/>
      <c r="QGU354" s="545"/>
      <c r="QGV354" s="540"/>
      <c r="QGW354" s="545"/>
      <c r="QGX354" s="540"/>
      <c r="QGY354" s="545"/>
      <c r="QGZ354" s="540"/>
      <c r="QHA354" s="545"/>
      <c r="QHB354" s="540"/>
      <c r="QHC354" s="545"/>
      <c r="QHD354" s="540"/>
      <c r="QHE354" s="545"/>
      <c r="QHF354" s="540"/>
      <c r="QHG354" s="545"/>
      <c r="QHH354" s="540"/>
      <c r="QHI354" s="545"/>
      <c r="QHJ354" s="540"/>
      <c r="QHK354" s="545"/>
      <c r="QHL354" s="540"/>
      <c r="QHM354" s="545"/>
      <c r="QHN354" s="540"/>
      <c r="QHO354" s="545"/>
      <c r="QHP354" s="540"/>
      <c r="QHQ354" s="545"/>
      <c r="QHR354" s="540"/>
      <c r="QHS354" s="545"/>
      <c r="QHT354" s="540"/>
      <c r="QHU354" s="545"/>
      <c r="QHV354" s="540"/>
      <c r="QHW354" s="545"/>
      <c r="QHX354" s="540"/>
      <c r="QHY354" s="545"/>
      <c r="QHZ354" s="540"/>
      <c r="QIA354" s="545"/>
      <c r="QIB354" s="540"/>
      <c r="QIC354" s="545"/>
      <c r="QID354" s="540"/>
      <c r="QIE354" s="545"/>
      <c r="QIF354" s="540"/>
      <c r="QIG354" s="545"/>
      <c r="QIH354" s="540"/>
      <c r="QII354" s="545"/>
      <c r="QIJ354" s="540"/>
      <c r="QIK354" s="545"/>
      <c r="QIL354" s="540"/>
      <c r="QIM354" s="545"/>
      <c r="QIN354" s="540"/>
      <c r="QIO354" s="545"/>
      <c r="QIP354" s="540"/>
      <c r="QIQ354" s="545"/>
      <c r="QIR354" s="540"/>
      <c r="QIS354" s="545"/>
      <c r="QIT354" s="540"/>
      <c r="QIU354" s="545"/>
      <c r="QIV354" s="540"/>
      <c r="QIW354" s="545"/>
      <c r="QIX354" s="540"/>
      <c r="QIY354" s="545"/>
      <c r="QIZ354" s="540"/>
      <c r="QJA354" s="545"/>
      <c r="QJB354" s="540"/>
      <c r="QJC354" s="545"/>
      <c r="QJD354" s="540"/>
      <c r="QJE354" s="545"/>
      <c r="QJF354" s="540"/>
      <c r="QJG354" s="545"/>
      <c r="QJH354" s="540"/>
      <c r="QJI354" s="545"/>
      <c r="QJJ354" s="540"/>
      <c r="QJK354" s="545"/>
      <c r="QJL354" s="540"/>
      <c r="QJM354" s="545"/>
      <c r="QJN354" s="540"/>
      <c r="QJO354" s="545"/>
      <c r="QJP354" s="540"/>
      <c r="QJQ354" s="545"/>
      <c r="QJR354" s="540"/>
      <c r="QJS354" s="545"/>
      <c r="QJT354" s="540"/>
      <c r="QJU354" s="545"/>
      <c r="QJV354" s="540"/>
      <c r="QJW354" s="545"/>
      <c r="QJX354" s="540"/>
      <c r="QJY354" s="545"/>
      <c r="QJZ354" s="540"/>
      <c r="QKA354" s="545"/>
      <c r="QKB354" s="540"/>
      <c r="QKC354" s="545"/>
      <c r="QKD354" s="540"/>
      <c r="QKE354" s="545"/>
      <c r="QKF354" s="540"/>
      <c r="QKG354" s="545"/>
      <c r="QKH354" s="540"/>
      <c r="QKI354" s="545"/>
      <c r="QKJ354" s="540"/>
      <c r="QKK354" s="545"/>
      <c r="QKL354" s="540"/>
      <c r="QKM354" s="545"/>
      <c r="QKN354" s="540"/>
      <c r="QKO354" s="545"/>
      <c r="QKP354" s="540"/>
      <c r="QKQ354" s="545"/>
      <c r="QKR354" s="540"/>
      <c r="QKS354" s="545"/>
      <c r="QKT354" s="540"/>
      <c r="QKU354" s="545"/>
      <c r="QKV354" s="540"/>
      <c r="QKW354" s="545"/>
      <c r="QKX354" s="540"/>
      <c r="QKY354" s="545"/>
      <c r="QKZ354" s="540"/>
      <c r="QLA354" s="545"/>
      <c r="QLB354" s="540"/>
      <c r="QLC354" s="545"/>
      <c r="QLD354" s="540"/>
      <c r="QLE354" s="545"/>
      <c r="QLF354" s="540"/>
      <c r="QLG354" s="545"/>
      <c r="QLH354" s="540"/>
      <c r="QLI354" s="545"/>
      <c r="QLJ354" s="540"/>
      <c r="QLK354" s="545"/>
      <c r="QLL354" s="540"/>
      <c r="QLM354" s="545"/>
      <c r="QLN354" s="540"/>
      <c r="QLO354" s="545"/>
      <c r="QLP354" s="540"/>
      <c r="QLQ354" s="545"/>
      <c r="QLR354" s="540"/>
      <c r="QLS354" s="545"/>
      <c r="QLT354" s="540"/>
      <c r="QLU354" s="545"/>
      <c r="QLV354" s="540"/>
      <c r="QLW354" s="545"/>
      <c r="QLX354" s="540"/>
      <c r="QLY354" s="545"/>
      <c r="QLZ354" s="540"/>
      <c r="QMA354" s="545"/>
      <c r="QMB354" s="540"/>
      <c r="QMC354" s="545"/>
      <c r="QMD354" s="540"/>
      <c r="QME354" s="545"/>
      <c r="QMF354" s="540"/>
      <c r="QMG354" s="545"/>
      <c r="QMH354" s="540"/>
      <c r="QMI354" s="545"/>
      <c r="QMJ354" s="540"/>
      <c r="QMK354" s="545"/>
      <c r="QML354" s="540"/>
      <c r="QMM354" s="545"/>
      <c r="QMN354" s="540"/>
      <c r="QMO354" s="545"/>
      <c r="QMP354" s="540"/>
      <c r="QMQ354" s="545"/>
      <c r="QMR354" s="540"/>
      <c r="QMS354" s="545"/>
      <c r="QMT354" s="540"/>
      <c r="QMU354" s="545"/>
      <c r="QMV354" s="540"/>
      <c r="QMW354" s="545"/>
      <c r="QMX354" s="540"/>
      <c r="QMY354" s="545"/>
      <c r="QMZ354" s="540"/>
      <c r="QNA354" s="545"/>
      <c r="QNB354" s="540"/>
      <c r="QNC354" s="545"/>
      <c r="QND354" s="540"/>
      <c r="QNE354" s="545"/>
      <c r="QNF354" s="540"/>
      <c r="QNG354" s="545"/>
      <c r="QNH354" s="540"/>
      <c r="QNI354" s="545"/>
      <c r="QNJ354" s="540"/>
      <c r="QNK354" s="545"/>
      <c r="QNL354" s="540"/>
      <c r="QNM354" s="545"/>
      <c r="QNN354" s="540"/>
      <c r="QNO354" s="545"/>
      <c r="QNP354" s="540"/>
      <c r="QNQ354" s="545"/>
      <c r="QNR354" s="540"/>
      <c r="QNS354" s="545"/>
      <c r="QNT354" s="540"/>
      <c r="QNU354" s="545"/>
      <c r="QNV354" s="540"/>
      <c r="QNW354" s="545"/>
      <c r="QNX354" s="540"/>
      <c r="QNY354" s="545"/>
      <c r="QNZ354" s="540"/>
      <c r="QOA354" s="545"/>
      <c r="QOB354" s="540"/>
      <c r="QOC354" s="545"/>
      <c r="QOD354" s="540"/>
      <c r="QOE354" s="545"/>
      <c r="QOF354" s="540"/>
      <c r="QOG354" s="545"/>
      <c r="QOH354" s="540"/>
      <c r="QOI354" s="545"/>
      <c r="QOJ354" s="540"/>
      <c r="QOK354" s="545"/>
      <c r="QOL354" s="540"/>
      <c r="QOM354" s="545"/>
      <c r="QON354" s="540"/>
      <c r="QOO354" s="545"/>
      <c r="QOP354" s="540"/>
      <c r="QOQ354" s="545"/>
      <c r="QOR354" s="540"/>
      <c r="QOS354" s="545"/>
      <c r="QOT354" s="540"/>
      <c r="QOU354" s="545"/>
      <c r="QOV354" s="540"/>
      <c r="QOW354" s="545"/>
      <c r="QOX354" s="540"/>
      <c r="QOY354" s="545"/>
      <c r="QOZ354" s="540"/>
      <c r="QPA354" s="545"/>
      <c r="QPB354" s="540"/>
      <c r="QPC354" s="545"/>
      <c r="QPD354" s="540"/>
      <c r="QPE354" s="545"/>
      <c r="QPF354" s="540"/>
      <c r="QPG354" s="545"/>
      <c r="QPH354" s="540"/>
      <c r="QPI354" s="545"/>
      <c r="QPJ354" s="540"/>
      <c r="QPK354" s="545"/>
      <c r="QPL354" s="540"/>
      <c r="QPM354" s="545"/>
      <c r="QPN354" s="540"/>
      <c r="QPO354" s="545"/>
      <c r="QPP354" s="540"/>
      <c r="QPQ354" s="545"/>
      <c r="QPR354" s="540"/>
      <c r="QPS354" s="545"/>
      <c r="QPT354" s="540"/>
      <c r="QPU354" s="545"/>
      <c r="QPV354" s="540"/>
      <c r="QPW354" s="545"/>
      <c r="QPX354" s="540"/>
      <c r="QPY354" s="545"/>
      <c r="QPZ354" s="540"/>
      <c r="QQA354" s="545"/>
      <c r="QQB354" s="540"/>
      <c r="QQC354" s="545"/>
      <c r="QQD354" s="540"/>
      <c r="QQE354" s="545"/>
      <c r="QQF354" s="540"/>
      <c r="QQG354" s="545"/>
      <c r="QQH354" s="540"/>
      <c r="QQI354" s="545"/>
      <c r="QQJ354" s="540"/>
      <c r="QQK354" s="545"/>
      <c r="QQL354" s="540"/>
      <c r="QQM354" s="545"/>
      <c r="QQN354" s="540"/>
      <c r="QQO354" s="545"/>
      <c r="QQP354" s="540"/>
      <c r="QQQ354" s="545"/>
      <c r="QQR354" s="540"/>
      <c r="QQS354" s="545"/>
      <c r="QQT354" s="540"/>
      <c r="QQU354" s="545"/>
      <c r="QQV354" s="540"/>
      <c r="QQW354" s="545"/>
      <c r="QQX354" s="540"/>
      <c r="QQY354" s="545"/>
      <c r="QQZ354" s="540"/>
      <c r="QRA354" s="545"/>
      <c r="QRB354" s="540"/>
      <c r="QRC354" s="545"/>
      <c r="QRD354" s="540"/>
      <c r="QRE354" s="545"/>
      <c r="QRF354" s="540"/>
      <c r="QRG354" s="545"/>
      <c r="QRH354" s="540"/>
      <c r="QRI354" s="545"/>
      <c r="QRJ354" s="540"/>
      <c r="QRK354" s="545"/>
      <c r="QRL354" s="540"/>
      <c r="QRM354" s="545"/>
      <c r="QRN354" s="540"/>
      <c r="QRO354" s="545"/>
      <c r="QRP354" s="540"/>
      <c r="QRQ354" s="545"/>
      <c r="QRR354" s="540"/>
      <c r="QRS354" s="545"/>
      <c r="QRT354" s="540"/>
      <c r="QRU354" s="545"/>
      <c r="QRV354" s="540"/>
      <c r="QRW354" s="545"/>
      <c r="QRX354" s="540"/>
      <c r="QRY354" s="545"/>
      <c r="QRZ354" s="540"/>
      <c r="QSA354" s="545"/>
      <c r="QSB354" s="540"/>
      <c r="QSC354" s="545"/>
      <c r="QSD354" s="540"/>
      <c r="QSE354" s="545"/>
      <c r="QSF354" s="540"/>
      <c r="QSG354" s="545"/>
      <c r="QSH354" s="540"/>
      <c r="QSI354" s="545"/>
      <c r="QSJ354" s="540"/>
      <c r="QSK354" s="545"/>
      <c r="QSL354" s="540"/>
      <c r="QSM354" s="545"/>
      <c r="QSN354" s="540"/>
      <c r="QSO354" s="545"/>
      <c r="QSP354" s="540"/>
      <c r="QSQ354" s="545"/>
      <c r="QSR354" s="540"/>
      <c r="QSS354" s="545"/>
      <c r="QST354" s="540"/>
      <c r="QSU354" s="545"/>
      <c r="QSV354" s="540"/>
      <c r="QSW354" s="545"/>
      <c r="QSX354" s="540"/>
      <c r="QSY354" s="545"/>
      <c r="QSZ354" s="540"/>
      <c r="QTA354" s="545"/>
      <c r="QTB354" s="540"/>
      <c r="QTC354" s="545"/>
      <c r="QTD354" s="540"/>
      <c r="QTE354" s="545"/>
      <c r="QTF354" s="540"/>
      <c r="QTG354" s="545"/>
      <c r="QTH354" s="540"/>
      <c r="QTI354" s="545"/>
      <c r="QTJ354" s="540"/>
      <c r="QTK354" s="545"/>
      <c r="QTL354" s="540"/>
      <c r="QTM354" s="545"/>
      <c r="QTN354" s="540"/>
      <c r="QTO354" s="545"/>
      <c r="QTP354" s="540"/>
      <c r="QTQ354" s="545"/>
      <c r="QTR354" s="540"/>
      <c r="QTS354" s="545"/>
      <c r="QTT354" s="540"/>
      <c r="QTU354" s="545"/>
      <c r="QTV354" s="540"/>
      <c r="QTW354" s="545"/>
      <c r="QTX354" s="540"/>
      <c r="QTY354" s="545"/>
      <c r="QTZ354" s="540"/>
      <c r="QUA354" s="545"/>
      <c r="QUB354" s="540"/>
      <c r="QUC354" s="545"/>
      <c r="QUD354" s="540"/>
      <c r="QUE354" s="545"/>
      <c r="QUF354" s="540"/>
      <c r="QUG354" s="545"/>
      <c r="QUH354" s="540"/>
      <c r="QUI354" s="545"/>
      <c r="QUJ354" s="540"/>
      <c r="QUK354" s="545"/>
      <c r="QUL354" s="540"/>
      <c r="QUM354" s="545"/>
      <c r="QUN354" s="540"/>
      <c r="QUO354" s="545"/>
      <c r="QUP354" s="540"/>
      <c r="QUQ354" s="545"/>
      <c r="QUR354" s="540"/>
      <c r="QUS354" s="545"/>
      <c r="QUT354" s="540"/>
      <c r="QUU354" s="545"/>
      <c r="QUV354" s="540"/>
      <c r="QUW354" s="545"/>
      <c r="QUX354" s="540"/>
      <c r="QUY354" s="545"/>
      <c r="QUZ354" s="540"/>
      <c r="QVA354" s="545"/>
      <c r="QVB354" s="540"/>
      <c r="QVC354" s="545"/>
      <c r="QVD354" s="540"/>
      <c r="QVE354" s="545"/>
      <c r="QVF354" s="540"/>
      <c r="QVG354" s="545"/>
      <c r="QVH354" s="540"/>
      <c r="QVI354" s="545"/>
      <c r="QVJ354" s="540"/>
      <c r="QVK354" s="545"/>
      <c r="QVL354" s="540"/>
      <c r="QVM354" s="545"/>
      <c r="QVN354" s="540"/>
      <c r="QVO354" s="545"/>
      <c r="QVP354" s="540"/>
      <c r="QVQ354" s="545"/>
      <c r="QVR354" s="540"/>
      <c r="QVS354" s="545"/>
      <c r="QVT354" s="540"/>
      <c r="QVU354" s="545"/>
      <c r="QVV354" s="540"/>
      <c r="QVW354" s="545"/>
      <c r="QVX354" s="540"/>
      <c r="QVY354" s="545"/>
      <c r="QVZ354" s="540"/>
      <c r="QWA354" s="545"/>
      <c r="QWB354" s="540"/>
      <c r="QWC354" s="545"/>
      <c r="QWD354" s="540"/>
      <c r="QWE354" s="545"/>
      <c r="QWF354" s="540"/>
      <c r="QWG354" s="545"/>
      <c r="QWH354" s="540"/>
      <c r="QWI354" s="545"/>
      <c r="QWJ354" s="540"/>
      <c r="QWK354" s="545"/>
      <c r="QWL354" s="540"/>
      <c r="QWM354" s="545"/>
      <c r="QWN354" s="540"/>
      <c r="QWO354" s="545"/>
      <c r="QWP354" s="540"/>
      <c r="QWQ354" s="545"/>
      <c r="QWR354" s="540"/>
      <c r="QWS354" s="545"/>
      <c r="QWT354" s="540"/>
      <c r="QWU354" s="545"/>
      <c r="QWV354" s="540"/>
      <c r="QWW354" s="545"/>
      <c r="QWX354" s="540"/>
      <c r="QWY354" s="545"/>
      <c r="QWZ354" s="540"/>
      <c r="QXA354" s="545"/>
      <c r="QXB354" s="540"/>
      <c r="QXC354" s="545"/>
      <c r="QXD354" s="540"/>
      <c r="QXE354" s="545"/>
      <c r="QXF354" s="540"/>
      <c r="QXG354" s="545"/>
      <c r="QXH354" s="540"/>
      <c r="QXI354" s="545"/>
      <c r="QXJ354" s="540"/>
      <c r="QXK354" s="545"/>
      <c r="QXL354" s="540"/>
      <c r="QXM354" s="545"/>
      <c r="QXN354" s="540"/>
      <c r="QXO354" s="545"/>
      <c r="QXP354" s="540"/>
      <c r="QXQ354" s="545"/>
      <c r="QXR354" s="540"/>
      <c r="QXS354" s="545"/>
      <c r="QXT354" s="540"/>
      <c r="QXU354" s="545"/>
      <c r="QXV354" s="540"/>
      <c r="QXW354" s="545"/>
      <c r="QXX354" s="540"/>
      <c r="QXY354" s="545"/>
      <c r="QXZ354" s="540"/>
      <c r="QYA354" s="545"/>
      <c r="QYB354" s="540"/>
      <c r="QYC354" s="545"/>
      <c r="QYD354" s="540"/>
      <c r="QYE354" s="545"/>
      <c r="QYF354" s="540"/>
      <c r="QYG354" s="545"/>
      <c r="QYH354" s="540"/>
      <c r="QYI354" s="545"/>
      <c r="QYJ354" s="540"/>
      <c r="QYK354" s="545"/>
      <c r="QYL354" s="540"/>
      <c r="QYM354" s="545"/>
      <c r="QYN354" s="540"/>
      <c r="QYO354" s="545"/>
      <c r="QYP354" s="540"/>
      <c r="QYQ354" s="545"/>
      <c r="QYR354" s="540"/>
      <c r="QYS354" s="545"/>
      <c r="QYT354" s="540"/>
      <c r="QYU354" s="545"/>
      <c r="QYV354" s="540"/>
      <c r="QYW354" s="545"/>
      <c r="QYX354" s="540"/>
      <c r="QYY354" s="545"/>
      <c r="QYZ354" s="540"/>
      <c r="QZA354" s="545"/>
      <c r="QZB354" s="540"/>
      <c r="QZC354" s="545"/>
      <c r="QZD354" s="540"/>
      <c r="QZE354" s="545"/>
      <c r="QZF354" s="540"/>
      <c r="QZG354" s="545"/>
      <c r="QZH354" s="540"/>
      <c r="QZI354" s="545"/>
      <c r="QZJ354" s="540"/>
      <c r="QZK354" s="545"/>
      <c r="QZL354" s="540"/>
      <c r="QZM354" s="545"/>
      <c r="QZN354" s="540"/>
      <c r="QZO354" s="545"/>
      <c r="QZP354" s="540"/>
      <c r="QZQ354" s="545"/>
      <c r="QZR354" s="540"/>
      <c r="QZS354" s="545"/>
      <c r="QZT354" s="540"/>
      <c r="QZU354" s="545"/>
      <c r="QZV354" s="540"/>
      <c r="QZW354" s="545"/>
      <c r="QZX354" s="540"/>
      <c r="QZY354" s="545"/>
      <c r="QZZ354" s="540"/>
      <c r="RAA354" s="545"/>
      <c r="RAB354" s="540"/>
      <c r="RAC354" s="545"/>
      <c r="RAD354" s="540"/>
      <c r="RAE354" s="545"/>
      <c r="RAF354" s="540"/>
      <c r="RAG354" s="545"/>
      <c r="RAH354" s="540"/>
      <c r="RAI354" s="545"/>
      <c r="RAJ354" s="540"/>
      <c r="RAK354" s="545"/>
      <c r="RAL354" s="540"/>
      <c r="RAM354" s="545"/>
      <c r="RAN354" s="540"/>
      <c r="RAO354" s="545"/>
      <c r="RAP354" s="540"/>
      <c r="RAQ354" s="545"/>
      <c r="RAR354" s="540"/>
      <c r="RAS354" s="545"/>
      <c r="RAT354" s="540"/>
      <c r="RAU354" s="545"/>
      <c r="RAV354" s="540"/>
      <c r="RAW354" s="545"/>
      <c r="RAX354" s="540"/>
      <c r="RAY354" s="545"/>
      <c r="RAZ354" s="540"/>
      <c r="RBA354" s="545"/>
      <c r="RBB354" s="540"/>
      <c r="RBC354" s="545"/>
      <c r="RBD354" s="540"/>
      <c r="RBE354" s="545"/>
      <c r="RBF354" s="540"/>
      <c r="RBG354" s="545"/>
      <c r="RBH354" s="540"/>
      <c r="RBI354" s="545"/>
      <c r="RBJ354" s="540"/>
      <c r="RBK354" s="545"/>
      <c r="RBL354" s="540"/>
      <c r="RBM354" s="545"/>
      <c r="RBN354" s="540"/>
      <c r="RBO354" s="545"/>
      <c r="RBP354" s="540"/>
      <c r="RBQ354" s="545"/>
      <c r="RBR354" s="540"/>
      <c r="RBS354" s="545"/>
      <c r="RBT354" s="540"/>
      <c r="RBU354" s="545"/>
      <c r="RBV354" s="540"/>
      <c r="RBW354" s="545"/>
      <c r="RBX354" s="540"/>
      <c r="RBY354" s="545"/>
      <c r="RBZ354" s="540"/>
      <c r="RCA354" s="545"/>
      <c r="RCB354" s="540"/>
      <c r="RCC354" s="545"/>
      <c r="RCD354" s="540"/>
      <c r="RCE354" s="545"/>
      <c r="RCF354" s="540"/>
      <c r="RCG354" s="545"/>
      <c r="RCH354" s="540"/>
      <c r="RCI354" s="545"/>
      <c r="RCJ354" s="540"/>
      <c r="RCK354" s="545"/>
      <c r="RCL354" s="540"/>
      <c r="RCM354" s="545"/>
      <c r="RCN354" s="540"/>
      <c r="RCO354" s="545"/>
      <c r="RCP354" s="540"/>
      <c r="RCQ354" s="545"/>
      <c r="RCR354" s="540"/>
      <c r="RCS354" s="545"/>
      <c r="RCT354" s="540"/>
      <c r="RCU354" s="545"/>
      <c r="RCV354" s="540"/>
      <c r="RCW354" s="545"/>
      <c r="RCX354" s="540"/>
      <c r="RCY354" s="545"/>
      <c r="RCZ354" s="540"/>
      <c r="RDA354" s="545"/>
      <c r="RDB354" s="540"/>
      <c r="RDC354" s="545"/>
      <c r="RDD354" s="540"/>
      <c r="RDE354" s="545"/>
      <c r="RDF354" s="540"/>
      <c r="RDG354" s="545"/>
      <c r="RDH354" s="540"/>
      <c r="RDI354" s="545"/>
      <c r="RDJ354" s="540"/>
      <c r="RDK354" s="545"/>
      <c r="RDL354" s="540"/>
      <c r="RDM354" s="545"/>
      <c r="RDN354" s="540"/>
      <c r="RDO354" s="545"/>
      <c r="RDP354" s="540"/>
      <c r="RDQ354" s="545"/>
      <c r="RDR354" s="540"/>
      <c r="RDS354" s="545"/>
      <c r="RDT354" s="540"/>
      <c r="RDU354" s="545"/>
      <c r="RDV354" s="540"/>
      <c r="RDW354" s="545"/>
      <c r="RDX354" s="540"/>
      <c r="RDY354" s="545"/>
      <c r="RDZ354" s="540"/>
      <c r="REA354" s="545"/>
      <c r="REB354" s="540"/>
      <c r="REC354" s="545"/>
      <c r="RED354" s="540"/>
      <c r="REE354" s="545"/>
      <c r="REF354" s="540"/>
      <c r="REG354" s="545"/>
      <c r="REH354" s="540"/>
      <c r="REI354" s="545"/>
      <c r="REJ354" s="540"/>
      <c r="REK354" s="545"/>
      <c r="REL354" s="540"/>
      <c r="REM354" s="545"/>
      <c r="REN354" s="540"/>
      <c r="REO354" s="545"/>
      <c r="REP354" s="540"/>
      <c r="REQ354" s="545"/>
      <c r="RER354" s="540"/>
      <c r="RES354" s="545"/>
      <c r="RET354" s="540"/>
      <c r="REU354" s="545"/>
      <c r="REV354" s="540"/>
      <c r="REW354" s="545"/>
      <c r="REX354" s="540"/>
      <c r="REY354" s="545"/>
      <c r="REZ354" s="540"/>
      <c r="RFA354" s="545"/>
      <c r="RFB354" s="540"/>
      <c r="RFC354" s="545"/>
      <c r="RFD354" s="540"/>
      <c r="RFE354" s="545"/>
      <c r="RFF354" s="540"/>
      <c r="RFG354" s="545"/>
      <c r="RFH354" s="540"/>
      <c r="RFI354" s="545"/>
      <c r="RFJ354" s="540"/>
      <c r="RFK354" s="545"/>
      <c r="RFL354" s="540"/>
      <c r="RFM354" s="545"/>
      <c r="RFN354" s="540"/>
      <c r="RFO354" s="545"/>
      <c r="RFP354" s="540"/>
      <c r="RFQ354" s="545"/>
      <c r="RFR354" s="540"/>
      <c r="RFS354" s="545"/>
      <c r="RFT354" s="540"/>
      <c r="RFU354" s="545"/>
      <c r="RFV354" s="540"/>
      <c r="RFW354" s="545"/>
      <c r="RFX354" s="540"/>
      <c r="RFY354" s="545"/>
      <c r="RFZ354" s="540"/>
      <c r="RGA354" s="545"/>
      <c r="RGB354" s="540"/>
      <c r="RGC354" s="545"/>
      <c r="RGD354" s="540"/>
      <c r="RGE354" s="545"/>
      <c r="RGF354" s="540"/>
      <c r="RGG354" s="545"/>
      <c r="RGH354" s="540"/>
      <c r="RGI354" s="545"/>
      <c r="RGJ354" s="540"/>
      <c r="RGK354" s="545"/>
      <c r="RGL354" s="540"/>
      <c r="RGM354" s="545"/>
      <c r="RGN354" s="540"/>
      <c r="RGO354" s="545"/>
      <c r="RGP354" s="540"/>
      <c r="RGQ354" s="545"/>
      <c r="RGR354" s="540"/>
      <c r="RGS354" s="545"/>
      <c r="RGT354" s="540"/>
      <c r="RGU354" s="545"/>
      <c r="RGV354" s="540"/>
      <c r="RGW354" s="545"/>
      <c r="RGX354" s="540"/>
      <c r="RGY354" s="545"/>
      <c r="RGZ354" s="540"/>
      <c r="RHA354" s="545"/>
      <c r="RHB354" s="540"/>
      <c r="RHC354" s="545"/>
      <c r="RHD354" s="540"/>
      <c r="RHE354" s="545"/>
      <c r="RHF354" s="540"/>
      <c r="RHG354" s="545"/>
      <c r="RHH354" s="540"/>
      <c r="RHI354" s="545"/>
      <c r="RHJ354" s="540"/>
      <c r="RHK354" s="545"/>
      <c r="RHL354" s="540"/>
      <c r="RHM354" s="545"/>
      <c r="RHN354" s="540"/>
      <c r="RHO354" s="545"/>
      <c r="RHP354" s="540"/>
      <c r="RHQ354" s="545"/>
      <c r="RHR354" s="540"/>
      <c r="RHS354" s="545"/>
      <c r="RHT354" s="540"/>
      <c r="RHU354" s="545"/>
      <c r="RHV354" s="540"/>
      <c r="RHW354" s="545"/>
      <c r="RHX354" s="540"/>
      <c r="RHY354" s="545"/>
      <c r="RHZ354" s="540"/>
      <c r="RIA354" s="545"/>
      <c r="RIB354" s="540"/>
      <c r="RIC354" s="545"/>
      <c r="RID354" s="540"/>
      <c r="RIE354" s="545"/>
      <c r="RIF354" s="540"/>
      <c r="RIG354" s="545"/>
      <c r="RIH354" s="540"/>
      <c r="RII354" s="545"/>
      <c r="RIJ354" s="540"/>
      <c r="RIK354" s="545"/>
      <c r="RIL354" s="540"/>
      <c r="RIM354" s="545"/>
      <c r="RIN354" s="540"/>
      <c r="RIO354" s="545"/>
      <c r="RIP354" s="540"/>
      <c r="RIQ354" s="545"/>
      <c r="RIR354" s="540"/>
      <c r="RIS354" s="545"/>
      <c r="RIT354" s="540"/>
      <c r="RIU354" s="545"/>
      <c r="RIV354" s="540"/>
      <c r="RIW354" s="545"/>
      <c r="RIX354" s="540"/>
      <c r="RIY354" s="545"/>
      <c r="RIZ354" s="540"/>
      <c r="RJA354" s="545"/>
      <c r="RJB354" s="540"/>
      <c r="RJC354" s="545"/>
      <c r="RJD354" s="540"/>
      <c r="RJE354" s="545"/>
      <c r="RJF354" s="540"/>
      <c r="RJG354" s="545"/>
      <c r="RJH354" s="540"/>
      <c r="RJI354" s="545"/>
      <c r="RJJ354" s="540"/>
      <c r="RJK354" s="545"/>
      <c r="RJL354" s="540"/>
      <c r="RJM354" s="545"/>
      <c r="RJN354" s="540"/>
      <c r="RJO354" s="545"/>
      <c r="RJP354" s="540"/>
      <c r="RJQ354" s="545"/>
      <c r="RJR354" s="540"/>
      <c r="RJS354" s="545"/>
      <c r="RJT354" s="540"/>
      <c r="RJU354" s="545"/>
      <c r="RJV354" s="540"/>
      <c r="RJW354" s="545"/>
      <c r="RJX354" s="540"/>
      <c r="RJY354" s="545"/>
      <c r="RJZ354" s="540"/>
      <c r="RKA354" s="545"/>
      <c r="RKB354" s="540"/>
      <c r="RKC354" s="545"/>
      <c r="RKD354" s="540"/>
      <c r="RKE354" s="545"/>
      <c r="RKF354" s="540"/>
      <c r="RKG354" s="545"/>
      <c r="RKH354" s="540"/>
      <c r="RKI354" s="545"/>
      <c r="RKJ354" s="540"/>
      <c r="RKK354" s="545"/>
      <c r="RKL354" s="540"/>
      <c r="RKM354" s="545"/>
      <c r="RKN354" s="540"/>
      <c r="RKO354" s="545"/>
      <c r="RKP354" s="540"/>
      <c r="RKQ354" s="545"/>
      <c r="RKR354" s="540"/>
      <c r="RKS354" s="545"/>
      <c r="RKT354" s="540"/>
      <c r="RKU354" s="545"/>
      <c r="RKV354" s="540"/>
      <c r="RKW354" s="545"/>
      <c r="RKX354" s="540"/>
      <c r="RKY354" s="545"/>
      <c r="RKZ354" s="540"/>
      <c r="RLA354" s="545"/>
      <c r="RLB354" s="540"/>
      <c r="RLC354" s="545"/>
      <c r="RLD354" s="540"/>
      <c r="RLE354" s="545"/>
      <c r="RLF354" s="540"/>
      <c r="RLG354" s="545"/>
      <c r="RLH354" s="540"/>
      <c r="RLI354" s="545"/>
      <c r="RLJ354" s="540"/>
      <c r="RLK354" s="545"/>
      <c r="RLL354" s="540"/>
      <c r="RLM354" s="545"/>
      <c r="RLN354" s="540"/>
      <c r="RLO354" s="545"/>
      <c r="RLP354" s="540"/>
      <c r="RLQ354" s="545"/>
      <c r="RLR354" s="540"/>
      <c r="RLS354" s="545"/>
      <c r="RLT354" s="540"/>
      <c r="RLU354" s="545"/>
      <c r="RLV354" s="540"/>
      <c r="RLW354" s="545"/>
      <c r="RLX354" s="540"/>
      <c r="RLY354" s="545"/>
      <c r="RLZ354" s="540"/>
      <c r="RMA354" s="545"/>
      <c r="RMB354" s="540"/>
      <c r="RMC354" s="545"/>
      <c r="RMD354" s="540"/>
      <c r="RME354" s="545"/>
      <c r="RMF354" s="540"/>
      <c r="RMG354" s="545"/>
      <c r="RMH354" s="540"/>
      <c r="RMI354" s="545"/>
      <c r="RMJ354" s="540"/>
      <c r="RMK354" s="545"/>
      <c r="RML354" s="540"/>
      <c r="RMM354" s="545"/>
      <c r="RMN354" s="540"/>
      <c r="RMO354" s="545"/>
      <c r="RMP354" s="540"/>
      <c r="RMQ354" s="545"/>
      <c r="RMR354" s="540"/>
      <c r="RMS354" s="545"/>
      <c r="RMT354" s="540"/>
      <c r="RMU354" s="545"/>
      <c r="RMV354" s="540"/>
      <c r="RMW354" s="545"/>
      <c r="RMX354" s="540"/>
      <c r="RMY354" s="545"/>
      <c r="RMZ354" s="540"/>
      <c r="RNA354" s="545"/>
      <c r="RNB354" s="540"/>
      <c r="RNC354" s="545"/>
      <c r="RND354" s="540"/>
      <c r="RNE354" s="545"/>
      <c r="RNF354" s="540"/>
      <c r="RNG354" s="545"/>
      <c r="RNH354" s="540"/>
      <c r="RNI354" s="545"/>
      <c r="RNJ354" s="540"/>
      <c r="RNK354" s="545"/>
      <c r="RNL354" s="540"/>
      <c r="RNM354" s="545"/>
      <c r="RNN354" s="540"/>
      <c r="RNO354" s="545"/>
      <c r="RNP354" s="540"/>
      <c r="RNQ354" s="545"/>
      <c r="RNR354" s="540"/>
      <c r="RNS354" s="545"/>
      <c r="RNT354" s="540"/>
      <c r="RNU354" s="545"/>
      <c r="RNV354" s="540"/>
      <c r="RNW354" s="545"/>
      <c r="RNX354" s="540"/>
      <c r="RNY354" s="545"/>
      <c r="RNZ354" s="540"/>
      <c r="ROA354" s="545"/>
      <c r="ROB354" s="540"/>
      <c r="ROC354" s="545"/>
      <c r="ROD354" s="540"/>
      <c r="ROE354" s="545"/>
      <c r="ROF354" s="540"/>
      <c r="ROG354" s="545"/>
      <c r="ROH354" s="540"/>
      <c r="ROI354" s="545"/>
      <c r="ROJ354" s="540"/>
      <c r="ROK354" s="545"/>
      <c r="ROL354" s="540"/>
      <c r="ROM354" s="545"/>
      <c r="RON354" s="540"/>
      <c r="ROO354" s="545"/>
      <c r="ROP354" s="540"/>
      <c r="ROQ354" s="545"/>
      <c r="ROR354" s="540"/>
      <c r="ROS354" s="545"/>
      <c r="ROT354" s="540"/>
      <c r="ROU354" s="545"/>
      <c r="ROV354" s="540"/>
      <c r="ROW354" s="545"/>
      <c r="ROX354" s="540"/>
      <c r="ROY354" s="545"/>
      <c r="ROZ354" s="540"/>
      <c r="RPA354" s="545"/>
      <c r="RPB354" s="540"/>
      <c r="RPC354" s="545"/>
      <c r="RPD354" s="540"/>
      <c r="RPE354" s="545"/>
      <c r="RPF354" s="540"/>
      <c r="RPG354" s="545"/>
      <c r="RPH354" s="540"/>
      <c r="RPI354" s="545"/>
      <c r="RPJ354" s="540"/>
      <c r="RPK354" s="545"/>
      <c r="RPL354" s="540"/>
      <c r="RPM354" s="545"/>
      <c r="RPN354" s="540"/>
      <c r="RPO354" s="545"/>
      <c r="RPP354" s="540"/>
      <c r="RPQ354" s="545"/>
      <c r="RPR354" s="540"/>
      <c r="RPS354" s="545"/>
      <c r="RPT354" s="540"/>
      <c r="RPU354" s="545"/>
      <c r="RPV354" s="540"/>
      <c r="RPW354" s="545"/>
      <c r="RPX354" s="540"/>
      <c r="RPY354" s="545"/>
      <c r="RPZ354" s="540"/>
      <c r="RQA354" s="545"/>
      <c r="RQB354" s="540"/>
      <c r="RQC354" s="545"/>
      <c r="RQD354" s="540"/>
      <c r="RQE354" s="545"/>
      <c r="RQF354" s="540"/>
      <c r="RQG354" s="545"/>
      <c r="RQH354" s="540"/>
      <c r="RQI354" s="545"/>
      <c r="RQJ354" s="540"/>
      <c r="RQK354" s="545"/>
      <c r="RQL354" s="540"/>
      <c r="RQM354" s="545"/>
      <c r="RQN354" s="540"/>
      <c r="RQO354" s="545"/>
      <c r="RQP354" s="540"/>
      <c r="RQQ354" s="545"/>
      <c r="RQR354" s="540"/>
      <c r="RQS354" s="545"/>
      <c r="RQT354" s="540"/>
      <c r="RQU354" s="545"/>
      <c r="RQV354" s="540"/>
      <c r="RQW354" s="545"/>
      <c r="RQX354" s="540"/>
      <c r="RQY354" s="545"/>
      <c r="RQZ354" s="540"/>
      <c r="RRA354" s="545"/>
      <c r="RRB354" s="540"/>
      <c r="RRC354" s="545"/>
      <c r="RRD354" s="540"/>
      <c r="RRE354" s="545"/>
      <c r="RRF354" s="540"/>
      <c r="RRG354" s="545"/>
      <c r="RRH354" s="540"/>
      <c r="RRI354" s="545"/>
      <c r="RRJ354" s="540"/>
      <c r="RRK354" s="545"/>
      <c r="RRL354" s="540"/>
      <c r="RRM354" s="545"/>
      <c r="RRN354" s="540"/>
      <c r="RRO354" s="545"/>
      <c r="RRP354" s="540"/>
      <c r="RRQ354" s="545"/>
      <c r="RRR354" s="540"/>
      <c r="RRS354" s="545"/>
      <c r="RRT354" s="540"/>
      <c r="RRU354" s="545"/>
      <c r="RRV354" s="540"/>
      <c r="RRW354" s="545"/>
      <c r="RRX354" s="540"/>
      <c r="RRY354" s="545"/>
      <c r="RRZ354" s="540"/>
      <c r="RSA354" s="545"/>
      <c r="RSB354" s="540"/>
      <c r="RSC354" s="545"/>
      <c r="RSD354" s="540"/>
      <c r="RSE354" s="545"/>
      <c r="RSF354" s="540"/>
      <c r="RSG354" s="545"/>
      <c r="RSH354" s="540"/>
      <c r="RSI354" s="545"/>
      <c r="RSJ354" s="540"/>
      <c r="RSK354" s="545"/>
      <c r="RSL354" s="540"/>
      <c r="RSM354" s="545"/>
      <c r="RSN354" s="540"/>
      <c r="RSO354" s="545"/>
      <c r="RSP354" s="540"/>
      <c r="RSQ354" s="545"/>
      <c r="RSR354" s="540"/>
      <c r="RSS354" s="545"/>
      <c r="RST354" s="540"/>
      <c r="RSU354" s="545"/>
      <c r="RSV354" s="540"/>
      <c r="RSW354" s="545"/>
      <c r="RSX354" s="540"/>
      <c r="RSY354" s="545"/>
      <c r="RSZ354" s="540"/>
      <c r="RTA354" s="545"/>
      <c r="RTB354" s="540"/>
      <c r="RTC354" s="545"/>
      <c r="RTD354" s="540"/>
      <c r="RTE354" s="545"/>
      <c r="RTF354" s="540"/>
      <c r="RTG354" s="545"/>
      <c r="RTH354" s="540"/>
      <c r="RTI354" s="545"/>
      <c r="RTJ354" s="540"/>
      <c r="RTK354" s="545"/>
      <c r="RTL354" s="540"/>
      <c r="RTM354" s="545"/>
      <c r="RTN354" s="540"/>
      <c r="RTO354" s="545"/>
      <c r="RTP354" s="540"/>
      <c r="RTQ354" s="545"/>
      <c r="RTR354" s="540"/>
      <c r="RTS354" s="545"/>
      <c r="RTT354" s="540"/>
      <c r="RTU354" s="545"/>
      <c r="RTV354" s="540"/>
      <c r="RTW354" s="545"/>
      <c r="RTX354" s="540"/>
      <c r="RTY354" s="545"/>
      <c r="RTZ354" s="540"/>
      <c r="RUA354" s="545"/>
      <c r="RUB354" s="540"/>
      <c r="RUC354" s="545"/>
      <c r="RUD354" s="540"/>
      <c r="RUE354" s="545"/>
      <c r="RUF354" s="540"/>
      <c r="RUG354" s="545"/>
      <c r="RUH354" s="540"/>
      <c r="RUI354" s="545"/>
      <c r="RUJ354" s="540"/>
      <c r="RUK354" s="545"/>
      <c r="RUL354" s="540"/>
      <c r="RUM354" s="545"/>
      <c r="RUN354" s="540"/>
      <c r="RUO354" s="545"/>
      <c r="RUP354" s="540"/>
      <c r="RUQ354" s="545"/>
      <c r="RUR354" s="540"/>
      <c r="RUS354" s="545"/>
      <c r="RUT354" s="540"/>
      <c r="RUU354" s="545"/>
      <c r="RUV354" s="540"/>
      <c r="RUW354" s="545"/>
      <c r="RUX354" s="540"/>
      <c r="RUY354" s="545"/>
      <c r="RUZ354" s="540"/>
      <c r="RVA354" s="545"/>
      <c r="RVB354" s="540"/>
      <c r="RVC354" s="545"/>
      <c r="RVD354" s="540"/>
      <c r="RVE354" s="545"/>
      <c r="RVF354" s="540"/>
      <c r="RVG354" s="545"/>
      <c r="RVH354" s="540"/>
      <c r="RVI354" s="545"/>
      <c r="RVJ354" s="540"/>
      <c r="RVK354" s="545"/>
      <c r="RVL354" s="540"/>
      <c r="RVM354" s="545"/>
      <c r="RVN354" s="540"/>
      <c r="RVO354" s="545"/>
      <c r="RVP354" s="540"/>
      <c r="RVQ354" s="545"/>
      <c r="RVR354" s="540"/>
      <c r="RVS354" s="545"/>
      <c r="RVT354" s="540"/>
      <c r="RVU354" s="545"/>
      <c r="RVV354" s="540"/>
      <c r="RVW354" s="545"/>
      <c r="RVX354" s="540"/>
      <c r="RVY354" s="545"/>
      <c r="RVZ354" s="540"/>
      <c r="RWA354" s="545"/>
      <c r="RWB354" s="540"/>
      <c r="RWC354" s="545"/>
      <c r="RWD354" s="540"/>
      <c r="RWE354" s="545"/>
      <c r="RWF354" s="540"/>
      <c r="RWG354" s="545"/>
      <c r="RWH354" s="540"/>
      <c r="RWI354" s="545"/>
      <c r="RWJ354" s="540"/>
      <c r="RWK354" s="545"/>
      <c r="RWL354" s="540"/>
      <c r="RWM354" s="545"/>
      <c r="RWN354" s="540"/>
      <c r="RWO354" s="545"/>
      <c r="RWP354" s="540"/>
      <c r="RWQ354" s="545"/>
      <c r="RWR354" s="540"/>
      <c r="RWS354" s="545"/>
      <c r="RWT354" s="540"/>
      <c r="RWU354" s="545"/>
      <c r="RWV354" s="540"/>
      <c r="RWW354" s="545"/>
      <c r="RWX354" s="540"/>
      <c r="RWY354" s="545"/>
      <c r="RWZ354" s="540"/>
      <c r="RXA354" s="545"/>
      <c r="RXB354" s="540"/>
      <c r="RXC354" s="545"/>
      <c r="RXD354" s="540"/>
      <c r="RXE354" s="545"/>
      <c r="RXF354" s="540"/>
      <c r="RXG354" s="545"/>
      <c r="RXH354" s="540"/>
      <c r="RXI354" s="545"/>
      <c r="RXJ354" s="540"/>
      <c r="RXK354" s="545"/>
      <c r="RXL354" s="540"/>
      <c r="RXM354" s="545"/>
      <c r="RXN354" s="540"/>
      <c r="RXO354" s="545"/>
      <c r="RXP354" s="540"/>
      <c r="RXQ354" s="545"/>
      <c r="RXR354" s="540"/>
      <c r="RXS354" s="545"/>
      <c r="RXT354" s="540"/>
      <c r="RXU354" s="545"/>
      <c r="RXV354" s="540"/>
      <c r="RXW354" s="545"/>
      <c r="RXX354" s="540"/>
      <c r="RXY354" s="545"/>
      <c r="RXZ354" s="540"/>
      <c r="RYA354" s="545"/>
      <c r="RYB354" s="540"/>
      <c r="RYC354" s="545"/>
      <c r="RYD354" s="540"/>
      <c r="RYE354" s="545"/>
      <c r="RYF354" s="540"/>
      <c r="RYG354" s="545"/>
      <c r="RYH354" s="540"/>
      <c r="RYI354" s="545"/>
      <c r="RYJ354" s="540"/>
      <c r="RYK354" s="545"/>
      <c r="RYL354" s="540"/>
      <c r="RYM354" s="545"/>
      <c r="RYN354" s="540"/>
      <c r="RYO354" s="545"/>
      <c r="RYP354" s="540"/>
      <c r="RYQ354" s="545"/>
      <c r="RYR354" s="540"/>
      <c r="RYS354" s="545"/>
      <c r="RYT354" s="540"/>
      <c r="RYU354" s="545"/>
      <c r="RYV354" s="540"/>
      <c r="RYW354" s="545"/>
      <c r="RYX354" s="540"/>
      <c r="RYY354" s="545"/>
      <c r="RYZ354" s="540"/>
      <c r="RZA354" s="545"/>
      <c r="RZB354" s="540"/>
      <c r="RZC354" s="545"/>
      <c r="RZD354" s="540"/>
      <c r="RZE354" s="545"/>
      <c r="RZF354" s="540"/>
      <c r="RZG354" s="545"/>
      <c r="RZH354" s="540"/>
      <c r="RZI354" s="545"/>
      <c r="RZJ354" s="540"/>
      <c r="RZK354" s="545"/>
      <c r="RZL354" s="540"/>
      <c r="RZM354" s="545"/>
      <c r="RZN354" s="540"/>
      <c r="RZO354" s="545"/>
      <c r="RZP354" s="540"/>
      <c r="RZQ354" s="545"/>
      <c r="RZR354" s="540"/>
      <c r="RZS354" s="545"/>
      <c r="RZT354" s="540"/>
      <c r="RZU354" s="545"/>
      <c r="RZV354" s="540"/>
      <c r="RZW354" s="545"/>
      <c r="RZX354" s="540"/>
      <c r="RZY354" s="545"/>
      <c r="RZZ354" s="540"/>
      <c r="SAA354" s="545"/>
      <c r="SAB354" s="540"/>
      <c r="SAC354" s="545"/>
      <c r="SAD354" s="540"/>
      <c r="SAE354" s="545"/>
      <c r="SAF354" s="540"/>
      <c r="SAG354" s="545"/>
      <c r="SAH354" s="540"/>
      <c r="SAI354" s="545"/>
      <c r="SAJ354" s="540"/>
      <c r="SAK354" s="545"/>
      <c r="SAL354" s="540"/>
      <c r="SAM354" s="545"/>
      <c r="SAN354" s="540"/>
      <c r="SAO354" s="545"/>
      <c r="SAP354" s="540"/>
      <c r="SAQ354" s="545"/>
      <c r="SAR354" s="540"/>
      <c r="SAS354" s="545"/>
      <c r="SAT354" s="540"/>
      <c r="SAU354" s="545"/>
      <c r="SAV354" s="540"/>
      <c r="SAW354" s="545"/>
      <c r="SAX354" s="540"/>
      <c r="SAY354" s="545"/>
      <c r="SAZ354" s="540"/>
      <c r="SBA354" s="545"/>
      <c r="SBB354" s="540"/>
      <c r="SBC354" s="545"/>
      <c r="SBD354" s="540"/>
      <c r="SBE354" s="545"/>
      <c r="SBF354" s="540"/>
      <c r="SBG354" s="545"/>
      <c r="SBH354" s="540"/>
      <c r="SBI354" s="545"/>
      <c r="SBJ354" s="540"/>
      <c r="SBK354" s="545"/>
      <c r="SBL354" s="540"/>
      <c r="SBM354" s="545"/>
      <c r="SBN354" s="540"/>
      <c r="SBO354" s="545"/>
      <c r="SBP354" s="540"/>
      <c r="SBQ354" s="545"/>
      <c r="SBR354" s="540"/>
      <c r="SBS354" s="545"/>
      <c r="SBT354" s="540"/>
      <c r="SBU354" s="545"/>
      <c r="SBV354" s="540"/>
      <c r="SBW354" s="545"/>
      <c r="SBX354" s="540"/>
      <c r="SBY354" s="545"/>
      <c r="SBZ354" s="540"/>
      <c r="SCA354" s="545"/>
      <c r="SCB354" s="540"/>
      <c r="SCC354" s="545"/>
      <c r="SCD354" s="540"/>
      <c r="SCE354" s="545"/>
      <c r="SCF354" s="540"/>
      <c r="SCG354" s="545"/>
      <c r="SCH354" s="540"/>
      <c r="SCI354" s="545"/>
      <c r="SCJ354" s="540"/>
      <c r="SCK354" s="545"/>
      <c r="SCL354" s="540"/>
      <c r="SCM354" s="545"/>
      <c r="SCN354" s="540"/>
      <c r="SCO354" s="545"/>
      <c r="SCP354" s="540"/>
      <c r="SCQ354" s="545"/>
      <c r="SCR354" s="540"/>
      <c r="SCS354" s="545"/>
      <c r="SCT354" s="540"/>
      <c r="SCU354" s="545"/>
      <c r="SCV354" s="540"/>
      <c r="SCW354" s="545"/>
      <c r="SCX354" s="540"/>
      <c r="SCY354" s="545"/>
      <c r="SCZ354" s="540"/>
      <c r="SDA354" s="545"/>
      <c r="SDB354" s="540"/>
      <c r="SDC354" s="545"/>
      <c r="SDD354" s="540"/>
      <c r="SDE354" s="545"/>
      <c r="SDF354" s="540"/>
      <c r="SDG354" s="545"/>
      <c r="SDH354" s="540"/>
      <c r="SDI354" s="545"/>
      <c r="SDJ354" s="540"/>
      <c r="SDK354" s="545"/>
      <c r="SDL354" s="540"/>
      <c r="SDM354" s="545"/>
      <c r="SDN354" s="540"/>
      <c r="SDO354" s="545"/>
      <c r="SDP354" s="540"/>
      <c r="SDQ354" s="545"/>
      <c r="SDR354" s="540"/>
      <c r="SDS354" s="545"/>
      <c r="SDT354" s="540"/>
      <c r="SDU354" s="545"/>
      <c r="SDV354" s="540"/>
      <c r="SDW354" s="545"/>
      <c r="SDX354" s="540"/>
      <c r="SDY354" s="545"/>
      <c r="SDZ354" s="540"/>
      <c r="SEA354" s="545"/>
      <c r="SEB354" s="540"/>
      <c r="SEC354" s="545"/>
      <c r="SED354" s="540"/>
      <c r="SEE354" s="545"/>
      <c r="SEF354" s="540"/>
      <c r="SEG354" s="545"/>
      <c r="SEH354" s="540"/>
      <c r="SEI354" s="545"/>
      <c r="SEJ354" s="540"/>
      <c r="SEK354" s="545"/>
      <c r="SEL354" s="540"/>
      <c r="SEM354" s="545"/>
      <c r="SEN354" s="540"/>
      <c r="SEO354" s="545"/>
      <c r="SEP354" s="540"/>
      <c r="SEQ354" s="545"/>
      <c r="SER354" s="540"/>
      <c r="SES354" s="545"/>
      <c r="SET354" s="540"/>
      <c r="SEU354" s="545"/>
      <c r="SEV354" s="540"/>
      <c r="SEW354" s="545"/>
      <c r="SEX354" s="540"/>
      <c r="SEY354" s="545"/>
      <c r="SEZ354" s="540"/>
      <c r="SFA354" s="545"/>
      <c r="SFB354" s="540"/>
      <c r="SFC354" s="545"/>
      <c r="SFD354" s="540"/>
      <c r="SFE354" s="545"/>
      <c r="SFF354" s="540"/>
      <c r="SFG354" s="545"/>
      <c r="SFH354" s="540"/>
      <c r="SFI354" s="545"/>
      <c r="SFJ354" s="540"/>
      <c r="SFK354" s="545"/>
      <c r="SFL354" s="540"/>
      <c r="SFM354" s="545"/>
      <c r="SFN354" s="540"/>
      <c r="SFO354" s="545"/>
      <c r="SFP354" s="540"/>
      <c r="SFQ354" s="545"/>
      <c r="SFR354" s="540"/>
      <c r="SFS354" s="545"/>
      <c r="SFT354" s="540"/>
      <c r="SFU354" s="545"/>
      <c r="SFV354" s="540"/>
      <c r="SFW354" s="545"/>
      <c r="SFX354" s="540"/>
      <c r="SFY354" s="545"/>
      <c r="SFZ354" s="540"/>
      <c r="SGA354" s="545"/>
      <c r="SGB354" s="540"/>
      <c r="SGC354" s="545"/>
      <c r="SGD354" s="540"/>
      <c r="SGE354" s="545"/>
      <c r="SGF354" s="540"/>
      <c r="SGG354" s="545"/>
      <c r="SGH354" s="540"/>
      <c r="SGI354" s="545"/>
      <c r="SGJ354" s="540"/>
      <c r="SGK354" s="545"/>
      <c r="SGL354" s="540"/>
      <c r="SGM354" s="545"/>
      <c r="SGN354" s="540"/>
      <c r="SGO354" s="545"/>
      <c r="SGP354" s="540"/>
      <c r="SGQ354" s="545"/>
      <c r="SGR354" s="540"/>
      <c r="SGS354" s="545"/>
      <c r="SGT354" s="540"/>
      <c r="SGU354" s="545"/>
      <c r="SGV354" s="540"/>
      <c r="SGW354" s="545"/>
      <c r="SGX354" s="540"/>
      <c r="SGY354" s="545"/>
      <c r="SGZ354" s="540"/>
      <c r="SHA354" s="545"/>
      <c r="SHB354" s="540"/>
      <c r="SHC354" s="545"/>
      <c r="SHD354" s="540"/>
      <c r="SHE354" s="545"/>
      <c r="SHF354" s="540"/>
      <c r="SHG354" s="545"/>
      <c r="SHH354" s="540"/>
      <c r="SHI354" s="545"/>
      <c r="SHJ354" s="540"/>
      <c r="SHK354" s="545"/>
      <c r="SHL354" s="540"/>
      <c r="SHM354" s="545"/>
      <c r="SHN354" s="540"/>
      <c r="SHO354" s="545"/>
      <c r="SHP354" s="540"/>
      <c r="SHQ354" s="545"/>
      <c r="SHR354" s="540"/>
      <c r="SHS354" s="545"/>
      <c r="SHT354" s="540"/>
      <c r="SHU354" s="545"/>
      <c r="SHV354" s="540"/>
      <c r="SHW354" s="545"/>
      <c r="SHX354" s="540"/>
      <c r="SHY354" s="545"/>
      <c r="SHZ354" s="540"/>
      <c r="SIA354" s="545"/>
      <c r="SIB354" s="540"/>
      <c r="SIC354" s="545"/>
      <c r="SID354" s="540"/>
      <c r="SIE354" s="545"/>
      <c r="SIF354" s="540"/>
      <c r="SIG354" s="545"/>
      <c r="SIH354" s="540"/>
      <c r="SII354" s="545"/>
      <c r="SIJ354" s="540"/>
      <c r="SIK354" s="545"/>
      <c r="SIL354" s="540"/>
      <c r="SIM354" s="545"/>
      <c r="SIN354" s="540"/>
      <c r="SIO354" s="545"/>
      <c r="SIP354" s="540"/>
      <c r="SIQ354" s="545"/>
      <c r="SIR354" s="540"/>
      <c r="SIS354" s="545"/>
      <c r="SIT354" s="540"/>
      <c r="SIU354" s="545"/>
      <c r="SIV354" s="540"/>
      <c r="SIW354" s="545"/>
      <c r="SIX354" s="540"/>
      <c r="SIY354" s="545"/>
      <c r="SIZ354" s="540"/>
      <c r="SJA354" s="545"/>
      <c r="SJB354" s="540"/>
      <c r="SJC354" s="545"/>
      <c r="SJD354" s="540"/>
      <c r="SJE354" s="545"/>
      <c r="SJF354" s="540"/>
      <c r="SJG354" s="545"/>
      <c r="SJH354" s="540"/>
      <c r="SJI354" s="545"/>
      <c r="SJJ354" s="540"/>
      <c r="SJK354" s="545"/>
      <c r="SJL354" s="540"/>
      <c r="SJM354" s="545"/>
      <c r="SJN354" s="540"/>
      <c r="SJO354" s="545"/>
      <c r="SJP354" s="540"/>
      <c r="SJQ354" s="545"/>
      <c r="SJR354" s="540"/>
      <c r="SJS354" s="545"/>
      <c r="SJT354" s="540"/>
      <c r="SJU354" s="545"/>
      <c r="SJV354" s="540"/>
      <c r="SJW354" s="545"/>
      <c r="SJX354" s="540"/>
      <c r="SJY354" s="545"/>
      <c r="SJZ354" s="540"/>
      <c r="SKA354" s="545"/>
      <c r="SKB354" s="540"/>
      <c r="SKC354" s="545"/>
      <c r="SKD354" s="540"/>
      <c r="SKE354" s="545"/>
      <c r="SKF354" s="540"/>
      <c r="SKG354" s="545"/>
      <c r="SKH354" s="540"/>
      <c r="SKI354" s="545"/>
      <c r="SKJ354" s="540"/>
      <c r="SKK354" s="545"/>
      <c r="SKL354" s="540"/>
      <c r="SKM354" s="545"/>
      <c r="SKN354" s="540"/>
      <c r="SKO354" s="545"/>
      <c r="SKP354" s="540"/>
      <c r="SKQ354" s="545"/>
      <c r="SKR354" s="540"/>
      <c r="SKS354" s="545"/>
      <c r="SKT354" s="540"/>
      <c r="SKU354" s="545"/>
      <c r="SKV354" s="540"/>
      <c r="SKW354" s="545"/>
      <c r="SKX354" s="540"/>
      <c r="SKY354" s="545"/>
      <c r="SKZ354" s="540"/>
      <c r="SLA354" s="545"/>
      <c r="SLB354" s="540"/>
      <c r="SLC354" s="545"/>
      <c r="SLD354" s="540"/>
      <c r="SLE354" s="545"/>
      <c r="SLF354" s="540"/>
      <c r="SLG354" s="545"/>
      <c r="SLH354" s="540"/>
      <c r="SLI354" s="545"/>
      <c r="SLJ354" s="540"/>
      <c r="SLK354" s="545"/>
      <c r="SLL354" s="540"/>
      <c r="SLM354" s="545"/>
      <c r="SLN354" s="540"/>
      <c r="SLO354" s="545"/>
      <c r="SLP354" s="540"/>
      <c r="SLQ354" s="545"/>
      <c r="SLR354" s="540"/>
      <c r="SLS354" s="545"/>
      <c r="SLT354" s="540"/>
      <c r="SLU354" s="545"/>
      <c r="SLV354" s="540"/>
      <c r="SLW354" s="545"/>
      <c r="SLX354" s="540"/>
      <c r="SLY354" s="545"/>
      <c r="SLZ354" s="540"/>
      <c r="SMA354" s="545"/>
      <c r="SMB354" s="540"/>
      <c r="SMC354" s="545"/>
      <c r="SMD354" s="540"/>
      <c r="SME354" s="545"/>
      <c r="SMF354" s="540"/>
      <c r="SMG354" s="545"/>
      <c r="SMH354" s="540"/>
      <c r="SMI354" s="545"/>
      <c r="SMJ354" s="540"/>
      <c r="SMK354" s="545"/>
      <c r="SML354" s="540"/>
      <c r="SMM354" s="545"/>
      <c r="SMN354" s="540"/>
      <c r="SMO354" s="545"/>
      <c r="SMP354" s="540"/>
      <c r="SMQ354" s="545"/>
      <c r="SMR354" s="540"/>
      <c r="SMS354" s="545"/>
      <c r="SMT354" s="540"/>
      <c r="SMU354" s="545"/>
      <c r="SMV354" s="540"/>
      <c r="SMW354" s="545"/>
      <c r="SMX354" s="540"/>
      <c r="SMY354" s="545"/>
      <c r="SMZ354" s="540"/>
      <c r="SNA354" s="545"/>
      <c r="SNB354" s="540"/>
      <c r="SNC354" s="545"/>
      <c r="SND354" s="540"/>
      <c r="SNE354" s="545"/>
      <c r="SNF354" s="540"/>
      <c r="SNG354" s="545"/>
      <c r="SNH354" s="540"/>
      <c r="SNI354" s="545"/>
      <c r="SNJ354" s="540"/>
      <c r="SNK354" s="545"/>
      <c r="SNL354" s="540"/>
      <c r="SNM354" s="545"/>
      <c r="SNN354" s="540"/>
      <c r="SNO354" s="545"/>
      <c r="SNP354" s="540"/>
      <c r="SNQ354" s="545"/>
      <c r="SNR354" s="540"/>
      <c r="SNS354" s="545"/>
      <c r="SNT354" s="540"/>
      <c r="SNU354" s="545"/>
      <c r="SNV354" s="540"/>
      <c r="SNW354" s="545"/>
      <c r="SNX354" s="540"/>
      <c r="SNY354" s="545"/>
      <c r="SNZ354" s="540"/>
      <c r="SOA354" s="545"/>
      <c r="SOB354" s="540"/>
      <c r="SOC354" s="545"/>
      <c r="SOD354" s="540"/>
      <c r="SOE354" s="545"/>
      <c r="SOF354" s="540"/>
      <c r="SOG354" s="545"/>
      <c r="SOH354" s="540"/>
      <c r="SOI354" s="545"/>
      <c r="SOJ354" s="540"/>
      <c r="SOK354" s="545"/>
      <c r="SOL354" s="540"/>
      <c r="SOM354" s="545"/>
      <c r="SON354" s="540"/>
      <c r="SOO354" s="545"/>
      <c r="SOP354" s="540"/>
      <c r="SOQ354" s="545"/>
      <c r="SOR354" s="540"/>
      <c r="SOS354" s="545"/>
      <c r="SOT354" s="540"/>
      <c r="SOU354" s="545"/>
      <c r="SOV354" s="540"/>
      <c r="SOW354" s="545"/>
      <c r="SOX354" s="540"/>
      <c r="SOY354" s="545"/>
      <c r="SOZ354" s="540"/>
      <c r="SPA354" s="545"/>
      <c r="SPB354" s="540"/>
      <c r="SPC354" s="545"/>
      <c r="SPD354" s="540"/>
      <c r="SPE354" s="545"/>
      <c r="SPF354" s="540"/>
      <c r="SPG354" s="545"/>
      <c r="SPH354" s="540"/>
      <c r="SPI354" s="545"/>
      <c r="SPJ354" s="540"/>
      <c r="SPK354" s="545"/>
      <c r="SPL354" s="540"/>
      <c r="SPM354" s="545"/>
      <c r="SPN354" s="540"/>
      <c r="SPO354" s="545"/>
      <c r="SPP354" s="540"/>
      <c r="SPQ354" s="545"/>
      <c r="SPR354" s="540"/>
      <c r="SPS354" s="545"/>
      <c r="SPT354" s="540"/>
      <c r="SPU354" s="545"/>
      <c r="SPV354" s="540"/>
      <c r="SPW354" s="545"/>
      <c r="SPX354" s="540"/>
      <c r="SPY354" s="545"/>
      <c r="SPZ354" s="540"/>
      <c r="SQA354" s="545"/>
      <c r="SQB354" s="540"/>
      <c r="SQC354" s="545"/>
      <c r="SQD354" s="540"/>
      <c r="SQE354" s="545"/>
      <c r="SQF354" s="540"/>
      <c r="SQG354" s="545"/>
      <c r="SQH354" s="540"/>
      <c r="SQI354" s="545"/>
      <c r="SQJ354" s="540"/>
      <c r="SQK354" s="545"/>
      <c r="SQL354" s="540"/>
      <c r="SQM354" s="545"/>
      <c r="SQN354" s="540"/>
      <c r="SQO354" s="545"/>
      <c r="SQP354" s="540"/>
      <c r="SQQ354" s="545"/>
      <c r="SQR354" s="540"/>
      <c r="SQS354" s="545"/>
      <c r="SQT354" s="540"/>
      <c r="SQU354" s="545"/>
      <c r="SQV354" s="540"/>
      <c r="SQW354" s="545"/>
      <c r="SQX354" s="540"/>
      <c r="SQY354" s="545"/>
      <c r="SQZ354" s="540"/>
      <c r="SRA354" s="545"/>
      <c r="SRB354" s="540"/>
      <c r="SRC354" s="545"/>
      <c r="SRD354" s="540"/>
      <c r="SRE354" s="545"/>
      <c r="SRF354" s="540"/>
      <c r="SRG354" s="545"/>
      <c r="SRH354" s="540"/>
      <c r="SRI354" s="545"/>
      <c r="SRJ354" s="540"/>
      <c r="SRK354" s="545"/>
      <c r="SRL354" s="540"/>
      <c r="SRM354" s="545"/>
      <c r="SRN354" s="540"/>
      <c r="SRO354" s="545"/>
      <c r="SRP354" s="540"/>
      <c r="SRQ354" s="545"/>
      <c r="SRR354" s="540"/>
      <c r="SRS354" s="545"/>
      <c r="SRT354" s="540"/>
      <c r="SRU354" s="545"/>
      <c r="SRV354" s="540"/>
      <c r="SRW354" s="545"/>
      <c r="SRX354" s="540"/>
      <c r="SRY354" s="545"/>
      <c r="SRZ354" s="540"/>
      <c r="SSA354" s="545"/>
      <c r="SSB354" s="540"/>
      <c r="SSC354" s="545"/>
      <c r="SSD354" s="540"/>
      <c r="SSE354" s="545"/>
      <c r="SSF354" s="540"/>
      <c r="SSG354" s="545"/>
      <c r="SSH354" s="540"/>
      <c r="SSI354" s="545"/>
      <c r="SSJ354" s="540"/>
      <c r="SSK354" s="545"/>
      <c r="SSL354" s="540"/>
      <c r="SSM354" s="545"/>
      <c r="SSN354" s="540"/>
      <c r="SSO354" s="545"/>
      <c r="SSP354" s="540"/>
      <c r="SSQ354" s="545"/>
      <c r="SSR354" s="540"/>
      <c r="SSS354" s="545"/>
      <c r="SST354" s="540"/>
      <c r="SSU354" s="545"/>
      <c r="SSV354" s="540"/>
      <c r="SSW354" s="545"/>
      <c r="SSX354" s="540"/>
      <c r="SSY354" s="545"/>
      <c r="SSZ354" s="540"/>
      <c r="STA354" s="545"/>
      <c r="STB354" s="540"/>
      <c r="STC354" s="545"/>
      <c r="STD354" s="540"/>
      <c r="STE354" s="545"/>
      <c r="STF354" s="540"/>
      <c r="STG354" s="545"/>
      <c r="STH354" s="540"/>
      <c r="STI354" s="545"/>
      <c r="STJ354" s="540"/>
      <c r="STK354" s="545"/>
      <c r="STL354" s="540"/>
      <c r="STM354" s="545"/>
      <c r="STN354" s="540"/>
      <c r="STO354" s="545"/>
      <c r="STP354" s="540"/>
      <c r="STQ354" s="545"/>
      <c r="STR354" s="540"/>
      <c r="STS354" s="545"/>
      <c r="STT354" s="540"/>
      <c r="STU354" s="545"/>
      <c r="STV354" s="540"/>
      <c r="STW354" s="545"/>
      <c r="STX354" s="540"/>
      <c r="STY354" s="545"/>
      <c r="STZ354" s="540"/>
      <c r="SUA354" s="545"/>
      <c r="SUB354" s="540"/>
      <c r="SUC354" s="545"/>
      <c r="SUD354" s="540"/>
      <c r="SUE354" s="545"/>
      <c r="SUF354" s="540"/>
      <c r="SUG354" s="545"/>
      <c r="SUH354" s="540"/>
      <c r="SUI354" s="545"/>
      <c r="SUJ354" s="540"/>
      <c r="SUK354" s="545"/>
      <c r="SUL354" s="540"/>
      <c r="SUM354" s="545"/>
      <c r="SUN354" s="540"/>
      <c r="SUO354" s="545"/>
      <c r="SUP354" s="540"/>
      <c r="SUQ354" s="545"/>
      <c r="SUR354" s="540"/>
      <c r="SUS354" s="545"/>
      <c r="SUT354" s="540"/>
      <c r="SUU354" s="545"/>
      <c r="SUV354" s="540"/>
      <c r="SUW354" s="545"/>
      <c r="SUX354" s="540"/>
      <c r="SUY354" s="545"/>
      <c r="SUZ354" s="540"/>
      <c r="SVA354" s="545"/>
      <c r="SVB354" s="540"/>
      <c r="SVC354" s="545"/>
      <c r="SVD354" s="540"/>
      <c r="SVE354" s="545"/>
      <c r="SVF354" s="540"/>
      <c r="SVG354" s="545"/>
      <c r="SVH354" s="540"/>
      <c r="SVI354" s="545"/>
      <c r="SVJ354" s="540"/>
      <c r="SVK354" s="545"/>
      <c r="SVL354" s="540"/>
      <c r="SVM354" s="545"/>
      <c r="SVN354" s="540"/>
      <c r="SVO354" s="545"/>
      <c r="SVP354" s="540"/>
      <c r="SVQ354" s="545"/>
      <c r="SVR354" s="540"/>
      <c r="SVS354" s="545"/>
      <c r="SVT354" s="540"/>
      <c r="SVU354" s="545"/>
      <c r="SVV354" s="540"/>
      <c r="SVW354" s="545"/>
      <c r="SVX354" s="540"/>
      <c r="SVY354" s="545"/>
      <c r="SVZ354" s="540"/>
      <c r="SWA354" s="545"/>
      <c r="SWB354" s="540"/>
      <c r="SWC354" s="545"/>
      <c r="SWD354" s="540"/>
      <c r="SWE354" s="545"/>
      <c r="SWF354" s="540"/>
      <c r="SWG354" s="545"/>
      <c r="SWH354" s="540"/>
      <c r="SWI354" s="545"/>
      <c r="SWJ354" s="540"/>
      <c r="SWK354" s="545"/>
      <c r="SWL354" s="540"/>
      <c r="SWM354" s="545"/>
      <c r="SWN354" s="540"/>
      <c r="SWO354" s="545"/>
      <c r="SWP354" s="540"/>
      <c r="SWQ354" s="545"/>
      <c r="SWR354" s="540"/>
      <c r="SWS354" s="545"/>
      <c r="SWT354" s="540"/>
      <c r="SWU354" s="545"/>
      <c r="SWV354" s="540"/>
      <c r="SWW354" s="545"/>
      <c r="SWX354" s="540"/>
      <c r="SWY354" s="545"/>
      <c r="SWZ354" s="540"/>
      <c r="SXA354" s="545"/>
      <c r="SXB354" s="540"/>
      <c r="SXC354" s="545"/>
      <c r="SXD354" s="540"/>
      <c r="SXE354" s="545"/>
      <c r="SXF354" s="540"/>
      <c r="SXG354" s="545"/>
      <c r="SXH354" s="540"/>
      <c r="SXI354" s="545"/>
      <c r="SXJ354" s="540"/>
      <c r="SXK354" s="545"/>
      <c r="SXL354" s="540"/>
      <c r="SXM354" s="545"/>
      <c r="SXN354" s="540"/>
      <c r="SXO354" s="545"/>
      <c r="SXP354" s="540"/>
      <c r="SXQ354" s="545"/>
      <c r="SXR354" s="540"/>
      <c r="SXS354" s="545"/>
      <c r="SXT354" s="540"/>
      <c r="SXU354" s="545"/>
      <c r="SXV354" s="540"/>
      <c r="SXW354" s="545"/>
      <c r="SXX354" s="540"/>
      <c r="SXY354" s="545"/>
      <c r="SXZ354" s="540"/>
      <c r="SYA354" s="545"/>
      <c r="SYB354" s="540"/>
      <c r="SYC354" s="545"/>
      <c r="SYD354" s="540"/>
      <c r="SYE354" s="545"/>
      <c r="SYF354" s="540"/>
      <c r="SYG354" s="545"/>
      <c r="SYH354" s="540"/>
      <c r="SYI354" s="545"/>
      <c r="SYJ354" s="540"/>
      <c r="SYK354" s="545"/>
      <c r="SYL354" s="540"/>
      <c r="SYM354" s="545"/>
      <c r="SYN354" s="540"/>
      <c r="SYO354" s="545"/>
      <c r="SYP354" s="540"/>
      <c r="SYQ354" s="545"/>
      <c r="SYR354" s="540"/>
      <c r="SYS354" s="545"/>
      <c r="SYT354" s="540"/>
      <c r="SYU354" s="545"/>
      <c r="SYV354" s="540"/>
      <c r="SYW354" s="545"/>
      <c r="SYX354" s="540"/>
      <c r="SYY354" s="545"/>
      <c r="SYZ354" s="540"/>
      <c r="SZA354" s="545"/>
      <c r="SZB354" s="540"/>
      <c r="SZC354" s="545"/>
      <c r="SZD354" s="540"/>
      <c r="SZE354" s="545"/>
      <c r="SZF354" s="540"/>
      <c r="SZG354" s="545"/>
      <c r="SZH354" s="540"/>
      <c r="SZI354" s="545"/>
      <c r="SZJ354" s="540"/>
      <c r="SZK354" s="545"/>
      <c r="SZL354" s="540"/>
      <c r="SZM354" s="545"/>
      <c r="SZN354" s="540"/>
      <c r="SZO354" s="545"/>
      <c r="SZP354" s="540"/>
      <c r="SZQ354" s="545"/>
      <c r="SZR354" s="540"/>
      <c r="SZS354" s="545"/>
      <c r="SZT354" s="540"/>
      <c r="SZU354" s="545"/>
      <c r="SZV354" s="540"/>
      <c r="SZW354" s="545"/>
      <c r="SZX354" s="540"/>
      <c r="SZY354" s="545"/>
      <c r="SZZ354" s="540"/>
      <c r="TAA354" s="545"/>
      <c r="TAB354" s="540"/>
      <c r="TAC354" s="545"/>
      <c r="TAD354" s="540"/>
      <c r="TAE354" s="545"/>
      <c r="TAF354" s="540"/>
      <c r="TAG354" s="545"/>
      <c r="TAH354" s="540"/>
      <c r="TAI354" s="545"/>
      <c r="TAJ354" s="540"/>
      <c r="TAK354" s="545"/>
      <c r="TAL354" s="540"/>
      <c r="TAM354" s="545"/>
      <c r="TAN354" s="540"/>
      <c r="TAO354" s="545"/>
      <c r="TAP354" s="540"/>
      <c r="TAQ354" s="545"/>
      <c r="TAR354" s="540"/>
      <c r="TAS354" s="545"/>
      <c r="TAT354" s="540"/>
      <c r="TAU354" s="545"/>
      <c r="TAV354" s="540"/>
      <c r="TAW354" s="545"/>
      <c r="TAX354" s="540"/>
      <c r="TAY354" s="545"/>
      <c r="TAZ354" s="540"/>
      <c r="TBA354" s="545"/>
      <c r="TBB354" s="540"/>
      <c r="TBC354" s="545"/>
      <c r="TBD354" s="540"/>
      <c r="TBE354" s="545"/>
      <c r="TBF354" s="540"/>
      <c r="TBG354" s="545"/>
      <c r="TBH354" s="540"/>
      <c r="TBI354" s="545"/>
      <c r="TBJ354" s="540"/>
      <c r="TBK354" s="545"/>
      <c r="TBL354" s="540"/>
      <c r="TBM354" s="545"/>
      <c r="TBN354" s="540"/>
      <c r="TBO354" s="545"/>
      <c r="TBP354" s="540"/>
      <c r="TBQ354" s="545"/>
      <c r="TBR354" s="540"/>
      <c r="TBS354" s="545"/>
      <c r="TBT354" s="540"/>
      <c r="TBU354" s="545"/>
      <c r="TBV354" s="540"/>
      <c r="TBW354" s="545"/>
      <c r="TBX354" s="540"/>
      <c r="TBY354" s="545"/>
      <c r="TBZ354" s="540"/>
      <c r="TCA354" s="545"/>
      <c r="TCB354" s="540"/>
      <c r="TCC354" s="545"/>
      <c r="TCD354" s="540"/>
      <c r="TCE354" s="545"/>
      <c r="TCF354" s="540"/>
      <c r="TCG354" s="545"/>
      <c r="TCH354" s="540"/>
      <c r="TCI354" s="545"/>
      <c r="TCJ354" s="540"/>
      <c r="TCK354" s="545"/>
      <c r="TCL354" s="540"/>
      <c r="TCM354" s="545"/>
      <c r="TCN354" s="540"/>
      <c r="TCO354" s="545"/>
      <c r="TCP354" s="540"/>
      <c r="TCQ354" s="545"/>
      <c r="TCR354" s="540"/>
      <c r="TCS354" s="545"/>
      <c r="TCT354" s="540"/>
      <c r="TCU354" s="545"/>
      <c r="TCV354" s="540"/>
      <c r="TCW354" s="545"/>
      <c r="TCX354" s="540"/>
      <c r="TCY354" s="545"/>
      <c r="TCZ354" s="540"/>
      <c r="TDA354" s="545"/>
      <c r="TDB354" s="540"/>
      <c r="TDC354" s="545"/>
      <c r="TDD354" s="540"/>
      <c r="TDE354" s="545"/>
      <c r="TDF354" s="540"/>
      <c r="TDG354" s="545"/>
      <c r="TDH354" s="540"/>
      <c r="TDI354" s="545"/>
      <c r="TDJ354" s="540"/>
      <c r="TDK354" s="545"/>
      <c r="TDL354" s="540"/>
      <c r="TDM354" s="545"/>
      <c r="TDN354" s="540"/>
      <c r="TDO354" s="545"/>
      <c r="TDP354" s="540"/>
      <c r="TDQ354" s="545"/>
      <c r="TDR354" s="540"/>
      <c r="TDS354" s="545"/>
      <c r="TDT354" s="540"/>
      <c r="TDU354" s="545"/>
      <c r="TDV354" s="540"/>
      <c r="TDW354" s="545"/>
      <c r="TDX354" s="540"/>
      <c r="TDY354" s="545"/>
      <c r="TDZ354" s="540"/>
      <c r="TEA354" s="545"/>
      <c r="TEB354" s="540"/>
      <c r="TEC354" s="545"/>
      <c r="TED354" s="540"/>
      <c r="TEE354" s="545"/>
      <c r="TEF354" s="540"/>
      <c r="TEG354" s="545"/>
      <c r="TEH354" s="540"/>
      <c r="TEI354" s="545"/>
      <c r="TEJ354" s="540"/>
      <c r="TEK354" s="545"/>
      <c r="TEL354" s="540"/>
      <c r="TEM354" s="545"/>
      <c r="TEN354" s="540"/>
      <c r="TEO354" s="545"/>
      <c r="TEP354" s="540"/>
      <c r="TEQ354" s="545"/>
      <c r="TER354" s="540"/>
      <c r="TES354" s="545"/>
      <c r="TET354" s="540"/>
      <c r="TEU354" s="545"/>
      <c r="TEV354" s="540"/>
      <c r="TEW354" s="545"/>
      <c r="TEX354" s="540"/>
      <c r="TEY354" s="545"/>
      <c r="TEZ354" s="540"/>
      <c r="TFA354" s="545"/>
      <c r="TFB354" s="540"/>
      <c r="TFC354" s="545"/>
      <c r="TFD354" s="540"/>
      <c r="TFE354" s="545"/>
      <c r="TFF354" s="540"/>
      <c r="TFG354" s="545"/>
      <c r="TFH354" s="540"/>
      <c r="TFI354" s="545"/>
      <c r="TFJ354" s="540"/>
      <c r="TFK354" s="545"/>
      <c r="TFL354" s="540"/>
      <c r="TFM354" s="545"/>
      <c r="TFN354" s="540"/>
      <c r="TFO354" s="545"/>
      <c r="TFP354" s="540"/>
      <c r="TFQ354" s="545"/>
      <c r="TFR354" s="540"/>
      <c r="TFS354" s="545"/>
      <c r="TFT354" s="540"/>
      <c r="TFU354" s="545"/>
      <c r="TFV354" s="540"/>
      <c r="TFW354" s="545"/>
      <c r="TFX354" s="540"/>
      <c r="TFY354" s="545"/>
      <c r="TFZ354" s="540"/>
      <c r="TGA354" s="545"/>
      <c r="TGB354" s="540"/>
      <c r="TGC354" s="545"/>
      <c r="TGD354" s="540"/>
      <c r="TGE354" s="545"/>
      <c r="TGF354" s="540"/>
      <c r="TGG354" s="545"/>
      <c r="TGH354" s="540"/>
      <c r="TGI354" s="545"/>
      <c r="TGJ354" s="540"/>
      <c r="TGK354" s="545"/>
      <c r="TGL354" s="540"/>
      <c r="TGM354" s="545"/>
      <c r="TGN354" s="540"/>
      <c r="TGO354" s="545"/>
      <c r="TGP354" s="540"/>
      <c r="TGQ354" s="545"/>
      <c r="TGR354" s="540"/>
      <c r="TGS354" s="545"/>
      <c r="TGT354" s="540"/>
      <c r="TGU354" s="545"/>
      <c r="TGV354" s="540"/>
      <c r="TGW354" s="545"/>
      <c r="TGX354" s="540"/>
      <c r="TGY354" s="545"/>
      <c r="TGZ354" s="540"/>
      <c r="THA354" s="545"/>
      <c r="THB354" s="540"/>
      <c r="THC354" s="545"/>
      <c r="THD354" s="540"/>
      <c r="THE354" s="545"/>
      <c r="THF354" s="540"/>
      <c r="THG354" s="545"/>
      <c r="THH354" s="540"/>
      <c r="THI354" s="545"/>
      <c r="THJ354" s="540"/>
      <c r="THK354" s="545"/>
      <c r="THL354" s="540"/>
      <c r="THM354" s="545"/>
      <c r="THN354" s="540"/>
      <c r="THO354" s="545"/>
      <c r="THP354" s="540"/>
      <c r="THQ354" s="545"/>
      <c r="THR354" s="540"/>
      <c r="THS354" s="545"/>
      <c r="THT354" s="540"/>
      <c r="THU354" s="545"/>
      <c r="THV354" s="540"/>
      <c r="THW354" s="545"/>
      <c r="THX354" s="540"/>
      <c r="THY354" s="545"/>
      <c r="THZ354" s="540"/>
      <c r="TIA354" s="545"/>
      <c r="TIB354" s="540"/>
      <c r="TIC354" s="545"/>
      <c r="TID354" s="540"/>
      <c r="TIE354" s="545"/>
      <c r="TIF354" s="540"/>
      <c r="TIG354" s="545"/>
      <c r="TIH354" s="540"/>
      <c r="TII354" s="545"/>
      <c r="TIJ354" s="540"/>
      <c r="TIK354" s="545"/>
      <c r="TIL354" s="540"/>
      <c r="TIM354" s="545"/>
      <c r="TIN354" s="540"/>
      <c r="TIO354" s="545"/>
      <c r="TIP354" s="540"/>
      <c r="TIQ354" s="545"/>
      <c r="TIR354" s="540"/>
      <c r="TIS354" s="545"/>
      <c r="TIT354" s="540"/>
      <c r="TIU354" s="545"/>
      <c r="TIV354" s="540"/>
      <c r="TIW354" s="545"/>
      <c r="TIX354" s="540"/>
      <c r="TIY354" s="545"/>
      <c r="TIZ354" s="540"/>
      <c r="TJA354" s="545"/>
      <c r="TJB354" s="540"/>
      <c r="TJC354" s="545"/>
      <c r="TJD354" s="540"/>
      <c r="TJE354" s="545"/>
      <c r="TJF354" s="540"/>
      <c r="TJG354" s="545"/>
      <c r="TJH354" s="540"/>
      <c r="TJI354" s="545"/>
      <c r="TJJ354" s="540"/>
      <c r="TJK354" s="545"/>
      <c r="TJL354" s="540"/>
      <c r="TJM354" s="545"/>
      <c r="TJN354" s="540"/>
      <c r="TJO354" s="545"/>
      <c r="TJP354" s="540"/>
      <c r="TJQ354" s="545"/>
      <c r="TJR354" s="540"/>
      <c r="TJS354" s="545"/>
      <c r="TJT354" s="540"/>
      <c r="TJU354" s="545"/>
      <c r="TJV354" s="540"/>
      <c r="TJW354" s="545"/>
      <c r="TJX354" s="540"/>
      <c r="TJY354" s="545"/>
      <c r="TJZ354" s="540"/>
      <c r="TKA354" s="545"/>
      <c r="TKB354" s="540"/>
      <c r="TKC354" s="545"/>
      <c r="TKD354" s="540"/>
      <c r="TKE354" s="545"/>
      <c r="TKF354" s="540"/>
      <c r="TKG354" s="545"/>
      <c r="TKH354" s="540"/>
      <c r="TKI354" s="545"/>
      <c r="TKJ354" s="540"/>
      <c r="TKK354" s="545"/>
      <c r="TKL354" s="540"/>
      <c r="TKM354" s="545"/>
      <c r="TKN354" s="540"/>
      <c r="TKO354" s="545"/>
      <c r="TKP354" s="540"/>
      <c r="TKQ354" s="545"/>
      <c r="TKR354" s="540"/>
      <c r="TKS354" s="545"/>
      <c r="TKT354" s="540"/>
      <c r="TKU354" s="545"/>
      <c r="TKV354" s="540"/>
      <c r="TKW354" s="545"/>
      <c r="TKX354" s="540"/>
      <c r="TKY354" s="545"/>
      <c r="TKZ354" s="540"/>
      <c r="TLA354" s="545"/>
      <c r="TLB354" s="540"/>
      <c r="TLC354" s="545"/>
      <c r="TLD354" s="540"/>
      <c r="TLE354" s="545"/>
      <c r="TLF354" s="540"/>
      <c r="TLG354" s="545"/>
      <c r="TLH354" s="540"/>
      <c r="TLI354" s="545"/>
      <c r="TLJ354" s="540"/>
      <c r="TLK354" s="545"/>
      <c r="TLL354" s="540"/>
      <c r="TLM354" s="545"/>
      <c r="TLN354" s="540"/>
      <c r="TLO354" s="545"/>
      <c r="TLP354" s="540"/>
      <c r="TLQ354" s="545"/>
      <c r="TLR354" s="540"/>
      <c r="TLS354" s="545"/>
      <c r="TLT354" s="540"/>
      <c r="TLU354" s="545"/>
      <c r="TLV354" s="540"/>
      <c r="TLW354" s="545"/>
      <c r="TLX354" s="540"/>
      <c r="TLY354" s="545"/>
      <c r="TLZ354" s="540"/>
      <c r="TMA354" s="545"/>
      <c r="TMB354" s="540"/>
      <c r="TMC354" s="545"/>
      <c r="TMD354" s="540"/>
      <c r="TME354" s="545"/>
      <c r="TMF354" s="540"/>
      <c r="TMG354" s="545"/>
      <c r="TMH354" s="540"/>
      <c r="TMI354" s="545"/>
      <c r="TMJ354" s="540"/>
      <c r="TMK354" s="545"/>
      <c r="TML354" s="540"/>
      <c r="TMM354" s="545"/>
      <c r="TMN354" s="540"/>
      <c r="TMO354" s="545"/>
      <c r="TMP354" s="540"/>
      <c r="TMQ354" s="545"/>
      <c r="TMR354" s="540"/>
      <c r="TMS354" s="545"/>
      <c r="TMT354" s="540"/>
      <c r="TMU354" s="545"/>
      <c r="TMV354" s="540"/>
      <c r="TMW354" s="545"/>
      <c r="TMX354" s="540"/>
      <c r="TMY354" s="545"/>
      <c r="TMZ354" s="540"/>
      <c r="TNA354" s="545"/>
      <c r="TNB354" s="540"/>
      <c r="TNC354" s="545"/>
      <c r="TND354" s="540"/>
      <c r="TNE354" s="545"/>
      <c r="TNF354" s="540"/>
      <c r="TNG354" s="545"/>
      <c r="TNH354" s="540"/>
      <c r="TNI354" s="545"/>
      <c r="TNJ354" s="540"/>
      <c r="TNK354" s="545"/>
      <c r="TNL354" s="540"/>
      <c r="TNM354" s="545"/>
      <c r="TNN354" s="540"/>
      <c r="TNO354" s="545"/>
      <c r="TNP354" s="540"/>
      <c r="TNQ354" s="545"/>
      <c r="TNR354" s="540"/>
      <c r="TNS354" s="545"/>
      <c r="TNT354" s="540"/>
      <c r="TNU354" s="545"/>
      <c r="TNV354" s="540"/>
      <c r="TNW354" s="545"/>
      <c r="TNX354" s="540"/>
      <c r="TNY354" s="545"/>
      <c r="TNZ354" s="540"/>
      <c r="TOA354" s="545"/>
      <c r="TOB354" s="540"/>
      <c r="TOC354" s="545"/>
      <c r="TOD354" s="540"/>
      <c r="TOE354" s="545"/>
      <c r="TOF354" s="540"/>
      <c r="TOG354" s="545"/>
      <c r="TOH354" s="540"/>
      <c r="TOI354" s="545"/>
      <c r="TOJ354" s="540"/>
      <c r="TOK354" s="545"/>
      <c r="TOL354" s="540"/>
      <c r="TOM354" s="545"/>
      <c r="TON354" s="540"/>
      <c r="TOO354" s="545"/>
      <c r="TOP354" s="540"/>
      <c r="TOQ354" s="545"/>
      <c r="TOR354" s="540"/>
      <c r="TOS354" s="545"/>
      <c r="TOT354" s="540"/>
      <c r="TOU354" s="545"/>
      <c r="TOV354" s="540"/>
      <c r="TOW354" s="545"/>
      <c r="TOX354" s="540"/>
      <c r="TOY354" s="545"/>
      <c r="TOZ354" s="540"/>
      <c r="TPA354" s="545"/>
      <c r="TPB354" s="540"/>
      <c r="TPC354" s="545"/>
      <c r="TPD354" s="540"/>
      <c r="TPE354" s="545"/>
      <c r="TPF354" s="540"/>
      <c r="TPG354" s="545"/>
      <c r="TPH354" s="540"/>
      <c r="TPI354" s="545"/>
      <c r="TPJ354" s="540"/>
      <c r="TPK354" s="545"/>
      <c r="TPL354" s="540"/>
      <c r="TPM354" s="545"/>
      <c r="TPN354" s="540"/>
      <c r="TPO354" s="545"/>
      <c r="TPP354" s="540"/>
      <c r="TPQ354" s="545"/>
      <c r="TPR354" s="540"/>
      <c r="TPS354" s="545"/>
      <c r="TPT354" s="540"/>
      <c r="TPU354" s="545"/>
      <c r="TPV354" s="540"/>
      <c r="TPW354" s="545"/>
      <c r="TPX354" s="540"/>
      <c r="TPY354" s="545"/>
      <c r="TPZ354" s="540"/>
      <c r="TQA354" s="545"/>
      <c r="TQB354" s="540"/>
      <c r="TQC354" s="545"/>
      <c r="TQD354" s="540"/>
      <c r="TQE354" s="545"/>
      <c r="TQF354" s="540"/>
      <c r="TQG354" s="545"/>
      <c r="TQH354" s="540"/>
      <c r="TQI354" s="545"/>
      <c r="TQJ354" s="540"/>
      <c r="TQK354" s="545"/>
      <c r="TQL354" s="540"/>
      <c r="TQM354" s="545"/>
      <c r="TQN354" s="540"/>
      <c r="TQO354" s="545"/>
      <c r="TQP354" s="540"/>
      <c r="TQQ354" s="545"/>
      <c r="TQR354" s="540"/>
      <c r="TQS354" s="545"/>
      <c r="TQT354" s="540"/>
      <c r="TQU354" s="545"/>
      <c r="TQV354" s="540"/>
      <c r="TQW354" s="545"/>
      <c r="TQX354" s="540"/>
      <c r="TQY354" s="545"/>
      <c r="TQZ354" s="540"/>
      <c r="TRA354" s="545"/>
      <c r="TRB354" s="540"/>
      <c r="TRC354" s="545"/>
      <c r="TRD354" s="540"/>
      <c r="TRE354" s="545"/>
      <c r="TRF354" s="540"/>
      <c r="TRG354" s="545"/>
      <c r="TRH354" s="540"/>
      <c r="TRI354" s="545"/>
      <c r="TRJ354" s="540"/>
      <c r="TRK354" s="545"/>
      <c r="TRL354" s="540"/>
      <c r="TRM354" s="545"/>
      <c r="TRN354" s="540"/>
      <c r="TRO354" s="545"/>
      <c r="TRP354" s="540"/>
      <c r="TRQ354" s="545"/>
      <c r="TRR354" s="540"/>
      <c r="TRS354" s="545"/>
      <c r="TRT354" s="540"/>
      <c r="TRU354" s="545"/>
      <c r="TRV354" s="540"/>
      <c r="TRW354" s="545"/>
      <c r="TRX354" s="540"/>
      <c r="TRY354" s="545"/>
      <c r="TRZ354" s="540"/>
      <c r="TSA354" s="545"/>
      <c r="TSB354" s="540"/>
      <c r="TSC354" s="545"/>
      <c r="TSD354" s="540"/>
      <c r="TSE354" s="545"/>
      <c r="TSF354" s="540"/>
      <c r="TSG354" s="545"/>
      <c r="TSH354" s="540"/>
      <c r="TSI354" s="545"/>
      <c r="TSJ354" s="540"/>
      <c r="TSK354" s="545"/>
      <c r="TSL354" s="540"/>
      <c r="TSM354" s="545"/>
      <c r="TSN354" s="540"/>
      <c r="TSO354" s="545"/>
      <c r="TSP354" s="540"/>
      <c r="TSQ354" s="545"/>
      <c r="TSR354" s="540"/>
      <c r="TSS354" s="545"/>
      <c r="TST354" s="540"/>
      <c r="TSU354" s="545"/>
      <c r="TSV354" s="540"/>
      <c r="TSW354" s="545"/>
      <c r="TSX354" s="540"/>
      <c r="TSY354" s="545"/>
      <c r="TSZ354" s="540"/>
      <c r="TTA354" s="545"/>
      <c r="TTB354" s="540"/>
      <c r="TTC354" s="545"/>
      <c r="TTD354" s="540"/>
      <c r="TTE354" s="545"/>
      <c r="TTF354" s="540"/>
      <c r="TTG354" s="545"/>
      <c r="TTH354" s="540"/>
      <c r="TTI354" s="545"/>
      <c r="TTJ354" s="540"/>
      <c r="TTK354" s="545"/>
      <c r="TTL354" s="540"/>
      <c r="TTM354" s="545"/>
      <c r="TTN354" s="540"/>
      <c r="TTO354" s="545"/>
      <c r="TTP354" s="540"/>
      <c r="TTQ354" s="545"/>
      <c r="TTR354" s="540"/>
      <c r="TTS354" s="545"/>
      <c r="TTT354" s="540"/>
      <c r="TTU354" s="545"/>
      <c r="TTV354" s="540"/>
      <c r="TTW354" s="545"/>
      <c r="TTX354" s="540"/>
      <c r="TTY354" s="545"/>
      <c r="TTZ354" s="540"/>
      <c r="TUA354" s="545"/>
      <c r="TUB354" s="540"/>
      <c r="TUC354" s="545"/>
      <c r="TUD354" s="540"/>
      <c r="TUE354" s="545"/>
      <c r="TUF354" s="540"/>
      <c r="TUG354" s="545"/>
      <c r="TUH354" s="540"/>
      <c r="TUI354" s="545"/>
      <c r="TUJ354" s="540"/>
      <c r="TUK354" s="545"/>
      <c r="TUL354" s="540"/>
      <c r="TUM354" s="545"/>
      <c r="TUN354" s="540"/>
      <c r="TUO354" s="545"/>
      <c r="TUP354" s="540"/>
      <c r="TUQ354" s="545"/>
      <c r="TUR354" s="540"/>
      <c r="TUS354" s="545"/>
      <c r="TUT354" s="540"/>
      <c r="TUU354" s="545"/>
      <c r="TUV354" s="540"/>
      <c r="TUW354" s="545"/>
      <c r="TUX354" s="540"/>
      <c r="TUY354" s="545"/>
      <c r="TUZ354" s="540"/>
      <c r="TVA354" s="545"/>
      <c r="TVB354" s="540"/>
      <c r="TVC354" s="545"/>
      <c r="TVD354" s="540"/>
      <c r="TVE354" s="545"/>
      <c r="TVF354" s="540"/>
      <c r="TVG354" s="545"/>
      <c r="TVH354" s="540"/>
      <c r="TVI354" s="545"/>
      <c r="TVJ354" s="540"/>
      <c r="TVK354" s="545"/>
      <c r="TVL354" s="540"/>
      <c r="TVM354" s="545"/>
      <c r="TVN354" s="540"/>
      <c r="TVO354" s="545"/>
      <c r="TVP354" s="540"/>
      <c r="TVQ354" s="545"/>
      <c r="TVR354" s="540"/>
      <c r="TVS354" s="545"/>
      <c r="TVT354" s="540"/>
      <c r="TVU354" s="545"/>
      <c r="TVV354" s="540"/>
      <c r="TVW354" s="545"/>
      <c r="TVX354" s="540"/>
      <c r="TVY354" s="545"/>
      <c r="TVZ354" s="540"/>
      <c r="TWA354" s="545"/>
      <c r="TWB354" s="540"/>
      <c r="TWC354" s="545"/>
      <c r="TWD354" s="540"/>
      <c r="TWE354" s="545"/>
      <c r="TWF354" s="540"/>
      <c r="TWG354" s="545"/>
      <c r="TWH354" s="540"/>
      <c r="TWI354" s="545"/>
      <c r="TWJ354" s="540"/>
      <c r="TWK354" s="545"/>
      <c r="TWL354" s="540"/>
      <c r="TWM354" s="545"/>
      <c r="TWN354" s="540"/>
      <c r="TWO354" s="545"/>
      <c r="TWP354" s="540"/>
      <c r="TWQ354" s="545"/>
      <c r="TWR354" s="540"/>
      <c r="TWS354" s="545"/>
      <c r="TWT354" s="540"/>
      <c r="TWU354" s="545"/>
      <c r="TWV354" s="540"/>
      <c r="TWW354" s="545"/>
      <c r="TWX354" s="540"/>
      <c r="TWY354" s="545"/>
      <c r="TWZ354" s="540"/>
      <c r="TXA354" s="545"/>
      <c r="TXB354" s="540"/>
      <c r="TXC354" s="545"/>
      <c r="TXD354" s="540"/>
      <c r="TXE354" s="545"/>
      <c r="TXF354" s="540"/>
      <c r="TXG354" s="545"/>
      <c r="TXH354" s="540"/>
      <c r="TXI354" s="545"/>
      <c r="TXJ354" s="540"/>
      <c r="TXK354" s="545"/>
      <c r="TXL354" s="540"/>
      <c r="TXM354" s="545"/>
      <c r="TXN354" s="540"/>
      <c r="TXO354" s="545"/>
      <c r="TXP354" s="540"/>
      <c r="TXQ354" s="545"/>
      <c r="TXR354" s="540"/>
      <c r="TXS354" s="545"/>
      <c r="TXT354" s="540"/>
      <c r="TXU354" s="545"/>
      <c r="TXV354" s="540"/>
      <c r="TXW354" s="545"/>
      <c r="TXX354" s="540"/>
      <c r="TXY354" s="545"/>
      <c r="TXZ354" s="540"/>
      <c r="TYA354" s="545"/>
      <c r="TYB354" s="540"/>
      <c r="TYC354" s="545"/>
      <c r="TYD354" s="540"/>
      <c r="TYE354" s="545"/>
      <c r="TYF354" s="540"/>
      <c r="TYG354" s="545"/>
      <c r="TYH354" s="540"/>
      <c r="TYI354" s="545"/>
      <c r="TYJ354" s="540"/>
      <c r="TYK354" s="545"/>
      <c r="TYL354" s="540"/>
      <c r="TYM354" s="545"/>
      <c r="TYN354" s="540"/>
      <c r="TYO354" s="545"/>
      <c r="TYP354" s="540"/>
      <c r="TYQ354" s="545"/>
      <c r="TYR354" s="540"/>
      <c r="TYS354" s="545"/>
      <c r="TYT354" s="540"/>
      <c r="TYU354" s="545"/>
      <c r="TYV354" s="540"/>
      <c r="TYW354" s="545"/>
      <c r="TYX354" s="540"/>
      <c r="TYY354" s="545"/>
      <c r="TYZ354" s="540"/>
      <c r="TZA354" s="545"/>
      <c r="TZB354" s="540"/>
      <c r="TZC354" s="545"/>
      <c r="TZD354" s="540"/>
      <c r="TZE354" s="545"/>
      <c r="TZF354" s="540"/>
      <c r="TZG354" s="545"/>
      <c r="TZH354" s="540"/>
      <c r="TZI354" s="545"/>
      <c r="TZJ354" s="540"/>
      <c r="TZK354" s="545"/>
      <c r="TZL354" s="540"/>
      <c r="TZM354" s="545"/>
      <c r="TZN354" s="540"/>
      <c r="TZO354" s="545"/>
      <c r="TZP354" s="540"/>
      <c r="TZQ354" s="545"/>
      <c r="TZR354" s="540"/>
      <c r="TZS354" s="545"/>
      <c r="TZT354" s="540"/>
      <c r="TZU354" s="545"/>
      <c r="TZV354" s="540"/>
      <c r="TZW354" s="545"/>
      <c r="TZX354" s="540"/>
      <c r="TZY354" s="545"/>
      <c r="TZZ354" s="540"/>
      <c r="UAA354" s="545"/>
      <c r="UAB354" s="540"/>
      <c r="UAC354" s="545"/>
      <c r="UAD354" s="540"/>
      <c r="UAE354" s="545"/>
      <c r="UAF354" s="540"/>
      <c r="UAG354" s="545"/>
      <c r="UAH354" s="540"/>
      <c r="UAI354" s="545"/>
      <c r="UAJ354" s="540"/>
      <c r="UAK354" s="545"/>
      <c r="UAL354" s="540"/>
      <c r="UAM354" s="545"/>
      <c r="UAN354" s="540"/>
      <c r="UAO354" s="545"/>
      <c r="UAP354" s="540"/>
      <c r="UAQ354" s="545"/>
      <c r="UAR354" s="540"/>
      <c r="UAS354" s="545"/>
      <c r="UAT354" s="540"/>
      <c r="UAU354" s="545"/>
      <c r="UAV354" s="540"/>
      <c r="UAW354" s="545"/>
      <c r="UAX354" s="540"/>
      <c r="UAY354" s="545"/>
      <c r="UAZ354" s="540"/>
      <c r="UBA354" s="545"/>
      <c r="UBB354" s="540"/>
      <c r="UBC354" s="545"/>
      <c r="UBD354" s="540"/>
      <c r="UBE354" s="545"/>
      <c r="UBF354" s="540"/>
      <c r="UBG354" s="545"/>
      <c r="UBH354" s="540"/>
      <c r="UBI354" s="545"/>
      <c r="UBJ354" s="540"/>
      <c r="UBK354" s="545"/>
      <c r="UBL354" s="540"/>
      <c r="UBM354" s="545"/>
      <c r="UBN354" s="540"/>
      <c r="UBO354" s="545"/>
      <c r="UBP354" s="540"/>
      <c r="UBQ354" s="545"/>
      <c r="UBR354" s="540"/>
      <c r="UBS354" s="545"/>
      <c r="UBT354" s="540"/>
      <c r="UBU354" s="545"/>
      <c r="UBV354" s="540"/>
      <c r="UBW354" s="545"/>
      <c r="UBX354" s="540"/>
      <c r="UBY354" s="545"/>
      <c r="UBZ354" s="540"/>
      <c r="UCA354" s="545"/>
      <c r="UCB354" s="540"/>
      <c r="UCC354" s="545"/>
      <c r="UCD354" s="540"/>
      <c r="UCE354" s="545"/>
      <c r="UCF354" s="540"/>
      <c r="UCG354" s="545"/>
      <c r="UCH354" s="540"/>
      <c r="UCI354" s="545"/>
      <c r="UCJ354" s="540"/>
      <c r="UCK354" s="545"/>
      <c r="UCL354" s="540"/>
      <c r="UCM354" s="545"/>
      <c r="UCN354" s="540"/>
      <c r="UCO354" s="545"/>
      <c r="UCP354" s="540"/>
      <c r="UCQ354" s="545"/>
      <c r="UCR354" s="540"/>
      <c r="UCS354" s="545"/>
      <c r="UCT354" s="540"/>
      <c r="UCU354" s="545"/>
      <c r="UCV354" s="540"/>
      <c r="UCW354" s="545"/>
      <c r="UCX354" s="540"/>
      <c r="UCY354" s="545"/>
      <c r="UCZ354" s="540"/>
      <c r="UDA354" s="545"/>
      <c r="UDB354" s="540"/>
      <c r="UDC354" s="545"/>
      <c r="UDD354" s="540"/>
      <c r="UDE354" s="545"/>
      <c r="UDF354" s="540"/>
      <c r="UDG354" s="545"/>
      <c r="UDH354" s="540"/>
      <c r="UDI354" s="545"/>
      <c r="UDJ354" s="540"/>
      <c r="UDK354" s="545"/>
      <c r="UDL354" s="540"/>
      <c r="UDM354" s="545"/>
      <c r="UDN354" s="540"/>
      <c r="UDO354" s="545"/>
      <c r="UDP354" s="540"/>
      <c r="UDQ354" s="545"/>
      <c r="UDR354" s="540"/>
      <c r="UDS354" s="545"/>
      <c r="UDT354" s="540"/>
      <c r="UDU354" s="545"/>
      <c r="UDV354" s="540"/>
      <c r="UDW354" s="545"/>
      <c r="UDX354" s="540"/>
      <c r="UDY354" s="545"/>
      <c r="UDZ354" s="540"/>
      <c r="UEA354" s="545"/>
      <c r="UEB354" s="540"/>
      <c r="UEC354" s="545"/>
      <c r="UED354" s="540"/>
      <c r="UEE354" s="545"/>
      <c r="UEF354" s="540"/>
      <c r="UEG354" s="545"/>
      <c r="UEH354" s="540"/>
      <c r="UEI354" s="545"/>
      <c r="UEJ354" s="540"/>
      <c r="UEK354" s="545"/>
      <c r="UEL354" s="540"/>
      <c r="UEM354" s="545"/>
      <c r="UEN354" s="540"/>
      <c r="UEO354" s="545"/>
      <c r="UEP354" s="540"/>
      <c r="UEQ354" s="545"/>
      <c r="UER354" s="540"/>
      <c r="UES354" s="545"/>
      <c r="UET354" s="540"/>
      <c r="UEU354" s="545"/>
      <c r="UEV354" s="540"/>
      <c r="UEW354" s="545"/>
      <c r="UEX354" s="540"/>
      <c r="UEY354" s="545"/>
      <c r="UEZ354" s="540"/>
      <c r="UFA354" s="545"/>
      <c r="UFB354" s="540"/>
      <c r="UFC354" s="545"/>
      <c r="UFD354" s="540"/>
      <c r="UFE354" s="545"/>
      <c r="UFF354" s="540"/>
      <c r="UFG354" s="545"/>
      <c r="UFH354" s="540"/>
      <c r="UFI354" s="545"/>
      <c r="UFJ354" s="540"/>
      <c r="UFK354" s="545"/>
      <c r="UFL354" s="540"/>
      <c r="UFM354" s="545"/>
      <c r="UFN354" s="540"/>
      <c r="UFO354" s="545"/>
      <c r="UFP354" s="540"/>
      <c r="UFQ354" s="545"/>
      <c r="UFR354" s="540"/>
      <c r="UFS354" s="545"/>
      <c r="UFT354" s="540"/>
      <c r="UFU354" s="545"/>
      <c r="UFV354" s="540"/>
      <c r="UFW354" s="545"/>
      <c r="UFX354" s="540"/>
      <c r="UFY354" s="545"/>
      <c r="UFZ354" s="540"/>
      <c r="UGA354" s="545"/>
      <c r="UGB354" s="540"/>
      <c r="UGC354" s="545"/>
      <c r="UGD354" s="540"/>
      <c r="UGE354" s="545"/>
      <c r="UGF354" s="540"/>
      <c r="UGG354" s="545"/>
      <c r="UGH354" s="540"/>
      <c r="UGI354" s="545"/>
      <c r="UGJ354" s="540"/>
      <c r="UGK354" s="545"/>
      <c r="UGL354" s="540"/>
      <c r="UGM354" s="545"/>
      <c r="UGN354" s="540"/>
      <c r="UGO354" s="545"/>
      <c r="UGP354" s="540"/>
      <c r="UGQ354" s="545"/>
      <c r="UGR354" s="540"/>
      <c r="UGS354" s="545"/>
      <c r="UGT354" s="540"/>
      <c r="UGU354" s="545"/>
      <c r="UGV354" s="540"/>
      <c r="UGW354" s="545"/>
      <c r="UGX354" s="540"/>
      <c r="UGY354" s="545"/>
      <c r="UGZ354" s="540"/>
      <c r="UHA354" s="545"/>
      <c r="UHB354" s="540"/>
      <c r="UHC354" s="545"/>
      <c r="UHD354" s="540"/>
      <c r="UHE354" s="545"/>
      <c r="UHF354" s="540"/>
      <c r="UHG354" s="545"/>
      <c r="UHH354" s="540"/>
      <c r="UHI354" s="545"/>
      <c r="UHJ354" s="540"/>
      <c r="UHK354" s="545"/>
      <c r="UHL354" s="540"/>
      <c r="UHM354" s="545"/>
      <c r="UHN354" s="540"/>
      <c r="UHO354" s="545"/>
      <c r="UHP354" s="540"/>
      <c r="UHQ354" s="545"/>
      <c r="UHR354" s="540"/>
      <c r="UHS354" s="545"/>
      <c r="UHT354" s="540"/>
      <c r="UHU354" s="545"/>
      <c r="UHV354" s="540"/>
      <c r="UHW354" s="545"/>
      <c r="UHX354" s="540"/>
      <c r="UHY354" s="545"/>
      <c r="UHZ354" s="540"/>
      <c r="UIA354" s="545"/>
      <c r="UIB354" s="540"/>
      <c r="UIC354" s="545"/>
      <c r="UID354" s="540"/>
      <c r="UIE354" s="545"/>
      <c r="UIF354" s="540"/>
      <c r="UIG354" s="545"/>
      <c r="UIH354" s="540"/>
      <c r="UII354" s="545"/>
      <c r="UIJ354" s="540"/>
      <c r="UIK354" s="545"/>
      <c r="UIL354" s="540"/>
      <c r="UIM354" s="545"/>
      <c r="UIN354" s="540"/>
      <c r="UIO354" s="545"/>
      <c r="UIP354" s="540"/>
      <c r="UIQ354" s="545"/>
      <c r="UIR354" s="540"/>
      <c r="UIS354" s="545"/>
      <c r="UIT354" s="540"/>
      <c r="UIU354" s="545"/>
      <c r="UIV354" s="540"/>
      <c r="UIW354" s="545"/>
      <c r="UIX354" s="540"/>
      <c r="UIY354" s="545"/>
      <c r="UIZ354" s="540"/>
      <c r="UJA354" s="545"/>
      <c r="UJB354" s="540"/>
      <c r="UJC354" s="545"/>
      <c r="UJD354" s="540"/>
      <c r="UJE354" s="545"/>
      <c r="UJF354" s="540"/>
      <c r="UJG354" s="545"/>
      <c r="UJH354" s="540"/>
      <c r="UJI354" s="545"/>
      <c r="UJJ354" s="540"/>
      <c r="UJK354" s="545"/>
      <c r="UJL354" s="540"/>
      <c r="UJM354" s="545"/>
      <c r="UJN354" s="540"/>
      <c r="UJO354" s="545"/>
      <c r="UJP354" s="540"/>
      <c r="UJQ354" s="545"/>
      <c r="UJR354" s="540"/>
      <c r="UJS354" s="545"/>
      <c r="UJT354" s="540"/>
      <c r="UJU354" s="545"/>
      <c r="UJV354" s="540"/>
      <c r="UJW354" s="545"/>
      <c r="UJX354" s="540"/>
      <c r="UJY354" s="545"/>
      <c r="UJZ354" s="540"/>
      <c r="UKA354" s="545"/>
      <c r="UKB354" s="540"/>
      <c r="UKC354" s="545"/>
      <c r="UKD354" s="540"/>
      <c r="UKE354" s="545"/>
      <c r="UKF354" s="540"/>
      <c r="UKG354" s="545"/>
      <c r="UKH354" s="540"/>
      <c r="UKI354" s="545"/>
      <c r="UKJ354" s="540"/>
      <c r="UKK354" s="545"/>
      <c r="UKL354" s="540"/>
      <c r="UKM354" s="545"/>
      <c r="UKN354" s="540"/>
      <c r="UKO354" s="545"/>
      <c r="UKP354" s="540"/>
      <c r="UKQ354" s="545"/>
      <c r="UKR354" s="540"/>
      <c r="UKS354" s="545"/>
      <c r="UKT354" s="540"/>
      <c r="UKU354" s="545"/>
      <c r="UKV354" s="540"/>
      <c r="UKW354" s="545"/>
      <c r="UKX354" s="540"/>
      <c r="UKY354" s="545"/>
      <c r="UKZ354" s="540"/>
      <c r="ULA354" s="545"/>
      <c r="ULB354" s="540"/>
      <c r="ULC354" s="545"/>
      <c r="ULD354" s="540"/>
      <c r="ULE354" s="545"/>
      <c r="ULF354" s="540"/>
      <c r="ULG354" s="545"/>
      <c r="ULH354" s="540"/>
      <c r="ULI354" s="545"/>
      <c r="ULJ354" s="540"/>
      <c r="ULK354" s="545"/>
      <c r="ULL354" s="540"/>
      <c r="ULM354" s="545"/>
      <c r="ULN354" s="540"/>
      <c r="ULO354" s="545"/>
      <c r="ULP354" s="540"/>
      <c r="ULQ354" s="545"/>
      <c r="ULR354" s="540"/>
      <c r="ULS354" s="545"/>
      <c r="ULT354" s="540"/>
      <c r="ULU354" s="545"/>
      <c r="ULV354" s="540"/>
      <c r="ULW354" s="545"/>
      <c r="ULX354" s="540"/>
      <c r="ULY354" s="545"/>
      <c r="ULZ354" s="540"/>
      <c r="UMA354" s="545"/>
      <c r="UMB354" s="540"/>
      <c r="UMC354" s="545"/>
      <c r="UMD354" s="540"/>
      <c r="UME354" s="545"/>
      <c r="UMF354" s="540"/>
      <c r="UMG354" s="545"/>
      <c r="UMH354" s="540"/>
      <c r="UMI354" s="545"/>
      <c r="UMJ354" s="540"/>
      <c r="UMK354" s="545"/>
      <c r="UML354" s="540"/>
      <c r="UMM354" s="545"/>
      <c r="UMN354" s="540"/>
      <c r="UMO354" s="545"/>
      <c r="UMP354" s="540"/>
      <c r="UMQ354" s="545"/>
      <c r="UMR354" s="540"/>
      <c r="UMS354" s="545"/>
      <c r="UMT354" s="540"/>
      <c r="UMU354" s="545"/>
      <c r="UMV354" s="540"/>
      <c r="UMW354" s="545"/>
      <c r="UMX354" s="540"/>
      <c r="UMY354" s="545"/>
      <c r="UMZ354" s="540"/>
      <c r="UNA354" s="545"/>
      <c r="UNB354" s="540"/>
      <c r="UNC354" s="545"/>
      <c r="UND354" s="540"/>
      <c r="UNE354" s="545"/>
      <c r="UNF354" s="540"/>
      <c r="UNG354" s="545"/>
      <c r="UNH354" s="540"/>
      <c r="UNI354" s="545"/>
      <c r="UNJ354" s="540"/>
      <c r="UNK354" s="545"/>
      <c r="UNL354" s="540"/>
      <c r="UNM354" s="545"/>
      <c r="UNN354" s="540"/>
      <c r="UNO354" s="545"/>
      <c r="UNP354" s="540"/>
      <c r="UNQ354" s="545"/>
      <c r="UNR354" s="540"/>
      <c r="UNS354" s="545"/>
      <c r="UNT354" s="540"/>
      <c r="UNU354" s="545"/>
      <c r="UNV354" s="540"/>
      <c r="UNW354" s="545"/>
      <c r="UNX354" s="540"/>
      <c r="UNY354" s="545"/>
      <c r="UNZ354" s="540"/>
      <c r="UOA354" s="545"/>
      <c r="UOB354" s="540"/>
      <c r="UOC354" s="545"/>
      <c r="UOD354" s="540"/>
      <c r="UOE354" s="545"/>
      <c r="UOF354" s="540"/>
      <c r="UOG354" s="545"/>
      <c r="UOH354" s="540"/>
      <c r="UOI354" s="545"/>
      <c r="UOJ354" s="540"/>
      <c r="UOK354" s="545"/>
      <c r="UOL354" s="540"/>
      <c r="UOM354" s="545"/>
      <c r="UON354" s="540"/>
      <c r="UOO354" s="545"/>
      <c r="UOP354" s="540"/>
      <c r="UOQ354" s="545"/>
      <c r="UOR354" s="540"/>
      <c r="UOS354" s="545"/>
      <c r="UOT354" s="540"/>
      <c r="UOU354" s="545"/>
      <c r="UOV354" s="540"/>
      <c r="UOW354" s="545"/>
      <c r="UOX354" s="540"/>
      <c r="UOY354" s="545"/>
      <c r="UOZ354" s="540"/>
      <c r="UPA354" s="545"/>
      <c r="UPB354" s="540"/>
      <c r="UPC354" s="545"/>
      <c r="UPD354" s="540"/>
      <c r="UPE354" s="545"/>
      <c r="UPF354" s="540"/>
      <c r="UPG354" s="545"/>
      <c r="UPH354" s="540"/>
      <c r="UPI354" s="545"/>
      <c r="UPJ354" s="540"/>
      <c r="UPK354" s="545"/>
      <c r="UPL354" s="540"/>
      <c r="UPM354" s="545"/>
      <c r="UPN354" s="540"/>
      <c r="UPO354" s="545"/>
      <c r="UPP354" s="540"/>
      <c r="UPQ354" s="545"/>
      <c r="UPR354" s="540"/>
      <c r="UPS354" s="545"/>
      <c r="UPT354" s="540"/>
      <c r="UPU354" s="545"/>
      <c r="UPV354" s="540"/>
      <c r="UPW354" s="545"/>
      <c r="UPX354" s="540"/>
      <c r="UPY354" s="545"/>
      <c r="UPZ354" s="540"/>
      <c r="UQA354" s="545"/>
      <c r="UQB354" s="540"/>
      <c r="UQC354" s="545"/>
      <c r="UQD354" s="540"/>
      <c r="UQE354" s="545"/>
      <c r="UQF354" s="540"/>
      <c r="UQG354" s="545"/>
      <c r="UQH354" s="540"/>
      <c r="UQI354" s="545"/>
      <c r="UQJ354" s="540"/>
      <c r="UQK354" s="545"/>
      <c r="UQL354" s="540"/>
      <c r="UQM354" s="545"/>
      <c r="UQN354" s="540"/>
      <c r="UQO354" s="545"/>
      <c r="UQP354" s="540"/>
      <c r="UQQ354" s="545"/>
      <c r="UQR354" s="540"/>
      <c r="UQS354" s="545"/>
      <c r="UQT354" s="540"/>
      <c r="UQU354" s="545"/>
      <c r="UQV354" s="540"/>
      <c r="UQW354" s="545"/>
      <c r="UQX354" s="540"/>
      <c r="UQY354" s="545"/>
      <c r="UQZ354" s="540"/>
      <c r="URA354" s="545"/>
      <c r="URB354" s="540"/>
      <c r="URC354" s="545"/>
      <c r="URD354" s="540"/>
      <c r="URE354" s="545"/>
      <c r="URF354" s="540"/>
      <c r="URG354" s="545"/>
      <c r="URH354" s="540"/>
      <c r="URI354" s="545"/>
      <c r="URJ354" s="540"/>
      <c r="URK354" s="545"/>
      <c r="URL354" s="540"/>
      <c r="URM354" s="545"/>
      <c r="URN354" s="540"/>
      <c r="URO354" s="545"/>
      <c r="URP354" s="540"/>
      <c r="URQ354" s="545"/>
      <c r="URR354" s="540"/>
      <c r="URS354" s="545"/>
      <c r="URT354" s="540"/>
      <c r="URU354" s="545"/>
      <c r="URV354" s="540"/>
      <c r="URW354" s="545"/>
      <c r="URX354" s="540"/>
      <c r="URY354" s="545"/>
      <c r="URZ354" s="540"/>
      <c r="USA354" s="545"/>
      <c r="USB354" s="540"/>
      <c r="USC354" s="545"/>
      <c r="USD354" s="540"/>
      <c r="USE354" s="545"/>
      <c r="USF354" s="540"/>
      <c r="USG354" s="545"/>
      <c r="USH354" s="540"/>
      <c r="USI354" s="545"/>
      <c r="USJ354" s="540"/>
      <c r="USK354" s="545"/>
      <c r="USL354" s="540"/>
      <c r="USM354" s="545"/>
      <c r="USN354" s="540"/>
      <c r="USO354" s="545"/>
      <c r="USP354" s="540"/>
      <c r="USQ354" s="545"/>
      <c r="USR354" s="540"/>
      <c r="USS354" s="545"/>
      <c r="UST354" s="540"/>
      <c r="USU354" s="545"/>
      <c r="USV354" s="540"/>
      <c r="USW354" s="545"/>
      <c r="USX354" s="540"/>
      <c r="USY354" s="545"/>
      <c r="USZ354" s="540"/>
      <c r="UTA354" s="545"/>
      <c r="UTB354" s="540"/>
      <c r="UTC354" s="545"/>
      <c r="UTD354" s="540"/>
      <c r="UTE354" s="545"/>
      <c r="UTF354" s="540"/>
      <c r="UTG354" s="545"/>
      <c r="UTH354" s="540"/>
      <c r="UTI354" s="545"/>
      <c r="UTJ354" s="540"/>
      <c r="UTK354" s="545"/>
      <c r="UTL354" s="540"/>
      <c r="UTM354" s="545"/>
      <c r="UTN354" s="540"/>
      <c r="UTO354" s="545"/>
      <c r="UTP354" s="540"/>
      <c r="UTQ354" s="545"/>
      <c r="UTR354" s="540"/>
      <c r="UTS354" s="545"/>
      <c r="UTT354" s="540"/>
      <c r="UTU354" s="545"/>
      <c r="UTV354" s="540"/>
      <c r="UTW354" s="545"/>
      <c r="UTX354" s="540"/>
      <c r="UTY354" s="545"/>
      <c r="UTZ354" s="540"/>
      <c r="UUA354" s="545"/>
      <c r="UUB354" s="540"/>
      <c r="UUC354" s="545"/>
      <c r="UUD354" s="540"/>
      <c r="UUE354" s="545"/>
      <c r="UUF354" s="540"/>
      <c r="UUG354" s="545"/>
      <c r="UUH354" s="540"/>
      <c r="UUI354" s="545"/>
      <c r="UUJ354" s="540"/>
      <c r="UUK354" s="545"/>
      <c r="UUL354" s="540"/>
      <c r="UUM354" s="545"/>
      <c r="UUN354" s="540"/>
      <c r="UUO354" s="545"/>
      <c r="UUP354" s="540"/>
      <c r="UUQ354" s="545"/>
      <c r="UUR354" s="540"/>
      <c r="UUS354" s="545"/>
      <c r="UUT354" s="540"/>
      <c r="UUU354" s="545"/>
      <c r="UUV354" s="540"/>
      <c r="UUW354" s="545"/>
      <c r="UUX354" s="540"/>
      <c r="UUY354" s="545"/>
      <c r="UUZ354" s="540"/>
      <c r="UVA354" s="545"/>
      <c r="UVB354" s="540"/>
      <c r="UVC354" s="545"/>
      <c r="UVD354" s="540"/>
      <c r="UVE354" s="545"/>
      <c r="UVF354" s="540"/>
      <c r="UVG354" s="545"/>
      <c r="UVH354" s="540"/>
      <c r="UVI354" s="545"/>
      <c r="UVJ354" s="540"/>
      <c r="UVK354" s="545"/>
      <c r="UVL354" s="540"/>
      <c r="UVM354" s="545"/>
      <c r="UVN354" s="540"/>
      <c r="UVO354" s="545"/>
      <c r="UVP354" s="540"/>
      <c r="UVQ354" s="545"/>
      <c r="UVR354" s="540"/>
      <c r="UVS354" s="545"/>
      <c r="UVT354" s="540"/>
      <c r="UVU354" s="545"/>
      <c r="UVV354" s="540"/>
      <c r="UVW354" s="545"/>
      <c r="UVX354" s="540"/>
      <c r="UVY354" s="545"/>
      <c r="UVZ354" s="540"/>
      <c r="UWA354" s="545"/>
      <c r="UWB354" s="540"/>
      <c r="UWC354" s="545"/>
      <c r="UWD354" s="540"/>
      <c r="UWE354" s="545"/>
      <c r="UWF354" s="540"/>
      <c r="UWG354" s="545"/>
      <c r="UWH354" s="540"/>
      <c r="UWI354" s="545"/>
      <c r="UWJ354" s="540"/>
      <c r="UWK354" s="545"/>
      <c r="UWL354" s="540"/>
      <c r="UWM354" s="545"/>
      <c r="UWN354" s="540"/>
      <c r="UWO354" s="545"/>
      <c r="UWP354" s="540"/>
      <c r="UWQ354" s="545"/>
      <c r="UWR354" s="540"/>
      <c r="UWS354" s="545"/>
      <c r="UWT354" s="540"/>
      <c r="UWU354" s="545"/>
      <c r="UWV354" s="540"/>
      <c r="UWW354" s="545"/>
      <c r="UWX354" s="540"/>
      <c r="UWY354" s="545"/>
      <c r="UWZ354" s="540"/>
      <c r="UXA354" s="545"/>
      <c r="UXB354" s="540"/>
      <c r="UXC354" s="545"/>
      <c r="UXD354" s="540"/>
      <c r="UXE354" s="545"/>
      <c r="UXF354" s="540"/>
      <c r="UXG354" s="545"/>
      <c r="UXH354" s="540"/>
      <c r="UXI354" s="545"/>
      <c r="UXJ354" s="540"/>
      <c r="UXK354" s="545"/>
      <c r="UXL354" s="540"/>
      <c r="UXM354" s="545"/>
      <c r="UXN354" s="540"/>
      <c r="UXO354" s="545"/>
      <c r="UXP354" s="540"/>
      <c r="UXQ354" s="545"/>
      <c r="UXR354" s="540"/>
      <c r="UXS354" s="545"/>
      <c r="UXT354" s="540"/>
      <c r="UXU354" s="545"/>
      <c r="UXV354" s="540"/>
      <c r="UXW354" s="545"/>
      <c r="UXX354" s="540"/>
      <c r="UXY354" s="545"/>
      <c r="UXZ354" s="540"/>
      <c r="UYA354" s="545"/>
      <c r="UYB354" s="540"/>
      <c r="UYC354" s="545"/>
      <c r="UYD354" s="540"/>
      <c r="UYE354" s="545"/>
      <c r="UYF354" s="540"/>
      <c r="UYG354" s="545"/>
      <c r="UYH354" s="540"/>
      <c r="UYI354" s="545"/>
      <c r="UYJ354" s="540"/>
      <c r="UYK354" s="545"/>
      <c r="UYL354" s="540"/>
      <c r="UYM354" s="545"/>
      <c r="UYN354" s="540"/>
      <c r="UYO354" s="545"/>
      <c r="UYP354" s="540"/>
      <c r="UYQ354" s="545"/>
      <c r="UYR354" s="540"/>
      <c r="UYS354" s="545"/>
      <c r="UYT354" s="540"/>
      <c r="UYU354" s="545"/>
      <c r="UYV354" s="540"/>
      <c r="UYW354" s="545"/>
      <c r="UYX354" s="540"/>
      <c r="UYY354" s="545"/>
      <c r="UYZ354" s="540"/>
      <c r="UZA354" s="545"/>
      <c r="UZB354" s="540"/>
      <c r="UZC354" s="545"/>
      <c r="UZD354" s="540"/>
      <c r="UZE354" s="545"/>
      <c r="UZF354" s="540"/>
      <c r="UZG354" s="545"/>
      <c r="UZH354" s="540"/>
      <c r="UZI354" s="545"/>
      <c r="UZJ354" s="540"/>
      <c r="UZK354" s="545"/>
      <c r="UZL354" s="540"/>
      <c r="UZM354" s="545"/>
      <c r="UZN354" s="540"/>
      <c r="UZO354" s="545"/>
      <c r="UZP354" s="540"/>
      <c r="UZQ354" s="545"/>
      <c r="UZR354" s="540"/>
      <c r="UZS354" s="545"/>
      <c r="UZT354" s="540"/>
      <c r="UZU354" s="545"/>
      <c r="UZV354" s="540"/>
      <c r="UZW354" s="545"/>
      <c r="UZX354" s="540"/>
      <c r="UZY354" s="545"/>
      <c r="UZZ354" s="540"/>
      <c r="VAA354" s="545"/>
      <c r="VAB354" s="540"/>
      <c r="VAC354" s="545"/>
      <c r="VAD354" s="540"/>
      <c r="VAE354" s="545"/>
      <c r="VAF354" s="540"/>
      <c r="VAG354" s="545"/>
      <c r="VAH354" s="540"/>
      <c r="VAI354" s="545"/>
      <c r="VAJ354" s="540"/>
      <c r="VAK354" s="545"/>
      <c r="VAL354" s="540"/>
      <c r="VAM354" s="545"/>
      <c r="VAN354" s="540"/>
      <c r="VAO354" s="545"/>
      <c r="VAP354" s="540"/>
      <c r="VAQ354" s="545"/>
      <c r="VAR354" s="540"/>
      <c r="VAS354" s="545"/>
      <c r="VAT354" s="540"/>
      <c r="VAU354" s="545"/>
      <c r="VAV354" s="540"/>
      <c r="VAW354" s="545"/>
      <c r="VAX354" s="540"/>
      <c r="VAY354" s="545"/>
      <c r="VAZ354" s="540"/>
      <c r="VBA354" s="545"/>
      <c r="VBB354" s="540"/>
      <c r="VBC354" s="545"/>
      <c r="VBD354" s="540"/>
      <c r="VBE354" s="545"/>
      <c r="VBF354" s="540"/>
      <c r="VBG354" s="545"/>
      <c r="VBH354" s="540"/>
      <c r="VBI354" s="545"/>
      <c r="VBJ354" s="540"/>
      <c r="VBK354" s="545"/>
      <c r="VBL354" s="540"/>
      <c r="VBM354" s="545"/>
      <c r="VBN354" s="540"/>
      <c r="VBO354" s="545"/>
      <c r="VBP354" s="540"/>
      <c r="VBQ354" s="545"/>
      <c r="VBR354" s="540"/>
      <c r="VBS354" s="545"/>
      <c r="VBT354" s="540"/>
      <c r="VBU354" s="545"/>
      <c r="VBV354" s="540"/>
      <c r="VBW354" s="545"/>
      <c r="VBX354" s="540"/>
      <c r="VBY354" s="545"/>
      <c r="VBZ354" s="540"/>
      <c r="VCA354" s="545"/>
      <c r="VCB354" s="540"/>
      <c r="VCC354" s="545"/>
      <c r="VCD354" s="540"/>
      <c r="VCE354" s="545"/>
      <c r="VCF354" s="540"/>
      <c r="VCG354" s="545"/>
      <c r="VCH354" s="540"/>
      <c r="VCI354" s="545"/>
      <c r="VCJ354" s="540"/>
      <c r="VCK354" s="545"/>
      <c r="VCL354" s="540"/>
      <c r="VCM354" s="545"/>
      <c r="VCN354" s="540"/>
      <c r="VCO354" s="545"/>
      <c r="VCP354" s="540"/>
      <c r="VCQ354" s="545"/>
      <c r="VCR354" s="540"/>
      <c r="VCS354" s="545"/>
      <c r="VCT354" s="540"/>
      <c r="VCU354" s="545"/>
      <c r="VCV354" s="540"/>
      <c r="VCW354" s="545"/>
      <c r="VCX354" s="540"/>
      <c r="VCY354" s="545"/>
      <c r="VCZ354" s="540"/>
      <c r="VDA354" s="545"/>
      <c r="VDB354" s="540"/>
      <c r="VDC354" s="545"/>
      <c r="VDD354" s="540"/>
      <c r="VDE354" s="545"/>
      <c r="VDF354" s="540"/>
      <c r="VDG354" s="545"/>
      <c r="VDH354" s="540"/>
      <c r="VDI354" s="545"/>
      <c r="VDJ354" s="540"/>
      <c r="VDK354" s="545"/>
      <c r="VDL354" s="540"/>
      <c r="VDM354" s="545"/>
      <c r="VDN354" s="540"/>
      <c r="VDO354" s="545"/>
      <c r="VDP354" s="540"/>
      <c r="VDQ354" s="545"/>
      <c r="VDR354" s="540"/>
      <c r="VDS354" s="545"/>
      <c r="VDT354" s="540"/>
      <c r="VDU354" s="545"/>
      <c r="VDV354" s="540"/>
      <c r="VDW354" s="545"/>
      <c r="VDX354" s="540"/>
      <c r="VDY354" s="545"/>
      <c r="VDZ354" s="540"/>
      <c r="VEA354" s="545"/>
      <c r="VEB354" s="540"/>
      <c r="VEC354" s="545"/>
      <c r="VED354" s="540"/>
      <c r="VEE354" s="545"/>
      <c r="VEF354" s="540"/>
      <c r="VEG354" s="545"/>
      <c r="VEH354" s="540"/>
      <c r="VEI354" s="545"/>
      <c r="VEJ354" s="540"/>
      <c r="VEK354" s="545"/>
      <c r="VEL354" s="540"/>
      <c r="VEM354" s="545"/>
      <c r="VEN354" s="540"/>
      <c r="VEO354" s="545"/>
      <c r="VEP354" s="540"/>
      <c r="VEQ354" s="545"/>
      <c r="VER354" s="540"/>
      <c r="VES354" s="545"/>
      <c r="VET354" s="540"/>
      <c r="VEU354" s="545"/>
      <c r="VEV354" s="540"/>
      <c r="VEW354" s="545"/>
      <c r="VEX354" s="540"/>
      <c r="VEY354" s="545"/>
      <c r="VEZ354" s="540"/>
      <c r="VFA354" s="545"/>
      <c r="VFB354" s="540"/>
      <c r="VFC354" s="545"/>
      <c r="VFD354" s="540"/>
      <c r="VFE354" s="545"/>
      <c r="VFF354" s="540"/>
      <c r="VFG354" s="545"/>
      <c r="VFH354" s="540"/>
      <c r="VFI354" s="545"/>
      <c r="VFJ354" s="540"/>
      <c r="VFK354" s="545"/>
      <c r="VFL354" s="540"/>
      <c r="VFM354" s="545"/>
      <c r="VFN354" s="540"/>
      <c r="VFO354" s="545"/>
      <c r="VFP354" s="540"/>
      <c r="VFQ354" s="545"/>
      <c r="VFR354" s="540"/>
      <c r="VFS354" s="545"/>
      <c r="VFT354" s="540"/>
      <c r="VFU354" s="545"/>
      <c r="VFV354" s="540"/>
      <c r="VFW354" s="545"/>
      <c r="VFX354" s="540"/>
      <c r="VFY354" s="545"/>
      <c r="VFZ354" s="540"/>
      <c r="VGA354" s="545"/>
      <c r="VGB354" s="540"/>
      <c r="VGC354" s="545"/>
      <c r="VGD354" s="540"/>
      <c r="VGE354" s="545"/>
      <c r="VGF354" s="540"/>
      <c r="VGG354" s="545"/>
      <c r="VGH354" s="540"/>
      <c r="VGI354" s="545"/>
      <c r="VGJ354" s="540"/>
      <c r="VGK354" s="545"/>
      <c r="VGL354" s="540"/>
      <c r="VGM354" s="545"/>
      <c r="VGN354" s="540"/>
      <c r="VGO354" s="545"/>
      <c r="VGP354" s="540"/>
      <c r="VGQ354" s="545"/>
      <c r="VGR354" s="540"/>
      <c r="VGS354" s="545"/>
      <c r="VGT354" s="540"/>
      <c r="VGU354" s="545"/>
      <c r="VGV354" s="540"/>
      <c r="VGW354" s="545"/>
      <c r="VGX354" s="540"/>
      <c r="VGY354" s="545"/>
      <c r="VGZ354" s="540"/>
      <c r="VHA354" s="545"/>
      <c r="VHB354" s="540"/>
      <c r="VHC354" s="545"/>
      <c r="VHD354" s="540"/>
      <c r="VHE354" s="545"/>
      <c r="VHF354" s="540"/>
      <c r="VHG354" s="545"/>
      <c r="VHH354" s="540"/>
      <c r="VHI354" s="545"/>
      <c r="VHJ354" s="540"/>
      <c r="VHK354" s="545"/>
      <c r="VHL354" s="540"/>
      <c r="VHM354" s="545"/>
      <c r="VHN354" s="540"/>
      <c r="VHO354" s="545"/>
      <c r="VHP354" s="540"/>
      <c r="VHQ354" s="545"/>
      <c r="VHR354" s="540"/>
      <c r="VHS354" s="545"/>
      <c r="VHT354" s="540"/>
      <c r="VHU354" s="545"/>
      <c r="VHV354" s="540"/>
      <c r="VHW354" s="545"/>
      <c r="VHX354" s="540"/>
      <c r="VHY354" s="545"/>
      <c r="VHZ354" s="540"/>
      <c r="VIA354" s="545"/>
      <c r="VIB354" s="540"/>
      <c r="VIC354" s="545"/>
      <c r="VID354" s="540"/>
      <c r="VIE354" s="545"/>
      <c r="VIF354" s="540"/>
      <c r="VIG354" s="545"/>
      <c r="VIH354" s="540"/>
      <c r="VII354" s="545"/>
      <c r="VIJ354" s="540"/>
      <c r="VIK354" s="545"/>
      <c r="VIL354" s="540"/>
      <c r="VIM354" s="545"/>
      <c r="VIN354" s="540"/>
      <c r="VIO354" s="545"/>
      <c r="VIP354" s="540"/>
      <c r="VIQ354" s="545"/>
      <c r="VIR354" s="540"/>
      <c r="VIS354" s="545"/>
      <c r="VIT354" s="540"/>
      <c r="VIU354" s="545"/>
      <c r="VIV354" s="540"/>
      <c r="VIW354" s="545"/>
      <c r="VIX354" s="540"/>
      <c r="VIY354" s="545"/>
      <c r="VIZ354" s="540"/>
      <c r="VJA354" s="545"/>
      <c r="VJB354" s="540"/>
      <c r="VJC354" s="545"/>
      <c r="VJD354" s="540"/>
      <c r="VJE354" s="545"/>
      <c r="VJF354" s="540"/>
      <c r="VJG354" s="545"/>
      <c r="VJH354" s="540"/>
      <c r="VJI354" s="545"/>
      <c r="VJJ354" s="540"/>
      <c r="VJK354" s="545"/>
      <c r="VJL354" s="540"/>
      <c r="VJM354" s="545"/>
      <c r="VJN354" s="540"/>
      <c r="VJO354" s="545"/>
      <c r="VJP354" s="540"/>
      <c r="VJQ354" s="545"/>
      <c r="VJR354" s="540"/>
      <c r="VJS354" s="545"/>
      <c r="VJT354" s="540"/>
      <c r="VJU354" s="545"/>
      <c r="VJV354" s="540"/>
      <c r="VJW354" s="545"/>
      <c r="VJX354" s="540"/>
      <c r="VJY354" s="545"/>
      <c r="VJZ354" s="540"/>
      <c r="VKA354" s="545"/>
      <c r="VKB354" s="540"/>
      <c r="VKC354" s="545"/>
      <c r="VKD354" s="540"/>
      <c r="VKE354" s="545"/>
      <c r="VKF354" s="540"/>
      <c r="VKG354" s="545"/>
      <c r="VKH354" s="540"/>
      <c r="VKI354" s="545"/>
      <c r="VKJ354" s="540"/>
      <c r="VKK354" s="545"/>
      <c r="VKL354" s="540"/>
      <c r="VKM354" s="545"/>
      <c r="VKN354" s="540"/>
      <c r="VKO354" s="545"/>
      <c r="VKP354" s="540"/>
      <c r="VKQ354" s="545"/>
      <c r="VKR354" s="540"/>
      <c r="VKS354" s="545"/>
      <c r="VKT354" s="540"/>
      <c r="VKU354" s="545"/>
      <c r="VKV354" s="540"/>
      <c r="VKW354" s="545"/>
      <c r="VKX354" s="540"/>
      <c r="VKY354" s="545"/>
      <c r="VKZ354" s="540"/>
      <c r="VLA354" s="545"/>
      <c r="VLB354" s="540"/>
      <c r="VLC354" s="545"/>
      <c r="VLD354" s="540"/>
      <c r="VLE354" s="545"/>
      <c r="VLF354" s="540"/>
      <c r="VLG354" s="545"/>
      <c r="VLH354" s="540"/>
      <c r="VLI354" s="545"/>
      <c r="VLJ354" s="540"/>
      <c r="VLK354" s="545"/>
      <c r="VLL354" s="540"/>
      <c r="VLM354" s="545"/>
      <c r="VLN354" s="540"/>
      <c r="VLO354" s="545"/>
      <c r="VLP354" s="540"/>
      <c r="VLQ354" s="545"/>
      <c r="VLR354" s="540"/>
      <c r="VLS354" s="545"/>
      <c r="VLT354" s="540"/>
      <c r="VLU354" s="545"/>
      <c r="VLV354" s="540"/>
      <c r="VLW354" s="545"/>
      <c r="VLX354" s="540"/>
      <c r="VLY354" s="545"/>
      <c r="VLZ354" s="540"/>
      <c r="VMA354" s="545"/>
      <c r="VMB354" s="540"/>
      <c r="VMC354" s="545"/>
      <c r="VMD354" s="540"/>
      <c r="VME354" s="545"/>
      <c r="VMF354" s="540"/>
      <c r="VMG354" s="545"/>
      <c r="VMH354" s="540"/>
      <c r="VMI354" s="545"/>
      <c r="VMJ354" s="540"/>
      <c r="VMK354" s="545"/>
      <c r="VML354" s="540"/>
      <c r="VMM354" s="545"/>
      <c r="VMN354" s="540"/>
      <c r="VMO354" s="545"/>
      <c r="VMP354" s="540"/>
      <c r="VMQ354" s="545"/>
      <c r="VMR354" s="540"/>
      <c r="VMS354" s="545"/>
      <c r="VMT354" s="540"/>
      <c r="VMU354" s="545"/>
      <c r="VMV354" s="540"/>
      <c r="VMW354" s="545"/>
      <c r="VMX354" s="540"/>
      <c r="VMY354" s="545"/>
      <c r="VMZ354" s="540"/>
      <c r="VNA354" s="545"/>
      <c r="VNB354" s="540"/>
      <c r="VNC354" s="545"/>
      <c r="VND354" s="540"/>
      <c r="VNE354" s="545"/>
      <c r="VNF354" s="540"/>
      <c r="VNG354" s="545"/>
      <c r="VNH354" s="540"/>
      <c r="VNI354" s="545"/>
      <c r="VNJ354" s="540"/>
      <c r="VNK354" s="545"/>
      <c r="VNL354" s="540"/>
      <c r="VNM354" s="545"/>
      <c r="VNN354" s="540"/>
      <c r="VNO354" s="545"/>
      <c r="VNP354" s="540"/>
      <c r="VNQ354" s="545"/>
      <c r="VNR354" s="540"/>
      <c r="VNS354" s="545"/>
      <c r="VNT354" s="540"/>
      <c r="VNU354" s="545"/>
      <c r="VNV354" s="540"/>
      <c r="VNW354" s="545"/>
      <c r="VNX354" s="540"/>
      <c r="VNY354" s="545"/>
      <c r="VNZ354" s="540"/>
      <c r="VOA354" s="545"/>
      <c r="VOB354" s="540"/>
      <c r="VOC354" s="545"/>
      <c r="VOD354" s="540"/>
      <c r="VOE354" s="545"/>
      <c r="VOF354" s="540"/>
      <c r="VOG354" s="545"/>
      <c r="VOH354" s="540"/>
      <c r="VOI354" s="545"/>
      <c r="VOJ354" s="540"/>
      <c r="VOK354" s="545"/>
      <c r="VOL354" s="540"/>
      <c r="VOM354" s="545"/>
      <c r="VON354" s="540"/>
      <c r="VOO354" s="545"/>
      <c r="VOP354" s="540"/>
      <c r="VOQ354" s="545"/>
      <c r="VOR354" s="540"/>
      <c r="VOS354" s="545"/>
      <c r="VOT354" s="540"/>
      <c r="VOU354" s="545"/>
      <c r="VOV354" s="540"/>
      <c r="VOW354" s="545"/>
      <c r="VOX354" s="540"/>
      <c r="VOY354" s="545"/>
      <c r="VOZ354" s="540"/>
      <c r="VPA354" s="545"/>
      <c r="VPB354" s="540"/>
      <c r="VPC354" s="545"/>
      <c r="VPD354" s="540"/>
      <c r="VPE354" s="545"/>
      <c r="VPF354" s="540"/>
      <c r="VPG354" s="545"/>
      <c r="VPH354" s="540"/>
      <c r="VPI354" s="545"/>
      <c r="VPJ354" s="540"/>
      <c r="VPK354" s="545"/>
      <c r="VPL354" s="540"/>
      <c r="VPM354" s="545"/>
      <c r="VPN354" s="540"/>
      <c r="VPO354" s="545"/>
      <c r="VPP354" s="540"/>
      <c r="VPQ354" s="545"/>
      <c r="VPR354" s="540"/>
      <c r="VPS354" s="545"/>
      <c r="VPT354" s="540"/>
      <c r="VPU354" s="545"/>
      <c r="VPV354" s="540"/>
      <c r="VPW354" s="545"/>
      <c r="VPX354" s="540"/>
      <c r="VPY354" s="545"/>
      <c r="VPZ354" s="540"/>
      <c r="VQA354" s="545"/>
      <c r="VQB354" s="540"/>
      <c r="VQC354" s="545"/>
      <c r="VQD354" s="540"/>
      <c r="VQE354" s="545"/>
      <c r="VQF354" s="540"/>
      <c r="VQG354" s="545"/>
      <c r="VQH354" s="540"/>
      <c r="VQI354" s="545"/>
      <c r="VQJ354" s="540"/>
      <c r="VQK354" s="545"/>
      <c r="VQL354" s="540"/>
      <c r="VQM354" s="545"/>
      <c r="VQN354" s="540"/>
      <c r="VQO354" s="545"/>
      <c r="VQP354" s="540"/>
      <c r="VQQ354" s="545"/>
      <c r="VQR354" s="540"/>
      <c r="VQS354" s="545"/>
      <c r="VQT354" s="540"/>
      <c r="VQU354" s="545"/>
      <c r="VQV354" s="540"/>
      <c r="VQW354" s="545"/>
      <c r="VQX354" s="540"/>
      <c r="VQY354" s="545"/>
      <c r="VQZ354" s="540"/>
      <c r="VRA354" s="545"/>
      <c r="VRB354" s="540"/>
      <c r="VRC354" s="545"/>
      <c r="VRD354" s="540"/>
      <c r="VRE354" s="545"/>
      <c r="VRF354" s="540"/>
      <c r="VRG354" s="545"/>
      <c r="VRH354" s="540"/>
      <c r="VRI354" s="545"/>
      <c r="VRJ354" s="540"/>
      <c r="VRK354" s="545"/>
      <c r="VRL354" s="540"/>
      <c r="VRM354" s="545"/>
      <c r="VRN354" s="540"/>
      <c r="VRO354" s="545"/>
      <c r="VRP354" s="540"/>
      <c r="VRQ354" s="545"/>
      <c r="VRR354" s="540"/>
      <c r="VRS354" s="545"/>
      <c r="VRT354" s="540"/>
      <c r="VRU354" s="545"/>
      <c r="VRV354" s="540"/>
      <c r="VRW354" s="545"/>
      <c r="VRX354" s="540"/>
      <c r="VRY354" s="545"/>
      <c r="VRZ354" s="540"/>
      <c r="VSA354" s="545"/>
      <c r="VSB354" s="540"/>
      <c r="VSC354" s="545"/>
      <c r="VSD354" s="540"/>
      <c r="VSE354" s="545"/>
      <c r="VSF354" s="540"/>
      <c r="VSG354" s="545"/>
      <c r="VSH354" s="540"/>
      <c r="VSI354" s="545"/>
      <c r="VSJ354" s="540"/>
      <c r="VSK354" s="545"/>
      <c r="VSL354" s="540"/>
      <c r="VSM354" s="545"/>
      <c r="VSN354" s="540"/>
      <c r="VSO354" s="545"/>
      <c r="VSP354" s="540"/>
      <c r="VSQ354" s="545"/>
      <c r="VSR354" s="540"/>
      <c r="VSS354" s="545"/>
      <c r="VST354" s="540"/>
      <c r="VSU354" s="545"/>
      <c r="VSV354" s="540"/>
      <c r="VSW354" s="545"/>
      <c r="VSX354" s="540"/>
      <c r="VSY354" s="545"/>
      <c r="VSZ354" s="540"/>
      <c r="VTA354" s="545"/>
      <c r="VTB354" s="540"/>
      <c r="VTC354" s="545"/>
      <c r="VTD354" s="540"/>
      <c r="VTE354" s="545"/>
      <c r="VTF354" s="540"/>
      <c r="VTG354" s="545"/>
      <c r="VTH354" s="540"/>
      <c r="VTI354" s="545"/>
      <c r="VTJ354" s="540"/>
      <c r="VTK354" s="545"/>
      <c r="VTL354" s="540"/>
      <c r="VTM354" s="545"/>
      <c r="VTN354" s="540"/>
      <c r="VTO354" s="545"/>
      <c r="VTP354" s="540"/>
      <c r="VTQ354" s="545"/>
      <c r="VTR354" s="540"/>
      <c r="VTS354" s="545"/>
      <c r="VTT354" s="540"/>
      <c r="VTU354" s="545"/>
      <c r="VTV354" s="540"/>
      <c r="VTW354" s="545"/>
      <c r="VTX354" s="540"/>
      <c r="VTY354" s="545"/>
      <c r="VTZ354" s="540"/>
      <c r="VUA354" s="545"/>
      <c r="VUB354" s="540"/>
      <c r="VUC354" s="545"/>
      <c r="VUD354" s="540"/>
      <c r="VUE354" s="545"/>
      <c r="VUF354" s="540"/>
      <c r="VUG354" s="545"/>
      <c r="VUH354" s="540"/>
      <c r="VUI354" s="545"/>
      <c r="VUJ354" s="540"/>
      <c r="VUK354" s="545"/>
      <c r="VUL354" s="540"/>
      <c r="VUM354" s="545"/>
      <c r="VUN354" s="540"/>
      <c r="VUO354" s="545"/>
      <c r="VUP354" s="540"/>
      <c r="VUQ354" s="545"/>
      <c r="VUR354" s="540"/>
      <c r="VUS354" s="545"/>
      <c r="VUT354" s="540"/>
      <c r="VUU354" s="545"/>
      <c r="VUV354" s="540"/>
      <c r="VUW354" s="545"/>
      <c r="VUX354" s="540"/>
      <c r="VUY354" s="545"/>
      <c r="VUZ354" s="540"/>
      <c r="VVA354" s="545"/>
      <c r="VVB354" s="540"/>
      <c r="VVC354" s="545"/>
      <c r="VVD354" s="540"/>
      <c r="VVE354" s="545"/>
      <c r="VVF354" s="540"/>
      <c r="VVG354" s="545"/>
      <c r="VVH354" s="540"/>
      <c r="VVI354" s="545"/>
      <c r="VVJ354" s="540"/>
      <c r="VVK354" s="545"/>
      <c r="VVL354" s="540"/>
      <c r="VVM354" s="545"/>
      <c r="VVN354" s="540"/>
      <c r="VVO354" s="545"/>
      <c r="VVP354" s="540"/>
      <c r="VVQ354" s="545"/>
      <c r="VVR354" s="540"/>
      <c r="VVS354" s="545"/>
      <c r="VVT354" s="540"/>
      <c r="VVU354" s="545"/>
      <c r="VVV354" s="540"/>
      <c r="VVW354" s="545"/>
      <c r="VVX354" s="540"/>
      <c r="VVY354" s="545"/>
      <c r="VVZ354" s="540"/>
      <c r="VWA354" s="545"/>
      <c r="VWB354" s="540"/>
      <c r="VWC354" s="545"/>
      <c r="VWD354" s="540"/>
      <c r="VWE354" s="545"/>
      <c r="VWF354" s="540"/>
      <c r="VWG354" s="545"/>
      <c r="VWH354" s="540"/>
      <c r="VWI354" s="545"/>
      <c r="VWJ354" s="540"/>
      <c r="VWK354" s="545"/>
      <c r="VWL354" s="540"/>
      <c r="VWM354" s="545"/>
      <c r="VWN354" s="540"/>
      <c r="VWO354" s="545"/>
      <c r="VWP354" s="540"/>
      <c r="VWQ354" s="545"/>
      <c r="VWR354" s="540"/>
      <c r="VWS354" s="545"/>
      <c r="VWT354" s="540"/>
      <c r="VWU354" s="545"/>
      <c r="VWV354" s="540"/>
      <c r="VWW354" s="545"/>
      <c r="VWX354" s="540"/>
      <c r="VWY354" s="545"/>
      <c r="VWZ354" s="540"/>
      <c r="VXA354" s="545"/>
      <c r="VXB354" s="540"/>
      <c r="VXC354" s="545"/>
      <c r="VXD354" s="540"/>
      <c r="VXE354" s="545"/>
      <c r="VXF354" s="540"/>
      <c r="VXG354" s="545"/>
      <c r="VXH354" s="540"/>
      <c r="VXI354" s="545"/>
      <c r="VXJ354" s="540"/>
      <c r="VXK354" s="545"/>
      <c r="VXL354" s="540"/>
      <c r="VXM354" s="545"/>
      <c r="VXN354" s="540"/>
      <c r="VXO354" s="545"/>
      <c r="VXP354" s="540"/>
      <c r="VXQ354" s="545"/>
      <c r="VXR354" s="540"/>
      <c r="VXS354" s="545"/>
      <c r="VXT354" s="540"/>
      <c r="VXU354" s="545"/>
      <c r="VXV354" s="540"/>
      <c r="VXW354" s="545"/>
      <c r="VXX354" s="540"/>
      <c r="VXY354" s="545"/>
      <c r="VXZ354" s="540"/>
      <c r="VYA354" s="545"/>
      <c r="VYB354" s="540"/>
      <c r="VYC354" s="545"/>
      <c r="VYD354" s="540"/>
      <c r="VYE354" s="545"/>
      <c r="VYF354" s="540"/>
      <c r="VYG354" s="545"/>
      <c r="VYH354" s="540"/>
      <c r="VYI354" s="545"/>
      <c r="VYJ354" s="540"/>
      <c r="VYK354" s="545"/>
      <c r="VYL354" s="540"/>
      <c r="VYM354" s="545"/>
      <c r="VYN354" s="540"/>
      <c r="VYO354" s="545"/>
      <c r="VYP354" s="540"/>
      <c r="VYQ354" s="545"/>
      <c r="VYR354" s="540"/>
      <c r="VYS354" s="545"/>
      <c r="VYT354" s="540"/>
      <c r="VYU354" s="545"/>
      <c r="VYV354" s="540"/>
      <c r="VYW354" s="545"/>
      <c r="VYX354" s="540"/>
      <c r="VYY354" s="545"/>
      <c r="VYZ354" s="540"/>
      <c r="VZA354" s="545"/>
      <c r="VZB354" s="540"/>
      <c r="VZC354" s="545"/>
      <c r="VZD354" s="540"/>
      <c r="VZE354" s="545"/>
      <c r="VZF354" s="540"/>
      <c r="VZG354" s="545"/>
      <c r="VZH354" s="540"/>
      <c r="VZI354" s="545"/>
      <c r="VZJ354" s="540"/>
      <c r="VZK354" s="545"/>
      <c r="VZL354" s="540"/>
      <c r="VZM354" s="545"/>
      <c r="VZN354" s="540"/>
      <c r="VZO354" s="545"/>
      <c r="VZP354" s="540"/>
      <c r="VZQ354" s="545"/>
      <c r="VZR354" s="540"/>
      <c r="VZS354" s="545"/>
      <c r="VZT354" s="540"/>
      <c r="VZU354" s="545"/>
      <c r="VZV354" s="540"/>
      <c r="VZW354" s="545"/>
      <c r="VZX354" s="540"/>
      <c r="VZY354" s="545"/>
      <c r="VZZ354" s="540"/>
      <c r="WAA354" s="545"/>
      <c r="WAB354" s="540"/>
      <c r="WAC354" s="545"/>
      <c r="WAD354" s="540"/>
      <c r="WAE354" s="545"/>
      <c r="WAF354" s="540"/>
      <c r="WAG354" s="545"/>
      <c r="WAH354" s="540"/>
      <c r="WAI354" s="545"/>
      <c r="WAJ354" s="540"/>
      <c r="WAK354" s="545"/>
      <c r="WAL354" s="540"/>
      <c r="WAM354" s="545"/>
      <c r="WAN354" s="540"/>
      <c r="WAO354" s="545"/>
      <c r="WAP354" s="540"/>
      <c r="WAQ354" s="545"/>
      <c r="WAR354" s="540"/>
      <c r="WAS354" s="545"/>
      <c r="WAT354" s="540"/>
      <c r="WAU354" s="545"/>
      <c r="WAV354" s="540"/>
      <c r="WAW354" s="545"/>
      <c r="WAX354" s="540"/>
      <c r="WAY354" s="545"/>
      <c r="WAZ354" s="540"/>
      <c r="WBA354" s="545"/>
      <c r="WBB354" s="540"/>
      <c r="WBC354" s="545"/>
      <c r="WBD354" s="540"/>
      <c r="WBE354" s="545"/>
      <c r="WBF354" s="540"/>
      <c r="WBG354" s="545"/>
      <c r="WBH354" s="540"/>
      <c r="WBI354" s="545"/>
      <c r="WBJ354" s="540"/>
      <c r="WBK354" s="545"/>
      <c r="WBL354" s="540"/>
      <c r="WBM354" s="545"/>
      <c r="WBN354" s="540"/>
      <c r="WBO354" s="545"/>
      <c r="WBP354" s="540"/>
      <c r="WBQ354" s="545"/>
      <c r="WBR354" s="540"/>
      <c r="WBS354" s="545"/>
      <c r="WBT354" s="540"/>
      <c r="WBU354" s="545"/>
      <c r="WBV354" s="540"/>
      <c r="WBW354" s="545"/>
      <c r="WBX354" s="540"/>
      <c r="WBY354" s="545"/>
      <c r="WBZ354" s="540"/>
      <c r="WCA354" s="545"/>
      <c r="WCB354" s="540"/>
      <c r="WCC354" s="545"/>
      <c r="WCD354" s="540"/>
      <c r="WCE354" s="545"/>
      <c r="WCF354" s="540"/>
      <c r="WCG354" s="545"/>
      <c r="WCH354" s="540"/>
      <c r="WCI354" s="545"/>
      <c r="WCJ354" s="540"/>
      <c r="WCK354" s="545"/>
      <c r="WCL354" s="540"/>
      <c r="WCM354" s="545"/>
      <c r="WCN354" s="540"/>
      <c r="WCO354" s="545"/>
      <c r="WCP354" s="540"/>
      <c r="WCQ354" s="545"/>
      <c r="WCR354" s="540"/>
      <c r="WCS354" s="545"/>
      <c r="WCT354" s="540"/>
      <c r="WCU354" s="545"/>
      <c r="WCV354" s="540"/>
      <c r="WCW354" s="545"/>
      <c r="WCX354" s="540"/>
      <c r="WCY354" s="545"/>
      <c r="WCZ354" s="540"/>
      <c r="WDA354" s="545"/>
      <c r="WDB354" s="540"/>
      <c r="WDC354" s="545"/>
      <c r="WDD354" s="540"/>
      <c r="WDE354" s="545"/>
      <c r="WDF354" s="540"/>
      <c r="WDG354" s="545"/>
      <c r="WDH354" s="540"/>
      <c r="WDI354" s="545"/>
      <c r="WDJ354" s="540"/>
      <c r="WDK354" s="545"/>
      <c r="WDL354" s="540"/>
      <c r="WDM354" s="545"/>
      <c r="WDN354" s="540"/>
      <c r="WDO354" s="545"/>
      <c r="WDP354" s="540"/>
      <c r="WDQ354" s="545"/>
      <c r="WDR354" s="540"/>
      <c r="WDS354" s="545"/>
      <c r="WDT354" s="540"/>
      <c r="WDU354" s="545"/>
      <c r="WDV354" s="540"/>
      <c r="WDW354" s="545"/>
      <c r="WDX354" s="540"/>
      <c r="WDY354" s="545"/>
      <c r="WDZ354" s="540"/>
      <c r="WEA354" s="545"/>
      <c r="WEB354" s="540"/>
      <c r="WEC354" s="545"/>
      <c r="WED354" s="540"/>
      <c r="WEE354" s="545"/>
      <c r="WEF354" s="540"/>
      <c r="WEG354" s="545"/>
      <c r="WEH354" s="540"/>
      <c r="WEI354" s="545"/>
      <c r="WEJ354" s="540"/>
      <c r="WEK354" s="545"/>
      <c r="WEL354" s="540"/>
      <c r="WEM354" s="545"/>
      <c r="WEN354" s="540"/>
      <c r="WEO354" s="545"/>
      <c r="WEP354" s="540"/>
      <c r="WEQ354" s="545"/>
      <c r="WER354" s="540"/>
      <c r="WES354" s="545"/>
      <c r="WET354" s="540"/>
      <c r="WEU354" s="545"/>
      <c r="WEV354" s="540"/>
      <c r="WEW354" s="545"/>
      <c r="WEX354" s="540"/>
      <c r="WEY354" s="545"/>
      <c r="WEZ354" s="540"/>
      <c r="WFA354" s="545"/>
      <c r="WFB354" s="540"/>
      <c r="WFC354" s="545"/>
      <c r="WFD354" s="540"/>
      <c r="WFE354" s="545"/>
      <c r="WFF354" s="540"/>
      <c r="WFG354" s="545"/>
      <c r="WFH354" s="540"/>
      <c r="WFI354" s="545"/>
      <c r="WFJ354" s="540"/>
      <c r="WFK354" s="545"/>
      <c r="WFL354" s="540"/>
      <c r="WFM354" s="545"/>
      <c r="WFN354" s="540"/>
      <c r="WFO354" s="545"/>
      <c r="WFP354" s="540"/>
      <c r="WFQ354" s="545"/>
      <c r="WFR354" s="540"/>
      <c r="WFS354" s="545"/>
      <c r="WFT354" s="540"/>
      <c r="WFU354" s="545"/>
      <c r="WFV354" s="540"/>
      <c r="WFW354" s="545"/>
      <c r="WFX354" s="540"/>
      <c r="WFY354" s="545"/>
      <c r="WFZ354" s="540"/>
      <c r="WGA354" s="545"/>
      <c r="WGB354" s="540"/>
      <c r="WGC354" s="545"/>
      <c r="WGD354" s="540"/>
      <c r="WGE354" s="545"/>
      <c r="WGF354" s="540"/>
      <c r="WGG354" s="545"/>
      <c r="WGH354" s="540"/>
      <c r="WGI354" s="545"/>
      <c r="WGJ354" s="540"/>
      <c r="WGK354" s="545"/>
      <c r="WGL354" s="540"/>
      <c r="WGM354" s="545"/>
      <c r="WGN354" s="540"/>
      <c r="WGO354" s="545"/>
      <c r="WGP354" s="540"/>
      <c r="WGQ354" s="545"/>
      <c r="WGR354" s="540"/>
      <c r="WGS354" s="545"/>
      <c r="WGT354" s="540"/>
      <c r="WGU354" s="545"/>
      <c r="WGV354" s="540"/>
      <c r="WGW354" s="545"/>
      <c r="WGX354" s="540"/>
      <c r="WGY354" s="545"/>
      <c r="WGZ354" s="540"/>
      <c r="WHA354" s="545"/>
      <c r="WHB354" s="540"/>
      <c r="WHC354" s="545"/>
      <c r="WHD354" s="540"/>
      <c r="WHE354" s="545"/>
      <c r="WHF354" s="540"/>
      <c r="WHG354" s="545"/>
      <c r="WHH354" s="540"/>
      <c r="WHI354" s="545"/>
      <c r="WHJ354" s="540"/>
      <c r="WHK354" s="545"/>
      <c r="WHL354" s="540"/>
      <c r="WHM354" s="545"/>
      <c r="WHN354" s="540"/>
      <c r="WHO354" s="545"/>
      <c r="WHP354" s="540"/>
      <c r="WHQ354" s="545"/>
      <c r="WHR354" s="540"/>
      <c r="WHS354" s="545"/>
      <c r="WHT354" s="540"/>
      <c r="WHU354" s="545"/>
      <c r="WHV354" s="540"/>
      <c r="WHW354" s="545"/>
      <c r="WHX354" s="540"/>
      <c r="WHY354" s="545"/>
      <c r="WHZ354" s="540"/>
      <c r="WIA354" s="545"/>
      <c r="WIB354" s="540"/>
      <c r="WIC354" s="545"/>
      <c r="WID354" s="540"/>
      <c r="WIE354" s="545"/>
      <c r="WIF354" s="540"/>
      <c r="WIG354" s="545"/>
      <c r="WIH354" s="540"/>
      <c r="WII354" s="545"/>
      <c r="WIJ354" s="540"/>
      <c r="WIK354" s="545"/>
      <c r="WIL354" s="540"/>
      <c r="WIM354" s="545"/>
      <c r="WIN354" s="540"/>
      <c r="WIO354" s="545"/>
      <c r="WIP354" s="540"/>
      <c r="WIQ354" s="545"/>
      <c r="WIR354" s="540"/>
      <c r="WIS354" s="545"/>
      <c r="WIT354" s="540"/>
      <c r="WIU354" s="545"/>
      <c r="WIV354" s="540"/>
      <c r="WIW354" s="545"/>
      <c r="WIX354" s="540"/>
      <c r="WIY354" s="545"/>
      <c r="WIZ354" s="540"/>
      <c r="WJA354" s="545"/>
      <c r="WJB354" s="540"/>
      <c r="WJC354" s="545"/>
      <c r="WJD354" s="540"/>
      <c r="WJE354" s="545"/>
      <c r="WJF354" s="540"/>
      <c r="WJG354" s="545"/>
      <c r="WJH354" s="540"/>
      <c r="WJI354" s="545"/>
      <c r="WJJ354" s="540"/>
      <c r="WJK354" s="545"/>
      <c r="WJL354" s="540"/>
      <c r="WJM354" s="545"/>
      <c r="WJN354" s="540"/>
      <c r="WJO354" s="545"/>
      <c r="WJP354" s="540"/>
      <c r="WJQ354" s="545"/>
      <c r="WJR354" s="540"/>
      <c r="WJS354" s="545"/>
      <c r="WJT354" s="540"/>
      <c r="WJU354" s="545"/>
      <c r="WJV354" s="540"/>
      <c r="WJW354" s="545"/>
      <c r="WJX354" s="540"/>
      <c r="WJY354" s="545"/>
      <c r="WJZ354" s="540"/>
      <c r="WKA354" s="545"/>
      <c r="WKB354" s="540"/>
      <c r="WKC354" s="545"/>
      <c r="WKD354" s="540"/>
      <c r="WKE354" s="545"/>
      <c r="WKF354" s="540"/>
      <c r="WKG354" s="545"/>
      <c r="WKH354" s="540"/>
      <c r="WKI354" s="545"/>
      <c r="WKJ354" s="540"/>
      <c r="WKK354" s="545"/>
      <c r="WKL354" s="540"/>
      <c r="WKM354" s="545"/>
      <c r="WKN354" s="540"/>
      <c r="WKO354" s="545"/>
      <c r="WKP354" s="540"/>
      <c r="WKQ354" s="545"/>
      <c r="WKR354" s="540"/>
      <c r="WKS354" s="545"/>
      <c r="WKT354" s="540"/>
      <c r="WKU354" s="545"/>
      <c r="WKV354" s="540"/>
      <c r="WKW354" s="545"/>
      <c r="WKX354" s="540"/>
      <c r="WKY354" s="545"/>
      <c r="WKZ354" s="540"/>
      <c r="WLA354" s="545"/>
      <c r="WLB354" s="540"/>
      <c r="WLC354" s="545"/>
      <c r="WLD354" s="540"/>
      <c r="WLE354" s="545"/>
      <c r="WLF354" s="540"/>
      <c r="WLG354" s="545"/>
      <c r="WLH354" s="540"/>
      <c r="WLI354" s="545"/>
      <c r="WLJ354" s="540"/>
      <c r="WLK354" s="545"/>
      <c r="WLL354" s="540"/>
      <c r="WLM354" s="545"/>
      <c r="WLN354" s="540"/>
      <c r="WLO354" s="545"/>
      <c r="WLP354" s="540"/>
      <c r="WLQ354" s="545"/>
      <c r="WLR354" s="540"/>
      <c r="WLS354" s="545"/>
      <c r="WLT354" s="540"/>
      <c r="WLU354" s="545"/>
      <c r="WLV354" s="540"/>
      <c r="WLW354" s="545"/>
      <c r="WLX354" s="540"/>
      <c r="WLY354" s="545"/>
      <c r="WLZ354" s="540"/>
      <c r="WMA354" s="545"/>
      <c r="WMB354" s="540"/>
      <c r="WMC354" s="545"/>
      <c r="WMD354" s="540"/>
      <c r="WME354" s="545"/>
      <c r="WMF354" s="540"/>
      <c r="WMG354" s="545"/>
      <c r="WMH354" s="540"/>
      <c r="WMI354" s="545"/>
      <c r="WMJ354" s="540"/>
      <c r="WMK354" s="545"/>
      <c r="WML354" s="540"/>
      <c r="WMM354" s="545"/>
      <c r="WMN354" s="540"/>
      <c r="WMO354" s="545"/>
      <c r="WMP354" s="540"/>
      <c r="WMQ354" s="545"/>
      <c r="WMR354" s="540"/>
      <c r="WMS354" s="545"/>
      <c r="WMT354" s="540"/>
      <c r="WMU354" s="545"/>
      <c r="WMV354" s="540"/>
      <c r="WMW354" s="545"/>
      <c r="WMX354" s="540"/>
      <c r="WMY354" s="545"/>
      <c r="WMZ354" s="540"/>
      <c r="WNA354" s="545"/>
      <c r="WNB354" s="540"/>
      <c r="WNC354" s="545"/>
      <c r="WND354" s="540"/>
      <c r="WNE354" s="545"/>
      <c r="WNF354" s="540"/>
      <c r="WNG354" s="545"/>
      <c r="WNH354" s="540"/>
      <c r="WNI354" s="545"/>
      <c r="WNJ354" s="540"/>
      <c r="WNK354" s="545"/>
      <c r="WNL354" s="540"/>
      <c r="WNM354" s="545"/>
      <c r="WNN354" s="540"/>
      <c r="WNO354" s="545"/>
      <c r="WNP354" s="540"/>
      <c r="WNQ354" s="545"/>
      <c r="WNR354" s="540"/>
      <c r="WNS354" s="545"/>
      <c r="WNT354" s="540"/>
      <c r="WNU354" s="545"/>
      <c r="WNV354" s="540"/>
      <c r="WNW354" s="545"/>
      <c r="WNX354" s="540"/>
      <c r="WNY354" s="545"/>
      <c r="WNZ354" s="540"/>
      <c r="WOA354" s="545"/>
      <c r="WOB354" s="540"/>
      <c r="WOC354" s="545"/>
      <c r="WOD354" s="540"/>
      <c r="WOE354" s="545"/>
      <c r="WOF354" s="540"/>
      <c r="WOG354" s="545"/>
      <c r="WOH354" s="540"/>
      <c r="WOI354" s="545"/>
      <c r="WOJ354" s="540"/>
      <c r="WOK354" s="545"/>
      <c r="WOL354" s="540"/>
      <c r="WOM354" s="545"/>
      <c r="WON354" s="540"/>
      <c r="WOO354" s="545"/>
      <c r="WOP354" s="540"/>
      <c r="WOQ354" s="545"/>
      <c r="WOR354" s="540"/>
      <c r="WOS354" s="545"/>
      <c r="WOT354" s="540"/>
      <c r="WOU354" s="545"/>
      <c r="WOV354" s="540"/>
      <c r="WOW354" s="545"/>
      <c r="WOX354" s="540"/>
      <c r="WOY354" s="545"/>
      <c r="WOZ354" s="540"/>
      <c r="WPA354" s="545"/>
      <c r="WPB354" s="540"/>
      <c r="WPC354" s="545"/>
      <c r="WPD354" s="540"/>
      <c r="WPE354" s="545"/>
      <c r="WPF354" s="540"/>
      <c r="WPG354" s="545"/>
      <c r="WPH354" s="540"/>
      <c r="WPI354" s="545"/>
      <c r="WPJ354" s="540"/>
      <c r="WPK354" s="545"/>
      <c r="WPL354" s="540"/>
      <c r="WPM354" s="545"/>
      <c r="WPN354" s="540"/>
      <c r="WPO354" s="545"/>
      <c r="WPP354" s="540"/>
      <c r="WPQ354" s="545"/>
      <c r="WPR354" s="540"/>
      <c r="WPS354" s="545"/>
      <c r="WPT354" s="540"/>
      <c r="WPU354" s="545"/>
      <c r="WPV354" s="540"/>
      <c r="WPW354" s="545"/>
      <c r="WPX354" s="540"/>
      <c r="WPY354" s="545"/>
      <c r="WPZ354" s="540"/>
      <c r="WQA354" s="545"/>
      <c r="WQB354" s="540"/>
      <c r="WQC354" s="545"/>
      <c r="WQD354" s="540"/>
      <c r="WQE354" s="545"/>
      <c r="WQF354" s="540"/>
      <c r="WQG354" s="545"/>
      <c r="WQH354" s="540"/>
      <c r="WQI354" s="545"/>
      <c r="WQJ354" s="540"/>
      <c r="WQK354" s="545"/>
      <c r="WQL354" s="540"/>
      <c r="WQM354" s="545"/>
      <c r="WQN354" s="540"/>
      <c r="WQO354" s="545"/>
      <c r="WQP354" s="540"/>
      <c r="WQQ354" s="545"/>
      <c r="WQR354" s="540"/>
      <c r="WQS354" s="545"/>
      <c r="WQT354" s="540"/>
      <c r="WQU354" s="545"/>
      <c r="WQV354" s="540"/>
      <c r="WQW354" s="545"/>
      <c r="WQX354" s="540"/>
      <c r="WQY354" s="545"/>
      <c r="WQZ354" s="540"/>
      <c r="WRA354" s="545"/>
      <c r="WRB354" s="540"/>
      <c r="WRC354" s="545"/>
      <c r="WRD354" s="540"/>
      <c r="WRE354" s="545"/>
      <c r="WRF354" s="540"/>
      <c r="WRG354" s="545"/>
      <c r="WRH354" s="540"/>
      <c r="WRI354" s="545"/>
      <c r="WRJ354" s="540"/>
      <c r="WRK354" s="545"/>
      <c r="WRL354" s="540"/>
      <c r="WRM354" s="545"/>
      <c r="WRN354" s="540"/>
      <c r="WRO354" s="545"/>
      <c r="WRP354" s="540"/>
      <c r="WRQ354" s="545"/>
      <c r="WRR354" s="540"/>
      <c r="WRS354" s="545"/>
      <c r="WRT354" s="540"/>
      <c r="WRU354" s="545"/>
      <c r="WRV354" s="540"/>
      <c r="WRW354" s="545"/>
      <c r="WRX354" s="540"/>
      <c r="WRY354" s="545"/>
      <c r="WRZ354" s="540"/>
      <c r="WSA354" s="545"/>
      <c r="WSB354" s="540"/>
      <c r="WSC354" s="545"/>
      <c r="WSD354" s="540"/>
      <c r="WSE354" s="545"/>
      <c r="WSF354" s="540"/>
      <c r="WSG354" s="545"/>
      <c r="WSH354" s="540"/>
      <c r="WSI354" s="545"/>
      <c r="WSJ354" s="540"/>
      <c r="WSK354" s="545"/>
      <c r="WSL354" s="540"/>
      <c r="WSM354" s="545"/>
      <c r="WSN354" s="540"/>
      <c r="WSO354" s="545"/>
      <c r="WSP354" s="540"/>
      <c r="WSQ354" s="545"/>
      <c r="WSR354" s="540"/>
      <c r="WSS354" s="545"/>
      <c r="WST354" s="540"/>
      <c r="WSU354" s="545"/>
      <c r="WSV354" s="540"/>
      <c r="WSW354" s="545"/>
      <c r="WSX354" s="540"/>
      <c r="WSY354" s="545"/>
      <c r="WSZ354" s="540"/>
      <c r="WTA354" s="545"/>
      <c r="WTB354" s="540"/>
      <c r="WTC354" s="545"/>
      <c r="WTD354" s="540"/>
      <c r="WTE354" s="545"/>
      <c r="WTF354" s="540"/>
      <c r="WTG354" s="545"/>
      <c r="WTH354" s="540"/>
      <c r="WTI354" s="545"/>
      <c r="WTJ354" s="540"/>
      <c r="WTK354" s="545"/>
      <c r="WTL354" s="540"/>
      <c r="WTM354" s="545"/>
      <c r="WTN354" s="540"/>
      <c r="WTO354" s="545"/>
      <c r="WTP354" s="540"/>
      <c r="WTQ354" s="545"/>
      <c r="WTR354" s="540"/>
      <c r="WTS354" s="545"/>
      <c r="WTT354" s="540"/>
      <c r="WTU354" s="545"/>
      <c r="WTV354" s="540"/>
      <c r="WTW354" s="545"/>
      <c r="WTX354" s="540"/>
      <c r="WTY354" s="545"/>
      <c r="WTZ354" s="540"/>
      <c r="WUA354" s="545"/>
      <c r="WUB354" s="540"/>
      <c r="WUC354" s="545"/>
      <c r="WUD354" s="540"/>
      <c r="WUE354" s="545"/>
      <c r="WUF354" s="540"/>
      <c r="WUG354" s="545"/>
      <c r="WUH354" s="540"/>
      <c r="WUI354" s="545"/>
      <c r="WUJ354" s="540"/>
      <c r="WUK354" s="545"/>
      <c r="WUL354" s="540"/>
      <c r="WUM354" s="545"/>
      <c r="WUN354" s="540"/>
      <c r="WUO354" s="545"/>
      <c r="WUP354" s="540"/>
      <c r="WUQ354" s="545"/>
      <c r="WUR354" s="540"/>
      <c r="WUS354" s="545"/>
      <c r="WUT354" s="540"/>
      <c r="WUU354" s="545"/>
      <c r="WUV354" s="540"/>
      <c r="WUW354" s="545"/>
      <c r="WUX354" s="540"/>
      <c r="WUY354" s="545"/>
      <c r="WUZ354" s="540"/>
      <c r="WVA354" s="545"/>
      <c r="WVB354" s="540"/>
      <c r="WVC354" s="545"/>
      <c r="WVD354" s="540"/>
      <c r="WVE354" s="545"/>
      <c r="WVF354" s="540"/>
      <c r="WVG354" s="545"/>
      <c r="WVH354" s="540"/>
      <c r="WVI354" s="545"/>
      <c r="WVJ354" s="540"/>
      <c r="WVK354" s="545"/>
      <c r="WVL354" s="540"/>
      <c r="WVM354" s="545"/>
      <c r="WVN354" s="540"/>
      <c r="WVO354" s="545"/>
      <c r="WVP354" s="540"/>
      <c r="WVQ354" s="545"/>
      <c r="WVR354" s="540"/>
      <c r="WVS354" s="545"/>
      <c r="WVT354" s="540"/>
      <c r="WVU354" s="545"/>
      <c r="WVV354" s="540"/>
      <c r="WVW354" s="545"/>
      <c r="WVX354" s="540"/>
      <c r="WVY354" s="545"/>
      <c r="WVZ354" s="540"/>
      <c r="WWA354" s="545"/>
      <c r="WWB354" s="540"/>
      <c r="WWC354" s="545"/>
      <c r="WWD354" s="540"/>
      <c r="WWE354" s="545"/>
      <c r="WWF354" s="540"/>
      <c r="WWG354" s="545"/>
      <c r="WWH354" s="540"/>
      <c r="WWI354" s="545"/>
      <c r="WWJ354" s="540"/>
      <c r="WWK354" s="545"/>
      <c r="WWL354" s="540"/>
      <c r="WWM354" s="545"/>
      <c r="WWN354" s="540"/>
      <c r="WWO354" s="545"/>
      <c r="WWP354" s="540"/>
      <c r="WWQ354" s="545"/>
      <c r="WWR354" s="540"/>
      <c r="WWS354" s="545"/>
      <c r="WWT354" s="540"/>
      <c r="WWU354" s="545"/>
      <c r="WWV354" s="540"/>
      <c r="WWW354" s="545"/>
      <c r="WWX354" s="540"/>
      <c r="WWY354" s="545"/>
      <c r="WWZ354" s="540"/>
      <c r="WXA354" s="545"/>
      <c r="WXB354" s="540"/>
      <c r="WXC354" s="545"/>
      <c r="WXD354" s="540"/>
      <c r="WXE354" s="545"/>
      <c r="WXF354" s="540"/>
      <c r="WXG354" s="545"/>
      <c r="WXH354" s="540"/>
      <c r="WXI354" s="545"/>
      <c r="WXJ354" s="540"/>
      <c r="WXK354" s="545"/>
      <c r="WXL354" s="540"/>
      <c r="WXM354" s="545"/>
      <c r="WXN354" s="540"/>
      <c r="WXO354" s="545"/>
      <c r="WXP354" s="540"/>
      <c r="WXQ354" s="545"/>
      <c r="WXR354" s="540"/>
      <c r="WXS354" s="545"/>
      <c r="WXT354" s="540"/>
      <c r="WXU354" s="545"/>
      <c r="WXV354" s="540"/>
      <c r="WXW354" s="545"/>
      <c r="WXX354" s="540"/>
      <c r="WXY354" s="545"/>
      <c r="WXZ354" s="540"/>
      <c r="WYA354" s="545"/>
      <c r="WYB354" s="540"/>
      <c r="WYC354" s="545"/>
      <c r="WYD354" s="540"/>
      <c r="WYE354" s="545"/>
      <c r="WYF354" s="540"/>
      <c r="WYG354" s="545"/>
      <c r="WYH354" s="540"/>
      <c r="WYI354" s="545"/>
      <c r="WYJ354" s="540"/>
      <c r="WYK354" s="545"/>
      <c r="WYL354" s="540"/>
      <c r="WYM354" s="545"/>
      <c r="WYN354" s="540"/>
      <c r="WYO354" s="545"/>
      <c r="WYP354" s="540"/>
      <c r="WYQ354" s="545"/>
      <c r="WYR354" s="540"/>
      <c r="WYS354" s="545"/>
      <c r="WYT354" s="540"/>
      <c r="WYU354" s="545"/>
      <c r="WYV354" s="540"/>
      <c r="WYW354" s="545"/>
      <c r="WYX354" s="540"/>
      <c r="WYY354" s="545"/>
      <c r="WYZ354" s="540"/>
      <c r="WZA354" s="545"/>
      <c r="WZB354" s="540"/>
      <c r="WZC354" s="545"/>
      <c r="WZD354" s="540"/>
      <c r="WZE354" s="545"/>
      <c r="WZF354" s="540"/>
      <c r="WZG354" s="545"/>
      <c r="WZH354" s="540"/>
      <c r="WZI354" s="545"/>
      <c r="WZJ354" s="540"/>
      <c r="WZK354" s="545"/>
      <c r="WZL354" s="540"/>
      <c r="WZM354" s="545"/>
      <c r="WZN354" s="540"/>
      <c r="WZO354" s="545"/>
      <c r="WZP354" s="540"/>
      <c r="WZQ354" s="545"/>
      <c r="WZR354" s="540"/>
      <c r="WZS354" s="545"/>
      <c r="WZT354" s="540"/>
      <c r="WZU354" s="545"/>
      <c r="WZV354" s="540"/>
      <c r="WZW354" s="545"/>
      <c r="WZX354" s="540"/>
      <c r="WZY354" s="545"/>
      <c r="WZZ354" s="540"/>
      <c r="XAA354" s="545"/>
      <c r="XAB354" s="540"/>
      <c r="XAC354" s="545"/>
      <c r="XAD354" s="540"/>
      <c r="XAE354" s="545"/>
      <c r="XAF354" s="540"/>
      <c r="XAG354" s="545"/>
      <c r="XAH354" s="540"/>
      <c r="XAI354" s="545"/>
      <c r="XAJ354" s="540"/>
      <c r="XAK354" s="545"/>
      <c r="XAL354" s="540"/>
      <c r="XAM354" s="545"/>
      <c r="XAN354" s="540"/>
      <c r="XAO354" s="545"/>
      <c r="XAP354" s="540"/>
      <c r="XAQ354" s="545"/>
      <c r="XAR354" s="540"/>
      <c r="XAS354" s="545"/>
      <c r="XAT354" s="540"/>
      <c r="XAU354" s="545"/>
      <c r="XAV354" s="540"/>
      <c r="XAW354" s="545"/>
      <c r="XAX354" s="540"/>
      <c r="XAY354" s="545"/>
      <c r="XAZ354" s="540"/>
      <c r="XBA354" s="545"/>
      <c r="XBB354" s="540"/>
      <c r="XBC354" s="545"/>
      <c r="XBD354" s="540"/>
      <c r="XBE354" s="545"/>
      <c r="XBF354" s="540"/>
      <c r="XBG354" s="545"/>
      <c r="XBH354" s="540"/>
      <c r="XBI354" s="545"/>
      <c r="XBJ354" s="540"/>
      <c r="XBK354" s="545"/>
      <c r="XBL354" s="540"/>
      <c r="XBM354" s="545"/>
      <c r="XBN354" s="540"/>
      <c r="XBO354" s="545"/>
      <c r="XBP354" s="540"/>
      <c r="XBQ354" s="545"/>
      <c r="XBR354" s="540"/>
      <c r="XBS354" s="545"/>
      <c r="XBT354" s="540"/>
      <c r="XBU354" s="545"/>
      <c r="XBV354" s="540"/>
      <c r="XBW354" s="545"/>
      <c r="XBX354" s="540"/>
      <c r="XBY354" s="545"/>
      <c r="XBZ354" s="540"/>
      <c r="XCA354" s="545"/>
      <c r="XCB354" s="540"/>
      <c r="XCC354" s="545"/>
      <c r="XCD354" s="540"/>
      <c r="XCE354" s="545"/>
      <c r="XCF354" s="540"/>
      <c r="XCG354" s="545"/>
      <c r="XCH354" s="540"/>
      <c r="XCI354" s="545"/>
      <c r="XCJ354" s="540"/>
      <c r="XCK354" s="545"/>
      <c r="XCL354" s="540"/>
      <c r="XCM354" s="545"/>
      <c r="XCN354" s="540"/>
      <c r="XCO354" s="545"/>
      <c r="XCP354" s="540"/>
      <c r="XCQ354" s="545"/>
      <c r="XCR354" s="540"/>
      <c r="XCS354" s="545"/>
      <c r="XCT354" s="540"/>
      <c r="XCU354" s="545"/>
      <c r="XCV354" s="540"/>
      <c r="XCW354" s="545"/>
      <c r="XCX354" s="540"/>
      <c r="XCY354" s="545"/>
      <c r="XCZ354" s="540"/>
      <c r="XDA354" s="545"/>
      <c r="XDB354" s="540"/>
      <c r="XDC354" s="545"/>
      <c r="XDD354" s="540"/>
      <c r="XDE354" s="545"/>
      <c r="XDF354" s="540"/>
      <c r="XDG354" s="545"/>
      <c r="XDH354" s="540"/>
      <c r="XDI354" s="545"/>
      <c r="XDJ354" s="540"/>
      <c r="XDK354" s="545"/>
      <c r="XDL354" s="540"/>
      <c r="XDM354" s="545"/>
      <c r="XDN354" s="540"/>
      <c r="XDO354" s="545"/>
      <c r="XDP354" s="540"/>
      <c r="XDQ354" s="545"/>
      <c r="XDR354" s="540"/>
      <c r="XDS354" s="545"/>
      <c r="XDT354" s="540"/>
      <c r="XDU354" s="545"/>
      <c r="XDV354" s="540"/>
      <c r="XDW354" s="545"/>
      <c r="XDX354" s="540"/>
      <c r="XDY354" s="545"/>
      <c r="XDZ354" s="540"/>
      <c r="XEA354" s="545"/>
      <c r="XEB354" s="540"/>
      <c r="XEC354" s="545"/>
      <c r="XED354" s="540"/>
      <c r="XEE354" s="545"/>
      <c r="XEF354" s="540"/>
      <c r="XEG354" s="545"/>
      <c r="XEH354" s="540"/>
      <c r="XEI354" s="545"/>
      <c r="XEJ354" s="540"/>
      <c r="XEK354" s="545"/>
      <c r="XEL354" s="540"/>
      <c r="XEM354" s="545"/>
      <c r="XEN354" s="540"/>
      <c r="XEO354" s="545"/>
      <c r="XEP354" s="540"/>
      <c r="XEQ354" s="545"/>
      <c r="XER354" s="540"/>
      <c r="XES354" s="545"/>
      <c r="XET354" s="540"/>
      <c r="XEU354" s="545"/>
      <c r="XEV354" s="540"/>
      <c r="XEW354" s="545"/>
      <c r="XEX354" s="540"/>
      <c r="XEY354" s="545"/>
      <c r="XEZ354" s="540"/>
      <c r="XFA354" s="545"/>
      <c r="XFB354" s="540"/>
      <c r="XFC354" s="545"/>
      <c r="XFD354" s="540"/>
    </row>
    <row r="355" spans="1:16384" ht="15.75">
      <c r="A355" s="365"/>
      <c r="B355" s="352" t="s">
        <v>468</v>
      </c>
      <c r="F355" s="318">
        <f t="shared" si="15"/>
        <v>0</v>
      </c>
      <c r="G355" s="318">
        <v>0</v>
      </c>
      <c r="M355" s="540" t="s">
        <v>468</v>
      </c>
    </row>
    <row r="356" spans="1:16384" ht="15.75">
      <c r="A356" s="361" t="s">
        <v>469</v>
      </c>
      <c r="B356" s="352" t="s">
        <v>447</v>
      </c>
      <c r="F356" s="318">
        <f t="shared" si="15"/>
        <v>13295</v>
      </c>
      <c r="G356" s="318">
        <v>0</v>
      </c>
      <c r="H356" s="318">
        <v>13295008</v>
      </c>
      <c r="L356" s="318">
        <v>13295008</v>
      </c>
      <c r="M356" s="540" t="s">
        <v>447</v>
      </c>
    </row>
    <row r="357" spans="1:16384" ht="15.75">
      <c r="A357" s="545" t="s">
        <v>686</v>
      </c>
      <c r="B357" s="540" t="s">
        <v>687</v>
      </c>
      <c r="C357" s="545"/>
      <c r="D357" s="540"/>
      <c r="E357" s="545"/>
      <c r="F357" s="318">
        <f t="shared" si="15"/>
        <v>0</v>
      </c>
      <c r="G357" s="318">
        <v>0</v>
      </c>
      <c r="H357" s="318">
        <v>0</v>
      </c>
      <c r="L357" s="318">
        <v>0</v>
      </c>
      <c r="M357" s="540" t="s">
        <v>687</v>
      </c>
    </row>
    <row r="358" spans="1:16384" ht="15.75">
      <c r="A358" s="361" t="s">
        <v>470</v>
      </c>
      <c r="B358" s="352" t="s">
        <v>449</v>
      </c>
      <c r="F358" s="318">
        <f t="shared" si="15"/>
        <v>13254</v>
      </c>
      <c r="G358" s="318">
        <v>0</v>
      </c>
      <c r="H358" s="318">
        <v>13253922</v>
      </c>
      <c r="L358" s="318">
        <v>13253922</v>
      </c>
      <c r="M358" s="540" t="s">
        <v>449</v>
      </c>
    </row>
    <row r="359" spans="1:16384" ht="15.75">
      <c r="A359" s="361">
        <v>353000</v>
      </c>
      <c r="B359" s="352" t="s">
        <v>349</v>
      </c>
      <c r="F359" s="318">
        <f t="shared" si="15"/>
        <v>150312</v>
      </c>
      <c r="G359" s="318">
        <v>0</v>
      </c>
      <c r="H359" s="318">
        <v>150312171</v>
      </c>
      <c r="L359" s="318">
        <v>150312171</v>
      </c>
      <c r="M359" s="540" t="s">
        <v>349</v>
      </c>
    </row>
    <row r="360" spans="1:16384" ht="15.75">
      <c r="A360" s="361">
        <v>354000</v>
      </c>
      <c r="B360" s="352" t="s">
        <v>471</v>
      </c>
      <c r="F360" s="318">
        <f t="shared" si="15"/>
        <v>11083</v>
      </c>
      <c r="G360" s="318">
        <v>0</v>
      </c>
      <c r="H360" s="318">
        <v>11083187</v>
      </c>
      <c r="L360" s="318">
        <v>11083187</v>
      </c>
      <c r="M360" s="540" t="s">
        <v>471</v>
      </c>
    </row>
    <row r="361" spans="1:16384" ht="15.75">
      <c r="A361" s="361">
        <v>355000</v>
      </c>
      <c r="B361" s="352" t="s">
        <v>472</v>
      </c>
      <c r="F361" s="318">
        <f t="shared" si="15"/>
        <v>116132</v>
      </c>
      <c r="G361" s="318">
        <v>0</v>
      </c>
      <c r="H361" s="318">
        <v>116132013</v>
      </c>
      <c r="L361" s="318">
        <v>116132013</v>
      </c>
      <c r="M361" s="540" t="s">
        <v>472</v>
      </c>
    </row>
    <row r="362" spans="1:16384" ht="15.75">
      <c r="A362" s="361">
        <v>356000</v>
      </c>
      <c r="B362" s="352" t="s">
        <v>473</v>
      </c>
      <c r="F362" s="318">
        <f t="shared" si="15"/>
        <v>81436</v>
      </c>
      <c r="G362" s="318">
        <v>0</v>
      </c>
      <c r="H362" s="318">
        <v>81436396</v>
      </c>
      <c r="L362" s="318">
        <v>81436396</v>
      </c>
      <c r="M362" s="540" t="s">
        <v>473</v>
      </c>
    </row>
    <row r="363" spans="1:16384" ht="15.75">
      <c r="A363" s="361">
        <v>357000</v>
      </c>
      <c r="B363" s="352" t="s">
        <v>474</v>
      </c>
      <c r="F363" s="318">
        <f t="shared" si="15"/>
        <v>1956</v>
      </c>
      <c r="G363" s="318">
        <v>0</v>
      </c>
      <c r="H363" s="318">
        <v>1955620</v>
      </c>
      <c r="L363" s="318">
        <v>1955620</v>
      </c>
      <c r="M363" s="540" t="s">
        <v>474</v>
      </c>
    </row>
    <row r="364" spans="1:16384" ht="15.75">
      <c r="A364" s="361">
        <v>358000</v>
      </c>
      <c r="B364" s="352" t="s">
        <v>475</v>
      </c>
      <c r="F364" s="318">
        <f t="shared" ref="F364:F430" si="19">ROUND(H364/1000,0)</f>
        <v>1509</v>
      </c>
      <c r="G364" s="318">
        <v>0</v>
      </c>
      <c r="H364" s="318">
        <v>1508702</v>
      </c>
      <c r="L364" s="318">
        <v>1508702</v>
      </c>
      <c r="M364" s="540" t="s">
        <v>475</v>
      </c>
    </row>
    <row r="365" spans="1:16384" ht="15.75">
      <c r="A365" s="361">
        <v>359000</v>
      </c>
      <c r="B365" s="352" t="s">
        <v>476</v>
      </c>
      <c r="F365" s="318">
        <f t="shared" si="19"/>
        <v>1263</v>
      </c>
      <c r="G365" s="318">
        <v>0</v>
      </c>
      <c r="H365" s="318">
        <v>1263058</v>
      </c>
      <c r="L365" s="318">
        <v>1263058</v>
      </c>
      <c r="M365" s="540" t="s">
        <v>476</v>
      </c>
    </row>
    <row r="366" spans="1:16384" ht="15.75">
      <c r="A366" s="363"/>
      <c r="B366" s="352" t="s">
        <v>477</v>
      </c>
      <c r="F366" s="318">
        <f t="shared" si="19"/>
        <v>390240</v>
      </c>
      <c r="G366" s="318">
        <v>0</v>
      </c>
      <c r="H366" s="318">
        <v>390240077</v>
      </c>
      <c r="L366" s="318">
        <v>390240077</v>
      </c>
      <c r="M366" s="540" t="s">
        <v>477</v>
      </c>
    </row>
    <row r="367" spans="1:16384" ht="15.75">
      <c r="A367" s="364"/>
      <c r="B367" s="352"/>
      <c r="F367" s="318">
        <f t="shared" si="19"/>
        <v>0</v>
      </c>
      <c r="G367" s="318">
        <v>0</v>
      </c>
      <c r="M367" s="540"/>
    </row>
    <row r="368" spans="1:16384" ht="15.75">
      <c r="A368" s="364"/>
      <c r="B368" s="352" t="s">
        <v>478</v>
      </c>
      <c r="F368" s="318">
        <f t="shared" si="19"/>
        <v>0</v>
      </c>
      <c r="G368" s="318">
        <v>0</v>
      </c>
      <c r="M368" s="540" t="s">
        <v>478</v>
      </c>
    </row>
    <row r="369" spans="1:13" ht="15.75">
      <c r="A369" s="361">
        <v>360200</v>
      </c>
      <c r="B369" s="352" t="s">
        <v>447</v>
      </c>
      <c r="F369" s="318">
        <f t="shared" si="19"/>
        <v>3550</v>
      </c>
      <c r="G369" s="318">
        <v>0</v>
      </c>
      <c r="H369" s="318">
        <v>3549932</v>
      </c>
      <c r="L369" s="318">
        <v>3549932</v>
      </c>
      <c r="M369" s="540" t="s">
        <v>447</v>
      </c>
    </row>
    <row r="370" spans="1:13" ht="15.75">
      <c r="A370" s="360">
        <v>360400</v>
      </c>
      <c r="B370" s="355" t="s">
        <v>479</v>
      </c>
      <c r="F370" s="318">
        <f t="shared" si="19"/>
        <v>526</v>
      </c>
      <c r="G370" s="318">
        <v>0</v>
      </c>
      <c r="H370" s="318">
        <v>525837</v>
      </c>
      <c r="L370" s="318">
        <v>525837</v>
      </c>
      <c r="M370" s="543" t="s">
        <v>479</v>
      </c>
    </row>
    <row r="371" spans="1:13" ht="15.75">
      <c r="A371" s="361">
        <v>361000</v>
      </c>
      <c r="B371" s="352" t="s">
        <v>449</v>
      </c>
      <c r="F371" s="318">
        <f t="shared" si="19"/>
        <v>13043</v>
      </c>
      <c r="G371" s="318">
        <v>0</v>
      </c>
      <c r="H371" s="318">
        <v>13043026</v>
      </c>
      <c r="L371" s="318">
        <v>13043026</v>
      </c>
      <c r="M371" s="540" t="s">
        <v>449</v>
      </c>
    </row>
    <row r="372" spans="1:13" ht="15.75">
      <c r="A372" s="361">
        <v>362000</v>
      </c>
      <c r="B372" s="351" t="s">
        <v>349</v>
      </c>
      <c r="F372" s="318">
        <f t="shared" si="19"/>
        <v>79475</v>
      </c>
      <c r="G372" s="318">
        <v>0</v>
      </c>
      <c r="H372" s="318">
        <v>79475252</v>
      </c>
      <c r="L372" s="318">
        <v>79475252</v>
      </c>
      <c r="M372" s="544" t="s">
        <v>349</v>
      </c>
    </row>
    <row r="373" spans="1:13" ht="15.75">
      <c r="A373" s="545">
        <v>363000</v>
      </c>
      <c r="B373" s="540" t="s">
        <v>682</v>
      </c>
      <c r="F373" s="318">
        <f t="shared" ref="F373" si="20">ROUND(H373/1000,0)</f>
        <v>1071</v>
      </c>
      <c r="G373" s="318">
        <v>0</v>
      </c>
      <c r="H373" s="318">
        <v>1070938</v>
      </c>
      <c r="L373" s="318">
        <v>1070938</v>
      </c>
      <c r="M373" s="540" t="s">
        <v>682</v>
      </c>
    </row>
    <row r="374" spans="1:13" ht="15.75">
      <c r="A374" s="361">
        <v>364000</v>
      </c>
      <c r="B374" s="352" t="s">
        <v>480</v>
      </c>
      <c r="F374" s="318">
        <f t="shared" si="19"/>
        <v>197259</v>
      </c>
      <c r="G374" s="318">
        <v>0</v>
      </c>
      <c r="H374" s="318">
        <v>197259120</v>
      </c>
      <c r="L374" s="318">
        <v>197259120</v>
      </c>
      <c r="M374" s="540" t="s">
        <v>480</v>
      </c>
    </row>
    <row r="375" spans="1:13" ht="15.75">
      <c r="A375" s="361">
        <v>365000</v>
      </c>
      <c r="B375" s="352" t="s">
        <v>473</v>
      </c>
      <c r="F375" s="318">
        <f t="shared" si="19"/>
        <v>127482</v>
      </c>
      <c r="G375" s="318">
        <v>0</v>
      </c>
      <c r="H375" s="318">
        <v>127482290</v>
      </c>
      <c r="L375" s="318">
        <v>127482290</v>
      </c>
      <c r="M375" s="540" t="s">
        <v>473</v>
      </c>
    </row>
    <row r="376" spans="1:13" ht="15.75">
      <c r="A376" s="361">
        <v>366000</v>
      </c>
      <c r="B376" s="352" t="s">
        <v>474</v>
      </c>
      <c r="F376" s="318">
        <f t="shared" si="19"/>
        <v>58910</v>
      </c>
      <c r="G376" s="318">
        <v>0</v>
      </c>
      <c r="H376" s="318">
        <v>58910361</v>
      </c>
      <c r="L376" s="318">
        <v>58910361</v>
      </c>
      <c r="M376" s="540" t="s">
        <v>474</v>
      </c>
    </row>
    <row r="377" spans="1:13" ht="15.75">
      <c r="A377" s="361">
        <v>367000</v>
      </c>
      <c r="B377" s="352" t="s">
        <v>475</v>
      </c>
      <c r="F377" s="318">
        <f t="shared" si="19"/>
        <v>104207</v>
      </c>
      <c r="G377" s="318">
        <v>0</v>
      </c>
      <c r="H377" s="318">
        <v>104206663</v>
      </c>
      <c r="L377" s="318">
        <v>104206663</v>
      </c>
      <c r="M377" s="540" t="s">
        <v>475</v>
      </c>
    </row>
    <row r="378" spans="1:13" ht="15.75">
      <c r="A378" s="361">
        <v>368000</v>
      </c>
      <c r="B378" s="352" t="s">
        <v>385</v>
      </c>
      <c r="F378" s="318">
        <f t="shared" si="19"/>
        <v>150056</v>
      </c>
      <c r="G378" s="318">
        <v>0</v>
      </c>
      <c r="H378" s="318">
        <v>150056187</v>
      </c>
      <c r="L378" s="318">
        <v>150056187</v>
      </c>
      <c r="M378" s="540" t="s">
        <v>385</v>
      </c>
    </row>
    <row r="379" spans="1:13" ht="15.75">
      <c r="A379" s="361" t="s">
        <v>481</v>
      </c>
      <c r="B379" s="352" t="s">
        <v>482</v>
      </c>
      <c r="F379" s="318">
        <f t="shared" si="19"/>
        <v>93356</v>
      </c>
      <c r="G379" s="318">
        <v>0</v>
      </c>
      <c r="H379" s="318">
        <v>93355526</v>
      </c>
      <c r="L379" s="318">
        <v>93355526</v>
      </c>
      <c r="M379" s="540" t="s">
        <v>482</v>
      </c>
    </row>
    <row r="380" spans="1:13" ht="15.75">
      <c r="A380" s="360">
        <v>370000</v>
      </c>
      <c r="B380" s="355" t="s">
        <v>387</v>
      </c>
      <c r="F380" s="318">
        <f t="shared" si="19"/>
        <v>26549</v>
      </c>
      <c r="G380" s="318">
        <v>0</v>
      </c>
      <c r="H380" s="318">
        <v>26548672</v>
      </c>
      <c r="L380" s="318">
        <v>26548672</v>
      </c>
      <c r="M380" s="543" t="s">
        <v>387</v>
      </c>
    </row>
    <row r="381" spans="1:13" ht="15.75">
      <c r="A381" s="361" t="s">
        <v>483</v>
      </c>
      <c r="B381" s="352" t="s">
        <v>484</v>
      </c>
      <c r="F381" s="318">
        <f t="shared" si="19"/>
        <v>25476</v>
      </c>
      <c r="G381" s="318">
        <v>0</v>
      </c>
      <c r="H381" s="318">
        <v>25475884</v>
      </c>
      <c r="L381" s="318">
        <v>25475884</v>
      </c>
      <c r="M381" s="540" t="s">
        <v>484</v>
      </c>
    </row>
    <row r="382" spans="1:13" ht="15.75">
      <c r="A382" s="363"/>
      <c r="B382" s="352" t="s">
        <v>485</v>
      </c>
      <c r="F382" s="318">
        <f t="shared" si="19"/>
        <v>880960</v>
      </c>
      <c r="G382" s="318">
        <v>0</v>
      </c>
      <c r="H382" s="318">
        <v>880959688</v>
      </c>
      <c r="L382" s="318">
        <v>880959688</v>
      </c>
      <c r="M382" s="540" t="s">
        <v>485</v>
      </c>
    </row>
    <row r="383" spans="1:13" ht="15.75">
      <c r="A383" s="364"/>
      <c r="B383" s="352"/>
      <c r="F383" s="318">
        <f t="shared" si="19"/>
        <v>0</v>
      </c>
      <c r="G383" s="318">
        <v>0</v>
      </c>
      <c r="M383" s="540"/>
    </row>
    <row r="384" spans="1:13" ht="15.75">
      <c r="A384" s="364"/>
      <c r="B384" s="352" t="s">
        <v>486</v>
      </c>
      <c r="F384" s="318">
        <f t="shared" si="19"/>
        <v>0</v>
      </c>
      <c r="G384" s="318">
        <v>0</v>
      </c>
      <c r="M384" s="540" t="s">
        <v>486</v>
      </c>
    </row>
    <row r="385" spans="1:13" ht="15.75">
      <c r="A385" s="361" t="s">
        <v>487</v>
      </c>
      <c r="B385" s="352" t="s">
        <v>447</v>
      </c>
      <c r="F385" s="318">
        <f t="shared" si="19"/>
        <v>3043</v>
      </c>
      <c r="G385" s="318">
        <v>0</v>
      </c>
      <c r="H385" s="318">
        <v>3043276</v>
      </c>
      <c r="L385" s="318">
        <v>3043276</v>
      </c>
      <c r="M385" s="540" t="s">
        <v>447</v>
      </c>
    </row>
    <row r="386" spans="1:13" ht="15.75">
      <c r="A386" s="361" t="s">
        <v>488</v>
      </c>
      <c r="B386" s="352" t="s">
        <v>449</v>
      </c>
      <c r="F386" s="318">
        <f t="shared" si="19"/>
        <v>52838</v>
      </c>
      <c r="G386" s="318">
        <v>0</v>
      </c>
      <c r="H386" s="318">
        <v>52837502</v>
      </c>
      <c r="L386" s="318">
        <v>52837502</v>
      </c>
      <c r="M386" s="540" t="s">
        <v>449</v>
      </c>
    </row>
    <row r="387" spans="1:13" ht="15.75">
      <c r="A387" s="361" t="s">
        <v>489</v>
      </c>
      <c r="B387" s="352" t="s">
        <v>490</v>
      </c>
      <c r="F387" s="318">
        <f t="shared" si="19"/>
        <v>34103</v>
      </c>
      <c r="G387" s="318">
        <v>0</v>
      </c>
      <c r="H387" s="318">
        <v>34102609</v>
      </c>
      <c r="L387" s="318">
        <v>34102609</v>
      </c>
      <c r="M387" s="540" t="s">
        <v>490</v>
      </c>
    </row>
    <row r="388" spans="1:13" ht="15.75">
      <c r="A388" s="361" t="s">
        <v>491</v>
      </c>
      <c r="B388" s="352" t="s">
        <v>492</v>
      </c>
      <c r="F388" s="318">
        <f t="shared" si="19"/>
        <v>25143</v>
      </c>
      <c r="G388" s="318">
        <v>0</v>
      </c>
      <c r="H388" s="318">
        <v>25143357</v>
      </c>
      <c r="L388" s="318">
        <v>25143357</v>
      </c>
      <c r="M388" s="540" t="s">
        <v>492</v>
      </c>
    </row>
    <row r="389" spans="1:13" ht="15.75">
      <c r="A389" s="361">
        <v>393000</v>
      </c>
      <c r="B389" s="352" t="s">
        <v>493</v>
      </c>
      <c r="F389" s="318">
        <f t="shared" si="19"/>
        <v>1829</v>
      </c>
      <c r="G389" s="318">
        <v>0</v>
      </c>
      <c r="H389" s="318">
        <v>1828937</v>
      </c>
      <c r="L389" s="318">
        <v>1828937</v>
      </c>
      <c r="M389" s="540" t="s">
        <v>493</v>
      </c>
    </row>
    <row r="390" spans="1:13" ht="15.75">
      <c r="A390" s="361">
        <v>394000</v>
      </c>
      <c r="B390" s="352" t="s">
        <v>494</v>
      </c>
      <c r="F390" s="318">
        <f t="shared" si="19"/>
        <v>7231</v>
      </c>
      <c r="G390" s="318">
        <v>0</v>
      </c>
      <c r="H390" s="318">
        <v>7230854</v>
      </c>
      <c r="L390" s="318">
        <v>7230854</v>
      </c>
      <c r="M390" s="540" t="s">
        <v>494</v>
      </c>
    </row>
    <row r="391" spans="1:13" ht="15.75">
      <c r="A391" s="361">
        <v>395000</v>
      </c>
      <c r="B391" s="352" t="s">
        <v>495</v>
      </c>
      <c r="F391" s="318">
        <f t="shared" si="19"/>
        <v>757</v>
      </c>
      <c r="G391" s="318">
        <v>0</v>
      </c>
      <c r="H391" s="318">
        <v>756746</v>
      </c>
      <c r="L391" s="318">
        <v>756746</v>
      </c>
      <c r="M391" s="540" t="s">
        <v>495</v>
      </c>
    </row>
    <row r="392" spans="1:13" ht="15.75">
      <c r="A392" s="361" t="s">
        <v>496</v>
      </c>
      <c r="B392" s="352" t="s">
        <v>497</v>
      </c>
      <c r="F392" s="318">
        <f t="shared" si="19"/>
        <v>22456</v>
      </c>
      <c r="G392" s="318">
        <v>0</v>
      </c>
      <c r="H392" s="318">
        <v>22455598</v>
      </c>
      <c r="L392" s="318">
        <v>22455598</v>
      </c>
      <c r="M392" s="540" t="s">
        <v>497</v>
      </c>
    </row>
    <row r="393" spans="1:13" ht="15.75">
      <c r="A393" s="361" t="s">
        <v>498</v>
      </c>
      <c r="B393" s="352" t="s">
        <v>499</v>
      </c>
      <c r="F393" s="318">
        <f t="shared" si="19"/>
        <v>59969</v>
      </c>
      <c r="G393" s="318">
        <v>0</v>
      </c>
      <c r="H393" s="318">
        <v>59968621</v>
      </c>
      <c r="L393" s="318">
        <v>59968621</v>
      </c>
      <c r="M393" s="540" t="s">
        <v>499</v>
      </c>
    </row>
    <row r="394" spans="1:13" ht="15.75">
      <c r="A394" s="361">
        <v>398000</v>
      </c>
      <c r="B394" s="352" t="s">
        <v>500</v>
      </c>
      <c r="F394" s="318">
        <f t="shared" si="19"/>
        <v>292</v>
      </c>
      <c r="G394" s="318">
        <v>0</v>
      </c>
      <c r="H394" s="318">
        <v>292348</v>
      </c>
      <c r="L394" s="318">
        <v>292348</v>
      </c>
      <c r="M394" s="540" t="s">
        <v>500</v>
      </c>
    </row>
    <row r="395" spans="1:13" ht="15.75">
      <c r="A395" s="363"/>
      <c r="B395" s="352" t="s">
        <v>501</v>
      </c>
      <c r="F395" s="318">
        <f t="shared" si="19"/>
        <v>207660</v>
      </c>
      <c r="G395" s="318">
        <v>0</v>
      </c>
      <c r="H395" s="318">
        <v>207659848</v>
      </c>
      <c r="L395" s="318">
        <v>207659848</v>
      </c>
      <c r="M395" s="540" t="s">
        <v>501</v>
      </c>
    </row>
    <row r="396" spans="1:13" ht="15.75">
      <c r="A396" s="364"/>
      <c r="B396" s="352"/>
      <c r="F396" s="318">
        <f t="shared" si="19"/>
        <v>0</v>
      </c>
      <c r="G396" s="318">
        <v>0</v>
      </c>
      <c r="M396" s="540"/>
    </row>
    <row r="397" spans="1:13" ht="15.75">
      <c r="A397" s="364"/>
      <c r="B397" s="352" t="s">
        <v>502</v>
      </c>
      <c r="F397" s="318">
        <f t="shared" si="19"/>
        <v>2374570</v>
      </c>
      <c r="G397" s="318">
        <v>0</v>
      </c>
      <c r="H397" s="318">
        <v>2374570128</v>
      </c>
      <c r="L397" s="318">
        <v>2374570128</v>
      </c>
      <c r="M397" s="540" t="s">
        <v>502</v>
      </c>
    </row>
    <row r="398" spans="1:13" ht="15.75">
      <c r="A398" s="364"/>
      <c r="B398" s="352"/>
      <c r="F398" s="318">
        <f t="shared" si="19"/>
        <v>0</v>
      </c>
      <c r="G398" s="318">
        <v>0</v>
      </c>
      <c r="M398" s="540"/>
    </row>
    <row r="399" spans="1:13" ht="15.75">
      <c r="A399" s="364"/>
      <c r="B399" s="352"/>
      <c r="F399" s="318">
        <f t="shared" si="19"/>
        <v>0</v>
      </c>
      <c r="G399" s="318">
        <v>0</v>
      </c>
      <c r="M399" s="540"/>
    </row>
    <row r="400" spans="1:13" ht="15.75">
      <c r="A400" s="364"/>
      <c r="B400" s="352" t="s">
        <v>70</v>
      </c>
      <c r="F400" s="318">
        <f t="shared" si="19"/>
        <v>0</v>
      </c>
      <c r="G400" s="318">
        <v>0</v>
      </c>
      <c r="M400" s="540" t="s">
        <v>70</v>
      </c>
    </row>
    <row r="401" spans="1:13" ht="15.75">
      <c r="A401" s="364"/>
      <c r="B401" s="352" t="s">
        <v>503</v>
      </c>
      <c r="F401" s="318">
        <f t="shared" si="19"/>
        <v>-186785</v>
      </c>
      <c r="G401" s="318">
        <v>0</v>
      </c>
      <c r="H401" s="318">
        <v>-186784715</v>
      </c>
      <c r="L401" s="318">
        <v>-186784715</v>
      </c>
      <c r="M401" s="540" t="s">
        <v>503</v>
      </c>
    </row>
    <row r="402" spans="1:13" ht="15.75">
      <c r="A402" s="361"/>
      <c r="B402" s="352" t="s">
        <v>504</v>
      </c>
      <c r="F402" s="318">
        <f t="shared" si="19"/>
        <v>-85848</v>
      </c>
      <c r="G402" s="318">
        <v>0</v>
      </c>
      <c r="H402" s="318">
        <v>-85848144</v>
      </c>
      <c r="L402" s="318">
        <v>-85848144</v>
      </c>
      <c r="M402" s="540" t="s">
        <v>504</v>
      </c>
    </row>
    <row r="403" spans="1:13" ht="15.75">
      <c r="A403" s="364"/>
      <c r="B403" s="352" t="s">
        <v>505</v>
      </c>
      <c r="F403" s="318">
        <f t="shared" si="19"/>
        <v>-61989</v>
      </c>
      <c r="G403" s="318">
        <v>0</v>
      </c>
      <c r="H403" s="318">
        <v>-61989038</v>
      </c>
      <c r="L403" s="318">
        <v>-61989038</v>
      </c>
      <c r="M403" s="540" t="s">
        <v>505</v>
      </c>
    </row>
    <row r="404" spans="1:13" ht="15.75">
      <c r="A404" s="364"/>
      <c r="B404" s="352" t="s">
        <v>506</v>
      </c>
      <c r="F404" s="318">
        <f t="shared" si="19"/>
        <v>-126839</v>
      </c>
      <c r="G404" s="318">
        <v>0</v>
      </c>
      <c r="H404" s="318">
        <v>-126839010</v>
      </c>
      <c r="L404" s="318">
        <v>-126839010</v>
      </c>
      <c r="M404" s="540" t="s">
        <v>506</v>
      </c>
    </row>
    <row r="405" spans="1:13" ht="15.75">
      <c r="A405" s="364"/>
      <c r="B405" s="352" t="s">
        <v>507</v>
      </c>
      <c r="F405" s="318">
        <f t="shared" si="19"/>
        <v>-268267</v>
      </c>
      <c r="G405" s="318">
        <v>0</v>
      </c>
      <c r="H405" s="318">
        <v>-268266507</v>
      </c>
      <c r="L405" s="318">
        <v>-268266507</v>
      </c>
      <c r="M405" s="540" t="s">
        <v>507</v>
      </c>
    </row>
    <row r="406" spans="1:13" ht="15.75">
      <c r="A406" s="364"/>
      <c r="B406" s="352" t="s">
        <v>508</v>
      </c>
      <c r="F406" s="318">
        <f t="shared" si="19"/>
        <v>-70524</v>
      </c>
      <c r="G406" s="318">
        <v>0</v>
      </c>
      <c r="H406" s="318">
        <v>-70524082</v>
      </c>
      <c r="L406" s="318">
        <v>-70524082</v>
      </c>
      <c r="M406" s="540" t="s">
        <v>508</v>
      </c>
    </row>
    <row r="407" spans="1:13" ht="15.75">
      <c r="A407" s="359"/>
      <c r="B407" s="352" t="s">
        <v>509</v>
      </c>
      <c r="F407" s="318">
        <f t="shared" si="19"/>
        <v>-800251</v>
      </c>
      <c r="G407" s="318">
        <v>0</v>
      </c>
      <c r="H407" s="318">
        <v>-800251496</v>
      </c>
      <c r="L407" s="318">
        <v>-800251496</v>
      </c>
      <c r="M407" s="540" t="s">
        <v>509</v>
      </c>
    </row>
    <row r="408" spans="1:13" ht="15.75">
      <c r="A408" s="359"/>
      <c r="B408" s="352"/>
      <c r="F408" s="318">
        <f t="shared" si="19"/>
        <v>0</v>
      </c>
      <c r="G408" s="318">
        <v>0</v>
      </c>
      <c r="M408" s="540"/>
    </row>
    <row r="409" spans="1:13" ht="15.75">
      <c r="A409" s="359"/>
      <c r="B409" s="352" t="s">
        <v>111</v>
      </c>
      <c r="F409" s="318">
        <f t="shared" si="19"/>
        <v>0</v>
      </c>
      <c r="G409" s="318">
        <v>0</v>
      </c>
      <c r="M409" s="540" t="s">
        <v>111</v>
      </c>
    </row>
    <row r="410" spans="1:13" ht="15.75">
      <c r="A410" s="364"/>
      <c r="B410" s="352" t="s">
        <v>510</v>
      </c>
      <c r="F410" s="318">
        <f t="shared" si="19"/>
        <v>-6137</v>
      </c>
      <c r="G410" s="318">
        <v>0</v>
      </c>
      <c r="H410" s="318">
        <v>-6137370</v>
      </c>
      <c r="L410" s="318">
        <v>-6137370</v>
      </c>
      <c r="M410" s="540" t="s">
        <v>510</v>
      </c>
    </row>
    <row r="411" spans="1:13" ht="15.75">
      <c r="A411" s="364"/>
      <c r="B411" s="352" t="s">
        <v>511</v>
      </c>
      <c r="F411" s="318">
        <f t="shared" si="19"/>
        <v>-156</v>
      </c>
      <c r="G411" s="318">
        <v>0</v>
      </c>
      <c r="H411" s="318">
        <v>-155864</v>
      </c>
      <c r="L411" s="318">
        <v>-155864</v>
      </c>
      <c r="M411" s="540" t="s">
        <v>511</v>
      </c>
    </row>
    <row r="412" spans="1:13" ht="15.75">
      <c r="A412" s="364"/>
      <c r="B412" s="352" t="s">
        <v>512</v>
      </c>
      <c r="F412" s="318">
        <f t="shared" si="19"/>
        <v>-457</v>
      </c>
      <c r="G412" s="318">
        <v>0</v>
      </c>
      <c r="H412" s="318">
        <v>-457220</v>
      </c>
      <c r="L412" s="318">
        <v>-457220</v>
      </c>
      <c r="M412" s="540" t="s">
        <v>512</v>
      </c>
    </row>
    <row r="413" spans="1:13" ht="15.75">
      <c r="A413" s="364"/>
      <c r="B413" s="352" t="s">
        <v>513</v>
      </c>
      <c r="F413" s="318">
        <f t="shared" si="19"/>
        <v>-16700</v>
      </c>
      <c r="G413" s="318">
        <v>0</v>
      </c>
      <c r="H413" s="318">
        <v>-16700386</v>
      </c>
      <c r="L413" s="318">
        <v>-16700386</v>
      </c>
      <c r="M413" s="540" t="s">
        <v>513</v>
      </c>
    </row>
    <row r="414" spans="1:13" ht="15.75">
      <c r="A414" s="364"/>
      <c r="B414" s="352" t="s">
        <v>514</v>
      </c>
      <c r="F414" s="318">
        <f t="shared" si="19"/>
        <v>-270</v>
      </c>
      <c r="G414" s="318">
        <v>0</v>
      </c>
      <c r="H414" s="318">
        <v>-270363</v>
      </c>
      <c r="L414" s="318">
        <v>-270363</v>
      </c>
      <c r="M414" s="540" t="s">
        <v>514</v>
      </c>
    </row>
    <row r="415" spans="1:13" ht="15.75">
      <c r="A415" s="364"/>
      <c r="B415" s="352" t="s">
        <v>515</v>
      </c>
      <c r="F415" s="318">
        <f t="shared" si="19"/>
        <v>-23721</v>
      </c>
      <c r="G415" s="318">
        <v>0</v>
      </c>
      <c r="H415" s="318">
        <v>-23721203</v>
      </c>
      <c r="L415" s="318">
        <v>-23721203</v>
      </c>
      <c r="M415" s="540" t="s">
        <v>515</v>
      </c>
    </row>
    <row r="416" spans="1:13" ht="15.75">
      <c r="A416" s="364"/>
      <c r="B416" s="352"/>
      <c r="F416" s="318">
        <f t="shared" si="19"/>
        <v>0</v>
      </c>
      <c r="G416" s="318">
        <v>0</v>
      </c>
      <c r="M416" s="540"/>
    </row>
    <row r="417" spans="1:13" ht="15.75">
      <c r="A417" s="364"/>
      <c r="B417" s="352" t="s">
        <v>516</v>
      </c>
      <c r="F417" s="318">
        <f t="shared" si="19"/>
        <v>-823973</v>
      </c>
      <c r="G417" s="318">
        <v>0</v>
      </c>
      <c r="H417" s="318">
        <v>-823972699</v>
      </c>
      <c r="L417" s="318">
        <v>-823972699</v>
      </c>
      <c r="M417" s="540" t="s">
        <v>516</v>
      </c>
    </row>
    <row r="418" spans="1:13" ht="15.75">
      <c r="A418" s="364"/>
      <c r="B418" s="352"/>
      <c r="F418" s="318">
        <f t="shared" si="19"/>
        <v>0</v>
      </c>
      <c r="G418" s="318">
        <v>0</v>
      </c>
      <c r="M418" s="540"/>
    </row>
    <row r="419" spans="1:13" ht="15.75">
      <c r="A419" s="359"/>
      <c r="B419" s="352" t="s">
        <v>517</v>
      </c>
      <c r="F419" s="318">
        <f t="shared" si="19"/>
        <v>1550597</v>
      </c>
      <c r="G419" s="318">
        <v>0</v>
      </c>
      <c r="H419" s="318">
        <v>1550597429</v>
      </c>
      <c r="L419" s="318">
        <v>1550597429</v>
      </c>
      <c r="M419" s="540" t="s">
        <v>517</v>
      </c>
    </row>
    <row r="420" spans="1:13" ht="15.75">
      <c r="A420" s="359"/>
      <c r="B420" s="352"/>
      <c r="F420" s="318">
        <f t="shared" si="19"/>
        <v>0</v>
      </c>
      <c r="G420" s="318">
        <v>0</v>
      </c>
      <c r="M420" s="540"/>
    </row>
    <row r="421" spans="1:13" ht="15.75">
      <c r="A421" s="366"/>
      <c r="B421" s="367" t="s">
        <v>518</v>
      </c>
      <c r="F421" s="318">
        <f t="shared" si="19"/>
        <v>0</v>
      </c>
      <c r="G421" s="318">
        <v>0</v>
      </c>
      <c r="M421" s="551" t="s">
        <v>518</v>
      </c>
    </row>
    <row r="422" spans="1:13" ht="15.75">
      <c r="A422" s="368"/>
      <c r="B422" s="366" t="s">
        <v>519</v>
      </c>
      <c r="F422" s="318">
        <f t="shared" si="19"/>
        <v>0</v>
      </c>
      <c r="G422" s="318">
        <v>0</v>
      </c>
      <c r="H422" s="318">
        <v>0</v>
      </c>
      <c r="L422" s="318">
        <v>0</v>
      </c>
      <c r="M422" s="552" t="s">
        <v>519</v>
      </c>
    </row>
    <row r="423" spans="1:13" ht="15.75">
      <c r="A423" s="368"/>
      <c r="B423" s="367" t="s">
        <v>520</v>
      </c>
      <c r="F423" s="318">
        <f t="shared" si="19"/>
        <v>-128</v>
      </c>
      <c r="G423" s="318">
        <v>0</v>
      </c>
      <c r="H423" s="318">
        <v>-128487</v>
      </c>
      <c r="L423" s="318">
        <v>-128487</v>
      </c>
      <c r="M423" s="551" t="s">
        <v>520</v>
      </c>
    </row>
    <row r="424" spans="1:13" ht="15.75">
      <c r="A424" s="368"/>
      <c r="B424" s="367" t="s">
        <v>521</v>
      </c>
      <c r="F424" s="318">
        <f t="shared" si="19"/>
        <v>-249868</v>
      </c>
      <c r="G424" s="318">
        <v>0</v>
      </c>
      <c r="H424" s="318">
        <v>-249868193</v>
      </c>
      <c r="L424" s="318">
        <v>-249868193</v>
      </c>
      <c r="M424" s="551" t="s">
        <v>521</v>
      </c>
    </row>
    <row r="425" spans="1:13" ht="15.75">
      <c r="A425" s="368"/>
      <c r="B425" s="367" t="s">
        <v>522</v>
      </c>
      <c r="F425" s="318">
        <f t="shared" ref="F425:F426" si="21">ROUND(H425/1000,0)</f>
        <v>-33907</v>
      </c>
      <c r="G425" s="318">
        <v>0</v>
      </c>
      <c r="H425" s="318">
        <v>-33907084</v>
      </c>
      <c r="L425" s="318">
        <v>-33907084</v>
      </c>
      <c r="M425" s="551" t="s">
        <v>522</v>
      </c>
    </row>
    <row r="426" spans="1:13" ht="15.75">
      <c r="A426" s="368"/>
      <c r="B426" s="367" t="s">
        <v>652</v>
      </c>
      <c r="F426" s="318">
        <f t="shared" si="21"/>
        <v>-265</v>
      </c>
      <c r="G426" s="318">
        <v>0</v>
      </c>
      <c r="H426" s="318">
        <v>-265441</v>
      </c>
      <c r="L426" s="318">
        <v>-265441</v>
      </c>
      <c r="M426" s="551" t="s">
        <v>652</v>
      </c>
    </row>
    <row r="427" spans="1:13" ht="15.75">
      <c r="A427" s="368"/>
      <c r="B427" s="367" t="s">
        <v>523</v>
      </c>
      <c r="F427" s="318">
        <f t="shared" si="19"/>
        <v>0</v>
      </c>
      <c r="G427" s="318">
        <v>0</v>
      </c>
      <c r="H427" s="318">
        <v>0</v>
      </c>
      <c r="L427" s="318">
        <v>0</v>
      </c>
      <c r="M427" s="551" t="s">
        <v>523</v>
      </c>
    </row>
    <row r="428" spans="1:13" ht="15.75">
      <c r="A428" s="368"/>
      <c r="B428" s="367" t="s">
        <v>524</v>
      </c>
      <c r="F428" s="318">
        <f t="shared" si="19"/>
        <v>0</v>
      </c>
      <c r="G428" s="318">
        <v>0</v>
      </c>
      <c r="H428" s="318">
        <v>0</v>
      </c>
      <c r="L428" s="318">
        <v>0</v>
      </c>
      <c r="M428" s="551" t="s">
        <v>524</v>
      </c>
    </row>
    <row r="429" spans="1:13" ht="15.75">
      <c r="A429" s="368"/>
      <c r="B429" s="367" t="s">
        <v>525</v>
      </c>
      <c r="F429" s="318">
        <f t="shared" si="19"/>
        <v>-7767</v>
      </c>
      <c r="G429" s="318">
        <v>0</v>
      </c>
      <c r="H429" s="318">
        <v>-7767338</v>
      </c>
      <c r="L429" s="318">
        <v>-7767338</v>
      </c>
      <c r="M429" s="551" t="s">
        <v>525</v>
      </c>
    </row>
    <row r="430" spans="1:13" ht="15.75">
      <c r="A430" s="368"/>
      <c r="B430" s="367" t="s">
        <v>653</v>
      </c>
      <c r="F430" s="318">
        <f t="shared" si="19"/>
        <v>241</v>
      </c>
      <c r="G430" s="318">
        <v>0</v>
      </c>
      <c r="H430" s="318">
        <v>241013</v>
      </c>
      <c r="L430" s="318">
        <v>241013</v>
      </c>
      <c r="M430" s="551" t="s">
        <v>653</v>
      </c>
    </row>
    <row r="431" spans="1:13" ht="15.75">
      <c r="A431" s="368"/>
      <c r="B431" s="367" t="s">
        <v>526</v>
      </c>
      <c r="F431" s="318">
        <f t="shared" ref="F431:F470" si="22">ROUND(H431/1000,0)</f>
        <v>-2331</v>
      </c>
      <c r="G431" s="318">
        <v>0</v>
      </c>
      <c r="H431" s="318">
        <v>-2330944</v>
      </c>
      <c r="L431" s="318">
        <v>-2330944</v>
      </c>
      <c r="M431" s="551" t="s">
        <v>526</v>
      </c>
    </row>
    <row r="432" spans="1:13" ht="15.75">
      <c r="A432" s="364"/>
      <c r="B432" s="352" t="s">
        <v>527</v>
      </c>
      <c r="F432" s="318">
        <f t="shared" si="22"/>
        <v>-294026</v>
      </c>
      <c r="G432" s="318">
        <v>0</v>
      </c>
      <c r="H432" s="318">
        <v>-294026474</v>
      </c>
      <c r="L432" s="318">
        <v>-294026474</v>
      </c>
      <c r="M432" s="540" t="s">
        <v>527</v>
      </c>
    </row>
    <row r="433" spans="1:13" ht="15.75">
      <c r="A433" s="359"/>
      <c r="B433" s="352"/>
      <c r="F433" s="318">
        <f t="shared" si="22"/>
        <v>0</v>
      </c>
      <c r="G433" s="318">
        <v>0</v>
      </c>
      <c r="M433" s="540"/>
    </row>
    <row r="434" spans="1:13" ht="15.75">
      <c r="A434" s="359"/>
      <c r="B434" s="352" t="s">
        <v>528</v>
      </c>
      <c r="F434" s="318">
        <f t="shared" si="22"/>
        <v>1256571</v>
      </c>
      <c r="G434" s="318">
        <v>0</v>
      </c>
      <c r="H434" s="318">
        <v>1256570955</v>
      </c>
      <c r="L434" s="318">
        <v>1256570955</v>
      </c>
      <c r="M434" s="540" t="s">
        <v>528</v>
      </c>
    </row>
    <row r="435" spans="1:13">
      <c r="F435" s="318">
        <f t="shared" si="22"/>
        <v>0</v>
      </c>
      <c r="G435" s="318">
        <v>0</v>
      </c>
    </row>
    <row r="436" spans="1:13" ht="15.75">
      <c r="A436" s="351"/>
      <c r="B436" s="352" t="s">
        <v>529</v>
      </c>
      <c r="C436" s="351"/>
      <c r="F436" s="318">
        <f t="shared" si="22"/>
        <v>0</v>
      </c>
      <c r="G436" s="318">
        <v>0</v>
      </c>
      <c r="M436" s="540" t="s">
        <v>529</v>
      </c>
    </row>
    <row r="437" spans="1:13" ht="15.75">
      <c r="A437" s="369"/>
      <c r="B437" s="352" t="s">
        <v>530</v>
      </c>
      <c r="C437" s="352"/>
      <c r="F437" s="318">
        <f t="shared" si="22"/>
        <v>0</v>
      </c>
      <c r="G437" s="318">
        <v>0</v>
      </c>
      <c r="H437" s="318">
        <v>0</v>
      </c>
      <c r="L437" s="318">
        <v>0</v>
      </c>
      <c r="M437" s="540" t="s">
        <v>530</v>
      </c>
    </row>
    <row r="438" spans="1:13" ht="15.75">
      <c r="A438" s="369"/>
      <c r="B438" s="352" t="s">
        <v>531</v>
      </c>
      <c r="C438" s="352"/>
      <c r="F438" s="318">
        <f t="shared" si="22"/>
        <v>0</v>
      </c>
      <c r="G438" s="318">
        <v>0</v>
      </c>
      <c r="H438" s="318">
        <v>0</v>
      </c>
      <c r="L438" s="318">
        <v>0</v>
      </c>
      <c r="M438" s="540" t="s">
        <v>531</v>
      </c>
    </row>
    <row r="439" spans="1:13" ht="15.75">
      <c r="A439" s="369"/>
      <c r="B439" s="359" t="s">
        <v>532</v>
      </c>
      <c r="C439" s="352"/>
      <c r="F439" s="318">
        <f t="shared" si="22"/>
        <v>-702</v>
      </c>
      <c r="G439" s="318">
        <v>0</v>
      </c>
      <c r="H439" s="318">
        <v>-702423</v>
      </c>
      <c r="L439" s="318">
        <v>-702423</v>
      </c>
      <c r="M439" s="553" t="s">
        <v>532</v>
      </c>
    </row>
    <row r="440" spans="1:13" ht="15.75">
      <c r="A440" s="369"/>
      <c r="B440" s="359" t="s">
        <v>533</v>
      </c>
      <c r="C440" s="352"/>
      <c r="F440" s="318">
        <f t="shared" si="22"/>
        <v>1111</v>
      </c>
      <c r="G440" s="318">
        <v>0</v>
      </c>
      <c r="H440" s="318">
        <v>1110999</v>
      </c>
      <c r="L440" s="318">
        <v>1110999</v>
      </c>
      <c r="M440" s="553" t="s">
        <v>533</v>
      </c>
    </row>
    <row r="441" spans="1:13" ht="15.75">
      <c r="A441" s="369"/>
      <c r="B441" s="359" t="s">
        <v>534</v>
      </c>
      <c r="C441" s="352"/>
      <c r="F441" s="318">
        <f t="shared" si="22"/>
        <v>-897</v>
      </c>
      <c r="G441" s="318">
        <v>0</v>
      </c>
      <c r="H441" s="318">
        <v>-896734</v>
      </c>
      <c r="L441" s="318">
        <v>-896734</v>
      </c>
      <c r="M441" s="553" t="s">
        <v>534</v>
      </c>
    </row>
    <row r="442" spans="1:13" ht="15.75">
      <c r="A442" s="369"/>
      <c r="B442" s="359" t="s">
        <v>654</v>
      </c>
      <c r="C442" s="352"/>
      <c r="F442" s="318">
        <f t="shared" si="22"/>
        <v>-5248</v>
      </c>
      <c r="G442" s="318">
        <v>0</v>
      </c>
      <c r="H442" s="318">
        <v>-5247725</v>
      </c>
      <c r="L442" s="318">
        <v>-5247725</v>
      </c>
      <c r="M442" s="553" t="s">
        <v>654</v>
      </c>
    </row>
    <row r="443" spans="1:13" ht="15.75">
      <c r="A443" s="369"/>
      <c r="B443" s="359" t="s">
        <v>535</v>
      </c>
      <c r="C443" s="352"/>
      <c r="F443" s="318">
        <f t="shared" si="22"/>
        <v>4741</v>
      </c>
      <c r="G443" s="318">
        <v>0</v>
      </c>
      <c r="H443" s="318">
        <v>4741221</v>
      </c>
      <c r="L443" s="318">
        <v>4741221</v>
      </c>
      <c r="M443" s="553" t="s">
        <v>535</v>
      </c>
    </row>
    <row r="444" spans="1:13" ht="15.75">
      <c r="A444" s="369"/>
      <c r="B444" s="352" t="s">
        <v>536</v>
      </c>
      <c r="C444" s="352"/>
      <c r="F444" s="318">
        <f t="shared" si="22"/>
        <v>205</v>
      </c>
      <c r="G444" s="318">
        <v>0</v>
      </c>
      <c r="H444" s="318">
        <v>205441</v>
      </c>
      <c r="L444" s="318">
        <v>205441</v>
      </c>
      <c r="M444" s="540" t="s">
        <v>536</v>
      </c>
    </row>
    <row r="445" spans="1:13" ht="15.75">
      <c r="A445" s="369"/>
      <c r="B445" s="359" t="s">
        <v>537</v>
      </c>
      <c r="C445" s="352"/>
      <c r="F445" s="318">
        <f t="shared" si="22"/>
        <v>0</v>
      </c>
      <c r="G445" s="318">
        <v>0</v>
      </c>
      <c r="H445" s="318">
        <v>0</v>
      </c>
      <c r="L445" s="318">
        <v>0</v>
      </c>
      <c r="M445" s="553" t="s">
        <v>537</v>
      </c>
    </row>
    <row r="446" spans="1:13" ht="15.75">
      <c r="A446" s="369"/>
      <c r="B446" s="359" t="s">
        <v>538</v>
      </c>
      <c r="C446" s="352"/>
      <c r="F446" s="318">
        <f t="shared" si="22"/>
        <v>0</v>
      </c>
      <c r="G446" s="318">
        <v>0</v>
      </c>
      <c r="H446" s="318">
        <v>0</v>
      </c>
      <c r="L446" s="318">
        <v>0</v>
      </c>
      <c r="M446" s="553" t="s">
        <v>538</v>
      </c>
    </row>
    <row r="447" spans="1:13" ht="15.75">
      <c r="A447" s="369"/>
      <c r="B447" s="352" t="s">
        <v>539</v>
      </c>
      <c r="C447" s="352"/>
      <c r="F447" s="318">
        <f t="shared" si="22"/>
        <v>0</v>
      </c>
      <c r="G447" s="318">
        <v>0</v>
      </c>
      <c r="H447" s="318">
        <v>0</v>
      </c>
      <c r="L447" s="318">
        <v>0</v>
      </c>
      <c r="M447" s="540" t="s">
        <v>539</v>
      </c>
    </row>
    <row r="448" spans="1:13" ht="15.75">
      <c r="A448" s="369"/>
      <c r="B448" s="359" t="s">
        <v>540</v>
      </c>
      <c r="C448" s="352"/>
      <c r="F448" s="318">
        <f t="shared" si="22"/>
        <v>10821</v>
      </c>
      <c r="G448" s="318">
        <v>0</v>
      </c>
      <c r="H448" s="318">
        <v>10820577</v>
      </c>
      <c r="L448" s="318">
        <v>10820577</v>
      </c>
      <c r="M448" s="553" t="s">
        <v>540</v>
      </c>
    </row>
    <row r="449" spans="1:13" ht="15.75">
      <c r="A449" s="370"/>
      <c r="B449" s="355" t="s">
        <v>541</v>
      </c>
      <c r="C449" s="355"/>
      <c r="F449" s="318">
        <f t="shared" si="22"/>
        <v>-1945</v>
      </c>
      <c r="G449" s="318">
        <v>0</v>
      </c>
      <c r="H449" s="318">
        <v>-1944663</v>
      </c>
      <c r="L449" s="318">
        <v>-1944663</v>
      </c>
      <c r="M449" s="543" t="s">
        <v>541</v>
      </c>
    </row>
    <row r="450" spans="1:13" ht="15.75">
      <c r="A450" s="370"/>
      <c r="B450" s="355" t="s">
        <v>542</v>
      </c>
      <c r="C450" s="355"/>
      <c r="F450" s="318">
        <f t="shared" si="22"/>
        <v>862</v>
      </c>
      <c r="G450" s="318">
        <v>0</v>
      </c>
      <c r="H450" s="318">
        <v>862003</v>
      </c>
      <c r="L450" s="318">
        <v>862003</v>
      </c>
      <c r="M450" s="543" t="s">
        <v>542</v>
      </c>
    </row>
    <row r="451" spans="1:13" ht="15.75">
      <c r="A451" s="370"/>
      <c r="B451" s="355" t="s">
        <v>543</v>
      </c>
      <c r="C451" s="355"/>
      <c r="F451" s="318">
        <f t="shared" si="22"/>
        <v>0</v>
      </c>
      <c r="G451" s="318">
        <v>0</v>
      </c>
      <c r="H451" s="318">
        <v>0</v>
      </c>
      <c r="L451" s="318">
        <v>0</v>
      </c>
      <c r="M451" s="543" t="s">
        <v>543</v>
      </c>
    </row>
    <row r="452" spans="1:13" ht="15.75">
      <c r="A452" s="371"/>
      <c r="B452" s="367" t="s">
        <v>544</v>
      </c>
      <c r="C452" s="367"/>
      <c r="F452" s="318">
        <f t="shared" si="22"/>
        <v>-302</v>
      </c>
      <c r="G452" s="318">
        <v>0</v>
      </c>
      <c r="H452" s="318">
        <v>-301702</v>
      </c>
      <c r="L452" s="318">
        <v>-301702</v>
      </c>
      <c r="M452" s="551" t="s">
        <v>544</v>
      </c>
    </row>
    <row r="453" spans="1:13" ht="15.75">
      <c r="A453" s="370"/>
      <c r="B453" s="355" t="s">
        <v>655</v>
      </c>
      <c r="C453" s="355"/>
      <c r="F453" s="318">
        <f t="shared" si="22"/>
        <v>63</v>
      </c>
      <c r="G453" s="318">
        <v>0</v>
      </c>
      <c r="H453" s="318">
        <v>62702</v>
      </c>
      <c r="L453" s="318">
        <v>62702</v>
      </c>
      <c r="M453" s="543" t="s">
        <v>655</v>
      </c>
    </row>
    <row r="454" spans="1:13" ht="15.75">
      <c r="A454" s="371"/>
      <c r="B454" s="367" t="s">
        <v>545</v>
      </c>
      <c r="C454" s="367"/>
      <c r="F454" s="318">
        <f t="shared" si="22"/>
        <v>0</v>
      </c>
      <c r="G454" s="318">
        <v>0</v>
      </c>
      <c r="H454" s="318">
        <v>0</v>
      </c>
      <c r="L454" s="318">
        <v>0</v>
      </c>
      <c r="M454" s="551" t="s">
        <v>545</v>
      </c>
    </row>
    <row r="455" spans="1:13" ht="15.75">
      <c r="A455" s="370"/>
      <c r="B455" s="355" t="s">
        <v>546</v>
      </c>
      <c r="C455" s="355"/>
      <c r="F455" s="318">
        <f t="shared" si="22"/>
        <v>413</v>
      </c>
      <c r="G455" s="318">
        <v>0</v>
      </c>
      <c r="H455" s="318">
        <v>413324</v>
      </c>
      <c r="L455" s="318">
        <v>413324</v>
      </c>
      <c r="M455" s="543" t="s">
        <v>546</v>
      </c>
    </row>
    <row r="456" spans="1:13" ht="15.75">
      <c r="A456" s="370"/>
      <c r="B456" s="355" t="s">
        <v>547</v>
      </c>
      <c r="C456" s="355"/>
      <c r="F456" s="318">
        <f t="shared" si="22"/>
        <v>-145</v>
      </c>
      <c r="G456" s="318">
        <v>0</v>
      </c>
      <c r="H456" s="318">
        <v>-144644</v>
      </c>
      <c r="L456" s="318">
        <v>-144644</v>
      </c>
      <c r="M456" s="543" t="s">
        <v>547</v>
      </c>
    </row>
    <row r="457" spans="1:13" ht="15.75">
      <c r="A457" s="370"/>
      <c r="B457" s="355" t="s">
        <v>548</v>
      </c>
      <c r="C457" s="355"/>
      <c r="F457" s="318">
        <f t="shared" ref="F457:F463" si="23">ROUND(H457/1000,0)</f>
        <v>262</v>
      </c>
      <c r="G457" s="318">
        <v>0</v>
      </c>
      <c r="H457" s="318">
        <v>262457</v>
      </c>
      <c r="L457" s="318">
        <v>262457</v>
      </c>
      <c r="M457" s="543" t="s">
        <v>548</v>
      </c>
    </row>
    <row r="458" spans="1:13" ht="15.75">
      <c r="A458" s="370"/>
      <c r="B458" s="355" t="s">
        <v>549</v>
      </c>
      <c r="C458" s="355"/>
      <c r="F458" s="318">
        <f t="shared" si="23"/>
        <v>-92</v>
      </c>
      <c r="G458" s="318">
        <v>0</v>
      </c>
      <c r="H458" s="318">
        <v>-91884</v>
      </c>
      <c r="L458" s="318">
        <v>-91884</v>
      </c>
      <c r="M458" s="543" t="s">
        <v>549</v>
      </c>
    </row>
    <row r="459" spans="1:13" ht="15.75">
      <c r="A459" s="370"/>
      <c r="B459" s="372" t="s">
        <v>550</v>
      </c>
      <c r="C459" s="355"/>
      <c r="F459" s="318">
        <f t="shared" si="23"/>
        <v>1184</v>
      </c>
      <c r="G459" s="318">
        <v>0</v>
      </c>
      <c r="H459" s="318">
        <v>1184058</v>
      </c>
      <c r="L459" s="318">
        <v>1184058</v>
      </c>
      <c r="M459" s="554" t="s">
        <v>550</v>
      </c>
    </row>
    <row r="460" spans="1:13" ht="15.75">
      <c r="A460" s="370"/>
      <c r="B460" s="355" t="s">
        <v>551</v>
      </c>
      <c r="C460" s="355"/>
      <c r="F460" s="318">
        <f t="shared" si="23"/>
        <v>-414</v>
      </c>
      <c r="G460" s="318">
        <v>0</v>
      </c>
      <c r="H460" s="318">
        <v>-414441</v>
      </c>
      <c r="L460" s="318">
        <v>-414441</v>
      </c>
      <c r="M460" s="543" t="s">
        <v>551</v>
      </c>
    </row>
    <row r="461" spans="1:13" ht="15.75">
      <c r="A461" s="370"/>
      <c r="B461" s="359" t="s">
        <v>552</v>
      </c>
      <c r="C461" s="355"/>
      <c r="F461" s="318">
        <f t="shared" si="23"/>
        <v>907</v>
      </c>
      <c r="G461" s="318">
        <v>0</v>
      </c>
      <c r="H461" s="318">
        <v>906667</v>
      </c>
      <c r="L461" s="318">
        <v>906667</v>
      </c>
      <c r="M461" s="553" t="s">
        <v>552</v>
      </c>
    </row>
    <row r="462" spans="1:13" ht="15.75">
      <c r="A462" s="370"/>
      <c r="B462" s="355" t="s">
        <v>553</v>
      </c>
      <c r="C462" s="355"/>
      <c r="F462" s="318">
        <f t="shared" si="23"/>
        <v>-317</v>
      </c>
      <c r="G462" s="318">
        <v>0</v>
      </c>
      <c r="H462" s="318">
        <v>-317333</v>
      </c>
      <c r="L462" s="318">
        <v>-317333</v>
      </c>
      <c r="M462" s="543" t="s">
        <v>553</v>
      </c>
    </row>
    <row r="463" spans="1:13" ht="15.75">
      <c r="A463" s="370"/>
      <c r="B463" s="359" t="s">
        <v>554</v>
      </c>
      <c r="C463" s="355"/>
      <c r="F463" s="318">
        <f t="shared" si="23"/>
        <v>0</v>
      </c>
      <c r="G463" s="318">
        <v>0</v>
      </c>
      <c r="H463" s="318">
        <v>0</v>
      </c>
      <c r="L463" s="318">
        <v>0</v>
      </c>
      <c r="M463" s="553" t="s">
        <v>554</v>
      </c>
    </row>
    <row r="464" spans="1:13" ht="15.75">
      <c r="A464" s="370"/>
      <c r="B464" s="359" t="s">
        <v>555</v>
      </c>
      <c r="C464" s="355"/>
      <c r="F464" s="318">
        <f t="shared" si="22"/>
        <v>-462</v>
      </c>
      <c r="G464" s="318">
        <v>0</v>
      </c>
      <c r="H464" s="318">
        <v>-461659</v>
      </c>
      <c r="L464" s="318">
        <v>-461659</v>
      </c>
      <c r="M464" s="553" t="s">
        <v>555</v>
      </c>
    </row>
    <row r="465" spans="1:13" ht="15.75">
      <c r="A465" s="370"/>
      <c r="B465" s="359" t="s">
        <v>556</v>
      </c>
      <c r="C465" s="355"/>
      <c r="F465" s="318">
        <f t="shared" si="22"/>
        <v>-1843</v>
      </c>
      <c r="G465" s="318">
        <v>0</v>
      </c>
      <c r="H465" s="318">
        <v>-1842708</v>
      </c>
      <c r="L465" s="318">
        <v>-1842708</v>
      </c>
      <c r="M465" s="553" t="s">
        <v>556</v>
      </c>
    </row>
    <row r="466" spans="1:13" ht="15.75">
      <c r="A466" s="370"/>
      <c r="B466" s="359" t="s">
        <v>557</v>
      </c>
      <c r="C466" s="355"/>
      <c r="F466" s="318">
        <f t="shared" si="22"/>
        <v>44420</v>
      </c>
      <c r="G466" s="318">
        <v>0</v>
      </c>
      <c r="H466" s="318">
        <v>44420396</v>
      </c>
      <c r="L466" s="318">
        <v>44420396</v>
      </c>
      <c r="M466" s="553" t="s">
        <v>557</v>
      </c>
    </row>
    <row r="467" spans="1:13" ht="15.75">
      <c r="A467" s="370"/>
      <c r="B467" s="359" t="s">
        <v>558</v>
      </c>
      <c r="C467" s="355"/>
      <c r="F467" s="318">
        <f t="shared" si="22"/>
        <v>0</v>
      </c>
      <c r="G467" s="318">
        <v>0</v>
      </c>
      <c r="H467" s="318">
        <v>0</v>
      </c>
      <c r="L467" s="318">
        <v>0</v>
      </c>
      <c r="M467" s="553" t="s">
        <v>558</v>
      </c>
    </row>
    <row r="468" spans="1:13" ht="15.75">
      <c r="A468" s="369"/>
      <c r="B468" s="352" t="s">
        <v>559</v>
      </c>
      <c r="C468" s="352"/>
      <c r="F468" s="318">
        <f t="shared" si="22"/>
        <v>52624</v>
      </c>
      <c r="G468" s="318">
        <v>0</v>
      </c>
      <c r="H468" s="318">
        <v>52623929</v>
      </c>
      <c r="L468" s="318">
        <v>52623929</v>
      </c>
      <c r="M468" s="540" t="s">
        <v>559</v>
      </c>
    </row>
    <row r="469" spans="1:13" ht="15.75">
      <c r="A469" s="369"/>
      <c r="B469" s="352"/>
      <c r="C469" s="352"/>
      <c r="F469" s="318">
        <f t="shared" si="22"/>
        <v>0</v>
      </c>
      <c r="G469" s="318">
        <v>0</v>
      </c>
      <c r="M469" s="540"/>
    </row>
    <row r="470" spans="1:13" ht="15.75">
      <c r="A470" s="369"/>
      <c r="B470" s="352" t="s">
        <v>560</v>
      </c>
      <c r="C470" s="352"/>
      <c r="F470" s="318">
        <f t="shared" si="22"/>
        <v>1309195</v>
      </c>
      <c r="G470" s="318">
        <v>0</v>
      </c>
      <c r="H470" s="318">
        <v>1309194884</v>
      </c>
      <c r="L470" s="318">
        <v>1309194884</v>
      </c>
      <c r="M470" s="540" t="s">
        <v>560</v>
      </c>
    </row>
  </sheetData>
  <mergeCells count="2">
    <mergeCell ref="A1:C1"/>
    <mergeCell ref="A3:C3"/>
  </mergeCells>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126"/>
  <sheetViews>
    <sheetView zoomScaleNormal="100" workbookViewId="0">
      <selection activeCell="U54" sqref="U54"/>
    </sheetView>
  </sheetViews>
  <sheetFormatPr defaultColWidth="9.140625" defaultRowHeight="12.75"/>
  <cols>
    <col min="1" max="1" width="6.42578125" style="383"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4" customWidth="1"/>
    <col min="9" max="9" width="2" style="25" customWidth="1"/>
    <col min="10" max="10" width="12.85546875" style="51"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49" hidden="1" customWidth="1"/>
    <col min="17" max="17" width="18" style="25" bestFit="1" customWidth="1"/>
    <col min="18" max="18" width="8" style="102" bestFit="1" customWidth="1"/>
    <col min="19" max="19" width="7.42578125" style="25" bestFit="1" customWidth="1"/>
    <col min="20" max="16384" width="9.140625" style="25"/>
  </cols>
  <sheetData>
    <row r="1" spans="1:20" ht="21.75" customHeight="1">
      <c r="A1" s="886" t="s">
        <v>112</v>
      </c>
      <c r="B1" s="886"/>
      <c r="C1" s="886"/>
      <c r="D1" s="886"/>
      <c r="E1" s="886"/>
      <c r="F1" s="886"/>
      <c r="G1" s="886"/>
      <c r="H1" s="886"/>
      <c r="I1" s="886"/>
      <c r="J1" s="886"/>
      <c r="K1" s="886"/>
      <c r="L1" s="886"/>
      <c r="M1" s="886"/>
      <c r="N1" s="886"/>
      <c r="O1" s="254"/>
      <c r="Q1" s="156"/>
    </row>
    <row r="2" spans="1:20" ht="15.75" customHeight="1">
      <c r="A2" s="886" t="s">
        <v>252</v>
      </c>
      <c r="B2" s="886"/>
      <c r="C2" s="886"/>
      <c r="D2" s="886"/>
      <c r="E2" s="886"/>
      <c r="F2" s="886"/>
      <c r="G2" s="886"/>
      <c r="H2" s="886"/>
      <c r="I2" s="886"/>
      <c r="J2" s="886"/>
      <c r="K2" s="886"/>
      <c r="L2" s="886"/>
      <c r="M2" s="886"/>
      <c r="N2" s="886"/>
      <c r="O2" s="254"/>
      <c r="Q2" s="156"/>
    </row>
    <row r="3" spans="1:20" ht="15.75" customHeight="1">
      <c r="A3" s="886" t="s">
        <v>248</v>
      </c>
      <c r="B3" s="886"/>
      <c r="C3" s="886"/>
      <c r="D3" s="886"/>
      <c r="E3" s="886"/>
      <c r="F3" s="886"/>
      <c r="G3" s="886"/>
      <c r="H3" s="886"/>
      <c r="I3" s="886"/>
      <c r="J3" s="886"/>
      <c r="K3" s="886"/>
      <c r="L3" s="886"/>
      <c r="M3" s="886"/>
      <c r="N3" s="886"/>
      <c r="O3" s="254"/>
      <c r="Q3" s="156"/>
    </row>
    <row r="4" spans="1:20" s="27" customFormat="1">
      <c r="A4" s="383"/>
      <c r="B4" s="25"/>
      <c r="C4" s="25"/>
      <c r="D4" s="25"/>
      <c r="E4" s="160"/>
      <c r="F4" s="44"/>
      <c r="G4" s="25"/>
      <c r="H4" s="160"/>
      <c r="J4" s="25"/>
      <c r="K4" s="25"/>
      <c r="L4" s="25"/>
      <c r="M4" s="25"/>
      <c r="N4" s="25"/>
      <c r="O4" s="25"/>
      <c r="P4" s="249"/>
      <c r="Q4" s="145"/>
      <c r="R4" s="108"/>
    </row>
    <row r="5" spans="1:20">
      <c r="H5" s="25"/>
      <c r="I5" s="30"/>
      <c r="J5" s="25"/>
      <c r="K5" s="27"/>
      <c r="L5" s="245"/>
      <c r="M5" s="883" t="s">
        <v>243</v>
      </c>
      <c r="N5" s="883"/>
      <c r="O5" s="253"/>
      <c r="Q5" s="156"/>
    </row>
    <row r="6" spans="1:20">
      <c r="D6" s="888" t="s">
        <v>244</v>
      </c>
      <c r="E6" s="888"/>
      <c r="G6" s="889"/>
      <c r="H6" s="889"/>
      <c r="I6" s="30"/>
      <c r="J6" s="883" t="s">
        <v>245</v>
      </c>
      <c r="K6" s="883"/>
      <c r="L6" s="27"/>
      <c r="M6" s="883" t="s">
        <v>246</v>
      </c>
      <c r="N6" s="883"/>
      <c r="O6" s="253"/>
      <c r="Q6" s="156"/>
    </row>
    <row r="7" spans="1:20">
      <c r="D7" s="887" t="s">
        <v>75</v>
      </c>
      <c r="E7" s="887"/>
      <c r="G7" s="887" t="s">
        <v>75</v>
      </c>
      <c r="H7" s="887"/>
      <c r="I7" s="30"/>
      <c r="J7" s="887" t="s">
        <v>75</v>
      </c>
      <c r="K7" s="887"/>
      <c r="L7" s="27"/>
      <c r="M7" s="29" t="s">
        <v>247</v>
      </c>
      <c r="N7" s="29" t="s">
        <v>21</v>
      </c>
      <c r="O7" s="253"/>
    </row>
    <row r="8" spans="1:20">
      <c r="A8" s="384" t="s">
        <v>76</v>
      </c>
      <c r="B8" s="32" t="s">
        <v>77</v>
      </c>
      <c r="C8" s="29"/>
      <c r="D8" s="32" t="s">
        <v>78</v>
      </c>
      <c r="E8" s="32" t="s">
        <v>21</v>
      </c>
      <c r="F8" s="29"/>
      <c r="G8" s="32" t="s">
        <v>78</v>
      </c>
      <c r="H8" s="32" t="s">
        <v>21</v>
      </c>
      <c r="I8" s="30"/>
      <c r="J8" s="32" t="s">
        <v>78</v>
      </c>
      <c r="K8" s="32" t="s">
        <v>21</v>
      </c>
      <c r="M8" s="164">
        <f>'Exh. No. BGM-13R -5'!E23</f>
        <v>0.61986399999999997</v>
      </c>
      <c r="N8" s="199">
        <f>'Exh. No. BGM-13R -5'!Q16</f>
        <v>7.2500000000000009E-2</v>
      </c>
      <c r="O8" s="40"/>
      <c r="Q8" s="156"/>
    </row>
    <row r="9" spans="1:20">
      <c r="A9" s="386">
        <f>'Exh. No. BGM-13R -3'!E$11</f>
        <v>1</v>
      </c>
      <c r="B9" s="50" t="str">
        <f>TRIM(CONCATENATE('Exh. No. BGM-13R -3'!E$9," ",'Exh. No. BGM-13R -3'!E$10," "))</f>
        <v>Results of Operations</v>
      </c>
      <c r="C9" s="51"/>
      <c r="D9" s="52">
        <v>102043</v>
      </c>
      <c r="E9" s="52">
        <v>1309195</v>
      </c>
      <c r="F9" s="51"/>
      <c r="G9" s="52">
        <f>'Exh. No. BGM-13R -3'!E$57</f>
        <v>102043</v>
      </c>
      <c r="H9" s="53">
        <f>'Exh. No. BGM-13R -3'!E$81</f>
        <v>1309195</v>
      </c>
      <c r="I9" s="54"/>
      <c r="J9" s="52">
        <f>G9-D9</f>
        <v>0</v>
      </c>
      <c r="K9" s="52">
        <f>H9-E9</f>
        <v>0</v>
      </c>
      <c r="L9" s="45"/>
      <c r="M9" s="190">
        <f>J9/$M$8*-1</f>
        <v>0</v>
      </c>
      <c r="N9" s="190">
        <f>K9*$N$8/$M$8</f>
        <v>0</v>
      </c>
      <c r="O9" s="190">
        <f>(H9*$N$8/$M$8)-(G9/$M$8)</f>
        <v>-11496.654911399877</v>
      </c>
      <c r="P9" s="250">
        <f>SUM(M9:N9)</f>
        <v>0</v>
      </c>
      <c r="Q9" s="37"/>
    </row>
    <row r="10" spans="1:20" s="51" customFormat="1">
      <c r="A10" s="386">
        <f>'Exh. No. BGM-13R -3'!F$11</f>
        <v>1.01</v>
      </c>
      <c r="B10" s="50" t="str">
        <f>TRIM(CONCATENATE('Exh. No. BGM-13R -3'!F$8," ",'Exh. No. BGM-13R -3'!F$9," ",'Exh. No. BGM-13R -3'!F$10))</f>
        <v>Deferred FIT Rate Base</v>
      </c>
      <c r="D10" s="52">
        <v>-65.166640000000001</v>
      </c>
      <c r="E10" s="52">
        <v>-6556</v>
      </c>
      <c r="G10" s="53">
        <f>'Exh. No. BGM-13R -3'!F$57</f>
        <v>-65.166640000000001</v>
      </c>
      <c r="H10" s="53">
        <f>'Exh. No. BGM-13R -3'!F$81</f>
        <v>-6556</v>
      </c>
      <c r="I10" s="136"/>
      <c r="J10" s="52">
        <f>G10-D10</f>
        <v>0</v>
      </c>
      <c r="K10" s="52">
        <f>H10-E10</f>
        <v>0</v>
      </c>
      <c r="L10" s="45"/>
      <c r="M10" s="190">
        <f>J10/$M$8*-1</f>
        <v>0</v>
      </c>
      <c r="N10" s="190">
        <f>K10*$N$8/$M$8</f>
        <v>0</v>
      </c>
      <c r="O10" s="190">
        <f>(H10*$N$8/$M$8)-(G10/$M$8)</f>
        <v>-661.66668817676145</v>
      </c>
      <c r="P10" s="250">
        <f>SUM(M10:N10)</f>
        <v>0</v>
      </c>
      <c r="Q10" s="37"/>
      <c r="R10" s="141"/>
    </row>
    <row r="11" spans="1:20" s="51" customFormat="1">
      <c r="A11" s="386">
        <f>'Exh. No. BGM-13R -3'!G$11</f>
        <v>1.02</v>
      </c>
      <c r="B11" s="50" t="str">
        <f>TRIM(CONCATENATE('Exh. No. BGM-13R -3'!G$8," ",'Exh. No. BGM-13R -3'!G$9," ",'Exh. No. BGM-13R -3'!G$10))</f>
        <v>Deferred Debits and Credits</v>
      </c>
      <c r="D11" s="52">
        <v>1055.3581199999999</v>
      </c>
      <c r="E11" s="52">
        <v>-6302</v>
      </c>
      <c r="G11" s="53">
        <f>'Exh. No. BGM-13R -3'!G$57</f>
        <v>3240.6843590072003</v>
      </c>
      <c r="H11" s="53">
        <f>'Exh. No. BGM-13R -3'!G$81</f>
        <v>-6302</v>
      </c>
      <c r="I11" s="136"/>
      <c r="J11" s="52">
        <f t="shared" ref="J11" si="0">G11-D11</f>
        <v>2185.3262390072005</v>
      </c>
      <c r="K11" s="52">
        <f t="shared" ref="K11" si="1">H11-E11</f>
        <v>0</v>
      </c>
      <c r="L11" s="200"/>
      <c r="M11" s="190">
        <f t="shared" ref="M11" si="2">J11/$M$8*-1</f>
        <v>-3525.4930742988795</v>
      </c>
      <c r="N11" s="190">
        <f t="shared" ref="N11" si="3">K11*$N$8/$M$8</f>
        <v>0</v>
      </c>
      <c r="O11" s="190">
        <f t="shared" ref="O11:O35" si="4">(H11*$N$8/$M$8)-(G11/$M$8)</f>
        <v>-5965.14615949176</v>
      </c>
      <c r="P11" s="250">
        <f t="shared" ref="P11:P12" si="5">SUM(M11:N11)</f>
        <v>-3525.4930742988795</v>
      </c>
      <c r="Q11" s="37"/>
      <c r="R11" s="141"/>
    </row>
    <row r="12" spans="1:20" ht="13.5" customHeight="1">
      <c r="A12" s="386">
        <f>'Exh. No. BGM-13R -3'!H$11</f>
        <v>1.03</v>
      </c>
      <c r="B12" s="50" t="str">
        <f>TRIM(CONCATENATE('Exh. No. BGM-13R -3'!H$8," ",'Exh. No. BGM-13R -3'!H$9," ",'Exh. No. BGM-13R -3'!H$10))</f>
        <v>Working Capital</v>
      </c>
      <c r="C12" s="51"/>
      <c r="D12" s="53">
        <v>43.258879999999998</v>
      </c>
      <c r="E12" s="53">
        <v>4352</v>
      </c>
      <c r="F12" s="51"/>
      <c r="G12" s="53">
        <f>'Exh. No. BGM-13R -3'!H$57</f>
        <v>43.258879999999998</v>
      </c>
      <c r="H12" s="53">
        <f>'Exh. No. BGM-13R -3'!H$81</f>
        <v>4352</v>
      </c>
      <c r="I12" s="60"/>
      <c r="J12" s="52">
        <f>G12-D12</f>
        <v>0</v>
      </c>
      <c r="K12" s="52">
        <f>H12-E12</f>
        <v>0</v>
      </c>
      <c r="M12" s="190">
        <f>J12/$M$8*-1</f>
        <v>0</v>
      </c>
      <c r="N12" s="190">
        <f>K12*$N$8/$M$8</f>
        <v>0</v>
      </c>
      <c r="O12" s="190">
        <f t="shared" si="4"/>
        <v>439.22718531806981</v>
      </c>
      <c r="P12" s="250">
        <f t="shared" si="5"/>
        <v>0</v>
      </c>
      <c r="Q12" s="191"/>
      <c r="R12" s="256"/>
      <c r="S12" s="244"/>
    </row>
    <row r="13" spans="1:20" ht="13.5" customHeight="1">
      <c r="A13" s="386">
        <f>'Exh. No. BGM-13R -3'!I$11</f>
        <v>1.04</v>
      </c>
      <c r="B13" s="50" t="str">
        <f>TRIM(CONCATENATE('Exh. No. BGM-13R -3'!I$8," ",'Exh. No. BGM-13R -3'!I$9," ",'Exh. No. BGM-13R -3'!I$10))</f>
        <v>Plant Held For Future Use</v>
      </c>
      <c r="C13" s="51"/>
      <c r="D13" s="53">
        <v>53.984140000000004</v>
      </c>
      <c r="E13" s="53">
        <v>5431</v>
      </c>
      <c r="F13" s="51"/>
      <c r="G13" s="53">
        <f>'Exh. No. BGM-13R -3'!I$57</f>
        <v>0</v>
      </c>
      <c r="H13" s="53">
        <f>'Exh. No. BGM-13R -3'!I$81</f>
        <v>0</v>
      </c>
      <c r="I13" s="60"/>
      <c r="J13" s="52">
        <f>G13-D13</f>
        <v>-53.984140000000004</v>
      </c>
      <c r="K13" s="52">
        <f>H13-E13</f>
        <v>-5431</v>
      </c>
      <c r="M13" s="190">
        <f>J13/$M$8*-1</f>
        <v>87.090297226488403</v>
      </c>
      <c r="N13" s="190">
        <f>K13*$N$8/$M$8</f>
        <v>-635.21595059561469</v>
      </c>
      <c r="O13" s="190">
        <f t="shared" ref="O13" si="6">(H13*$N$8/$M$8)-(G13/$M$8)</f>
        <v>0</v>
      </c>
      <c r="P13" s="250">
        <f t="shared" ref="P13" si="7">SUM(M13:N13)</f>
        <v>-548.12565336912633</v>
      </c>
      <c r="Q13" s="191"/>
      <c r="R13" s="256"/>
      <c r="S13" s="244"/>
    </row>
    <row r="14" spans="1:20">
      <c r="A14" s="387"/>
      <c r="B14" s="25" t="s">
        <v>80</v>
      </c>
      <c r="D14" s="38">
        <f>SUM(D9:D13)</f>
        <v>103130.4345</v>
      </c>
      <c r="E14" s="38">
        <f>SUM(E9:E13)</f>
        <v>1306120</v>
      </c>
      <c r="G14" s="38">
        <f>SUM(G9:G13)</f>
        <v>105261.77659900719</v>
      </c>
      <c r="H14" s="38">
        <f>SUM(H9:H13)</f>
        <v>1300689</v>
      </c>
      <c r="I14" s="58"/>
      <c r="J14" s="38">
        <f>SUM(J9:J13)</f>
        <v>2131.3420990072004</v>
      </c>
      <c r="K14" s="38">
        <f>SUM(K9:K13)</f>
        <v>-5431</v>
      </c>
      <c r="L14" s="29"/>
      <c r="M14" s="38">
        <f>SUM(M9:M13)</f>
        <v>-3438.402777072391</v>
      </c>
      <c r="N14" s="38">
        <f>SUM(N9:N13)</f>
        <v>-635.21595059561469</v>
      </c>
      <c r="O14" s="190">
        <f t="shared" si="4"/>
        <v>-17684.240573750314</v>
      </c>
      <c r="Q14" s="156"/>
    </row>
    <row r="15" spans="1:20">
      <c r="A15" s="385"/>
      <c r="G15" s="39"/>
      <c r="H15" s="39"/>
      <c r="I15" s="60"/>
      <c r="J15" s="35"/>
      <c r="K15" s="182"/>
      <c r="L15" s="29"/>
      <c r="O15" s="190">
        <f t="shared" si="4"/>
        <v>0</v>
      </c>
      <c r="Q15" s="156"/>
      <c r="S15" s="245"/>
      <c r="T15" s="51"/>
    </row>
    <row r="16" spans="1:20" s="45" customFormat="1">
      <c r="A16" s="386">
        <f>'Exh. No. BGM-13R -3'!J$11</f>
        <v>2.0099999999999998</v>
      </c>
      <c r="B16" s="50" t="str">
        <f>TRIM(CONCATENATE('Exh. No. BGM-13R -3'!J$8," ",'Exh. No. BGM-13R -3'!J$9," ",'Exh. No. BGM-13R -3'!J$10))</f>
        <v>Eliminate B &amp; O Taxes</v>
      </c>
      <c r="C16" s="51"/>
      <c r="D16" s="52">
        <v>-62.400000000000006</v>
      </c>
      <c r="E16" s="52">
        <v>0</v>
      </c>
      <c r="F16" s="51"/>
      <c r="G16" s="53">
        <f>'Exh. No. BGM-13R -3'!J$57</f>
        <v>-62.400000000000006</v>
      </c>
      <c r="H16" s="53">
        <f>'Exh. No. BGM-13R -3'!J$81</f>
        <v>0</v>
      </c>
      <c r="I16" s="60"/>
      <c r="J16" s="52">
        <f t="shared" ref="J16:J25" si="8">G16-D16</f>
        <v>0</v>
      </c>
      <c r="K16" s="52">
        <f t="shared" ref="K16:K25" si="9">H16-E16</f>
        <v>0</v>
      </c>
      <c r="L16" s="201"/>
      <c r="M16" s="190">
        <f t="shared" ref="M16:M25" si="10">J16/$M$8*-1</f>
        <v>0</v>
      </c>
      <c r="N16" s="190">
        <f t="shared" ref="N16:N25" si="11">K16*$N$8/$M$8</f>
        <v>0</v>
      </c>
      <c r="O16" s="190">
        <f t="shared" si="4"/>
        <v>100.66724313720431</v>
      </c>
      <c r="P16" s="250">
        <f t="shared" ref="P16:P31" si="12">SUM(M16:N16)</f>
        <v>0</v>
      </c>
      <c r="Q16" s="37"/>
      <c r="R16" s="229"/>
      <c r="S16" s="246"/>
      <c r="T16" s="51"/>
    </row>
    <row r="17" spans="1:20" s="45" customFormat="1">
      <c r="A17" s="386">
        <f>'Exh. No. BGM-13R -3'!K$11</f>
        <v>2.0199999999999996</v>
      </c>
      <c r="B17" s="50" t="str">
        <f>TRIM(CONCATENATE('Exh. No. BGM-13R -3'!K$8," ",'Exh. No. BGM-13R -3'!K$9," ",'Exh. No. BGM-13R -3'!K$10))</f>
        <v>Restate Property Tax</v>
      </c>
      <c r="C17" s="51"/>
      <c r="D17" s="52">
        <v>-282.75</v>
      </c>
      <c r="E17" s="52">
        <v>0</v>
      </c>
      <c r="F17" s="51"/>
      <c r="G17" s="53">
        <f>'Exh. No. BGM-13R -3'!K$57</f>
        <v>216.45</v>
      </c>
      <c r="H17" s="53">
        <f>'Exh. No. BGM-13R -3'!K$81</f>
        <v>0</v>
      </c>
      <c r="I17" s="60"/>
      <c r="J17" s="52">
        <f t="shared" ref="J17" si="13">G17-D17</f>
        <v>499.2</v>
      </c>
      <c r="K17" s="52">
        <f t="shared" ref="K17" si="14">H17-E17</f>
        <v>0</v>
      </c>
      <c r="L17" s="201"/>
      <c r="M17" s="190">
        <f t="shared" ref="M17" si="15">J17/$M$8*-1</f>
        <v>-805.33794509763436</v>
      </c>
      <c r="N17" s="190">
        <f t="shared" ref="N17" si="16">K17*$N$8/$M$8</f>
        <v>0</v>
      </c>
      <c r="O17" s="190">
        <f t="shared" ref="O17" si="17">(H17*$N$8/$M$8)-(G17/$M$8)</f>
        <v>-349.18949963217739</v>
      </c>
      <c r="P17" s="250">
        <f t="shared" ref="P17" si="18">SUM(M17:N17)</f>
        <v>-805.33794509763436</v>
      </c>
      <c r="Q17" s="37"/>
      <c r="R17" s="229"/>
      <c r="S17" s="246"/>
      <c r="T17" s="51"/>
    </row>
    <row r="18" spans="1:20" s="45" customFormat="1">
      <c r="A18" s="386">
        <f>'Exh. No. BGM-13R -3'!L$11</f>
        <v>2.0299999999999994</v>
      </c>
      <c r="B18" s="50" t="str">
        <f>TRIM(CONCATENATE('Exh. No. BGM-13R -3'!L$8," ",'Exh. No. BGM-13R -3'!L$9," ",'Exh. No. BGM-13R -3'!L$10))</f>
        <v>Uncollect. Expense</v>
      </c>
      <c r="C18" s="51"/>
      <c r="D18" s="52">
        <v>-685.1</v>
      </c>
      <c r="E18" s="52">
        <v>0</v>
      </c>
      <c r="F18" s="51"/>
      <c r="G18" s="53">
        <f>'Exh. No. BGM-13R -3'!L$57</f>
        <v>-685.1</v>
      </c>
      <c r="H18" s="53">
        <f>'Exh. No. BGM-13R -3'!L$81</f>
        <v>0</v>
      </c>
      <c r="I18" s="60"/>
      <c r="J18" s="52">
        <f t="shared" si="8"/>
        <v>0</v>
      </c>
      <c r="K18" s="52">
        <f t="shared" si="9"/>
        <v>0</v>
      </c>
      <c r="L18" s="201"/>
      <c r="M18" s="190">
        <f t="shared" si="10"/>
        <v>0</v>
      </c>
      <c r="N18" s="190">
        <f t="shared" si="11"/>
        <v>0</v>
      </c>
      <c r="O18" s="190">
        <f t="shared" si="4"/>
        <v>1105.2424402772222</v>
      </c>
      <c r="P18" s="250">
        <f t="shared" si="12"/>
        <v>0</v>
      </c>
      <c r="Q18" s="37"/>
      <c r="R18" s="229"/>
      <c r="S18" s="244"/>
    </row>
    <row r="19" spans="1:20" s="45" customFormat="1">
      <c r="A19" s="386">
        <f>'Exh. No. BGM-13R -3'!M$11</f>
        <v>2.0399999999999991</v>
      </c>
      <c r="B19" s="50" t="str">
        <f>TRIM(CONCATENATE('Exh. No. BGM-13R -3'!M$8," ",'Exh. No. BGM-13R -3'!M$9," ",'Exh. No. BGM-13R -3'!M$10))</f>
        <v>Regulatory Expense</v>
      </c>
      <c r="C19" s="51"/>
      <c r="D19" s="52">
        <v>-11.7</v>
      </c>
      <c r="E19" s="52">
        <v>0</v>
      </c>
      <c r="F19" s="51"/>
      <c r="G19" s="53">
        <f>'Exh. No. BGM-13R -3'!M$57</f>
        <v>-11.7</v>
      </c>
      <c r="H19" s="53">
        <f>'Exh. No. BGM-13R -3'!M$81</f>
        <v>0</v>
      </c>
      <c r="I19" s="60"/>
      <c r="J19" s="52">
        <f t="shared" si="8"/>
        <v>0</v>
      </c>
      <c r="K19" s="52">
        <f t="shared" si="9"/>
        <v>0</v>
      </c>
      <c r="L19" s="201"/>
      <c r="M19" s="190">
        <f t="shared" si="10"/>
        <v>0</v>
      </c>
      <c r="N19" s="190">
        <f t="shared" si="11"/>
        <v>0</v>
      </c>
      <c r="O19" s="190">
        <f t="shared" si="4"/>
        <v>18.875108088225804</v>
      </c>
      <c r="P19" s="250">
        <f t="shared" si="12"/>
        <v>0</v>
      </c>
      <c r="Q19" s="37"/>
      <c r="R19" s="229"/>
      <c r="S19" s="244"/>
    </row>
    <row r="20" spans="1:20" s="45" customFormat="1">
      <c r="A20" s="386">
        <f>'Exh. No. BGM-13R -3'!N$11</f>
        <v>2.0499999999999989</v>
      </c>
      <c r="B20" s="50" t="str">
        <f>TRIM(CONCATENATE('Exh. No. BGM-13R -3'!N$8," ",'Exh. No. BGM-13R -3'!N$9," ",'Exh. No. BGM-13R -3'!N$10))</f>
        <v>Injuries and Damages</v>
      </c>
      <c r="C20" s="51"/>
      <c r="D20" s="52">
        <v>-117.65</v>
      </c>
      <c r="E20" s="52">
        <v>0</v>
      </c>
      <c r="F20" s="51"/>
      <c r="G20" s="53">
        <f>'Exh. No. BGM-13R -3'!N$57</f>
        <v>-117.65</v>
      </c>
      <c r="H20" s="53">
        <f>'Exh. No. BGM-13R -3'!N$81</f>
        <v>0</v>
      </c>
      <c r="I20" s="60"/>
      <c r="J20" s="52">
        <f t="shared" si="8"/>
        <v>0</v>
      </c>
      <c r="K20" s="52">
        <f t="shared" si="9"/>
        <v>0</v>
      </c>
      <c r="L20" s="201"/>
      <c r="M20" s="190">
        <f t="shared" si="10"/>
        <v>0</v>
      </c>
      <c r="N20" s="190">
        <f t="shared" si="11"/>
        <v>0</v>
      </c>
      <c r="O20" s="190">
        <f t="shared" si="4"/>
        <v>189.7996979982706</v>
      </c>
      <c r="P20" s="250">
        <f t="shared" si="12"/>
        <v>0</v>
      </c>
      <c r="Q20" s="37"/>
      <c r="R20" s="229"/>
      <c r="S20" s="244"/>
    </row>
    <row r="21" spans="1:20" s="134" customFormat="1">
      <c r="A21" s="386">
        <f>'Exh. No. BGM-13R -3'!O$11</f>
        <v>2.0599999999999987</v>
      </c>
      <c r="B21" s="50" t="str">
        <f>TRIM(CONCATENATE('Exh. No. BGM-13R -3'!O$8," ",'Exh. No. BGM-13R -3'!O$9," ",'Exh. No. BGM-13R -3'!O$10))</f>
        <v>FIT/DFIT/ ITC/PTC Expense</v>
      </c>
      <c r="C21" s="51"/>
      <c r="D21" s="52">
        <v>566</v>
      </c>
      <c r="E21" s="52">
        <v>0</v>
      </c>
      <c r="F21" s="51"/>
      <c r="G21" s="53">
        <f>'Exh. No. BGM-13R -3'!O$57</f>
        <v>566</v>
      </c>
      <c r="H21" s="53">
        <f>'Exh. No. BGM-13R -3'!O$81</f>
        <v>0</v>
      </c>
      <c r="I21" s="132"/>
      <c r="J21" s="52">
        <f t="shared" si="8"/>
        <v>0</v>
      </c>
      <c r="K21" s="52">
        <f t="shared" si="9"/>
        <v>0</v>
      </c>
      <c r="L21" s="133"/>
      <c r="M21" s="190">
        <f t="shared" si="10"/>
        <v>0</v>
      </c>
      <c r="N21" s="190">
        <f t="shared" si="11"/>
        <v>0</v>
      </c>
      <c r="O21" s="190">
        <f t="shared" si="4"/>
        <v>-913.10351948169284</v>
      </c>
      <c r="P21" s="250">
        <f t="shared" si="12"/>
        <v>0</v>
      </c>
      <c r="Q21" s="37"/>
      <c r="R21" s="230"/>
      <c r="S21" s="244"/>
    </row>
    <row r="22" spans="1:20">
      <c r="A22" s="386">
        <f>'Exh. No. BGM-13R -3'!P$11</f>
        <v>2.0699999999999985</v>
      </c>
      <c r="B22" s="50" t="str">
        <f>TRIM(CONCATENATE('Exh. No. BGM-13R -3'!P$8," ",'Exh. No. BGM-13R -3'!P$9," ",'Exh. No. BGM-13R -3'!P$10))</f>
        <v>Office Space Charges to Non-Utility</v>
      </c>
      <c r="C22" s="51"/>
      <c r="D22" s="52">
        <v>21.450000000000003</v>
      </c>
      <c r="E22" s="52">
        <v>0</v>
      </c>
      <c r="F22" s="51"/>
      <c r="G22" s="53">
        <f>'Exh. No. BGM-13R -3'!P$57</f>
        <v>21.450000000000003</v>
      </c>
      <c r="H22" s="53">
        <f>'Exh. No. BGM-13R -3'!P$81</f>
        <v>0</v>
      </c>
      <c r="I22" s="60"/>
      <c r="J22" s="52">
        <f t="shared" si="8"/>
        <v>0</v>
      </c>
      <c r="K22" s="52">
        <f t="shared" si="9"/>
        <v>0</v>
      </c>
      <c r="L22" s="29"/>
      <c r="M22" s="190">
        <f t="shared" si="10"/>
        <v>0</v>
      </c>
      <c r="N22" s="190">
        <f t="shared" si="11"/>
        <v>0</v>
      </c>
      <c r="O22" s="190">
        <f t="shared" si="4"/>
        <v>-34.604364828413978</v>
      </c>
      <c r="P22" s="250">
        <f t="shared" si="12"/>
        <v>0</v>
      </c>
      <c r="Q22" s="37"/>
      <c r="S22" s="244"/>
    </row>
    <row r="23" spans="1:20" s="134" customFormat="1">
      <c r="A23" s="386">
        <f>'Exh. No. BGM-13R -3'!Q$11</f>
        <v>2.0799999999999983</v>
      </c>
      <c r="B23" s="50" t="str">
        <f>TRIM(CONCATENATE('Exh. No. BGM-13R -3'!Q$8," ",'Exh. No. BGM-13R -3'!Q$9," ",'Exh. No. BGM-13R -3'!Q$10))</f>
        <v>Restate Excise Taxes</v>
      </c>
      <c r="C23" s="51"/>
      <c r="D23" s="52">
        <v>216.45</v>
      </c>
      <c r="E23" s="52">
        <v>0</v>
      </c>
      <c r="F23" s="51"/>
      <c r="G23" s="53">
        <f>'Exh. No. BGM-13R -3'!Q$57</f>
        <v>216.45</v>
      </c>
      <c r="H23" s="53">
        <f>'Exh. No. BGM-13R -3'!Q$81</f>
        <v>0</v>
      </c>
      <c r="I23" s="143"/>
      <c r="J23" s="52">
        <f t="shared" si="8"/>
        <v>0</v>
      </c>
      <c r="K23" s="52">
        <f t="shared" si="9"/>
        <v>0</v>
      </c>
      <c r="L23" s="133"/>
      <c r="M23" s="190">
        <f t="shared" si="10"/>
        <v>0</v>
      </c>
      <c r="N23" s="190">
        <f t="shared" si="11"/>
        <v>0</v>
      </c>
      <c r="O23" s="190">
        <f t="shared" si="4"/>
        <v>-349.18949963217739</v>
      </c>
      <c r="P23" s="250">
        <f t="shared" si="12"/>
        <v>0</v>
      </c>
      <c r="Q23" s="191"/>
      <c r="R23" s="230"/>
    </row>
    <row r="24" spans="1:20" s="134" customFormat="1">
      <c r="A24" s="386">
        <f>'Exh. No. BGM-13R -3'!R$11</f>
        <v>2.0899999999999981</v>
      </c>
      <c r="B24" s="50" t="str">
        <f>TRIM(CONCATENATE('Exh. No. BGM-13R -3'!R$8," ",'Exh. No. BGM-13R -3'!R$9," ",'Exh. No. BGM-13R -3'!R$10))</f>
        <v>Net Gains / Losses</v>
      </c>
      <c r="C24" s="51"/>
      <c r="D24" s="52">
        <v>51.35</v>
      </c>
      <c r="E24" s="52">
        <v>0</v>
      </c>
      <c r="F24" s="51"/>
      <c r="G24" s="53">
        <f>'Exh. No. BGM-13R -3'!R$57</f>
        <v>51.35</v>
      </c>
      <c r="H24" s="53">
        <f>'Exh. No. BGM-13R -3'!R$81</f>
        <v>0</v>
      </c>
      <c r="I24" s="143"/>
      <c r="J24" s="52">
        <f t="shared" si="8"/>
        <v>0</v>
      </c>
      <c r="K24" s="52">
        <f t="shared" si="9"/>
        <v>0</v>
      </c>
      <c r="L24" s="133"/>
      <c r="M24" s="190">
        <f t="shared" si="10"/>
        <v>0</v>
      </c>
      <c r="N24" s="190">
        <f t="shared" si="11"/>
        <v>0</v>
      </c>
      <c r="O24" s="190">
        <f t="shared" si="4"/>
        <v>-82.840752164991031</v>
      </c>
      <c r="P24" s="250">
        <f t="shared" si="12"/>
        <v>0</v>
      </c>
      <c r="Q24" s="191"/>
      <c r="R24" s="230"/>
      <c r="S24" s="244"/>
      <c r="T24" s="245"/>
    </row>
    <row r="25" spans="1:20">
      <c r="A25" s="386">
        <f>'Exh. No. BGM-13R -3'!S$11</f>
        <v>2.0999999999999979</v>
      </c>
      <c r="B25" s="50" t="str">
        <f>TRIM(CONCATENATE('Exh. No. BGM-13R -3'!S$8," ",'Exh. No. BGM-13R -3'!S$9," ",'Exh. No. BGM-13R -3'!S$10))</f>
        <v>Weather Normalization</v>
      </c>
      <c r="C25" s="51"/>
      <c r="D25" s="52">
        <v>1926.6000000000001</v>
      </c>
      <c r="E25" s="52">
        <v>0</v>
      </c>
      <c r="F25" s="51"/>
      <c r="G25" s="53">
        <f>'Exh. No. BGM-13R -3'!S$57</f>
        <v>1926.6000000000001</v>
      </c>
      <c r="H25" s="53">
        <f>'Exh. No. BGM-13R -3'!S$81</f>
        <v>0</v>
      </c>
      <c r="I25" s="144"/>
      <c r="J25" s="52">
        <f t="shared" si="8"/>
        <v>0</v>
      </c>
      <c r="K25" s="52">
        <f t="shared" si="9"/>
        <v>0</v>
      </c>
      <c r="L25" s="29"/>
      <c r="M25" s="190">
        <f t="shared" si="10"/>
        <v>0</v>
      </c>
      <c r="N25" s="190">
        <f t="shared" si="11"/>
        <v>0</v>
      </c>
      <c r="O25" s="190">
        <f t="shared" si="4"/>
        <v>-3108.1011318611827</v>
      </c>
      <c r="P25" s="250">
        <f t="shared" si="12"/>
        <v>0</v>
      </c>
      <c r="Q25" s="191"/>
      <c r="T25" s="246"/>
    </row>
    <row r="26" spans="1:20" s="134" customFormat="1">
      <c r="A26" s="386">
        <f>'Exh. No. BGM-13R -3'!T$11</f>
        <v>2.1099999999999977</v>
      </c>
      <c r="B26" s="50" t="str">
        <f>TRIM(CONCATENATE('Exh. No. BGM-13R -3'!T$8," ",'Exh. No. BGM-13R -3'!T$9," ",'Exh. No. BGM-13R -3'!T$10))</f>
        <v>Eliminate Adder Schedules</v>
      </c>
      <c r="C26" s="51"/>
      <c r="D26" s="52">
        <v>0</v>
      </c>
      <c r="E26" s="52">
        <v>0</v>
      </c>
      <c r="F26" s="51"/>
      <c r="G26" s="53">
        <f>'Exh. No. BGM-13R -3'!T$57</f>
        <v>0</v>
      </c>
      <c r="H26" s="53">
        <f>'Exh. No. BGM-13R -3'!U$81</f>
        <v>0</v>
      </c>
      <c r="I26" s="132"/>
      <c r="J26" s="52">
        <f t="shared" ref="J26" si="19">G26-D26</f>
        <v>0</v>
      </c>
      <c r="K26" s="52">
        <f t="shared" ref="K26" si="20">H26-E26</f>
        <v>0</v>
      </c>
      <c r="M26" s="190">
        <f t="shared" ref="M26" si="21">J26/$M$8*-1</f>
        <v>0</v>
      </c>
      <c r="N26" s="190">
        <f t="shared" ref="N26" si="22">K26*$N$8/$M$8</f>
        <v>0</v>
      </c>
      <c r="O26" s="190">
        <f t="shared" ref="O26" si="23">(H26*$N$8/$M$8)-(G26/$M$8)</f>
        <v>0</v>
      </c>
      <c r="P26" s="250">
        <f t="shared" ref="P26" si="24">SUM(M26:N26)</f>
        <v>0</v>
      </c>
      <c r="Q26" s="191"/>
      <c r="R26" s="230"/>
      <c r="S26" s="244"/>
    </row>
    <row r="27" spans="1:20" s="134" customFormat="1">
      <c r="A27" s="386">
        <f>'Exh. No. BGM-13R -3'!U$11</f>
        <v>2.1199999999999974</v>
      </c>
      <c r="B27" s="50" t="str">
        <f>TRIM(CONCATENATE('Exh. No. BGM-13R -3'!U$8," ",'Exh. No. BGM-13R -3'!U$9," ",'Exh. No. BGM-13R -3'!U$10))</f>
        <v>Misc. Restating Non-Util / Non-Recurring Expenses</v>
      </c>
      <c r="C27" s="51"/>
      <c r="D27" s="52">
        <v>531.70000000000005</v>
      </c>
      <c r="E27" s="52">
        <v>0</v>
      </c>
      <c r="F27" s="51"/>
      <c r="G27" s="53">
        <f>'Exh. No. BGM-13R -3'!U$57</f>
        <v>746.50745000000006</v>
      </c>
      <c r="H27" s="53">
        <f>'Exh. No. BGM-13R -3'!U$81</f>
        <v>0</v>
      </c>
      <c r="I27" s="132"/>
      <c r="J27" s="52">
        <f t="shared" ref="J27:K29" si="25">G27-D27</f>
        <v>214.80745000000002</v>
      </c>
      <c r="K27" s="52">
        <f t="shared" si="25"/>
        <v>0</v>
      </c>
      <c r="M27" s="190">
        <f t="shared" ref="M27:M31" si="26">J27/$M$8*-1</f>
        <v>-346.53964418001374</v>
      </c>
      <c r="N27" s="190">
        <f t="shared" ref="N27:N31" si="27">K27*$N$8/$M$8</f>
        <v>0</v>
      </c>
      <c r="O27" s="190">
        <f>(H27*$N$8/$M$8)-(G27/$M$8)</f>
        <v>-1204.3084450782753</v>
      </c>
      <c r="P27" s="250">
        <f>SUM(M27:N27)</f>
        <v>-346.53964418001374</v>
      </c>
      <c r="Q27" s="191"/>
      <c r="R27" s="230"/>
      <c r="S27" s="244"/>
    </row>
    <row r="28" spans="1:20" s="45" customFormat="1">
      <c r="A28" s="386">
        <f>'Exh. No. BGM-13R -3'!V$11</f>
        <v>2.1299999999999972</v>
      </c>
      <c r="B28" s="50" t="str">
        <f>TRIM(CONCATENATE('Exh. No. BGM-13R -3'!V$8," ",'Exh. No. BGM-13R -3'!V$9," ",'Exh. No. BGM-13R -3'!V$10))</f>
        <v>Eliminate WA Power Cost Defer</v>
      </c>
      <c r="C28" s="51"/>
      <c r="D28" s="52">
        <v>5034</v>
      </c>
      <c r="E28" s="52">
        <v>0</v>
      </c>
      <c r="F28" s="51"/>
      <c r="G28" s="53">
        <f>'Exh. No. BGM-13R -3'!V$57</f>
        <v>5034</v>
      </c>
      <c r="H28" s="53">
        <f>'Exh. No. BGM-13R -3'!V$81</f>
        <v>0</v>
      </c>
      <c r="I28" s="60"/>
      <c r="J28" s="52">
        <f t="shared" si="25"/>
        <v>0</v>
      </c>
      <c r="K28" s="52">
        <f t="shared" si="25"/>
        <v>0</v>
      </c>
      <c r="L28" s="201"/>
      <c r="M28" s="190">
        <f t="shared" si="26"/>
        <v>0</v>
      </c>
      <c r="N28" s="190">
        <f t="shared" si="27"/>
        <v>0</v>
      </c>
      <c r="O28" s="190">
        <f>(H28*$N$8/$M$8)-(G28/$M$8)</f>
        <v>-8121.1362492417693</v>
      </c>
      <c r="P28" s="250">
        <f>SUM(M28:N28)</f>
        <v>0</v>
      </c>
      <c r="Q28" s="37"/>
      <c r="R28" s="229"/>
    </row>
    <row r="29" spans="1:20" s="45" customFormat="1" ht="12" customHeight="1">
      <c r="A29" s="386">
        <f>'Exh. No. BGM-13R -3'!W$11</f>
        <v>2.139999999999997</v>
      </c>
      <c r="B29" s="50" t="str">
        <f>TRIM(CONCATENATE('Exh. No. BGM-13R -3'!W$8," ",'Exh. No. BGM-13R -3'!W$9," ",'Exh. No. BGM-13R -3'!W$10))</f>
        <v>Nez Perce Settlement Adjustment</v>
      </c>
      <c r="C29" s="51"/>
      <c r="D29" s="52">
        <v>5.85</v>
      </c>
      <c r="E29" s="52">
        <v>0</v>
      </c>
      <c r="F29" s="51"/>
      <c r="G29" s="53">
        <f>'Exh. No. BGM-13R -3'!W$57</f>
        <v>5.85</v>
      </c>
      <c r="H29" s="53">
        <f>'Exh. No. BGM-13R -3'!W$81</f>
        <v>0</v>
      </c>
      <c r="I29" s="60"/>
      <c r="J29" s="52">
        <f t="shared" si="25"/>
        <v>0</v>
      </c>
      <c r="K29" s="52">
        <f t="shared" si="25"/>
        <v>0</v>
      </c>
      <c r="L29" s="201"/>
      <c r="M29" s="190">
        <f t="shared" si="26"/>
        <v>0</v>
      </c>
      <c r="N29" s="190">
        <f t="shared" si="27"/>
        <v>0</v>
      </c>
      <c r="O29" s="190">
        <f>(H29*$N$8/$M$8)-(G29/$M$8)</f>
        <v>-9.4375540441129022</v>
      </c>
      <c r="P29" s="250">
        <f>SUM(M29:N29)</f>
        <v>0</v>
      </c>
      <c r="Q29" s="37"/>
      <c r="R29" s="229"/>
      <c r="S29" s="244"/>
    </row>
    <row r="30" spans="1:20" s="160" customFormat="1">
      <c r="A30" s="388">
        <f>'Exh. No. BGM-13R -3'!X$11</f>
        <v>2.1499999999999968</v>
      </c>
      <c r="B30" s="158" t="str">
        <f>TRIM(CONCATENATE('Exh. No. BGM-13R -3'!X$8," ",'Exh. No. BGM-13R -3'!X$9," ",'Exh. No. BGM-13R -3'!X$10))</f>
        <v>Restate Debt Interest</v>
      </c>
      <c r="C30" s="159"/>
      <c r="D30" s="52">
        <v>435</v>
      </c>
      <c r="E30" s="52">
        <v>0</v>
      </c>
      <c r="F30" s="159"/>
      <c r="G30" s="142">
        <f ca="1">'Exh. No. BGM-13R -3'!X$57</f>
        <v>156.79928000000001</v>
      </c>
      <c r="H30" s="142">
        <f>'Exh. No. BGM-13R -3'!X$81</f>
        <v>0</v>
      </c>
      <c r="I30" s="188"/>
      <c r="J30" s="197">
        <f ca="1">G30-D30</f>
        <v>-278.20071999999999</v>
      </c>
      <c r="K30" s="197">
        <f>H30-E30</f>
        <v>0</v>
      </c>
      <c r="L30" s="202"/>
      <c r="M30" s="190">
        <f ca="1">J30/$M$8*-1</f>
        <v>448.80928719848225</v>
      </c>
      <c r="N30" s="190">
        <f>K30*$N$8/$M$8</f>
        <v>0</v>
      </c>
      <c r="O30" s="190">
        <f ca="1">(H30*$N$8/$M$8)-(G30/$M$8)</f>
        <v>-252.95755197914383</v>
      </c>
      <c r="P30" s="250">
        <f ca="1">SUM(M30:N30)</f>
        <v>448.80928719848225</v>
      </c>
      <c r="Q30" s="191"/>
      <c r="R30" s="172"/>
      <c r="S30" s="244"/>
    </row>
    <row r="31" spans="1:20" s="160" customFormat="1">
      <c r="A31" s="388">
        <f>'Exh. No. BGM-13R -3'!Y$11</f>
        <v>2.1599999999999966</v>
      </c>
      <c r="B31" s="158" t="str">
        <f>TRIM(CONCATENATE('Exh. No. BGM-13R -3'!Y$8," ",'Exh. No. BGM-13R -3'!Y$9," ",'Exh. No. BGM-13R -3'!Y$10))</f>
        <v>Restate Incentive Expenses</v>
      </c>
      <c r="C31" s="159"/>
      <c r="D31" s="242">
        <v>800.15000000000009</v>
      </c>
      <c r="E31" s="242">
        <v>0</v>
      </c>
      <c r="F31" s="159"/>
      <c r="G31" s="142">
        <f>'Exh. No. BGM-13R -3'!Y$57</f>
        <v>-559.95000000000005</v>
      </c>
      <c r="H31" s="142">
        <f>'Exh. No. BGM-13R -3'!Y$81</f>
        <v>0</v>
      </c>
      <c r="I31" s="188"/>
      <c r="J31" s="243">
        <f t="shared" ref="J31:K31" si="28">G31-D31</f>
        <v>-1360.1000000000001</v>
      </c>
      <c r="K31" s="243">
        <f t="shared" si="28"/>
        <v>0</v>
      </c>
      <c r="L31" s="202"/>
      <c r="M31" s="198">
        <f t="shared" si="26"/>
        <v>2194.1909838287111</v>
      </c>
      <c r="N31" s="198">
        <f t="shared" si="27"/>
        <v>0</v>
      </c>
      <c r="O31" s="190">
        <f t="shared" si="4"/>
        <v>903.34331401726843</v>
      </c>
      <c r="P31" s="250">
        <f t="shared" si="12"/>
        <v>2194.1909838287111</v>
      </c>
      <c r="Q31" s="191"/>
      <c r="R31" s="231"/>
      <c r="S31" s="244"/>
    </row>
    <row r="32" spans="1:20" s="112" customFormat="1" ht="2.25" customHeight="1">
      <c r="A32" s="389"/>
      <c r="B32" s="50"/>
      <c r="C32" s="51"/>
      <c r="D32" s="213"/>
      <c r="E32" s="213"/>
      <c r="F32" s="51"/>
      <c r="G32" s="127"/>
      <c r="H32" s="127"/>
      <c r="I32" s="60"/>
      <c r="J32" s="217"/>
      <c r="K32" s="213"/>
      <c r="L32" s="203"/>
      <c r="M32" s="218"/>
      <c r="N32" s="218"/>
      <c r="O32" s="190"/>
      <c r="P32" s="249"/>
      <c r="Q32" s="241"/>
      <c r="R32" s="261"/>
      <c r="S32" s="244"/>
    </row>
    <row r="33" spans="1:19" ht="13.5" thickBot="1">
      <c r="A33" s="390"/>
      <c r="B33" s="25" t="s">
        <v>81</v>
      </c>
      <c r="D33" s="43">
        <f>SUM(D14:D32)</f>
        <v>111559.38450000001</v>
      </c>
      <c r="E33" s="43">
        <f>SUM(E14:E32)</f>
        <v>1306120</v>
      </c>
      <c r="G33" s="43">
        <f ca="1">SUM(G14:G32)</f>
        <v>112766.43332900722</v>
      </c>
      <c r="H33" s="43">
        <f>SUM(H14:H32)</f>
        <v>1300689</v>
      </c>
      <c r="I33" s="58"/>
      <c r="J33" s="43">
        <f ca="1">SUM(J14:J32)</f>
        <v>1207.0488290072001</v>
      </c>
      <c r="K33" s="43">
        <f>SUM(K14:K32)</f>
        <v>-5431</v>
      </c>
      <c r="L33" s="29"/>
      <c r="M33" s="43">
        <f ca="1">SUM(M14:M32)</f>
        <v>-1947.2800953228461</v>
      </c>
      <c r="N33" s="43">
        <f>SUM(N14:N32)</f>
        <v>-635.21595059561469</v>
      </c>
      <c r="O33" s="190">
        <f t="shared" ca="1" si="4"/>
        <v>-29791.181338176131</v>
      </c>
      <c r="Q33" s="156"/>
      <c r="R33" s="172"/>
      <c r="S33" s="244"/>
    </row>
    <row r="34" spans="1:19" ht="14.25" customHeight="1" thickTop="1">
      <c r="A34" s="730" t="s">
        <v>286</v>
      </c>
      <c r="B34" s="156"/>
      <c r="C34" s="156"/>
      <c r="D34" s="156"/>
      <c r="E34" s="156"/>
      <c r="G34" s="124"/>
      <c r="H34" s="34"/>
      <c r="I34" s="58"/>
      <c r="J34" s="35"/>
      <c r="K34" s="137"/>
      <c r="L34" s="29"/>
      <c r="O34" s="190">
        <f t="shared" si="4"/>
        <v>0</v>
      </c>
      <c r="Q34" s="156"/>
      <c r="R34" s="172"/>
      <c r="S34" s="244"/>
    </row>
    <row r="35" spans="1:19">
      <c r="A35" s="386">
        <f>'Exh. No. BGM-13R -3'!AC$11</f>
        <v>3</v>
      </c>
      <c r="B35" s="158" t="str">
        <f>TRIM(CONCATENATE('Exh. No. BGM-13R -3'!AC$8," ",'Exh. No. BGM-13R -3'!AC$9," ",'Exh. No. BGM-13R -3'!AC$10))</f>
        <v>Pro Forma Power Supply</v>
      </c>
      <c r="C35" s="159"/>
      <c r="D35" s="53">
        <v>-3591.9</v>
      </c>
      <c r="E35" s="53">
        <v>0</v>
      </c>
      <c r="F35" s="51"/>
      <c r="G35" s="53">
        <f>'Exh. No. BGM-13R -3'!AC$57</f>
        <v>-2778.2189583850004</v>
      </c>
      <c r="H35" s="53">
        <f>'Exh. No. BGM-13R -3'!AC$81</f>
        <v>0</v>
      </c>
      <c r="I35" s="144"/>
      <c r="J35" s="52">
        <f t="shared" ref="J35" si="29">G35-D35</f>
        <v>813.68104161499969</v>
      </c>
      <c r="K35" s="52">
        <f t="shared" ref="K35" si="30">H35-E35</f>
        <v>0</v>
      </c>
      <c r="L35" s="29"/>
      <c r="M35" s="198">
        <f t="shared" ref="M35" si="31">J35/$M$8*-1</f>
        <v>-1312.6767187883145</v>
      </c>
      <c r="N35" s="190">
        <f t="shared" ref="N35" si="32">K35*$N$8/$M$8</f>
        <v>0</v>
      </c>
      <c r="O35" s="190">
        <f t="shared" si="4"/>
        <v>4481.9814642970077</v>
      </c>
      <c r="P35" s="250">
        <f t="shared" ref="P35" si="33">SUM(M35:N35)</f>
        <v>-1312.6767187883145</v>
      </c>
      <c r="Q35" s="191"/>
      <c r="R35" s="172"/>
      <c r="S35" s="244"/>
    </row>
    <row r="36" spans="1:19">
      <c r="A36" s="386">
        <f>'Exh. No. BGM-13R -3'!AD$11</f>
        <v>3.01</v>
      </c>
      <c r="B36" s="158" t="str">
        <f>TRIM(CONCATENATE('Exh. No. BGM-13R -3'!AD$8," ",'Exh. No. BGM-13R -3'!AD$9," ",'Exh. No. BGM-13R -3'!AD$10))</f>
        <v>Pro Forma Transmission Rev/Exp</v>
      </c>
      <c r="C36" s="159"/>
      <c r="D36" s="53">
        <v>-369.20000000000005</v>
      </c>
      <c r="E36" s="53">
        <v>0</v>
      </c>
      <c r="F36" s="51"/>
      <c r="G36" s="53">
        <f>'Exh. No. BGM-13R -3'!AD$57</f>
        <v>216.59385507499996</v>
      </c>
      <c r="H36" s="53">
        <f>'Exh. No. BGM-13R -3'!AD$81</f>
        <v>0</v>
      </c>
      <c r="I36" s="60"/>
      <c r="J36" s="52">
        <f t="shared" ref="J36:K49" si="34">G36-D36</f>
        <v>585.79385507500001</v>
      </c>
      <c r="K36" s="52">
        <f t="shared" si="34"/>
        <v>0</v>
      </c>
      <c r="L36" s="29"/>
      <c r="M36" s="190">
        <f t="shared" ref="M36:M49" si="35">J36/$M$8*-1</f>
        <v>-945.03609674864174</v>
      </c>
      <c r="N36" s="190">
        <f t="shared" ref="N36:N49" si="36">K36*$N$8/$M$8</f>
        <v>0</v>
      </c>
      <c r="O36" s="190">
        <f t="shared" ref="O36:O49" si="37">(H36*$N$8/$M$8)-(G36/$M$8)</f>
        <v>-349.42157485351623</v>
      </c>
      <c r="P36" s="250">
        <f t="shared" ref="P36:P49" si="38">SUM(M36:N36)</f>
        <v>-945.03609674864174</v>
      </c>
      <c r="Q36" s="191"/>
      <c r="R36" s="172"/>
      <c r="S36" s="244"/>
    </row>
    <row r="37" spans="1:19">
      <c r="A37" s="386">
        <f>'Exh. No. BGM-13R -3'!AE$11</f>
        <v>3.0199999999999996</v>
      </c>
      <c r="B37" s="158" t="str">
        <f>TRIM(CONCATENATE('Exh. No. BGM-13R -3'!AE$8," ",'Exh. No. BGM-13R -3'!AE$9," ",'Exh. No. BGM-13R -3'!AE$10))</f>
        <v>Pro Forma Labor Non-Exec</v>
      </c>
      <c r="C37" s="159"/>
      <c r="D37" s="53">
        <v>-1348.8832499999999</v>
      </c>
      <c r="E37" s="53">
        <v>0</v>
      </c>
      <c r="F37" s="51"/>
      <c r="G37" s="53">
        <f>'Exh. No. BGM-13R -3'!AE$57</f>
        <v>-802.80070000000001</v>
      </c>
      <c r="H37" s="53">
        <f>'Exh. No. BGM-13R -3'!AE$81</f>
        <v>0</v>
      </c>
      <c r="I37" s="60"/>
      <c r="J37" s="52">
        <f t="shared" si="34"/>
        <v>546.08254999999986</v>
      </c>
      <c r="K37" s="52">
        <f t="shared" si="34"/>
        <v>0</v>
      </c>
      <c r="L37" s="29"/>
      <c r="M37" s="190">
        <f t="shared" si="35"/>
        <v>-880.97155182427093</v>
      </c>
      <c r="N37" s="190">
        <f t="shared" si="36"/>
        <v>0</v>
      </c>
      <c r="O37" s="190">
        <f t="shared" si="37"/>
        <v>1295.1239304105418</v>
      </c>
      <c r="P37" s="250">
        <f t="shared" si="38"/>
        <v>-880.97155182427093</v>
      </c>
      <c r="Q37" s="191"/>
      <c r="R37" s="172"/>
      <c r="S37" s="244"/>
    </row>
    <row r="38" spans="1:19" ht="12" customHeight="1">
      <c r="A38" s="386">
        <f>'Exh. No. BGM-13R -3'!AF$11</f>
        <v>3.0299999999999994</v>
      </c>
      <c r="B38" s="158" t="str">
        <f>TRIM(CONCATENATE('Exh. No. BGM-13R -3'!AF$8," ",'Exh. No. BGM-13R -3'!AF$9," ",'Exh. No. BGM-13R -3'!AF$10))</f>
        <v>Pro Forma Labor Exec</v>
      </c>
      <c r="C38" s="159"/>
      <c r="D38" s="53">
        <v>-35.1</v>
      </c>
      <c r="E38" s="53">
        <v>0</v>
      </c>
      <c r="F38" s="51"/>
      <c r="G38" s="53">
        <f>'Exh. No. BGM-13R -3'!AF$57</f>
        <v>-35.1</v>
      </c>
      <c r="H38" s="53">
        <f>'Exh. No. BGM-13R -3'!AF$81</f>
        <v>0</v>
      </c>
      <c r="I38" s="60"/>
      <c r="J38" s="52">
        <f t="shared" si="34"/>
        <v>0</v>
      </c>
      <c r="K38" s="52">
        <f t="shared" si="34"/>
        <v>0</v>
      </c>
      <c r="L38" s="29"/>
      <c r="M38" s="190">
        <f t="shared" si="35"/>
        <v>0</v>
      </c>
      <c r="N38" s="190">
        <f t="shared" si="36"/>
        <v>0</v>
      </c>
      <c r="O38" s="190">
        <f t="shared" si="37"/>
        <v>56.625324264677417</v>
      </c>
      <c r="P38" s="250">
        <f t="shared" si="38"/>
        <v>0</v>
      </c>
      <c r="Q38" s="191"/>
      <c r="R38" s="172"/>
      <c r="S38" s="244"/>
    </row>
    <row r="39" spans="1:19">
      <c r="A39" s="386">
        <f>'Exh. No. BGM-13R -3'!AG$11</f>
        <v>3.0399999999999991</v>
      </c>
      <c r="B39" s="158" t="str">
        <f>TRIM(CONCATENATE('Exh. No. BGM-13R -3'!AG$8," ",'Exh. No. BGM-13R -3'!AG$9," ",'Exh. No. BGM-13R -3'!AG$10))</f>
        <v>Pro Forma Employee Benefits</v>
      </c>
      <c r="C39" s="159"/>
      <c r="D39" s="53">
        <v>-750.1</v>
      </c>
      <c r="E39" s="53">
        <v>0</v>
      </c>
      <c r="F39" s="51"/>
      <c r="G39" s="53">
        <f>'Exh. No. BGM-13R -3'!AG$57</f>
        <v>-750.1</v>
      </c>
      <c r="H39" s="53">
        <f>'Exh. No. BGM-13R -3'!AG$81</f>
        <v>0</v>
      </c>
      <c r="I39" s="60"/>
      <c r="J39" s="52">
        <f t="shared" si="34"/>
        <v>0</v>
      </c>
      <c r="K39" s="52">
        <f t="shared" si="34"/>
        <v>0</v>
      </c>
      <c r="M39" s="190">
        <f t="shared" si="35"/>
        <v>0</v>
      </c>
      <c r="N39" s="190">
        <f t="shared" si="36"/>
        <v>0</v>
      </c>
      <c r="O39" s="190">
        <f t="shared" si="37"/>
        <v>1210.1041518784766</v>
      </c>
      <c r="P39" s="250">
        <f t="shared" si="38"/>
        <v>0</v>
      </c>
      <c r="Q39" s="191"/>
      <c r="R39" s="228"/>
      <c r="S39" s="248"/>
    </row>
    <row r="40" spans="1:19">
      <c r="A40" s="386">
        <f>'Exh. No. BGM-13R -3'!AH$11</f>
        <v>3.0499999999999989</v>
      </c>
      <c r="B40" s="50" t="str">
        <f>TRIM(CONCATENATE('Exh. No. BGM-13R -3'!AH$8," ",'Exh. No. BGM-13R -3'!AH$9," ",'Exh. No. BGM-13R -3'!AH$10))</f>
        <v>Pro Forma Regulatory Amortization Adj</v>
      </c>
      <c r="C40" s="51"/>
      <c r="D40" s="53">
        <v>255.45000000000002</v>
      </c>
      <c r="E40" s="53">
        <v>0</v>
      </c>
      <c r="F40" s="51"/>
      <c r="G40" s="53">
        <f>'Exh. No. BGM-13R -3'!AH$57</f>
        <v>1108.25</v>
      </c>
      <c r="H40" s="53">
        <f>'Exh. No. BGM-13R -3'!AH$81</f>
        <v>0</v>
      </c>
      <c r="I40" s="60"/>
      <c r="J40" s="52">
        <f t="shared" si="34"/>
        <v>852.8</v>
      </c>
      <c r="K40" s="52">
        <f t="shared" si="34"/>
        <v>0</v>
      </c>
      <c r="M40" s="198">
        <f t="shared" si="35"/>
        <v>-1375.7856562084587</v>
      </c>
      <c r="N40" s="190">
        <f t="shared" si="36"/>
        <v>0</v>
      </c>
      <c r="O40" s="190">
        <f t="shared" si="37"/>
        <v>-1787.8921828013888</v>
      </c>
      <c r="P40" s="250">
        <f t="shared" si="38"/>
        <v>-1375.7856562084587</v>
      </c>
      <c r="Q40" s="191"/>
      <c r="R40" s="228"/>
      <c r="S40" s="248"/>
    </row>
    <row r="41" spans="1:19" s="45" customFormat="1">
      <c r="A41" s="386">
        <f>'Exh. No. BGM-13R -3'!AI$11</f>
        <v>3.0599999999999987</v>
      </c>
      <c r="B41" s="50" t="str">
        <f>TRIM(CONCATENATE('Exh. No. BGM-13R -3'!AI$8," ",'Exh. No. BGM-13R -3'!AI$9," ",'Exh. No. BGM-13R -3'!AI$10))</f>
        <v>Pro Forma Property Tax</v>
      </c>
      <c r="C41" s="51"/>
      <c r="D41" s="52">
        <v>-703.95</v>
      </c>
      <c r="E41" s="52">
        <v>0</v>
      </c>
      <c r="F41" s="51"/>
      <c r="G41" s="53">
        <f>'Exh. No. BGM-13R -3'!AI$57</f>
        <v>-678.6</v>
      </c>
      <c r="H41" s="53">
        <f>'Exh. No. BGM-13R -3'!AI$81</f>
        <v>0</v>
      </c>
      <c r="I41" s="60"/>
      <c r="J41" s="52">
        <f>G41-D41</f>
        <v>25.350000000000023</v>
      </c>
      <c r="K41" s="52">
        <f>H41-E41</f>
        <v>0</v>
      </c>
      <c r="L41" s="201"/>
      <c r="M41" s="190">
        <f>J41/$M$8*-1</f>
        <v>-40.896067524489283</v>
      </c>
      <c r="N41" s="190">
        <f>K41*$N$8/$M$8</f>
        <v>0</v>
      </c>
      <c r="O41" s="190">
        <f>(H41*$N$8/$M$8)-(G41/$M$8)</f>
        <v>1094.7562691170967</v>
      </c>
      <c r="P41" s="250">
        <f>SUM(M41:N41)</f>
        <v>-40.896067524489283</v>
      </c>
      <c r="Q41" s="37"/>
      <c r="R41" s="229"/>
      <c r="S41" s="244"/>
    </row>
    <row r="42" spans="1:19" s="45" customFormat="1">
      <c r="A42" s="386">
        <f>'Exh. No. BGM-13R -3'!AJ$11</f>
        <v>3.0699999999999985</v>
      </c>
      <c r="B42" s="50" t="str">
        <f>TRIM(CONCATENATE('Exh. No. BGM-13R -3'!AJ$8," ",'Exh. No. BGM-13R -3'!AJ$9," ",'Exh. No. BGM-13R -3'!AJ$10))</f>
        <v>Pro Forma Meter Deferral &amp; Amortization</v>
      </c>
      <c r="C42" s="51"/>
      <c r="D42" s="52">
        <v>-749.27666666666664</v>
      </c>
      <c r="E42" s="52">
        <v>0</v>
      </c>
      <c r="F42" s="51"/>
      <c r="G42" s="53">
        <f>'Exh. No. BGM-13R -3'!AJ$57</f>
        <v>0</v>
      </c>
      <c r="H42" s="53">
        <f>'Exh. No. BGM-13R -3'!AJ$81</f>
        <v>0</v>
      </c>
      <c r="I42" s="60"/>
      <c r="J42" s="52">
        <f>G42-D42</f>
        <v>749.27666666666664</v>
      </c>
      <c r="K42" s="52">
        <f>H42-E42</f>
        <v>0</v>
      </c>
      <c r="L42" s="201"/>
      <c r="M42" s="190">
        <f>J42/$M$8*-1</f>
        <v>-1208.7759035315273</v>
      </c>
      <c r="N42" s="190">
        <f>K42*$N$8/$M$8</f>
        <v>0</v>
      </c>
      <c r="O42" s="190">
        <f>(H42*$N$8/$M$8)-(G42/$M$8)</f>
        <v>0</v>
      </c>
      <c r="P42" s="250">
        <f>SUM(M42:N42)</f>
        <v>-1208.7759035315273</v>
      </c>
      <c r="Q42" s="37"/>
      <c r="R42" s="229"/>
      <c r="S42" s="244"/>
    </row>
    <row r="43" spans="1:19" s="156" customFormat="1" ht="11.25" customHeight="1">
      <c r="A43" s="388">
        <f>'Exh. No. BGM-13R -3'!AK$11</f>
        <v>3.0799999999999983</v>
      </c>
      <c r="B43" s="158" t="str">
        <f>TRIM(CONCATENATE('Exh. No. BGM-13R -3'!AK$8," ",'Exh. No. BGM-13R -3'!AK$9," ",'Exh. No. BGM-13R -3'!AK$10))</f>
        <v>Pro Forma Revenue Normalization</v>
      </c>
      <c r="C43" s="159"/>
      <c r="D43" s="161">
        <v>-1987.7</v>
      </c>
      <c r="E43" s="161">
        <v>0</v>
      </c>
      <c r="F43" s="159"/>
      <c r="G43" s="161">
        <f>'Exh. No. BGM-13R -3'!AK$57</f>
        <v>-1987.7</v>
      </c>
      <c r="H43" s="161">
        <f>'Exh. No. BGM-13R -3'!AK$81</f>
        <v>0</v>
      </c>
      <c r="I43" s="189"/>
      <c r="J43" s="52">
        <f t="shared" ref="J43" si="39">G43-D43</f>
        <v>0</v>
      </c>
      <c r="K43" s="52">
        <f t="shared" ref="K43" si="40">H43-E43</f>
        <v>0</v>
      </c>
      <c r="L43" s="41"/>
      <c r="M43" s="190">
        <f t="shared" ref="M43" si="41">J43/$M$8*-1</f>
        <v>0</v>
      </c>
      <c r="N43" s="190">
        <f t="shared" ref="N43" si="42">K43*$N$8/$M$8</f>
        <v>0</v>
      </c>
      <c r="O43" s="190">
        <f t="shared" ref="O43" si="43">(H43*$N$8/$M$8)-(G43/$M$8)</f>
        <v>3206.671140766362</v>
      </c>
      <c r="P43" s="250">
        <f t="shared" ref="P43" si="44">SUM(M43:N43)</f>
        <v>0</v>
      </c>
      <c r="Q43" s="191"/>
      <c r="R43" s="172"/>
      <c r="S43" s="244"/>
    </row>
    <row r="44" spans="1:19" s="160" customFormat="1" ht="13.5" customHeight="1">
      <c r="A44" s="388">
        <f>'Exh. No. BGM-13R -3'!AL$11</f>
        <v>3.0899999999999981</v>
      </c>
      <c r="B44" s="158" t="str">
        <f>TRIM(CONCATENATE('Exh. No. BGM-13R -3'!AL$8," ",'Exh. No. BGM-13R -3'!AL$9," ",'Exh. No. BGM-13R -3'!AL$10))</f>
        <v>Pro Forma Capital Add Dec 2015 AMA</v>
      </c>
      <c r="C44" s="159"/>
      <c r="D44" s="52">
        <v>-1062.12842</v>
      </c>
      <c r="E44" s="52">
        <v>18307</v>
      </c>
      <c r="F44" s="159"/>
      <c r="G44" s="142">
        <f>'Exh. No. BGM-13R -3'!AL$57</f>
        <v>-1235.4465112324001</v>
      </c>
      <c r="H44" s="142">
        <f>'Exh. No. BGM-13R -3'!AL$81</f>
        <v>21609</v>
      </c>
      <c r="I44" s="188"/>
      <c r="J44" s="197">
        <f>G44-D44</f>
        <v>-173.31809123240009</v>
      </c>
      <c r="K44" s="197">
        <f>H44-E44</f>
        <v>3302</v>
      </c>
      <c r="L44" s="202"/>
      <c r="M44" s="190">
        <f>J44/$M$8*-1</f>
        <v>279.60664150910537</v>
      </c>
      <c r="N44" s="190">
        <f>K44*$N$8/$M$8</f>
        <v>386.20568382742027</v>
      </c>
      <c r="O44" s="190">
        <f>(H44*$N$8/$M$8)-(G44/$M$8)</f>
        <v>4520.5061291386501</v>
      </c>
      <c r="P44" s="250">
        <f>SUM(M44:N44)</f>
        <v>665.81232533652565</v>
      </c>
      <c r="Q44" s="191"/>
      <c r="R44" s="597"/>
      <c r="S44" s="244"/>
    </row>
    <row r="45" spans="1:19">
      <c r="A45" s="672">
        <f>'Exh. No. BGM-13R -3'!AM$11</f>
        <v>3.0999999999999979</v>
      </c>
      <c r="B45" s="487" t="str">
        <f>TRIM(CONCATENATE('Exh. No. BGM-13R -3'!AM$8," ",'Exh. No. BGM-13R -3'!AM$9," ",'Exh. No. BGM-13R -3'!AM$10))</f>
        <v>Pro Forma 2016 Limited Capital Adds</v>
      </c>
      <c r="C45" s="183"/>
      <c r="D45" s="114">
        <v>-346.65140000000019</v>
      </c>
      <c r="E45" s="114">
        <v>86690</v>
      </c>
      <c r="F45" s="137"/>
      <c r="G45" s="114">
        <f>'Exh. No. BGM-13R -3'!AM$57</f>
        <v>35.006864048399848</v>
      </c>
      <c r="H45" s="114">
        <f>'Exh. No. BGM-13R -3'!AM$81</f>
        <v>60831</v>
      </c>
      <c r="I45" s="60"/>
      <c r="J45" s="197">
        <f t="shared" si="34"/>
        <v>381.65826404840004</v>
      </c>
      <c r="K45" s="197">
        <f t="shared" si="34"/>
        <v>-25859</v>
      </c>
      <c r="L45" s="30"/>
      <c r="M45" s="488">
        <f t="shared" si="35"/>
        <v>-615.71290484428857</v>
      </c>
      <c r="N45" s="488">
        <f t="shared" si="36"/>
        <v>-3024.4981157157058</v>
      </c>
      <c r="O45" s="190">
        <f t="shared" si="37"/>
        <v>7058.3880269730153</v>
      </c>
      <c r="P45" s="250">
        <f t="shared" si="38"/>
        <v>-3640.2110205599943</v>
      </c>
      <c r="R45" s="172"/>
      <c r="S45" s="244"/>
    </row>
    <row r="46" spans="1:19">
      <c r="A46" s="672">
        <f>'Exh. No. BGM-13R -3'!AN$11</f>
        <v>3.1099999999999977</v>
      </c>
      <c r="B46" s="487" t="str">
        <f>TRIM(CONCATENATE('Exh. No. BGM-13R -3'!AN$8," ",'Exh. No. BGM-13R -3'!AN$9," ",'Exh. No. BGM-13R -3'!AN$10))</f>
        <v>Pro Forma O&amp;M Offsets</v>
      </c>
      <c r="C46" s="183"/>
      <c r="D46" s="114">
        <v>132.60000000000002</v>
      </c>
      <c r="E46" s="114">
        <v>0</v>
      </c>
      <c r="F46" s="137"/>
      <c r="G46" s="114">
        <f>'Exh. No. BGM-13R -3'!AN$57</f>
        <v>0</v>
      </c>
      <c r="H46" s="114">
        <f>'Exh. No. BGM-13R -3'!AN$81</f>
        <v>0</v>
      </c>
      <c r="I46" s="60"/>
      <c r="J46" s="197">
        <f t="shared" ref="J46" si="45">G46-D46</f>
        <v>-132.60000000000002</v>
      </c>
      <c r="K46" s="197">
        <f t="shared" ref="K46" si="46">H46-E46</f>
        <v>0</v>
      </c>
      <c r="L46" s="27"/>
      <c r="M46" s="488">
        <f t="shared" ref="M46" si="47">J46/$M$8*-1</f>
        <v>213.91789166655917</v>
      </c>
      <c r="N46" s="488">
        <f t="shared" ref="N46" si="48">K46*$N$8/$M$8</f>
        <v>0</v>
      </c>
      <c r="O46" s="190">
        <f t="shared" ref="O46" si="49">(H46*$N$8/$M$8)-(G46/$M$8)</f>
        <v>0</v>
      </c>
      <c r="P46" s="250">
        <f t="shared" ref="P46" si="50">SUM(M46:N46)</f>
        <v>213.91789166655917</v>
      </c>
      <c r="Q46" s="255"/>
      <c r="R46" s="228"/>
      <c r="S46" s="248"/>
    </row>
    <row r="47" spans="1:19">
      <c r="A47" s="672">
        <f>'Exh. No. BGM-13R -3'!AO$11</f>
        <v>3.1199999999999974</v>
      </c>
      <c r="B47" s="487" t="str">
        <f>TRIM(CONCATENATE('Exh. No. BGM-13R -3'!AO$8," ",'Exh. No. BGM-13R -3'!AO$9," ",'Exh. No. BGM-13R -3'!AO$10))</f>
        <v>PF Major Maint Normalize CS2/Colstrip</v>
      </c>
      <c r="C47" s="183"/>
      <c r="D47" s="114">
        <v>-534.29999999999995</v>
      </c>
      <c r="E47" s="114">
        <v>0</v>
      </c>
      <c r="F47" s="137"/>
      <c r="G47" s="114">
        <f>'Exh. No. BGM-13R -3'!AO$57</f>
        <v>-534.29999999999995</v>
      </c>
      <c r="H47" s="114">
        <f>'Exh. No. BGM-13R -3'!AO$81</f>
        <v>0</v>
      </c>
      <c r="I47" s="60"/>
      <c r="J47" s="197">
        <f t="shared" ref="J47" si="51">G47-D47</f>
        <v>0</v>
      </c>
      <c r="K47" s="197">
        <f t="shared" ref="K47" si="52">H47-E47</f>
        <v>0</v>
      </c>
      <c r="L47" s="30"/>
      <c r="M47" s="488">
        <f t="shared" ref="M47" si="53">J47/$M$8*-1</f>
        <v>0</v>
      </c>
      <c r="N47" s="488">
        <f t="shared" ref="N47" si="54">K47*$N$8/$M$8</f>
        <v>0</v>
      </c>
      <c r="O47" s="190">
        <f t="shared" ref="O47" si="55">(H47*$N$8/$M$8)-(G47/$M$8)</f>
        <v>861.96326936231173</v>
      </c>
      <c r="P47" s="250">
        <f t="shared" ref="P47" si="56">SUM(M47:N47)</f>
        <v>0</v>
      </c>
      <c r="Q47" s="191"/>
      <c r="R47" s="172"/>
      <c r="S47" s="244"/>
    </row>
    <row r="48" spans="1:19" ht="13.5" thickBot="1">
      <c r="A48" s="730" t="s">
        <v>782</v>
      </c>
      <c r="B48" s="487"/>
      <c r="C48" s="183"/>
      <c r="D48" s="114"/>
      <c r="E48" s="114"/>
      <c r="F48" s="137"/>
      <c r="G48" s="114"/>
      <c r="H48" s="114"/>
      <c r="I48" s="60"/>
      <c r="J48" s="197"/>
      <c r="K48" s="197"/>
      <c r="L48" s="30"/>
      <c r="M48" s="488"/>
      <c r="N48" s="488"/>
      <c r="O48" s="190"/>
      <c r="P48" s="250"/>
      <c r="Q48" s="191"/>
      <c r="R48" s="594"/>
      <c r="S48" s="244"/>
    </row>
    <row r="49" spans="1:22">
      <c r="A49" s="724">
        <f>'Exh. No. BGM-13R -3'!AQ$11</f>
        <v>4</v>
      </c>
      <c r="B49" s="725" t="str">
        <f>TRIM(CONCATENATE('Exh. No. BGM-13R -3'!AQ$8," ",'Exh. No. BGM-13R -3'!AQ$9," ",'Exh. No. BGM-13R -3'!AQ$10))</f>
        <v>Cross Check Capital Add 2016 AMA (Inc)</v>
      </c>
      <c r="C49" s="726"/>
      <c r="D49" s="480">
        <v>-4201.144040000001</v>
      </c>
      <c r="E49" s="480">
        <v>2234</v>
      </c>
      <c r="F49" s="481"/>
      <c r="G49" s="480">
        <f>'Exh. No. BGM-13R -3'!AQ$57</f>
        <v>0</v>
      </c>
      <c r="H49" s="480">
        <f>'Exh. No. BGM-13R -3'!AQ$81</f>
        <v>0</v>
      </c>
      <c r="I49" s="482"/>
      <c r="J49" s="483">
        <f t="shared" si="34"/>
        <v>4201.144040000001</v>
      </c>
      <c r="K49" s="483">
        <f t="shared" si="34"/>
        <v>-2234</v>
      </c>
      <c r="L49" s="484"/>
      <c r="M49" s="485">
        <f t="shared" si="35"/>
        <v>-6777.5254571970645</v>
      </c>
      <c r="N49" s="486">
        <f t="shared" si="36"/>
        <v>-261.29118645380282</v>
      </c>
      <c r="O49" s="190">
        <f t="shared" si="37"/>
        <v>0</v>
      </c>
      <c r="P49" s="250">
        <f t="shared" si="38"/>
        <v>-7038.8166436508673</v>
      </c>
      <c r="Q49" s="674" t="s">
        <v>724</v>
      </c>
      <c r="R49" s="172"/>
      <c r="S49" s="244"/>
    </row>
    <row r="50" spans="1:22">
      <c r="A50" s="672">
        <f>'Exh. No. BGM-13R -3'!AR$11</f>
        <v>4.01</v>
      </c>
      <c r="B50" s="487" t="str">
        <f>TRIM(CONCATENATE('Exh. No. BGM-13R -3'!AR$8," ",'Exh. No. BGM-13R -3'!AR$9," ",'Exh. No. BGM-13R -3'!AR$10))</f>
        <v>Cross Check Capital Add 2017 AMA</v>
      </c>
      <c r="C50" s="183"/>
      <c r="D50" s="114">
        <v>-3943.4468600000005</v>
      </c>
      <c r="E50" s="114">
        <v>69281</v>
      </c>
      <c r="F50" s="137"/>
      <c r="G50" s="114">
        <f>'Exh. No. BGM-13R -3'!AR$57</f>
        <v>0</v>
      </c>
      <c r="H50" s="114">
        <f>'Exh. No. BGM-13R -3'!AR$81</f>
        <v>0</v>
      </c>
      <c r="I50" s="60"/>
      <c r="J50" s="197">
        <f t="shared" ref="J50" si="57">G50-D50</f>
        <v>3943.4468600000005</v>
      </c>
      <c r="K50" s="197">
        <f t="shared" ref="K50" si="58">H50-E50</f>
        <v>-69281</v>
      </c>
      <c r="L50" s="30"/>
      <c r="M50" s="488">
        <f t="shared" ref="M50" si="59">J50/$M$8*-1</f>
        <v>-6361.7936515106549</v>
      </c>
      <c r="N50" s="489">
        <f t="shared" ref="N50" si="60">K50*$N$8/$M$8</f>
        <v>-8103.1847308441866</v>
      </c>
      <c r="O50" s="190">
        <f t="shared" ref="O50" si="61">(H50*$N$8/$M$8)-(G50/$M$8)</f>
        <v>0</v>
      </c>
      <c r="P50" s="250">
        <f t="shared" ref="P50" si="62">SUM(M50:N50)</f>
        <v>-14464.978382354842</v>
      </c>
      <c r="Q50" s="191" t="s">
        <v>619</v>
      </c>
      <c r="R50" s="172"/>
      <c r="S50" s="244"/>
    </row>
    <row r="51" spans="1:22">
      <c r="A51" s="672">
        <f>'Exh. No. BGM-13R -3'!AS$11</f>
        <v>4.0199999999999996</v>
      </c>
      <c r="B51" s="487" t="str">
        <f>TRIM(CONCATENATE('Exh. No. BGM-13R -3'!AS$8," ",'Exh. No. BGM-13R -3'!AS$9," ",'Exh. No. BGM-13R -3'!AS$10))</f>
        <v>Cross Check Labor Non-Exec</v>
      </c>
      <c r="C51" s="183"/>
      <c r="D51" s="114">
        <v>-421.85</v>
      </c>
      <c r="E51" s="114">
        <v>0</v>
      </c>
      <c r="F51" s="137"/>
      <c r="G51" s="114">
        <f>'Exh. No. BGM-13R -3'!AS$57</f>
        <v>0</v>
      </c>
      <c r="H51" s="114">
        <f>'Exh. No. BGM-13R -3'!AS$81</f>
        <v>0</v>
      </c>
      <c r="I51" s="60"/>
      <c r="J51" s="197">
        <f t="shared" ref="J51" si="63">G51-D51</f>
        <v>421.85</v>
      </c>
      <c r="K51" s="197">
        <f t="shared" ref="K51" si="64">H51-E51</f>
        <v>0</v>
      </c>
      <c r="L51" s="30"/>
      <c r="M51" s="488">
        <f t="shared" ref="M51" si="65">J51/$M$8*-1</f>
        <v>-680.55250829214162</v>
      </c>
      <c r="N51" s="489">
        <f t="shared" ref="N51" si="66">K51*$N$8/$M$8</f>
        <v>0</v>
      </c>
      <c r="O51" s="190">
        <f t="shared" ref="O51" si="67">(H51*$N$8/$M$8)-(G51/$M$8)</f>
        <v>0</v>
      </c>
      <c r="P51" s="250">
        <f t="shared" ref="P51" si="68">SUM(M51:N51)</f>
        <v>-680.55250829214162</v>
      </c>
      <c r="Q51" s="191"/>
      <c r="R51" s="594"/>
      <c r="S51" s="244"/>
    </row>
    <row r="52" spans="1:22" s="156" customFormat="1">
      <c r="A52" s="672">
        <f>'Exh. No. BGM-13R -3'!AT$11</f>
        <v>4.0299999999999994</v>
      </c>
      <c r="B52" s="487" t="str">
        <f>TRIM(CONCATENATE('Exh. No. BGM-13R -3'!AT$8," ",'Exh. No. BGM-13R -3'!AT$9," ",'Exh. No. BGM-13R -3'!AT$10))</f>
        <v>Cross Check 2017 AMI Capital &amp; Expense</v>
      </c>
      <c r="C52" s="183"/>
      <c r="D52" s="142">
        <v>-1926.21218</v>
      </c>
      <c r="E52" s="142">
        <v>20703</v>
      </c>
      <c r="F52" s="183"/>
      <c r="G52" s="142">
        <f>'Exh. No. BGM-13R -3'!AT$57</f>
        <v>0</v>
      </c>
      <c r="H52" s="142">
        <f>'Exh. No. BGM-13R -3'!AT$81</f>
        <v>0</v>
      </c>
      <c r="I52" s="189"/>
      <c r="J52" s="197">
        <f t="shared" ref="J52" si="69">G52-D52</f>
        <v>1926.21218</v>
      </c>
      <c r="K52" s="197">
        <f t="shared" ref="K52" si="70">H52-E52</f>
        <v>-20703</v>
      </c>
      <c r="L52" s="546"/>
      <c r="M52" s="532">
        <f t="shared" ref="M52" si="71">J52/$M$8*-1</f>
        <v>-3107.4754784920565</v>
      </c>
      <c r="N52" s="673">
        <f t="shared" ref="N52" si="72">K52*$N$8/$M$8</f>
        <v>-2421.4464785823993</v>
      </c>
      <c r="O52" s="190">
        <f t="shared" ref="O52" si="73">(H52*$N$8/$M$8)-(G52/$M$8)</f>
        <v>0</v>
      </c>
      <c r="P52" s="250">
        <f t="shared" ref="P52" si="74">SUM(M52:N52)</f>
        <v>-5528.9219570744553</v>
      </c>
      <c r="Q52" s="191"/>
      <c r="R52" s="172"/>
      <c r="S52" s="244"/>
    </row>
    <row r="53" spans="1:22" s="156" customFormat="1">
      <c r="A53" s="672">
        <f>'Exh. No. BGM-13R -3'!AU$11</f>
        <v>4.0399999999999991</v>
      </c>
      <c r="B53" s="487" t="str">
        <f>TRIM(CONCATENATE('Exh. No. BGM-13R -3'!AU$8," ",'Exh. No. BGM-13R -3'!AU$9," ",'Exh. No. BGM-13R -3'!AU$10))</f>
        <v>Cross Check Information Tech/Serv Exp</v>
      </c>
      <c r="C53" s="183"/>
      <c r="D53" s="142">
        <v>-1212.9000000000001</v>
      </c>
      <c r="E53" s="142">
        <v>0</v>
      </c>
      <c r="F53" s="183"/>
      <c r="G53" s="142">
        <f>'Exh. No. BGM-13R -3'!AU$57</f>
        <v>0</v>
      </c>
      <c r="H53" s="142">
        <f>'Exh. No. BGM-13R -3'!AU$81</f>
        <v>0</v>
      </c>
      <c r="I53" s="189"/>
      <c r="J53" s="197">
        <f t="shared" ref="J53" si="75">G53-D53</f>
        <v>1212.9000000000001</v>
      </c>
      <c r="K53" s="197">
        <f t="shared" ref="K53" si="76">H53-E53</f>
        <v>0</v>
      </c>
      <c r="L53" s="546"/>
      <c r="M53" s="532">
        <f t="shared" ref="M53" si="77">J53/$M$8*-1</f>
        <v>-1956.7195384794086</v>
      </c>
      <c r="N53" s="673">
        <f t="shared" ref="N53" si="78">K53*$N$8/$M$8</f>
        <v>0</v>
      </c>
      <c r="O53" s="190">
        <f t="shared" ref="O53" si="79">(H53*$N$8/$M$8)-(G53/$M$8)</f>
        <v>0</v>
      </c>
      <c r="P53" s="250">
        <f t="shared" ref="P53" si="80">SUM(M53:N53)</f>
        <v>-1956.7195384794086</v>
      </c>
      <c r="Q53" s="191"/>
      <c r="R53" s="594"/>
      <c r="S53" s="244"/>
    </row>
    <row r="54" spans="1:22">
      <c r="A54" s="672">
        <f>'Exh. No. BGM-13R -3'!AV$11</f>
        <v>4.0499999999999989</v>
      </c>
      <c r="B54" s="487" t="str">
        <f>TRIM(CONCATENATE('Exh. No. BGM-13R -3'!AV$8," ",'Exh. No. BGM-13R -3'!AV$9," ",'Exh. No. BGM-13R -3'!AV$10))</f>
        <v>Cross Check Property Tax</v>
      </c>
      <c r="C54" s="183"/>
      <c r="D54" s="114">
        <v>-806.65000000000009</v>
      </c>
      <c r="E54" s="114">
        <v>0</v>
      </c>
      <c r="F54" s="137"/>
      <c r="G54" s="114">
        <f>'Exh. No. BGM-13R -3'!AV$57</f>
        <v>0</v>
      </c>
      <c r="H54" s="114">
        <f>'Exh. No. BGM-13R -3'!AV$81</f>
        <v>0</v>
      </c>
      <c r="I54" s="60"/>
      <c r="J54" s="197">
        <f t="shared" ref="J54" si="81">G54-D54</f>
        <v>806.65000000000009</v>
      </c>
      <c r="K54" s="197">
        <f t="shared" ref="K54" si="82">H54-E54</f>
        <v>0</v>
      </c>
      <c r="L54" s="30"/>
      <c r="M54" s="488">
        <f t="shared" ref="M54" si="83">J54/$M$8*-1</f>
        <v>-1301.3338409715682</v>
      </c>
      <c r="N54" s="489">
        <f t="shared" ref="N54" si="84">K54*$N$8/$M$8</f>
        <v>0</v>
      </c>
      <c r="O54" s="190">
        <f t="shared" ref="O54" si="85">(H54*$N$8/$M$8)-(G54/$M$8)</f>
        <v>0</v>
      </c>
      <c r="P54" s="250">
        <f t="shared" ref="P54" si="86">SUM(M54:N54)</f>
        <v>-1301.3338409715682</v>
      </c>
      <c r="Q54" s="191"/>
      <c r="R54" s="594"/>
      <c r="S54" s="244"/>
    </row>
    <row r="55" spans="1:22">
      <c r="A55" s="672">
        <f>'Exh. No. BGM-13R -3'!AW$11</f>
        <v>4.0599999999999987</v>
      </c>
      <c r="B55" s="487" t="str">
        <f>TRIM(CONCATENATE('Exh. No. BGM-13R -3'!AW$8," ",'Exh. No. BGM-13R -3'!AW$9," ",'Exh. No. BGM-13R -3'!AW$10))</f>
        <v>Cross Check Insurance Expense</v>
      </c>
      <c r="C55" s="183"/>
      <c r="D55" s="114">
        <v>-49.400000000000006</v>
      </c>
      <c r="E55" s="114">
        <v>0</v>
      </c>
      <c r="F55" s="137"/>
      <c r="G55" s="114">
        <f>'Exh. No. BGM-13R -3'!AW$57</f>
        <v>0</v>
      </c>
      <c r="H55" s="114">
        <f>'Exh. No. BGM-13R -3'!AW$81</f>
        <v>0</v>
      </c>
      <c r="I55" s="60"/>
      <c r="J55" s="197">
        <f t="shared" ref="J55" si="87">G55-D55</f>
        <v>49.400000000000006</v>
      </c>
      <c r="K55" s="197">
        <f t="shared" ref="K55" si="88">H55-E55</f>
        <v>0</v>
      </c>
      <c r="L55" s="30"/>
      <c r="M55" s="488">
        <f t="shared" ref="M55" si="89">J55/$M$8*-1</f>
        <v>-79.694900816953407</v>
      </c>
      <c r="N55" s="489">
        <f t="shared" ref="N55" si="90">K55*$N$8/$M$8</f>
        <v>0</v>
      </c>
      <c r="O55" s="190">
        <f t="shared" ref="O55" si="91">(H55*$N$8/$M$8)-(G55/$M$8)</f>
        <v>0</v>
      </c>
      <c r="P55" s="250">
        <f t="shared" ref="P55" si="92">SUM(M55:N55)</f>
        <v>-79.694900816953407</v>
      </c>
      <c r="Q55" s="191"/>
      <c r="R55" s="594"/>
      <c r="S55" s="244"/>
    </row>
    <row r="56" spans="1:22" s="27" customFormat="1" ht="13.5" thickBot="1">
      <c r="A56" s="727">
        <f>'Exh. No. BGM-13R -3'!AY$11</f>
        <v>4.0699999999999985</v>
      </c>
      <c r="B56" s="728" t="str">
        <f>TRIM(CONCATENATE('Exh. No. BGM-13R -3'!AY$8," ",'Exh. No. BGM-13R -3'!AY$9," ",'Exh. No. BGM-13R -3'!AY$10))</f>
        <v>Reconcile 2017 Cross Check to Attrition</v>
      </c>
      <c r="C56" s="729"/>
      <c r="D56" s="490">
        <v>912.54178000000002</v>
      </c>
      <c r="E56" s="490">
        <v>-27863</v>
      </c>
      <c r="F56" s="491"/>
      <c r="G56" s="490">
        <f>'Exh. No. BGM-13R -3'!AY$57</f>
        <v>0</v>
      </c>
      <c r="H56" s="490">
        <f>'Exh. No. BGM-13R -3'!AY$81</f>
        <v>0</v>
      </c>
      <c r="I56" s="492"/>
      <c r="J56" s="493">
        <f t="shared" ref="J56" si="93">G56-D56</f>
        <v>-912.54178000000002</v>
      </c>
      <c r="K56" s="493">
        <f t="shared" ref="K56" si="94">H56-E56</f>
        <v>27863</v>
      </c>
      <c r="L56" s="494"/>
      <c r="M56" s="495">
        <f t="shared" ref="M56" si="95">J56/$M$8*-1</f>
        <v>1472.1645070531602</v>
      </c>
      <c r="N56" s="496">
        <f t="shared" ref="N56" si="96">K56*$N$8/$M$8</f>
        <v>3258.8882400010334</v>
      </c>
      <c r="O56" s="532">
        <f t="shared" ref="O56" si="97">(H56*$N$8/$M$8)-(G56/$M$8)</f>
        <v>0</v>
      </c>
      <c r="P56" s="533">
        <f t="shared" ref="P56" si="98">SUM(M56:N56)</f>
        <v>4731.0527470541938</v>
      </c>
      <c r="Q56" s="223"/>
      <c r="R56" s="172"/>
      <c r="S56" s="248"/>
    </row>
    <row r="57" spans="1:22">
      <c r="A57" s="391"/>
      <c r="B57" s="96"/>
      <c r="C57" s="27"/>
      <c r="D57" s="27"/>
      <c r="E57" s="42"/>
      <c r="F57" s="42"/>
      <c r="G57" s="151"/>
      <c r="H57" s="151"/>
      <c r="I57" s="60"/>
      <c r="J57" s="35"/>
      <c r="K57" s="137"/>
      <c r="L57" s="29"/>
      <c r="N57" s="154"/>
      <c r="O57" s="154"/>
      <c r="R57" s="233"/>
      <c r="S57" s="248"/>
    </row>
    <row r="58" spans="1:22" ht="13.5" thickBot="1">
      <c r="A58" s="391"/>
      <c r="B58" s="27" t="s">
        <v>185</v>
      </c>
      <c r="C58" s="27"/>
      <c r="D58" s="184">
        <f>SUM(D33:D57)</f>
        <v>88819.183463333364</v>
      </c>
      <c r="E58" s="184">
        <f>SUM(E33:E57)</f>
        <v>1475472</v>
      </c>
      <c r="F58" s="42"/>
      <c r="G58" s="184">
        <f ca="1">SUM(G33:G57)</f>
        <v>105324.0178785132</v>
      </c>
      <c r="H58" s="468">
        <f>SUM(H33:H57)</f>
        <v>1383129</v>
      </c>
      <c r="I58" s="58"/>
      <c r="J58" s="184">
        <f ca="1">SUM(J33:J57)</f>
        <v>16504.834415179874</v>
      </c>
      <c r="K58" s="184">
        <f>SUM(K33:K57)</f>
        <v>-92343</v>
      </c>
      <c r="L58" s="29"/>
      <c r="M58" s="184">
        <f ca="1">SUM(M33:M57)</f>
        <v>-26626.541330323864</v>
      </c>
      <c r="N58" s="184">
        <f>SUM(N33:N57)</f>
        <v>-10800.542538363254</v>
      </c>
      <c r="O58" s="124"/>
      <c r="P58" s="260">
        <f ca="1">SUM(P8:P43)+P30+SUM(P35:P56)</f>
        <v>-42742.416576114338</v>
      </c>
      <c r="Q58" s="250"/>
      <c r="S58" s="248"/>
    </row>
    <row r="59" spans="1:22" ht="13.5" thickTop="1">
      <c r="A59" s="391"/>
      <c r="B59" s="27"/>
      <c r="C59" s="27"/>
      <c r="D59" s="27"/>
      <c r="E59" s="42"/>
      <c r="F59" s="124"/>
      <c r="G59" s="124"/>
      <c r="H59" s="58"/>
      <c r="I59" s="34"/>
      <c r="J59" s="182"/>
      <c r="K59" s="29"/>
      <c r="L59" s="27"/>
      <c r="M59" s="191"/>
      <c r="N59" s="219">
        <f ca="1">M58+N58</f>
        <v>-37427.083868687114</v>
      </c>
      <c r="O59" s="219"/>
      <c r="Q59" s="37"/>
      <c r="S59" s="145"/>
    </row>
    <row r="60" spans="1:22">
      <c r="A60" s="391"/>
      <c r="B60" s="27"/>
      <c r="C60" s="27"/>
      <c r="D60" s="27"/>
      <c r="E60" s="42"/>
      <c r="F60" s="124"/>
      <c r="G60" s="124"/>
      <c r="H60" s="58"/>
      <c r="I60" s="34"/>
      <c r="J60" s="182"/>
      <c r="K60" s="29"/>
      <c r="L60" s="153"/>
      <c r="M60" s="192" t="s">
        <v>270</v>
      </c>
      <c r="N60" s="259"/>
      <c r="O60" s="219"/>
      <c r="P60" s="260"/>
      <c r="Q60" s="37"/>
      <c r="S60" s="239"/>
      <c r="T60" s="37"/>
      <c r="V60" s="146"/>
    </row>
    <row r="61" spans="1:22" ht="13.5" thickBot="1">
      <c r="A61" s="391"/>
      <c r="B61" s="27"/>
      <c r="C61" s="27"/>
      <c r="D61" s="27"/>
      <c r="E61" s="42"/>
      <c r="F61" s="124"/>
      <c r="G61" s="124"/>
      <c r="H61" s="58"/>
      <c r="I61" s="34"/>
      <c r="J61" s="182"/>
      <c r="K61" s="29"/>
      <c r="M61" s="192" t="s">
        <v>249</v>
      </c>
      <c r="N61" s="220">
        <f ca="1">SUM(N59:N60)</f>
        <v>-37427.083868687114</v>
      </c>
      <c r="O61" s="257"/>
      <c r="Q61" s="37"/>
      <c r="S61" s="240"/>
    </row>
    <row r="62" spans="1:22" ht="13.5" thickTop="1">
      <c r="A62" s="391"/>
      <c r="B62" s="145"/>
      <c r="C62" s="27"/>
      <c r="D62" s="27"/>
      <c r="E62" s="42"/>
      <c r="F62" s="124"/>
      <c r="G62" s="124"/>
      <c r="H62" s="58"/>
      <c r="I62" s="34"/>
      <c r="J62" s="182"/>
      <c r="K62" s="29"/>
      <c r="M62" s="193" t="s">
        <v>250</v>
      </c>
      <c r="N62" s="723">
        <v>38568</v>
      </c>
      <c r="O62" s="194"/>
      <c r="S62" s="236"/>
    </row>
    <row r="63" spans="1:22" ht="13.5" thickBot="1">
      <c r="A63" s="391"/>
      <c r="B63" s="27"/>
      <c r="C63" s="27"/>
      <c r="D63" s="27"/>
      <c r="E63" s="42"/>
      <c r="F63" s="131"/>
      <c r="G63" s="124"/>
      <c r="H63" s="58"/>
      <c r="I63" s="34"/>
      <c r="J63" s="182"/>
      <c r="K63" s="30"/>
      <c r="L63" s="27"/>
      <c r="M63" s="195" t="s">
        <v>251</v>
      </c>
      <c r="N63" s="196">
        <v>38568</v>
      </c>
      <c r="O63" s="258"/>
      <c r="P63" s="250"/>
      <c r="S63" s="145"/>
    </row>
    <row r="64" spans="1:22" s="27" customFormat="1" ht="13.5" hidden="1" thickTop="1">
      <c r="A64" s="383"/>
      <c r="B64" s="25"/>
      <c r="C64" s="25"/>
      <c r="D64" s="29" t="e">
        <f>#REF!</f>
        <v>#REF!</v>
      </c>
      <c r="E64" s="25"/>
      <c r="G64" s="25"/>
      <c r="H64" s="54"/>
      <c r="J64" s="137"/>
      <c r="K64" s="30"/>
      <c r="P64" s="251"/>
      <c r="R64" s="108"/>
      <c r="S64" s="145"/>
    </row>
    <row r="65" spans="1:19" s="27" customFormat="1" ht="13.5" hidden="1" thickTop="1">
      <c r="A65" s="392"/>
      <c r="B65" s="25"/>
      <c r="C65" s="25"/>
      <c r="D65" s="29"/>
      <c r="E65" s="25"/>
      <c r="F65" s="25"/>
      <c r="G65" s="25"/>
      <c r="H65" s="54"/>
      <c r="I65" s="35"/>
      <c r="J65" s="137"/>
      <c r="K65" s="30"/>
      <c r="P65" s="251"/>
      <c r="R65" s="108"/>
      <c r="S65" s="145"/>
    </row>
    <row r="66" spans="1:19" s="27" customFormat="1" ht="13.5" hidden="1" thickTop="1">
      <c r="A66" s="392"/>
      <c r="B66" s="25"/>
      <c r="C66" s="25"/>
      <c r="D66" s="29" t="s">
        <v>74</v>
      </c>
      <c r="E66" s="25"/>
      <c r="F66" s="25"/>
      <c r="G66" s="25"/>
      <c r="H66" s="54"/>
      <c r="I66" s="35"/>
      <c r="J66" s="137"/>
      <c r="K66" s="30"/>
      <c r="P66" s="251"/>
      <c r="R66" s="108"/>
      <c r="S66" s="145"/>
    </row>
    <row r="67" spans="1:19" s="27" customFormat="1" ht="13.5" hidden="1" thickTop="1">
      <c r="A67" s="392"/>
      <c r="B67" s="25"/>
      <c r="C67" s="25"/>
      <c r="D67" s="29" t="s">
        <v>82</v>
      </c>
      <c r="E67" s="25"/>
      <c r="F67" s="25"/>
      <c r="G67" s="25"/>
      <c r="H67" s="54"/>
      <c r="I67" s="35"/>
      <c r="J67" s="137"/>
      <c r="K67" s="30"/>
      <c r="P67" s="251"/>
      <c r="R67" s="108"/>
      <c r="S67" s="145"/>
    </row>
    <row r="68" spans="1:19" s="27" customFormat="1" ht="13.5" hidden="1" thickTop="1">
      <c r="A68" s="383"/>
      <c r="B68" s="25"/>
      <c r="C68" s="25"/>
      <c r="D68" s="44" t="e">
        <f>#REF!</f>
        <v>#REF!</v>
      </c>
      <c r="E68" s="25"/>
      <c r="F68" s="25"/>
      <c r="G68" s="160"/>
      <c r="H68" s="162"/>
      <c r="I68" s="35"/>
      <c r="J68" s="137"/>
      <c r="K68" s="29"/>
      <c r="L68" s="25"/>
      <c r="M68" s="25"/>
      <c r="N68" s="25"/>
      <c r="O68" s="25"/>
      <c r="P68" s="251"/>
      <c r="R68" s="108"/>
      <c r="S68" s="145"/>
    </row>
    <row r="69" spans="1:19" ht="13.5" hidden="1" thickTop="1">
      <c r="I69" s="27"/>
      <c r="J69" s="137"/>
      <c r="K69" s="29"/>
      <c r="S69" s="145"/>
    </row>
    <row r="70" spans="1:19" ht="13.5" hidden="1" thickTop="1">
      <c r="I70" s="27"/>
      <c r="J70" s="137"/>
      <c r="K70" s="29"/>
      <c r="S70" s="145"/>
    </row>
    <row r="71" spans="1:19" ht="13.5" hidden="1" thickTop="1">
      <c r="F71" s="31"/>
      <c r="G71" s="32" t="s">
        <v>82</v>
      </c>
      <c r="I71" s="27"/>
      <c r="J71" s="137"/>
      <c r="K71" s="29"/>
      <c r="S71" s="145"/>
    </row>
    <row r="72" spans="1:19" ht="13.5" hidden="1" thickTop="1">
      <c r="A72" s="384" t="s">
        <v>76</v>
      </c>
      <c r="B72" s="32" t="s">
        <v>77</v>
      </c>
      <c r="C72" s="29"/>
      <c r="D72" s="29"/>
      <c r="F72" s="32" t="s">
        <v>78</v>
      </c>
      <c r="G72" s="32" t="s">
        <v>21</v>
      </c>
      <c r="H72" s="61" t="s">
        <v>79</v>
      </c>
      <c r="I72" s="27"/>
      <c r="J72" s="137"/>
      <c r="K72" s="29"/>
      <c r="S72" s="145"/>
    </row>
    <row r="73" spans="1:19" ht="13.5" hidden="1" thickTop="1">
      <c r="A73" s="386" t="e">
        <f>#REF!</f>
        <v>#REF!</v>
      </c>
      <c r="B73" s="158" t="e">
        <f>TRIM(CONCATENATE(#REF!," ",#REF!," ",#REF!))</f>
        <v>#REF!</v>
      </c>
      <c r="C73" s="165"/>
      <c r="D73" s="165"/>
      <c r="E73" s="165"/>
      <c r="F73" s="174" t="e">
        <f>#REF!</f>
        <v>#REF!</v>
      </c>
      <c r="G73" s="174" t="e">
        <f>#REF!</f>
        <v>#REF!</v>
      </c>
      <c r="H73" s="173"/>
      <c r="I73" s="27"/>
      <c r="J73" s="137"/>
      <c r="K73" s="201"/>
      <c r="L73" s="45"/>
      <c r="M73" s="45"/>
      <c r="N73" s="45"/>
      <c r="O73" s="45"/>
      <c r="S73" s="145"/>
    </row>
    <row r="74" spans="1:19" s="45" customFormat="1" ht="13.5" hidden="1" thickTop="1">
      <c r="A74" s="386" t="e">
        <f>#REF!</f>
        <v>#REF!</v>
      </c>
      <c r="B74" s="50" t="e">
        <f>TRIM(CONCATENATE(#REF!," ",#REF!," ",#REF!))</f>
        <v>#REF!</v>
      </c>
      <c r="F74" s="53" t="e">
        <f>#REF!</f>
        <v>#REF!</v>
      </c>
      <c r="G74" s="53" t="e">
        <f>#REF!</f>
        <v>#REF!</v>
      </c>
      <c r="H74" s="54"/>
      <c r="I74" s="46"/>
      <c r="J74" s="137"/>
      <c r="K74" s="201"/>
      <c r="P74" s="249"/>
      <c r="R74" s="229"/>
      <c r="S74" s="237"/>
    </row>
    <row r="75" spans="1:19" s="45" customFormat="1" ht="13.5" hidden="1" thickTop="1">
      <c r="A75" s="386" t="e">
        <f>#REF!</f>
        <v>#REF!</v>
      </c>
      <c r="B75" s="50" t="e">
        <f>TRIM(CONCATENATE(#REF!," ",#REF!," ",#REF!))</f>
        <v>#REF!</v>
      </c>
      <c r="F75" s="53" t="e">
        <f>#REF!</f>
        <v>#REF!</v>
      </c>
      <c r="G75" s="53" t="e">
        <f>#REF!</f>
        <v>#REF!</v>
      </c>
      <c r="H75" s="54"/>
      <c r="I75" s="46"/>
      <c r="J75" s="137"/>
      <c r="K75" s="201"/>
      <c r="P75" s="249"/>
      <c r="R75" s="229"/>
      <c r="S75" s="237"/>
    </row>
    <row r="76" spans="1:19" s="45" customFormat="1" ht="13.5" hidden="1" thickTop="1">
      <c r="A76" s="386" t="e">
        <f>#REF!</f>
        <v>#REF!</v>
      </c>
      <c r="B76" s="50" t="e">
        <f>TRIM(CONCATENATE(#REF!," ",#REF!," ",#REF!))</f>
        <v>#REF!</v>
      </c>
      <c r="F76" s="53" t="e">
        <f>#REF!</f>
        <v>#REF!</v>
      </c>
      <c r="G76" s="53" t="e">
        <f>#REF!</f>
        <v>#REF!</v>
      </c>
      <c r="H76" s="54"/>
      <c r="I76" s="47"/>
      <c r="J76" s="137"/>
      <c r="K76" s="201"/>
      <c r="P76" s="249"/>
      <c r="R76" s="229"/>
      <c r="S76" s="237"/>
    </row>
    <row r="77" spans="1:19" s="45" customFormat="1" ht="13.5" hidden="1" thickTop="1">
      <c r="A77" s="386" t="e">
        <f>#REF!</f>
        <v>#REF!</v>
      </c>
      <c r="B77" s="50" t="e">
        <f>TRIM(CONCATENATE(#REF!," ",#REF!," ",#REF!))</f>
        <v>#REF!</v>
      </c>
      <c r="F77" s="53" t="e">
        <f>#REF!</f>
        <v>#REF!</v>
      </c>
      <c r="G77" s="53" t="e">
        <f>#REF!</f>
        <v>#REF!</v>
      </c>
      <c r="H77" s="54"/>
      <c r="I77" s="47"/>
      <c r="J77" s="181"/>
      <c r="K77" s="201"/>
      <c r="P77" s="249"/>
      <c r="R77" s="229"/>
      <c r="S77" s="237"/>
    </row>
    <row r="78" spans="1:19" s="45" customFormat="1" ht="13.5" hidden="1" thickTop="1">
      <c r="A78" s="386" t="e">
        <f>#REF!</f>
        <v>#REF!</v>
      </c>
      <c r="B78" s="50" t="e">
        <f>TRIM(CONCATENATE(#REF!," ",#REF!," ",#REF!))</f>
        <v>#REF!</v>
      </c>
      <c r="F78" s="53" t="e">
        <f>#REF!</f>
        <v>#REF!</v>
      </c>
      <c r="G78" s="53" t="e">
        <f>#REF!</f>
        <v>#REF!</v>
      </c>
      <c r="H78" s="54"/>
      <c r="I78" s="48"/>
      <c r="J78" s="137"/>
      <c r="K78" s="201"/>
      <c r="P78" s="249"/>
      <c r="R78" s="229"/>
      <c r="S78" s="237"/>
    </row>
    <row r="79" spans="1:19" s="45" customFormat="1" ht="13.5" hidden="1" thickTop="1">
      <c r="A79" s="386" t="e">
        <f>#REF!</f>
        <v>#REF!</v>
      </c>
      <c r="B79" s="50" t="e">
        <f>TRIM(CONCATENATE(#REF!," ",#REF!," ",#REF!))</f>
        <v>#REF!</v>
      </c>
      <c r="F79" s="53" t="e">
        <f>#REF!</f>
        <v>#REF!</v>
      </c>
      <c r="G79" s="53" t="e">
        <f>#REF!</f>
        <v>#REF!</v>
      </c>
      <c r="I79" s="49"/>
      <c r="J79" s="137"/>
      <c r="K79" s="201"/>
      <c r="P79" s="249"/>
      <c r="R79" s="229"/>
      <c r="S79" s="237"/>
    </row>
    <row r="80" spans="1:19" s="45" customFormat="1" ht="13.5" hidden="1" thickTop="1">
      <c r="A80" s="386" t="e">
        <f>#REF!</f>
        <v>#REF!</v>
      </c>
      <c r="B80" s="50" t="e">
        <f>TRIM(CONCATENATE(#REF!," ",#REF!," ",#REF!))</f>
        <v>#REF!</v>
      </c>
      <c r="F80" s="53" t="e">
        <f>#REF!</f>
        <v>#REF!</v>
      </c>
      <c r="G80" s="53" t="e">
        <f>#REF!</f>
        <v>#REF!</v>
      </c>
      <c r="H80" s="54"/>
      <c r="I80" s="49"/>
      <c r="J80" s="137"/>
      <c r="K80" s="201"/>
      <c r="P80" s="249"/>
      <c r="R80" s="229"/>
      <c r="S80" s="237"/>
    </row>
    <row r="81" spans="1:19" s="45" customFormat="1" ht="13.5" hidden="1" thickTop="1">
      <c r="A81" s="386"/>
      <c r="B81" s="50"/>
      <c r="F81" s="53"/>
      <c r="G81" s="53"/>
      <c r="H81" s="54"/>
      <c r="I81" s="49"/>
      <c r="J81" s="137"/>
      <c r="K81" s="201"/>
      <c r="P81" s="249"/>
      <c r="R81" s="229"/>
      <c r="S81" s="237"/>
    </row>
    <row r="82" spans="1:19" s="45" customFormat="1" ht="13.5" hidden="1" thickTop="1">
      <c r="A82" s="386"/>
      <c r="B82" s="50"/>
      <c r="F82" s="53"/>
      <c r="G82" s="53"/>
      <c r="H82" s="54"/>
      <c r="I82" s="49"/>
      <c r="J82" s="137"/>
      <c r="K82" s="29"/>
      <c r="L82" s="25"/>
      <c r="M82" s="25"/>
      <c r="N82" s="25"/>
      <c r="O82" s="25"/>
      <c r="P82" s="249"/>
      <c r="R82" s="229"/>
      <c r="S82" s="237"/>
    </row>
    <row r="83" spans="1:19" ht="13.5" hidden="1" thickTop="1">
      <c r="B83" s="25" t="s">
        <v>80</v>
      </c>
      <c r="F83" s="38" t="e">
        <f>SUM(F73:F82)</f>
        <v>#REF!</v>
      </c>
      <c r="G83" s="38" t="e">
        <f>SUM(G73:G82)</f>
        <v>#REF!</v>
      </c>
      <c r="H83" s="57" t="e">
        <f>F83/G83</f>
        <v>#REF!</v>
      </c>
      <c r="I83" s="35"/>
      <c r="J83" s="137"/>
      <c r="K83" s="29"/>
      <c r="S83" s="145"/>
    </row>
    <row r="84" spans="1:19" ht="13.5" hidden="1" thickTop="1">
      <c r="A84" s="391"/>
      <c r="F84" s="39"/>
      <c r="G84" s="39"/>
      <c r="I84" s="35"/>
      <c r="J84" s="137"/>
      <c r="K84" s="201"/>
      <c r="L84" s="45"/>
      <c r="M84" s="45"/>
      <c r="N84" s="45"/>
      <c r="O84" s="45"/>
      <c r="S84" s="145"/>
    </row>
    <row r="85" spans="1:19" s="45" customFormat="1" ht="13.5" hidden="1" thickTop="1">
      <c r="A85" s="386" t="e">
        <f>#REF!</f>
        <v>#REF!</v>
      </c>
      <c r="B85" s="50" t="e">
        <f>TRIM(CONCATENATE(#REF!," ",#REF!," ",#REF!))</f>
        <v>#REF!</v>
      </c>
      <c r="F85" s="53" t="e">
        <f>#REF!</f>
        <v>#REF!</v>
      </c>
      <c r="G85" s="53" t="e">
        <f>#REF!</f>
        <v>#REF!</v>
      </c>
      <c r="I85" s="49"/>
      <c r="J85" s="137"/>
      <c r="K85" s="201"/>
      <c r="P85" s="249"/>
      <c r="R85" s="229"/>
      <c r="S85" s="237"/>
    </row>
    <row r="86" spans="1:19" s="45" customFormat="1" ht="13.5" hidden="1" thickTop="1">
      <c r="A86" s="386" t="e">
        <f>#REF!</f>
        <v>#REF!</v>
      </c>
      <c r="B86" s="50" t="e">
        <f>TRIM(CONCATENATE(#REF!," ",#REF!," ",#REF!))</f>
        <v>#REF!</v>
      </c>
      <c r="C86" s="51"/>
      <c r="F86" s="53" t="e">
        <f>#REF!</f>
        <v>#REF!</v>
      </c>
      <c r="G86" s="53" t="e">
        <f>#REF!</f>
        <v>#REF!</v>
      </c>
      <c r="H86" s="54"/>
      <c r="I86" s="49"/>
      <c r="J86" s="137"/>
      <c r="K86" s="201"/>
      <c r="P86" s="249"/>
      <c r="R86" s="229"/>
      <c r="S86" s="237"/>
    </row>
    <row r="87" spans="1:19" s="45" customFormat="1" ht="13.5" hidden="1" thickTop="1">
      <c r="A87" s="386" t="e">
        <f>#REF!</f>
        <v>#REF!</v>
      </c>
      <c r="B87" s="50" t="e">
        <f>TRIM(CONCATENATE(#REF!," ",#REF!," ",#REF!))</f>
        <v>#REF!</v>
      </c>
      <c r="C87" s="51"/>
      <c r="F87" s="53" t="e">
        <f>#REF!</f>
        <v>#REF!</v>
      </c>
      <c r="G87" s="53" t="e">
        <f>#REF!</f>
        <v>#REF!</v>
      </c>
      <c r="H87" s="54"/>
      <c r="I87" s="49"/>
      <c r="J87" s="137"/>
      <c r="K87" s="201"/>
      <c r="P87" s="249"/>
      <c r="R87" s="229"/>
      <c r="S87" s="237"/>
    </row>
    <row r="88" spans="1:19" s="45" customFormat="1" ht="13.5" hidden="1" thickTop="1">
      <c r="A88" s="386" t="e">
        <f>#REF!</f>
        <v>#REF!</v>
      </c>
      <c r="B88" s="50" t="e">
        <f>TRIM(CONCATENATE(#REF!," ",#REF!," ",#REF!))</f>
        <v>#REF!</v>
      </c>
      <c r="C88" s="51"/>
      <c r="F88" s="53" t="e">
        <f>#REF!</f>
        <v>#REF!</v>
      </c>
      <c r="G88" s="53" t="e">
        <f>#REF!</f>
        <v>#REF!</v>
      </c>
      <c r="H88" s="54"/>
      <c r="I88" s="49"/>
      <c r="J88" s="182"/>
      <c r="K88" s="201"/>
      <c r="P88" s="249"/>
      <c r="R88" s="229"/>
      <c r="S88" s="237"/>
    </row>
    <row r="89" spans="1:19" s="45" customFormat="1" ht="13.5" hidden="1" thickTop="1">
      <c r="A89" s="386" t="e">
        <f>#REF!</f>
        <v>#REF!</v>
      </c>
      <c r="B89" s="50" t="e">
        <f>TRIM(CONCATENATE(#REF!," ",#REF!," ",#REF!))</f>
        <v>#REF!</v>
      </c>
      <c r="C89" s="51"/>
      <c r="F89" s="53" t="e">
        <f>#REF!</f>
        <v>#REF!</v>
      </c>
      <c r="G89" s="53" t="e">
        <f>#REF!</f>
        <v>#REF!</v>
      </c>
      <c r="H89" s="54"/>
      <c r="I89" s="49"/>
      <c r="J89" s="137"/>
      <c r="K89" s="201"/>
      <c r="P89" s="249"/>
      <c r="R89" s="229"/>
      <c r="S89" s="237"/>
    </row>
    <row r="90" spans="1:19" s="45" customFormat="1" ht="13.5" hidden="1" thickTop="1">
      <c r="A90" s="386" t="e">
        <f>#REF!</f>
        <v>#REF!</v>
      </c>
      <c r="B90" s="50" t="e">
        <f>TRIM(CONCATENATE(#REF!," ",#REF!," ",#REF!))</f>
        <v>#REF!</v>
      </c>
      <c r="C90" s="51"/>
      <c r="F90" s="53" t="e">
        <f>#REF!</f>
        <v>#REF!</v>
      </c>
      <c r="G90" s="53" t="e">
        <f>#REF!</f>
        <v>#REF!</v>
      </c>
      <c r="H90" s="54"/>
      <c r="I90" s="49"/>
      <c r="J90" s="137"/>
      <c r="K90" s="201"/>
      <c r="P90" s="249"/>
      <c r="R90" s="229"/>
      <c r="S90" s="237"/>
    </row>
    <row r="91" spans="1:19" s="45" customFormat="1" ht="13.5" hidden="1" thickTop="1">
      <c r="A91" s="386" t="e">
        <f>#REF!</f>
        <v>#REF!</v>
      </c>
      <c r="B91" s="50" t="e">
        <f>TRIM(CONCATENATE(#REF!," ",#REF!," ",#REF!))</f>
        <v>#REF!</v>
      </c>
      <c r="C91" s="51"/>
      <c r="F91" s="53" t="e">
        <f>#REF!</f>
        <v>#REF!</v>
      </c>
      <c r="G91" s="53" t="e">
        <f>#REF!</f>
        <v>#REF!</v>
      </c>
      <c r="H91" s="56"/>
      <c r="I91" s="49"/>
      <c r="J91" s="137"/>
      <c r="K91" s="201"/>
      <c r="P91" s="249"/>
      <c r="R91" s="229"/>
      <c r="S91" s="237"/>
    </row>
    <row r="92" spans="1:19" s="45" customFormat="1" ht="13.5" hidden="1" thickTop="1">
      <c r="A92" s="386" t="e">
        <f>#REF!</f>
        <v>#REF!</v>
      </c>
      <c r="B92" s="50" t="e">
        <f>TRIM(CONCATENATE(#REF!," ",#REF!," ",#REF!))</f>
        <v>#REF!</v>
      </c>
      <c r="C92" s="51"/>
      <c r="F92" s="53" t="e">
        <f>#REF!</f>
        <v>#REF!</v>
      </c>
      <c r="G92" s="53" t="e">
        <f>#REF!</f>
        <v>#REF!</v>
      </c>
      <c r="H92" s="56"/>
      <c r="I92" s="49"/>
      <c r="J92" s="137"/>
      <c r="K92" s="201"/>
      <c r="P92" s="249"/>
      <c r="R92" s="229"/>
      <c r="S92" s="237"/>
    </row>
    <row r="93" spans="1:19" s="45" customFormat="1" ht="13.5" hidden="1" thickTop="1">
      <c r="A93" s="386" t="e">
        <f>#REF!</f>
        <v>#REF!</v>
      </c>
      <c r="B93" s="50" t="e">
        <f>TRIM(CONCATENATE(#REF!," ",#REF!," ",#REF!))</f>
        <v>#REF!</v>
      </c>
      <c r="C93" s="51"/>
      <c r="F93" s="53" t="e">
        <f>#REF!</f>
        <v>#REF!</v>
      </c>
      <c r="G93" s="53" t="e">
        <f>#REF!</f>
        <v>#REF!</v>
      </c>
      <c r="H93" s="56"/>
      <c r="I93" s="49"/>
      <c r="J93" s="137"/>
      <c r="K93" s="204"/>
      <c r="L93" s="169"/>
      <c r="M93" s="169"/>
      <c r="N93" s="169"/>
      <c r="O93" s="169"/>
      <c r="P93" s="249"/>
      <c r="R93" s="229"/>
      <c r="S93" s="237"/>
    </row>
    <row r="94" spans="1:19" s="169" customFormat="1" ht="13.5" hidden="1" thickTop="1">
      <c r="A94" s="388" t="e">
        <f>#REF!</f>
        <v>#REF!</v>
      </c>
      <c r="B94" s="158" t="e">
        <f>TRIM(CONCATENATE(#REF!," ",#REF!," ",#REF!))</f>
        <v>#REF!</v>
      </c>
      <c r="C94" s="159"/>
      <c r="F94" s="161" t="e">
        <f>#REF!</f>
        <v>#REF!</v>
      </c>
      <c r="G94" s="161" t="e">
        <f>#REF!</f>
        <v>#REF!</v>
      </c>
      <c r="H94" s="170"/>
      <c r="I94" s="171"/>
      <c r="J94" s="183"/>
      <c r="K94" s="203"/>
      <c r="L94" s="112"/>
      <c r="M94" s="112"/>
      <c r="N94" s="112"/>
      <c r="O94" s="112"/>
      <c r="P94" s="249"/>
      <c r="R94" s="234"/>
      <c r="S94" s="237"/>
    </row>
    <row r="95" spans="1:19" s="112" customFormat="1" ht="13.5" hidden="1" thickTop="1">
      <c r="A95" s="386" t="e">
        <f>#REF!</f>
        <v>#REF!</v>
      </c>
      <c r="B95" s="50" t="e">
        <f>TRIM(CONCATENATE(#REF!," ",#REF!," ",#REF!))</f>
        <v>#REF!</v>
      </c>
      <c r="C95" s="51"/>
      <c r="D95" s="45"/>
      <c r="E95" s="45"/>
      <c r="F95" s="53" t="e">
        <f>#REF!</f>
        <v>#REF!</v>
      </c>
      <c r="G95" s="53" t="e">
        <f>#REF!</f>
        <v>#REF!</v>
      </c>
      <c r="H95" s="115"/>
      <c r="I95" s="113"/>
      <c r="J95" s="137"/>
      <c r="K95" s="29"/>
      <c r="L95" s="25"/>
      <c r="M95" s="25"/>
      <c r="N95" s="25"/>
      <c r="O95" s="25"/>
      <c r="P95" s="249"/>
      <c r="R95" s="232"/>
      <c r="S95" s="238"/>
    </row>
    <row r="96" spans="1:19" ht="12" hidden="1" customHeight="1">
      <c r="A96" s="386" t="e">
        <f>#REF!</f>
        <v>#REF!</v>
      </c>
      <c r="B96" s="50" t="e">
        <f>TRIM(CONCATENATE(#REF!," ",#REF!," ",#REF!))</f>
        <v>#REF!</v>
      </c>
      <c r="C96" s="51"/>
      <c r="D96" s="45"/>
      <c r="E96" s="45"/>
      <c r="F96" s="53" t="e">
        <f>#REF!</f>
        <v>#REF!</v>
      </c>
      <c r="G96" s="53" t="e">
        <f>#REF!</f>
        <v>#REF!</v>
      </c>
      <c r="I96" s="35"/>
      <c r="J96" s="137"/>
      <c r="K96" s="204"/>
      <c r="L96" s="169"/>
      <c r="M96" s="169"/>
      <c r="N96" s="169"/>
      <c r="O96" s="169"/>
      <c r="S96" s="145"/>
    </row>
    <row r="97" spans="1:19" s="169" customFormat="1" ht="11.25" hidden="1" customHeight="1">
      <c r="A97" s="388" t="e">
        <f>#REF!</f>
        <v>#REF!</v>
      </c>
      <c r="B97" s="158" t="e">
        <f>TRIM(CONCATENATE(#REF!," ",#REF!," ",#REF!))</f>
        <v>#REF!</v>
      </c>
      <c r="C97" s="159"/>
      <c r="F97" s="161" t="e">
        <f>#REF!</f>
        <v>#REF!</v>
      </c>
      <c r="G97" s="161" t="e">
        <f>#REF!</f>
        <v>#REF!</v>
      </c>
      <c r="H97" s="170"/>
      <c r="I97" s="171"/>
      <c r="J97" s="183"/>
      <c r="K97" s="29"/>
      <c r="L97" s="25"/>
      <c r="M97" s="25"/>
      <c r="N97" s="25"/>
      <c r="O97" s="25"/>
      <c r="P97" s="249"/>
      <c r="R97" s="234"/>
      <c r="S97" s="237"/>
    </row>
    <row r="98" spans="1:19" ht="13.5" hidden="1" thickTop="1">
      <c r="A98" s="388" t="e">
        <f>#REF!</f>
        <v>#REF!</v>
      </c>
      <c r="B98" s="158" t="e">
        <f>TRIM(CONCATENATE(#REF!," ",#REF!," ",#REF!))</f>
        <v>#REF!</v>
      </c>
      <c r="C98" s="159"/>
      <c r="D98" s="169"/>
      <c r="E98" s="169"/>
      <c r="F98" s="161" t="e">
        <f>#REF!</f>
        <v>#REF!</v>
      </c>
      <c r="G98" s="161" t="e">
        <f>#REF!</f>
        <v>#REF!</v>
      </c>
      <c r="H98" s="166"/>
      <c r="I98" s="35"/>
      <c r="J98" s="137"/>
      <c r="K98" s="29"/>
      <c r="S98" s="145"/>
    </row>
    <row r="99" spans="1:19" ht="0.75" hidden="1" customHeight="1">
      <c r="A99" s="388"/>
      <c r="B99" s="158"/>
      <c r="C99" s="159"/>
      <c r="D99" s="159"/>
      <c r="E99" s="159"/>
      <c r="F99" s="161"/>
      <c r="G99" s="161"/>
      <c r="H99" s="166"/>
      <c r="I99" s="35"/>
      <c r="J99" s="137"/>
      <c r="K99" s="29"/>
      <c r="S99" s="145"/>
    </row>
    <row r="100" spans="1:19" ht="13.5" hidden="1" thickTop="1">
      <c r="A100" s="388"/>
      <c r="B100" s="158"/>
      <c r="C100" s="159"/>
      <c r="D100" s="159"/>
      <c r="E100" s="159"/>
      <c r="F100" s="161"/>
      <c r="G100" s="161"/>
      <c r="H100" s="166"/>
      <c r="I100" s="35"/>
      <c r="J100" s="137"/>
      <c r="K100" s="29"/>
      <c r="S100" s="145"/>
    </row>
    <row r="101" spans="1:19" ht="14.25" hidden="1" thickTop="1" thickBot="1">
      <c r="A101" s="390"/>
      <c r="B101" s="156" t="s">
        <v>81</v>
      </c>
      <c r="C101" s="156"/>
      <c r="D101" s="156"/>
      <c r="E101" s="156"/>
      <c r="F101" s="180" t="e">
        <f>SUM(F83:F100)</f>
        <v>#REF!</v>
      </c>
      <c r="G101" s="180" t="e">
        <f>SUM(G83:G100)</f>
        <v>#REF!</v>
      </c>
      <c r="H101" s="205" t="e">
        <f>F101/G101</f>
        <v>#REF!</v>
      </c>
      <c r="I101" s="35"/>
      <c r="J101" s="137"/>
      <c r="K101" s="29"/>
      <c r="S101" s="145"/>
    </row>
    <row r="102" spans="1:19" ht="13.5" hidden="1" thickTop="1">
      <c r="A102" s="390"/>
      <c r="B102" s="156"/>
      <c r="C102" s="156"/>
      <c r="D102" s="156"/>
      <c r="E102" s="156"/>
      <c r="F102" s="156"/>
      <c r="G102" s="156"/>
      <c r="H102" s="166"/>
      <c r="I102" s="35"/>
      <c r="J102" s="137"/>
      <c r="K102" s="29"/>
      <c r="S102" s="145"/>
    </row>
    <row r="103" spans="1:19" ht="12.75" hidden="1" customHeight="1">
      <c r="A103" s="388" t="e">
        <f>#REF!</f>
        <v>#REF!</v>
      </c>
      <c r="B103" s="158" t="e">
        <f>TRIM(CONCATENATE(#REF!," ",#REF!," ",#REF!))</f>
        <v>#REF!</v>
      </c>
      <c r="C103" s="159"/>
      <c r="D103" s="165"/>
      <c r="E103" s="165"/>
      <c r="F103" s="161" t="e">
        <f>#REF!</f>
        <v>#REF!</v>
      </c>
      <c r="G103" s="161" t="e">
        <f>#REF!</f>
        <v>#REF!</v>
      </c>
      <c r="H103" s="163"/>
      <c r="I103" s="35"/>
      <c r="J103" s="137"/>
      <c r="K103" s="29"/>
      <c r="S103" s="145"/>
    </row>
    <row r="104" spans="1:19" ht="13.5" hidden="1" thickTop="1">
      <c r="A104" s="388" t="e">
        <f>#REF!</f>
        <v>#REF!</v>
      </c>
      <c r="B104" s="158" t="e">
        <f>TRIM(CONCATENATE(#REF!," ",#REF!," ",#REF!))</f>
        <v>#REF!</v>
      </c>
      <c r="C104" s="159"/>
      <c r="D104" s="165"/>
      <c r="E104" s="165"/>
      <c r="F104" s="161" t="e">
        <f>#REF!</f>
        <v>#REF!</v>
      </c>
      <c r="G104" s="161" t="e">
        <f>#REF!</f>
        <v>#REF!</v>
      </c>
      <c r="H104" s="166"/>
      <c r="I104" s="35"/>
      <c r="J104" s="137"/>
      <c r="K104" s="29"/>
      <c r="S104" s="145"/>
    </row>
    <row r="105" spans="1:19" ht="13.5" hidden="1" thickTop="1">
      <c r="A105" s="388" t="e">
        <f>#REF!</f>
        <v>#REF!</v>
      </c>
      <c r="B105" s="158" t="e">
        <f>TRIM(CONCATENATE(#REF!," ",#REF!," ",#REF!))</f>
        <v>#REF!</v>
      </c>
      <c r="C105" s="159"/>
      <c r="D105" s="165"/>
      <c r="E105" s="165"/>
      <c r="F105" s="161" t="e">
        <f>#REF!</f>
        <v>#REF!</v>
      </c>
      <c r="G105" s="161" t="e">
        <f>#REF!</f>
        <v>#REF!</v>
      </c>
      <c r="H105" s="166"/>
      <c r="I105" s="35"/>
      <c r="J105" s="137"/>
      <c r="K105" s="29"/>
      <c r="S105" s="145"/>
    </row>
    <row r="106" spans="1:19" ht="13.5" hidden="1" thickTop="1">
      <c r="A106" s="386" t="e">
        <f>#REF!</f>
        <v>#REF!</v>
      </c>
      <c r="B106" s="50" t="e">
        <f>TRIM(CONCATENATE(#REF!," ",#REF!," ",#REF!))</f>
        <v>#REF!</v>
      </c>
      <c r="C106" s="51"/>
      <c r="D106" s="33"/>
      <c r="E106" s="33"/>
      <c r="F106" s="53" t="e">
        <f>#REF!</f>
        <v>#REF!</v>
      </c>
      <c r="G106" s="53" t="e">
        <f>#REF!</f>
        <v>#REF!</v>
      </c>
      <c r="I106" s="35"/>
      <c r="J106" s="137"/>
      <c r="K106" s="29"/>
      <c r="S106" s="145"/>
    </row>
    <row r="107" spans="1:19" ht="13.5" hidden="1" thickTop="1">
      <c r="A107" s="386" t="e">
        <f>#REF!</f>
        <v>#REF!</v>
      </c>
      <c r="B107" s="50" t="e">
        <f>TRIM(CONCATENATE(#REF!," ",#REF!," ",#REF!))</f>
        <v>#REF!</v>
      </c>
      <c r="C107" s="51"/>
      <c r="D107" s="33"/>
      <c r="E107" s="33"/>
      <c r="F107" s="53" t="e">
        <f>#REF!</f>
        <v>#REF!</v>
      </c>
      <c r="G107" s="53" t="e">
        <f>#REF!</f>
        <v>#REF!</v>
      </c>
      <c r="I107" s="35"/>
      <c r="J107" s="137"/>
      <c r="K107" s="29"/>
      <c r="S107" s="145"/>
    </row>
    <row r="108" spans="1:19" ht="13.5" hidden="1" thickTop="1">
      <c r="A108" s="386" t="e">
        <f>#REF!</f>
        <v>#REF!</v>
      </c>
      <c r="B108" s="50" t="e">
        <f>TRIM(CONCATENATE(#REF!," ",#REF!," ",#REF!))</f>
        <v>#REF!</v>
      </c>
      <c r="C108" s="51"/>
      <c r="D108" s="33"/>
      <c r="E108" s="33"/>
      <c r="F108" s="53" t="e">
        <f>#REF!</f>
        <v>#REF!</v>
      </c>
      <c r="G108" s="53" t="e">
        <f>#REF!</f>
        <v>#REF!</v>
      </c>
      <c r="I108" s="35"/>
      <c r="J108" s="137"/>
      <c r="K108" s="29"/>
      <c r="S108" s="145"/>
    </row>
    <row r="109" spans="1:19" ht="13.5" hidden="1" thickTop="1">
      <c r="A109" s="386" t="e">
        <f>#REF!</f>
        <v>#REF!</v>
      </c>
      <c r="B109" s="50" t="e">
        <f>TRIM(CONCATENATE(#REF!," ",#REF!," ",#REF!))</f>
        <v>#REF!</v>
      </c>
      <c r="C109" s="51"/>
      <c r="D109" s="33"/>
      <c r="E109" s="33"/>
      <c r="F109" s="53" t="e">
        <f>#REF!</f>
        <v>#REF!</v>
      </c>
      <c r="G109" s="53" t="e">
        <f>#REF!</f>
        <v>#REF!</v>
      </c>
      <c r="I109" s="35"/>
      <c r="J109" s="137"/>
      <c r="K109" s="29"/>
      <c r="S109" s="145"/>
    </row>
    <row r="110" spans="1:19" ht="13.5" hidden="1" thickTop="1">
      <c r="A110" s="386" t="e">
        <f>#REF!</f>
        <v>#REF!</v>
      </c>
      <c r="B110" s="50" t="e">
        <f>TRIM(CONCATENATE(#REF!," ",#REF!," ",#REF!))</f>
        <v>#REF!</v>
      </c>
      <c r="C110" s="51"/>
      <c r="D110" s="33"/>
      <c r="E110" s="33"/>
      <c r="F110" s="114" t="e">
        <f>#REF!</f>
        <v>#REF!</v>
      </c>
      <c r="G110" s="114" t="e">
        <f>#REF!</f>
        <v>#REF!</v>
      </c>
      <c r="I110" s="35"/>
      <c r="J110" s="137"/>
      <c r="K110" s="29"/>
      <c r="S110" s="145"/>
    </row>
    <row r="111" spans="1:19" ht="13.5" hidden="1" thickTop="1">
      <c r="A111" s="386" t="e">
        <f>#REF!</f>
        <v>#REF!</v>
      </c>
      <c r="B111" s="50" t="e">
        <f>TRIM(CONCATENATE(#REF!," ",#REF!," ",#REF!))</f>
        <v>#REF!</v>
      </c>
      <c r="C111" s="51"/>
      <c r="D111" s="33"/>
      <c r="E111" s="33"/>
      <c r="F111" s="114" t="e">
        <f>#REF!</f>
        <v>#REF!</v>
      </c>
      <c r="G111" s="114" t="e">
        <f>#REF!</f>
        <v>#REF!</v>
      </c>
      <c r="I111" s="35"/>
      <c r="J111" s="137"/>
      <c r="K111" s="29"/>
      <c r="S111" s="145"/>
    </row>
    <row r="112" spans="1:19" ht="13.5" hidden="1" thickTop="1">
      <c r="A112" s="386" t="e">
        <f>#REF!</f>
        <v>#REF!</v>
      </c>
      <c r="B112" s="50" t="e">
        <f>TRIM(CONCATENATE(#REF!," ",#REF!," ",#REF!))</f>
        <v>#REF!</v>
      </c>
      <c r="C112" s="51"/>
      <c r="D112" s="33"/>
      <c r="E112" s="33"/>
      <c r="F112" s="114" t="e">
        <f>#REF!</f>
        <v>#REF!</v>
      </c>
      <c r="G112" s="114" t="e">
        <f>#REF!</f>
        <v>#REF!</v>
      </c>
      <c r="I112" s="35"/>
      <c r="J112" s="137"/>
      <c r="K112" s="29"/>
      <c r="S112" s="145"/>
    </row>
    <row r="113" spans="1:19" ht="13.5" hidden="1" thickTop="1">
      <c r="A113" s="386" t="e">
        <f>#REF!</f>
        <v>#REF!</v>
      </c>
      <c r="B113" s="50" t="e">
        <f>TRIM(CONCATENATE(#REF!," ",#REF!," ",#REF!))</f>
        <v>#REF!</v>
      </c>
      <c r="C113" s="51"/>
      <c r="D113" s="33"/>
      <c r="E113" s="33"/>
      <c r="F113" s="114" t="e">
        <f>#REF!</f>
        <v>#REF!</v>
      </c>
      <c r="G113" s="114" t="e">
        <f>#REF!</f>
        <v>#REF!</v>
      </c>
      <c r="I113" s="35"/>
      <c r="J113" s="137"/>
      <c r="K113" s="29"/>
      <c r="S113" s="145"/>
    </row>
    <row r="114" spans="1:19" ht="13.5" hidden="1" thickTop="1">
      <c r="A114" s="386" t="e">
        <f>#REF!</f>
        <v>#REF!</v>
      </c>
      <c r="B114" s="50" t="e">
        <f>TRIM(CONCATENATE(#REF!," ",#REF!," ",#REF!))</f>
        <v>#REF!</v>
      </c>
      <c r="C114" s="51"/>
      <c r="D114" s="33"/>
      <c r="E114" s="33"/>
      <c r="F114" s="114" t="e">
        <f>#REF!</f>
        <v>#REF!</v>
      </c>
      <c r="G114" s="114" t="e">
        <f>#REF!</f>
        <v>#REF!</v>
      </c>
      <c r="I114" s="35"/>
      <c r="J114" s="137"/>
      <c r="K114" s="29"/>
      <c r="S114" s="145"/>
    </row>
    <row r="115" spans="1:19" ht="13.5" hidden="1" thickTop="1">
      <c r="A115" s="386" t="e">
        <f>#REF!</f>
        <v>#REF!</v>
      </c>
      <c r="B115" s="50" t="e">
        <f>TRIM(CONCATENATE(#REF!," ",#REF!," ",#REF!))</f>
        <v>#REF!</v>
      </c>
      <c r="C115" s="51"/>
      <c r="D115" s="33"/>
      <c r="E115" s="33"/>
      <c r="F115" s="114" t="e">
        <f>#REF!</f>
        <v>#REF!</v>
      </c>
      <c r="G115" s="114" t="e">
        <f>#REF!</f>
        <v>#REF!</v>
      </c>
      <c r="I115" s="35"/>
      <c r="J115" s="137"/>
      <c r="K115" s="29"/>
      <c r="S115" s="145"/>
    </row>
    <row r="116" spans="1:19" ht="13.5" hidden="1" customHeight="1">
      <c r="A116" s="388" t="e">
        <f>#REF!</f>
        <v>#REF!</v>
      </c>
      <c r="B116" s="158" t="e">
        <f>TRIM(CONCATENATE(#REF!," ",#REF!," ",#REF!))</f>
        <v>#REF!</v>
      </c>
      <c r="C116" s="159"/>
      <c r="D116" s="165"/>
      <c r="E116" s="165"/>
      <c r="F116" s="142" t="e">
        <f>#REF!</f>
        <v>#REF!</v>
      </c>
      <c r="G116" s="142" t="e">
        <f>#REF!</f>
        <v>#REF!</v>
      </c>
      <c r="H116" s="166"/>
      <c r="I116" s="35"/>
      <c r="J116" s="137"/>
      <c r="K116" s="29"/>
      <c r="S116" s="145"/>
    </row>
    <row r="117" spans="1:19" ht="12.75" hidden="1" customHeight="1">
      <c r="A117" s="386" t="e">
        <f>#REF!</f>
        <v>#REF!</v>
      </c>
      <c r="B117" s="50" t="e">
        <f>TRIM(CONCATENATE(#REF!," ",#REF!," ",#REF!))</f>
        <v>#REF!</v>
      </c>
      <c r="C117" s="51"/>
      <c r="D117" s="33"/>
      <c r="E117" s="33"/>
      <c r="F117" s="114" t="e">
        <f>#REF!</f>
        <v>#REF!</v>
      </c>
      <c r="G117" s="114" t="e">
        <f>#REF!</f>
        <v>#REF!</v>
      </c>
      <c r="I117" s="35"/>
      <c r="J117" s="137"/>
      <c r="K117" s="29"/>
      <c r="S117" s="145"/>
    </row>
    <row r="118" spans="1:19" ht="1.5" hidden="1" customHeight="1">
      <c r="A118" s="386" t="e">
        <f>#REF!</f>
        <v>#REF!</v>
      </c>
      <c r="B118" s="50" t="e">
        <f>TRIM(CONCATENATE(#REF!," ",#REF!," ",#REF!))</f>
        <v>#REF!</v>
      </c>
      <c r="C118" s="51"/>
      <c r="D118" s="33"/>
      <c r="E118" s="33"/>
      <c r="F118" s="114" t="e">
        <f>#REF!</f>
        <v>#REF!</v>
      </c>
      <c r="G118" s="114" t="e">
        <f>#REF!</f>
        <v>#REF!</v>
      </c>
      <c r="I118" s="35"/>
      <c r="J118" s="137"/>
      <c r="K118" s="29"/>
      <c r="S118" s="145"/>
    </row>
    <row r="119" spans="1:19" ht="13.5" hidden="1" customHeight="1">
      <c r="A119" s="391"/>
      <c r="B119" s="27"/>
      <c r="C119" s="27"/>
      <c r="D119" s="27"/>
      <c r="E119" s="42"/>
      <c r="F119" s="151"/>
      <c r="G119" s="151"/>
      <c r="H119" s="60"/>
      <c r="I119" s="35"/>
      <c r="J119" s="137"/>
      <c r="K119" s="29"/>
      <c r="S119" s="145"/>
    </row>
    <row r="120" spans="1:19" ht="13.5" hidden="1" customHeight="1" thickBot="1">
      <c r="B120" s="27" t="s">
        <v>185</v>
      </c>
      <c r="C120" s="27"/>
      <c r="D120" s="27"/>
      <c r="E120" s="42"/>
      <c r="F120" s="43" t="e">
        <f>SUM(F101:F119)</f>
        <v>#REF!</v>
      </c>
      <c r="G120" s="43" t="e">
        <f>SUM(G101:G119)</f>
        <v>#REF!</v>
      </c>
      <c r="H120" s="206" t="e">
        <f>F120/G120</f>
        <v>#REF!</v>
      </c>
      <c r="I120" s="35"/>
      <c r="J120" s="137"/>
      <c r="K120" s="29"/>
      <c r="M120" s="155"/>
      <c r="S120" s="145"/>
    </row>
    <row r="121" spans="1:19" ht="14.25" customHeight="1" thickTop="1">
      <c r="B121" s="27"/>
      <c r="C121" s="27"/>
      <c r="D121" s="27"/>
      <c r="E121" s="42"/>
      <c r="F121" s="35"/>
      <c r="G121" s="35"/>
      <c r="H121" s="60"/>
      <c r="I121" s="35"/>
      <c r="J121" s="137"/>
      <c r="L121" s="157"/>
      <c r="M121" s="51"/>
      <c r="N121" s="51"/>
      <c r="O121" s="51"/>
      <c r="P121" s="252"/>
      <c r="S121" s="145"/>
    </row>
    <row r="122" spans="1:19" ht="14.25" customHeight="1">
      <c r="F122" s="131"/>
      <c r="L122" s="27"/>
      <c r="M122" s="51"/>
      <c r="N122" s="52">
        <f ca="1">'Exh. No. BGM-13R -5'!E25</f>
        <v>-8142</v>
      </c>
      <c r="O122" s="52"/>
      <c r="P122" s="242"/>
      <c r="Q122" s="37">
        <f ca="1">N63-N122</f>
        <v>46710</v>
      </c>
      <c r="S122" s="223"/>
    </row>
    <row r="123" spans="1:19" ht="14.25" customHeight="1">
      <c r="L123" s="153"/>
      <c r="M123" s="51"/>
      <c r="N123" s="51"/>
      <c r="O123" s="51"/>
      <c r="P123" s="52"/>
      <c r="S123" s="235"/>
    </row>
    <row r="124" spans="1:19" ht="14.25" customHeight="1">
      <c r="L124" s="153"/>
      <c r="M124" s="51"/>
      <c r="N124" s="51"/>
      <c r="O124" s="51"/>
      <c r="P124" s="252"/>
      <c r="S124" s="236"/>
    </row>
    <row r="125" spans="1:19">
      <c r="S125" s="145"/>
    </row>
    <row r="126" spans="1:19">
      <c r="S126" s="145"/>
    </row>
  </sheetData>
  <mergeCells count="11">
    <mergeCell ref="D7:E7"/>
    <mergeCell ref="G7:H7"/>
    <mergeCell ref="J7:K7"/>
    <mergeCell ref="D6:E6"/>
    <mergeCell ref="G6:H6"/>
    <mergeCell ref="J6:K6"/>
    <mergeCell ref="M6:N6"/>
    <mergeCell ref="A1:N1"/>
    <mergeCell ref="A2:N2"/>
    <mergeCell ref="A3:N3"/>
    <mergeCell ref="M5:N5"/>
  </mergeCells>
  <phoneticPr fontId="0" type="noConversion"/>
  <pageMargins left="0.75" right="0.51" top="0.75" bottom="0.5" header="0.5" footer="0.5"/>
  <pageSetup scale="61"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2016-09-22T07:00:00+00:00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FF1B8D1-C878-454B-8F59-44D03A5395A9}"/>
</file>

<file path=customXml/itemProps2.xml><?xml version="1.0" encoding="utf-8"?>
<ds:datastoreItem xmlns:ds="http://schemas.openxmlformats.org/officeDocument/2006/customXml" ds:itemID="{6B79BCC3-CB0B-4169-A4AB-83A23AEACE79}"/>
</file>

<file path=customXml/itemProps3.xml><?xml version="1.0" encoding="utf-8"?>
<ds:datastoreItem xmlns:ds="http://schemas.openxmlformats.org/officeDocument/2006/customXml" ds:itemID="{61972A15-51C9-4F09-9315-911EC2333EDF}"/>
</file>

<file path=customXml/itemProps4.xml><?xml version="1.0" encoding="utf-8"?>
<ds:datastoreItem xmlns:ds="http://schemas.openxmlformats.org/officeDocument/2006/customXml" ds:itemID="{1C70D5D4-0E7B-49AA-A9F5-F196B26696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Exh. No. BGM-13R</vt:lpstr>
      <vt:lpstr>Exh. No. BGM-13R -2</vt:lpstr>
      <vt:lpstr>Exh. No. BGM-13R -3</vt:lpstr>
      <vt:lpstr>Exh. No. BGM-13R -4</vt:lpstr>
      <vt:lpstr>Exh. No. BGM-13R -5</vt:lpstr>
      <vt:lpstr>DEBT CALC</vt:lpstr>
      <vt:lpstr>LEAD SHEETS-DO NOT ENTER</vt:lpstr>
      <vt:lpstr>ADJ SUMMARY</vt:lpstr>
      <vt:lpstr>ROO INPUT</vt:lpstr>
      <vt:lpstr>COMPARISON</vt:lpstr>
      <vt:lpstr>ID_Elec</vt:lpstr>
      <vt:lpstr>'ADJ SUMMARY'!Print_Area</vt:lpstr>
      <vt:lpstr>COMPARISON!Print_Area</vt:lpstr>
      <vt:lpstr>'DEBT CALC'!Print_Area</vt:lpstr>
      <vt:lpstr>'Exh. No. BGM-13R'!Print_Area</vt:lpstr>
      <vt:lpstr>'Exh. No. BGM-13R -2'!Print_Area</vt:lpstr>
      <vt:lpstr>'Exh. No. BGM-13R -3'!Print_Area</vt:lpstr>
      <vt:lpstr>'Exh. No. BGM-13R -4'!Print_Area</vt:lpstr>
      <vt:lpstr>'Exh. No. BGM-13R -5'!Print_Area</vt:lpstr>
      <vt:lpstr>'LEAD SHEETS-DO NOT ENTER'!Print_Area</vt:lpstr>
      <vt:lpstr>'ROO INPUT'!Print_Area</vt:lpstr>
      <vt:lpstr>COMPARISON!Print_for_CBReport</vt:lpstr>
      <vt:lpstr>Print_for_CBReport</vt:lpstr>
      <vt:lpstr>'Exh. No. BGM-13R'!Print_Titles</vt:lpstr>
      <vt:lpstr>'Exh. No. BGM-13R -3'!Print_Titles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BGM</cp:lastModifiedBy>
  <cp:lastPrinted>2016-09-20T17:17:52Z</cp:lastPrinted>
  <dcterms:created xsi:type="dcterms:W3CDTF">1997-05-15T21:41:44Z</dcterms:created>
  <dcterms:modified xsi:type="dcterms:W3CDTF">2016-09-20T17:19:05Z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